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13_ncr:1_{173D4AA7-1ED9-47D7-945F-DF905B7DB709}" xr6:coauthVersionLast="47" xr6:coauthVersionMax="47" xr10:uidLastSave="{00000000-0000-0000-0000-000000000000}"/>
  <bookViews>
    <workbookView xWindow="-120" yWindow="-120" windowWidth="29040" windowHeight="15840" tabRatio="884" firstSheet="45" activeTab="45" xr2:uid="{00000000-000D-0000-FFFF-FFFF00000000}"/>
  </bookViews>
  <sheets>
    <sheet name="封面" sheetId="116" r:id="rId1"/>
    <sheet name="目錄" sheetId="75" r:id="rId2"/>
    <sheet name="表03" sheetId="1" r:id="rId3"/>
    <sheet name="表05-1" sheetId="3" r:id="rId4"/>
    <sheet name="表06" sheetId="287" r:id="rId5"/>
    <sheet name="表09-1" sheetId="274" r:id="rId6"/>
    <sheet name="表09-2" sheetId="289" r:id="rId7"/>
    <sheet name="表10-1" sheetId="93" r:id="rId8"/>
    <sheet name="表10-2" sheetId="270" r:id="rId9"/>
    <sheet name="表10-3" sheetId="64" r:id="rId10"/>
    <sheet name="表10-4" sheetId="11" r:id="rId11"/>
    <sheet name="表11-1" sheetId="12" r:id="rId12"/>
    <sheet name="表11-2" sheetId="95" r:id="rId13"/>
    <sheet name="表12-1" sheetId="275" r:id="rId14"/>
    <sheet name="表12-2" sheetId="281" r:id="rId15"/>
    <sheet name="表13-1" sheetId="280" r:id="rId16"/>
    <sheet name="表13-2" sheetId="17" r:id="rId17"/>
    <sheet name="表13-4" sheetId="284" r:id="rId18"/>
    <sheet name="表16-1-1" sheetId="70" r:id="rId19"/>
    <sheet name="表16-1-2" sheetId="71" r:id="rId20"/>
    <sheet name="表16-1-3" sheetId="72" r:id="rId21"/>
    <sheet name="表16-1-4" sheetId="73" r:id="rId22"/>
    <sheet name="表16-1-5" sheetId="74" r:id="rId23"/>
    <sheet name="表16-2-1" sheetId="26" r:id="rId24"/>
    <sheet name="表16-2-2" sheetId="27" r:id="rId25"/>
    <sheet name="表16-2-3" sheetId="28" r:id="rId26"/>
    <sheet name="表19-3" sheetId="158" r:id="rId27"/>
    <sheet name="表19-4" sheetId="251" r:id="rId28"/>
    <sheet name="表19-5" sheetId="252" r:id="rId29"/>
    <sheet name="表19-6" sheetId="253" r:id="rId30"/>
    <sheet name="表21-1" sheetId="157" r:id="rId31"/>
    <sheet name="表21-2" sheetId="33" r:id="rId32"/>
    <sheet name="表21-3" sheetId="156" r:id="rId33"/>
    <sheet name="表21-4" sheetId="68" r:id="rId34"/>
    <sheet name="表21-7" sheetId="286" r:id="rId35"/>
    <sheet name="表25-1" sheetId="249" r:id="rId36"/>
    <sheet name="表25-2" sheetId="115" r:id="rId37"/>
    <sheet name="表25-8" sheetId="273" r:id="rId38"/>
    <sheet name="表26-1" sheetId="67" r:id="rId39"/>
    <sheet name="表30-1" sheetId="37" r:id="rId40"/>
    <sheet name="表30-2" sheetId="38" r:id="rId41"/>
    <sheet name="表30-3" sheetId="39" r:id="rId42"/>
    <sheet name="表30-3-1" sheetId="282" r:id="rId43"/>
    <sheet name="表30-3-2" sheetId="41" r:id="rId44"/>
    <sheet name="表30-3-3" sheetId="192" r:id="rId45"/>
    <sheet name="表30-3-4" sheetId="327" r:id="rId46"/>
    <sheet name="表30-4" sheetId="42" r:id="rId47"/>
    <sheet name="表30-4-1" sheetId="276" r:id="rId48"/>
    <sheet name="表30-5" sheetId="43" r:id="rId49"/>
    <sheet name="表30-5-1" sheetId="285" r:id="rId50"/>
    <sheet name="表30-5-2" sheetId="308" r:id="rId51"/>
    <sheet name="表30-5-2-1-1" sheetId="312" r:id="rId52"/>
    <sheet name="表30-5-2-1-2" sheetId="313" r:id="rId53"/>
    <sheet name="表30-5-2-2-1" sheetId="314" r:id="rId54"/>
    <sheet name="表30-5-2-2-2" sheetId="315" r:id="rId55"/>
    <sheet name="表30-5-2-2-3" sheetId="318" r:id="rId56"/>
    <sheet name="表30-5-2-3-1" sheetId="316" r:id="rId57"/>
    <sheet name="表30-5-2-3-2" sheetId="317" r:id="rId58"/>
    <sheet name="表30-5-2-4-1" sheetId="319" r:id="rId59"/>
    <sheet name="表30-5-2-4-2" sheetId="320" r:id="rId60"/>
    <sheet name="表30-5-2-4-3" sheetId="325" r:id="rId61"/>
    <sheet name="表30-5-2-5-1" sheetId="321" r:id="rId62"/>
    <sheet name="表30-5-2-5-2" sheetId="322" r:id="rId63"/>
    <sheet name="表30-5-2-5-3" sheetId="323" r:id="rId64"/>
    <sheet name="表30-5-2-5-4" sheetId="324" r:id="rId65"/>
    <sheet name="表30-5-2-6" sheetId="326" r:id="rId66"/>
    <sheet name="表30-6" sheetId="44" r:id="rId67"/>
    <sheet name="表30-7" sheetId="247" r:id="rId68"/>
    <sheet name="表30-8" sheetId="293" r:id="rId69"/>
    <sheet name="表30-8-1" sheetId="150" r:id="rId70"/>
    <sheet name="表30-8-2" sheetId="151" r:id="rId71"/>
    <sheet name="表30-8-3" sheetId="233" r:id="rId72"/>
    <sheet name="表30-8-4" sheetId="250" r:id="rId73"/>
    <sheet name="表30-8-5" sheetId="277" r:id="rId74"/>
    <sheet name="表30-8-6" sheetId="278" r:id="rId75"/>
    <sheet name="表30-8-7" sheetId="290" r:id="rId76"/>
    <sheet name="表30-8-8" sheetId="292" r:id="rId77"/>
    <sheet name="表30-9" sheetId="47" r:id="rId78"/>
    <sheet name="表30-10" sheetId="48" r:id="rId79"/>
    <sheet name="表30-11" sheetId="49" r:id="rId80"/>
    <sheet name="表30-12" sheetId="50" r:id="rId81"/>
    <sheet name="表30-13" sheetId="69" r:id="rId82"/>
    <sheet name="表30-14" sheetId="52" r:id="rId83"/>
    <sheet name="表30-15" sheetId="53" r:id="rId84"/>
    <sheet name="表30-16" sheetId="54" r:id="rId85"/>
    <sheet name="表30-14-1" sheetId="55" r:id="rId86"/>
    <sheet name="表30-14-2" sheetId="56" r:id="rId87"/>
    <sheet name="表30-14-3" sheetId="28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new1" localSheetId="65">#REF!</definedName>
    <definedName name="_____new1">#REF!</definedName>
    <definedName name="____new1" localSheetId="65">#REF!</definedName>
    <definedName name="____new1">#REF!</definedName>
    <definedName name="___new1" localSheetId="65">#REF!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5" hidden="1">'[2]5DAYRPT '!#REF!</definedName>
    <definedName name="__123Graph_X" localSheetId="17" hidden="1">'[3]5DAYRPT '!#REF!</definedName>
    <definedName name="__123Graph_X" localSheetId="34" hidden="1">'[2]5DAYRPT '!#REF!</definedName>
    <definedName name="__123Graph_X" localSheetId="42" hidden="1">'[3]5DAYRPT '!#REF!</definedName>
    <definedName name="__123Graph_X" localSheetId="47" hidden="1">'[1]5DAYRPT '!#REF!</definedName>
    <definedName name="__123Graph_X" localSheetId="50" hidden="1">'[2]5DAYRPT '!#REF!</definedName>
    <definedName name="__123Graph_X" localSheetId="52" hidden="1">'[4]5DAYRPT '!#REF!</definedName>
    <definedName name="__123Graph_X" localSheetId="60" hidden="1">'[4]5DAYRPT '!#REF!</definedName>
    <definedName name="__123Graph_X" localSheetId="61" hidden="1">'[4]5DAYRPT '!#REF!</definedName>
    <definedName name="__123Graph_X" localSheetId="63" hidden="1">'[4]5DAYRPT '!#REF!</definedName>
    <definedName name="__123Graph_X" localSheetId="65" hidden="1">'[4]5DAYRPT '!#REF!</definedName>
    <definedName name="__123Graph_X" localSheetId="68" hidden="1">'[3]5DAYRPT '!#REF!</definedName>
    <definedName name="__123Graph_X" localSheetId="73" hidden="1">'[2]5DAYRPT '!#REF!</definedName>
    <definedName name="__123Graph_X" localSheetId="74" hidden="1">'[2]5DAYRPT '!#REF!</definedName>
    <definedName name="__123Graph_X" localSheetId="75" hidden="1">'[3]5DAYRPT '!#REF!</definedName>
    <definedName name="__123Graph_X" localSheetId="76" hidden="1">'[2]5DAYRPT '!#REF!</definedName>
    <definedName name="__123Graph_X" hidden="1">'[2]5DAYRPT '!#REF!</definedName>
    <definedName name="__new1" localSheetId="65">#REF!</definedName>
    <definedName name="__new1">#REF!</definedName>
    <definedName name="_xlnm._FilterDatabase" localSheetId="1" hidden="1">目錄!$A$4:$P$171</definedName>
    <definedName name="_new1" localSheetId="65">#REF!</definedName>
    <definedName name="_new1">#REF!</definedName>
    <definedName name="_Order1" hidden="1">255</definedName>
    <definedName name="A">[5]不動產!$A$6</definedName>
    <definedName name="aaa" localSheetId="5">[6]Sheet2!$A$6</definedName>
    <definedName name="aaa" localSheetId="13">[6]Sheet2!$A$6</definedName>
    <definedName name="aaa" localSheetId="17">[7]Sheet2!$A$6</definedName>
    <definedName name="aaa" localSheetId="35">[6]Sheet2!$A$6</definedName>
    <definedName name="aaa" localSheetId="37">[6]Sheet2!$A$6</definedName>
    <definedName name="aaa" localSheetId="42">[8]Sheet2!$A$6</definedName>
    <definedName name="aaa" localSheetId="47">[6]Sheet2!$A$6</definedName>
    <definedName name="aaa" localSheetId="68">[8]Sheet2!$A$6</definedName>
    <definedName name="aaa" localSheetId="72">[6]Sheet2!$A$6</definedName>
    <definedName name="aaa" localSheetId="75">[8]Sheet2!$A$6</definedName>
    <definedName name="aaa">[9]Sheet2!$A$6</definedName>
    <definedName name="AP" localSheetId="5">#REF!</definedName>
    <definedName name="AP" localSheetId="13">#REF!</definedName>
    <definedName name="AP" localSheetId="17">#REF!</definedName>
    <definedName name="AP" localSheetId="35">#REF!</definedName>
    <definedName name="AP" localSheetId="37">#REF!</definedName>
    <definedName name="AP" localSheetId="42">#REF!</definedName>
    <definedName name="AP" localSheetId="47">#REF!</definedName>
    <definedName name="AP" localSheetId="52">#REF!</definedName>
    <definedName name="AP" localSheetId="60">#REF!</definedName>
    <definedName name="AP" localSheetId="65">#REF!</definedName>
    <definedName name="AP" localSheetId="68">#REF!</definedName>
    <definedName name="AP" localSheetId="72">#REF!</definedName>
    <definedName name="AP" localSheetId="75">#REF!</definedName>
    <definedName name="AP">#REF!</definedName>
    <definedName name="AS2DocOpenMode" hidden="1">"AS2DocumentEdit"</definedName>
    <definedName name="AS2HasNoAutoHeaderFooter">"OFF"</definedName>
    <definedName name="b" localSheetId="17">#REF!</definedName>
    <definedName name="b" localSheetId="35">#REF!</definedName>
    <definedName name="b" localSheetId="42">#REF!</definedName>
    <definedName name="b" localSheetId="52">#REF!</definedName>
    <definedName name="b" localSheetId="60">#REF!</definedName>
    <definedName name="b" localSheetId="65">#REF!</definedName>
    <definedName name="b" localSheetId="68">#REF!</definedName>
    <definedName name="b" localSheetId="75">#REF!</definedName>
    <definedName name="b">#REF!</definedName>
    <definedName name="bbb" localSheetId="5">[10]Sheet2!$A$6</definedName>
    <definedName name="bbb" localSheetId="13">[10]Sheet2!$A$6</definedName>
    <definedName name="bbb" localSheetId="17">[8]Sheet2!$A$6</definedName>
    <definedName name="bbb" localSheetId="42">[8]Sheet2!$A$6</definedName>
    <definedName name="bbb" localSheetId="47">[10]Sheet2!$A$6</definedName>
    <definedName name="bbb" localSheetId="65">[11]Sheet2!$A$6</definedName>
    <definedName name="bbb" localSheetId="68">[8]Sheet2!$A$6</definedName>
    <definedName name="bbb" localSheetId="73">[10]Sheet2!$A$6</definedName>
    <definedName name="bbb" localSheetId="74">[10]Sheet2!$A$6</definedName>
    <definedName name="bbb" localSheetId="75">[8]Sheet2!$A$6</definedName>
    <definedName name="bbb">[6]Sheet2!$A$6</definedName>
    <definedName name="cc" localSheetId="17">#REF!</definedName>
    <definedName name="cc" localSheetId="35">#REF!</definedName>
    <definedName name="cc" localSheetId="42">#REF!</definedName>
    <definedName name="cc" localSheetId="52">#REF!</definedName>
    <definedName name="cc" localSheetId="60">#REF!</definedName>
    <definedName name="cc" localSheetId="65">#REF!</definedName>
    <definedName name="cc" localSheetId="68">#REF!</definedName>
    <definedName name="cc" localSheetId="75">#REF!</definedName>
    <definedName name="cc">#REF!</definedName>
    <definedName name="CP" localSheetId="5">#REF!</definedName>
    <definedName name="CP" localSheetId="13">#REF!</definedName>
    <definedName name="CP" localSheetId="17">#REF!</definedName>
    <definedName name="CP" localSheetId="35">#REF!</definedName>
    <definedName name="CP" localSheetId="37">#REF!</definedName>
    <definedName name="CP" localSheetId="42">#REF!</definedName>
    <definedName name="CP" localSheetId="47">#REF!</definedName>
    <definedName name="CP" localSheetId="52">#REF!</definedName>
    <definedName name="CP" localSheetId="60">#REF!</definedName>
    <definedName name="CP" localSheetId="65">#REF!</definedName>
    <definedName name="CP" localSheetId="68">#REF!</definedName>
    <definedName name="CP" localSheetId="72">#REF!</definedName>
    <definedName name="CP" localSheetId="75">#REF!</definedName>
    <definedName name="CP">#REF!</definedName>
    <definedName name="d" localSheetId="17">#REF!</definedName>
    <definedName name="d" localSheetId="35">#REF!</definedName>
    <definedName name="d" localSheetId="42">#REF!</definedName>
    <definedName name="d" localSheetId="52">#REF!</definedName>
    <definedName name="d" localSheetId="60">#REF!</definedName>
    <definedName name="d" localSheetId="65">#REF!</definedName>
    <definedName name="d" localSheetId="68">#REF!</definedName>
    <definedName name="d" localSheetId="75">#REF!</definedName>
    <definedName name="d">#REF!</definedName>
    <definedName name="dfg" localSheetId="65">'[12]表02(負債業主權益)'!$A$52</definedName>
    <definedName name="dfg">'[11]表02(負債業主權益)'!$A$52</definedName>
    <definedName name="DWP" localSheetId="5">#REF!</definedName>
    <definedName name="DWP" localSheetId="13">#REF!</definedName>
    <definedName name="DWP" localSheetId="17">#REF!</definedName>
    <definedName name="DWP" localSheetId="35">#REF!</definedName>
    <definedName name="DWP" localSheetId="37">#REF!</definedName>
    <definedName name="DWP" localSheetId="42">#REF!</definedName>
    <definedName name="DWP" localSheetId="47">#REF!</definedName>
    <definedName name="DWP" localSheetId="52">#REF!</definedName>
    <definedName name="DWP" localSheetId="60">#REF!</definedName>
    <definedName name="DWP" localSheetId="65">#REF!</definedName>
    <definedName name="DWP" localSheetId="68">#REF!</definedName>
    <definedName name="DWP" localSheetId="72">#REF!</definedName>
    <definedName name="DWP" localSheetId="75">#REF!</definedName>
    <definedName name="DWP">#REF!</definedName>
    <definedName name="E" localSheetId="17">#REF!</definedName>
    <definedName name="E" localSheetId="35">#REF!</definedName>
    <definedName name="E" localSheetId="42">#REF!</definedName>
    <definedName name="E" localSheetId="52">#REF!</definedName>
    <definedName name="E" localSheetId="60">#REF!</definedName>
    <definedName name="E" localSheetId="65">#REF!</definedName>
    <definedName name="E" localSheetId="68">#REF!</definedName>
    <definedName name="E" localSheetId="75">#REF!</definedName>
    <definedName name="E">#REF!</definedName>
    <definedName name="f" localSheetId="17">#REF!</definedName>
    <definedName name="f" localSheetId="35">#REF!</definedName>
    <definedName name="f" localSheetId="42">#REF!</definedName>
    <definedName name="f" localSheetId="52">#REF!</definedName>
    <definedName name="f" localSheetId="60">#REF!</definedName>
    <definedName name="f" localSheetId="65">#REF!</definedName>
    <definedName name="f" localSheetId="68">#REF!</definedName>
    <definedName name="f" localSheetId="75">#REF!</definedName>
    <definedName name="f">#REF!</definedName>
    <definedName name="fde" localSheetId="65">[12]表03!$A$50</definedName>
    <definedName name="fde">[11]表03!$A$50</definedName>
    <definedName name="frd" localSheetId="65">[12]表09!$A$24</definedName>
    <definedName name="frd">[11]表09!$A$24</definedName>
    <definedName name="G" localSheetId="17">#REF!</definedName>
    <definedName name="G" localSheetId="35">#REF!</definedName>
    <definedName name="G" localSheetId="42">#REF!</definedName>
    <definedName name="G" localSheetId="52">#REF!</definedName>
    <definedName name="G" localSheetId="60">#REF!</definedName>
    <definedName name="G" localSheetId="65">#REF!</definedName>
    <definedName name="G" localSheetId="68">#REF!</definedName>
    <definedName name="G" localSheetId="75">#REF!</definedName>
    <definedName name="G">#REF!</definedName>
    <definedName name="i" localSheetId="17">#REF!</definedName>
    <definedName name="i" localSheetId="35">#REF!</definedName>
    <definedName name="i" localSheetId="42">#REF!</definedName>
    <definedName name="i" localSheetId="52">#REF!</definedName>
    <definedName name="i" localSheetId="60">#REF!</definedName>
    <definedName name="i" localSheetId="65">#REF!</definedName>
    <definedName name="i" localSheetId="68">#REF!</definedName>
    <definedName name="i" localSheetId="75">#REF!</definedName>
    <definedName name="i">#REF!</definedName>
    <definedName name="I1_01_01" localSheetId="5">'[13]表02-2'!$B$23</definedName>
    <definedName name="I1_01_01" localSheetId="13">'[13]表02-2'!$B$23</definedName>
    <definedName name="I1_01_01" localSheetId="17">'[12]表01-1'!$B$23</definedName>
    <definedName name="I1_01_01" localSheetId="37">'[12]表01-1'!$B$23</definedName>
    <definedName name="I1_01_01" localSheetId="42">'[14]表02-2'!$B$23</definedName>
    <definedName name="I1_01_01" localSheetId="47">'[13]表02-2'!$B$23</definedName>
    <definedName name="I1_01_01" localSheetId="65">#REF!</definedName>
    <definedName name="I1_01_01" localSheetId="68">'[14]表02-2'!$B$23</definedName>
    <definedName name="I1_01_01" localSheetId="72">'[13]表02-2'!$B$23</definedName>
    <definedName name="I1_01_01" localSheetId="75">'[14]表02-2'!$B$23</definedName>
    <definedName name="I1_01_01">'[12]表01-1'!$B$23</definedName>
    <definedName name="I1_02_01" localSheetId="5">'[13]表02-6'!$A$44</definedName>
    <definedName name="I1_02_01" localSheetId="13">'[13]表02-6'!$A$44</definedName>
    <definedName name="I1_02_01" localSheetId="17">'[14]表02-6'!$A$44</definedName>
    <definedName name="I1_02_01" localSheetId="37">'[13]表02-6'!$A$44</definedName>
    <definedName name="I1_02_01" localSheetId="42">'[14]表02-6'!$A$44</definedName>
    <definedName name="I1_02_01" localSheetId="47">'[13]表02-6'!$A$44</definedName>
    <definedName name="I1_02_01" localSheetId="52">#REF!</definedName>
    <definedName name="I1_02_01" localSheetId="60">#REF!</definedName>
    <definedName name="I1_02_01" localSheetId="65">#REF!</definedName>
    <definedName name="I1_02_01" localSheetId="68">'[14]表02-6'!$A$44</definedName>
    <definedName name="I1_02_01" localSheetId="72">'[13]表02-6'!$A$44</definedName>
    <definedName name="I1_02_01" localSheetId="75">'[14]表02-6'!$A$44</definedName>
    <definedName name="I1_02_01">#REF!</definedName>
    <definedName name="I1_02_02" localSheetId="5">'[13]表02-7'!$A$19</definedName>
    <definedName name="I1_02_02" localSheetId="13">'[13]表02-7'!$A$19</definedName>
    <definedName name="I1_02_02" localSheetId="17">'[14]表02-7'!$A$19</definedName>
    <definedName name="I1_02_02" localSheetId="37">'[13]表02-7'!$A$19</definedName>
    <definedName name="I1_02_02" localSheetId="42">'[14]表02-7'!$A$19</definedName>
    <definedName name="I1_02_02" localSheetId="47">'[13]表02-7'!$A$19</definedName>
    <definedName name="I1_02_02" localSheetId="52">#REF!</definedName>
    <definedName name="I1_02_02" localSheetId="60">#REF!</definedName>
    <definedName name="I1_02_02" localSheetId="65">#REF!</definedName>
    <definedName name="I1_02_02" localSheetId="68">'[14]表02-7'!$A$19</definedName>
    <definedName name="I1_02_02" localSheetId="72">'[13]表02-7'!$A$19</definedName>
    <definedName name="I1_02_02" localSheetId="75">'[14]表02-7'!$A$19</definedName>
    <definedName name="I1_02_02">#REF!</definedName>
    <definedName name="I1_02_03" localSheetId="5">'[13]表02-5'!$A$29</definedName>
    <definedName name="I1_02_03" localSheetId="13">'[13]表02-5'!$A$29</definedName>
    <definedName name="I1_02_03" localSheetId="17">'[14]表02-5'!$A$29</definedName>
    <definedName name="I1_02_03" localSheetId="37">'[13]表02-5'!$A$29</definedName>
    <definedName name="I1_02_03" localSheetId="42">'[14]表02-5'!$A$29</definedName>
    <definedName name="I1_02_03" localSheetId="47">'[13]表02-5'!$A$29</definedName>
    <definedName name="I1_02_03" localSheetId="52">#REF!</definedName>
    <definedName name="I1_02_03" localSheetId="60">#REF!</definedName>
    <definedName name="I1_02_03" localSheetId="65">#REF!</definedName>
    <definedName name="I1_02_03" localSheetId="68">'[14]表02-5'!$A$29</definedName>
    <definedName name="I1_02_03" localSheetId="72">'[13]表02-5'!$A$29</definedName>
    <definedName name="I1_02_03" localSheetId="75">'[14]表02-5'!$A$29</definedName>
    <definedName name="I1_02_03">#REF!</definedName>
    <definedName name="I1_02_04" localSheetId="5">'[13]表02-3'!$A$30</definedName>
    <definedName name="I1_02_04" localSheetId="13">'[13]表02-3'!$A$30</definedName>
    <definedName name="I1_02_04" localSheetId="17">'[14]表02-3'!$A$30</definedName>
    <definedName name="I1_02_04" localSheetId="37">'[13]表02-3'!$A$30</definedName>
    <definedName name="I1_02_04" localSheetId="42">'[14]表02-3'!$A$30</definedName>
    <definedName name="I1_02_04" localSheetId="47">'[13]表02-3'!$A$30</definedName>
    <definedName name="I1_02_04" localSheetId="52">#REF!</definedName>
    <definedName name="I1_02_04" localSheetId="60">#REF!</definedName>
    <definedName name="I1_02_04" localSheetId="65">#REF!</definedName>
    <definedName name="I1_02_04" localSheetId="68">'[14]表02-3'!$A$30</definedName>
    <definedName name="I1_02_04" localSheetId="72">'[13]表02-3'!$A$30</definedName>
    <definedName name="I1_02_04" localSheetId="75">'[14]表02-3'!$A$30</definedName>
    <definedName name="I1_02_04">#REF!</definedName>
    <definedName name="I1_02_05" localSheetId="5">'[13]表02-4'!$A$16</definedName>
    <definedName name="I1_02_05" localSheetId="13">'[13]表02-4'!$A$16</definedName>
    <definedName name="I1_02_05" localSheetId="17">'[14]表02-4'!$A$16</definedName>
    <definedName name="I1_02_05" localSheetId="37">'[13]表02-4'!$A$16</definedName>
    <definedName name="I1_02_05" localSheetId="42">'[14]表02-4'!$A$16</definedName>
    <definedName name="I1_02_05" localSheetId="47">'[13]表02-4'!$A$16</definedName>
    <definedName name="I1_02_05" localSheetId="52">#REF!</definedName>
    <definedName name="I1_02_05" localSheetId="60">#REF!</definedName>
    <definedName name="I1_02_05" localSheetId="65">#REF!</definedName>
    <definedName name="I1_02_05" localSheetId="68">'[14]表02-4'!$A$16</definedName>
    <definedName name="I1_02_05" localSheetId="72">'[13]表02-4'!$A$16</definedName>
    <definedName name="I1_02_05" localSheetId="75">'[14]表02-4'!$A$16</definedName>
    <definedName name="I1_02_05">#REF!</definedName>
    <definedName name="I1_02_06" localSheetId="5">[13]Sheet1!$A$18</definedName>
    <definedName name="I1_02_06" localSheetId="13">[13]Sheet1!$A$18</definedName>
    <definedName name="I1_02_06" localSheetId="17">[14]Sheet1!$A$18</definedName>
    <definedName name="I1_02_06" localSheetId="37">[13]Sheet1!$A$18</definedName>
    <definedName name="I1_02_06" localSheetId="42">[14]Sheet1!$A$18</definedName>
    <definedName name="I1_02_06" localSheetId="47">[13]Sheet1!$A$18</definedName>
    <definedName name="I1_02_06" localSheetId="52">#REF!</definedName>
    <definedName name="I1_02_06" localSheetId="60">#REF!</definedName>
    <definedName name="I1_02_06" localSheetId="65">#REF!</definedName>
    <definedName name="I1_02_06" localSheetId="68">[14]Sheet1!$A$18</definedName>
    <definedName name="I1_02_06" localSheetId="72">[13]Sheet1!$A$18</definedName>
    <definedName name="I1_02_06" localSheetId="75">[14]Sheet1!$A$18</definedName>
    <definedName name="I1_02_06">#REF!</definedName>
    <definedName name="I1_02_07" localSheetId="5">'[13]表01-1'!$A$22</definedName>
    <definedName name="I1_02_07" localSheetId="13">'[13]表01-1'!$A$22</definedName>
    <definedName name="I1_02_07" localSheetId="17">'[14]表01-1'!$A$22</definedName>
    <definedName name="I1_02_07" localSheetId="37">'[13]表01-1'!$A$22</definedName>
    <definedName name="I1_02_07" localSheetId="42">'[14]表01-1'!$A$22</definedName>
    <definedName name="I1_02_07" localSheetId="47">'[13]表01-1'!$A$22</definedName>
    <definedName name="I1_02_07" localSheetId="52">#REF!</definedName>
    <definedName name="I1_02_07" localSheetId="60">#REF!</definedName>
    <definedName name="I1_02_07" localSheetId="65">#REF!</definedName>
    <definedName name="I1_02_07" localSheetId="68">'[14]表01-1'!$A$22</definedName>
    <definedName name="I1_02_07" localSheetId="72">'[13]表01-1'!$A$22</definedName>
    <definedName name="I1_02_07" localSheetId="75">'[14]表01-1'!$A$22</definedName>
    <definedName name="I1_02_07">#REF!</definedName>
    <definedName name="LBCell010" localSheetId="5">#REF!</definedName>
    <definedName name="LBCell010" localSheetId="13">#REF!</definedName>
    <definedName name="LBCell010" localSheetId="17">#REF!</definedName>
    <definedName name="LBCell010" localSheetId="35">#REF!</definedName>
    <definedName name="LBCell010" localSheetId="37">#REF!</definedName>
    <definedName name="LBCell010" localSheetId="42">#REF!</definedName>
    <definedName name="LBCell010" localSheetId="47">#REF!</definedName>
    <definedName name="LBCell010" localSheetId="52">#REF!</definedName>
    <definedName name="LBCell010" localSheetId="60">#REF!</definedName>
    <definedName name="LBCell010" localSheetId="65">#REF!</definedName>
    <definedName name="LBCell010" localSheetId="68">#REF!</definedName>
    <definedName name="LBCell010" localSheetId="72">#REF!</definedName>
    <definedName name="LBCell010" localSheetId="75">#REF!</definedName>
    <definedName name="LBCell010">#REF!</definedName>
    <definedName name="LBCell020" localSheetId="5">#REF!</definedName>
    <definedName name="LBCell020" localSheetId="13">#REF!</definedName>
    <definedName name="LBCell020" localSheetId="17">#REF!</definedName>
    <definedName name="LBCell020" localSheetId="35">#REF!</definedName>
    <definedName name="LBCell020" localSheetId="37">#REF!</definedName>
    <definedName name="LBCell020" localSheetId="42">#REF!</definedName>
    <definedName name="LBCell020" localSheetId="47">#REF!</definedName>
    <definedName name="LBCell020" localSheetId="52">#REF!</definedName>
    <definedName name="LBCell020" localSheetId="60">#REF!</definedName>
    <definedName name="LBCell020" localSheetId="65">#REF!</definedName>
    <definedName name="LBCell020" localSheetId="68">#REF!</definedName>
    <definedName name="LBCell020" localSheetId="72">#REF!</definedName>
    <definedName name="LBCell020" localSheetId="75">#REF!</definedName>
    <definedName name="LBCell020">#REF!</definedName>
    <definedName name="LBCell021" localSheetId="5">#REF!</definedName>
    <definedName name="LBCell021" localSheetId="13">#REF!</definedName>
    <definedName name="LBCell021" localSheetId="17">#REF!</definedName>
    <definedName name="LBCell021" localSheetId="35">#REF!</definedName>
    <definedName name="LBCell021" localSheetId="37">#REF!</definedName>
    <definedName name="LBCell021" localSheetId="42">#REF!</definedName>
    <definedName name="LBCell021" localSheetId="47">#REF!</definedName>
    <definedName name="LBCell021" localSheetId="52">#REF!</definedName>
    <definedName name="LBCell021" localSheetId="60">#REF!</definedName>
    <definedName name="LBCell021" localSheetId="65">#REF!</definedName>
    <definedName name="LBCell021" localSheetId="68">#REF!</definedName>
    <definedName name="LBCell021" localSheetId="72">#REF!</definedName>
    <definedName name="LBCell021" localSheetId="75">#REF!</definedName>
    <definedName name="LBCell021">#REF!</definedName>
    <definedName name="LBCell022" localSheetId="5">#REF!</definedName>
    <definedName name="LBCell022" localSheetId="13">#REF!</definedName>
    <definedName name="LBCell022" localSheetId="17">#REF!</definedName>
    <definedName name="LBCell022" localSheetId="35">#REF!</definedName>
    <definedName name="LBCell022" localSheetId="37">#REF!</definedName>
    <definedName name="LBCell022" localSheetId="42">#REF!</definedName>
    <definedName name="LBCell022" localSheetId="47">#REF!</definedName>
    <definedName name="LBCell022" localSheetId="52">#REF!</definedName>
    <definedName name="LBCell022" localSheetId="60">#REF!</definedName>
    <definedName name="LBCell022" localSheetId="65">#REF!</definedName>
    <definedName name="LBCell022" localSheetId="68">#REF!</definedName>
    <definedName name="LBCell022" localSheetId="72">#REF!</definedName>
    <definedName name="LBCell022" localSheetId="75">#REF!</definedName>
    <definedName name="LBCell022">#REF!</definedName>
    <definedName name="LBCell030" localSheetId="5">#REF!</definedName>
    <definedName name="LBCell030" localSheetId="13">#REF!</definedName>
    <definedName name="LBCell030" localSheetId="17">#REF!</definedName>
    <definedName name="LBCell030" localSheetId="35">#REF!</definedName>
    <definedName name="LBCell030" localSheetId="37">#REF!</definedName>
    <definedName name="LBCell030" localSheetId="42">#REF!</definedName>
    <definedName name="LBCell030" localSheetId="47">#REF!</definedName>
    <definedName name="LBCell030" localSheetId="52">#REF!</definedName>
    <definedName name="LBCell030" localSheetId="60">#REF!</definedName>
    <definedName name="LBCell030" localSheetId="65">#REF!</definedName>
    <definedName name="LBCell030" localSheetId="68">#REF!</definedName>
    <definedName name="LBCell030" localSheetId="72">#REF!</definedName>
    <definedName name="LBCell030" localSheetId="75">#REF!</definedName>
    <definedName name="LBCell030">#REF!</definedName>
    <definedName name="LBCell071SUM" localSheetId="65">'[15]表07(總計)'!$E$40</definedName>
    <definedName name="LBCell071SUM">'[16]表07(總計)'!$E$40</definedName>
    <definedName name="LBCell090" localSheetId="5">#REF!</definedName>
    <definedName name="LBCell090" localSheetId="13">#REF!</definedName>
    <definedName name="LBCell090" localSheetId="17">#REF!</definedName>
    <definedName name="LBCell090" localSheetId="35">#REF!</definedName>
    <definedName name="LBCell090" localSheetId="37">#REF!</definedName>
    <definedName name="LBCell090" localSheetId="42">#REF!</definedName>
    <definedName name="LBCell090" localSheetId="47">#REF!</definedName>
    <definedName name="LBCell090" localSheetId="52">#REF!</definedName>
    <definedName name="LBCell090" localSheetId="60">#REF!</definedName>
    <definedName name="LBCell090" localSheetId="65">#REF!</definedName>
    <definedName name="LBCell090" localSheetId="68">#REF!</definedName>
    <definedName name="LBCell090" localSheetId="72">#REF!</definedName>
    <definedName name="LBCell090" localSheetId="75">#REF!</definedName>
    <definedName name="LBCell090">#REF!</definedName>
    <definedName name="LBCell111SUM" localSheetId="65">'[12]表11(總計)'!$E$6</definedName>
    <definedName name="LBCell111SUM">'[11]表11(總計)'!$E$6</definedName>
    <definedName name="LBCell150" localSheetId="5">#REF!</definedName>
    <definedName name="LBCell150" localSheetId="13">#REF!</definedName>
    <definedName name="LBCell150" localSheetId="17">#REF!</definedName>
    <definedName name="LBCell150" localSheetId="35">#REF!</definedName>
    <definedName name="LBCell150" localSheetId="37">#REF!</definedName>
    <definedName name="LBCell150" localSheetId="42">#REF!</definedName>
    <definedName name="LBCell150" localSheetId="47">#REF!</definedName>
    <definedName name="LBCell150" localSheetId="52">#REF!</definedName>
    <definedName name="LBCell150" localSheetId="60">#REF!</definedName>
    <definedName name="LBCell150" localSheetId="65">#REF!</definedName>
    <definedName name="LBCell150" localSheetId="68">#REF!</definedName>
    <definedName name="LBCell150" localSheetId="72">#REF!</definedName>
    <definedName name="LBCell150" localSheetId="75">#REF!</definedName>
    <definedName name="LBCell150">#REF!</definedName>
    <definedName name="LBCell160" localSheetId="8">'[15]表13-1'!#REF!</definedName>
    <definedName name="LBCell160" localSheetId="15">'[15]表13-1'!#REF!</definedName>
    <definedName name="LBCell160" localSheetId="17">'[15]表13-1'!#REF!</definedName>
    <definedName name="LBCell160" localSheetId="34">'[15]表13-1'!#REF!</definedName>
    <definedName name="LBCell160" localSheetId="35">'[15]表13-1'!#REF!</definedName>
    <definedName name="LBCell160" localSheetId="42">'[15]表13-1'!#REF!</definedName>
    <definedName name="LBCell160" localSheetId="50">'[15]表13-1'!#REF!</definedName>
    <definedName name="LBCell160" localSheetId="52">'[15]表13-1'!#REF!</definedName>
    <definedName name="LBCell160" localSheetId="60">'[15]表13-1'!#REF!</definedName>
    <definedName name="LBCell160" localSheetId="65">'[15]表13-1'!#REF!</definedName>
    <definedName name="LBCell160" localSheetId="68">'[15]表13-1'!#REF!</definedName>
    <definedName name="LBCell160" localSheetId="75">'[15]表13-1'!#REF!</definedName>
    <definedName name="LBCell160" localSheetId="76">'[15]表13-1'!#REF!</definedName>
    <definedName name="LBCell160">'[15]表13-1'!#REF!</definedName>
    <definedName name="leb" localSheetId="65">[12]表01!$A$224</definedName>
    <definedName name="leb">[11]表01!$A$224</definedName>
    <definedName name="li" localSheetId="65">'[12]表02(資產附表)'!$A$48</definedName>
    <definedName name="li">'[11]表02(資產附表)'!$A$48</definedName>
    <definedName name="lib" localSheetId="65">'[12]表02(資產)'!$A$43</definedName>
    <definedName name="lib">'[11]表02(資產)'!$A$43</definedName>
    <definedName name="LR" localSheetId="5">#REF!</definedName>
    <definedName name="LR" localSheetId="13">#REF!</definedName>
    <definedName name="LR" localSheetId="17">#REF!</definedName>
    <definedName name="LR" localSheetId="35">#REF!</definedName>
    <definedName name="LR" localSheetId="37">#REF!</definedName>
    <definedName name="LR" localSheetId="42">#REF!</definedName>
    <definedName name="LR" localSheetId="47">#REF!</definedName>
    <definedName name="LR" localSheetId="52">#REF!</definedName>
    <definedName name="LR" localSheetId="60">#REF!</definedName>
    <definedName name="LR" localSheetId="65">#REF!</definedName>
    <definedName name="LR" localSheetId="68">#REF!</definedName>
    <definedName name="LR" localSheetId="72">#REF!</definedName>
    <definedName name="LR" localSheetId="75">#REF!</definedName>
    <definedName name="LR">#REF!</definedName>
    <definedName name="LTCell010" localSheetId="5">#REF!</definedName>
    <definedName name="LTCell010" localSheetId="13">#REF!</definedName>
    <definedName name="LTCell010" localSheetId="17">#REF!</definedName>
    <definedName name="LTCell010" localSheetId="35">#REF!</definedName>
    <definedName name="LTCell010" localSheetId="37">#REF!</definedName>
    <definedName name="LTCell010" localSheetId="42">#REF!</definedName>
    <definedName name="LTCell010" localSheetId="47">#REF!</definedName>
    <definedName name="LTCell010" localSheetId="52">#REF!</definedName>
    <definedName name="LTCell010" localSheetId="60">#REF!</definedName>
    <definedName name="LTCell010" localSheetId="65">#REF!</definedName>
    <definedName name="LTCell010" localSheetId="68">#REF!</definedName>
    <definedName name="LTCell010" localSheetId="72">#REF!</definedName>
    <definedName name="LTCell010" localSheetId="75">#REF!</definedName>
    <definedName name="LTCell010">#REF!</definedName>
    <definedName name="LTCell020" localSheetId="5">#REF!</definedName>
    <definedName name="LTCell020" localSheetId="13">#REF!</definedName>
    <definedName name="LTCell020" localSheetId="17">#REF!</definedName>
    <definedName name="LTCell020" localSheetId="35">#REF!</definedName>
    <definedName name="LTCell020" localSheetId="37">#REF!</definedName>
    <definedName name="LTCell020" localSheetId="42">#REF!</definedName>
    <definedName name="LTCell020" localSheetId="47">#REF!</definedName>
    <definedName name="LTCell020" localSheetId="52">#REF!</definedName>
    <definedName name="LTCell020" localSheetId="60">#REF!</definedName>
    <definedName name="LTCell020" localSheetId="65">#REF!</definedName>
    <definedName name="LTCell020" localSheetId="68">#REF!</definedName>
    <definedName name="LTCell020" localSheetId="72">#REF!</definedName>
    <definedName name="LTCell020" localSheetId="75">#REF!</definedName>
    <definedName name="LTCell020">#REF!</definedName>
    <definedName name="LTCell021" localSheetId="5">#REF!</definedName>
    <definedName name="LTCell021" localSheetId="13">#REF!</definedName>
    <definedName name="LTCell021" localSheetId="17">#REF!</definedName>
    <definedName name="LTCell021" localSheetId="35">#REF!</definedName>
    <definedName name="LTCell021" localSheetId="37">#REF!</definedName>
    <definedName name="LTCell021" localSheetId="42">#REF!</definedName>
    <definedName name="LTCell021" localSheetId="47">#REF!</definedName>
    <definedName name="LTCell021" localSheetId="52">#REF!</definedName>
    <definedName name="LTCell021" localSheetId="60">#REF!</definedName>
    <definedName name="LTCell021" localSheetId="65">#REF!</definedName>
    <definedName name="LTCell021" localSheetId="68">#REF!</definedName>
    <definedName name="LTCell021" localSheetId="72">#REF!</definedName>
    <definedName name="LTCell021" localSheetId="75">#REF!</definedName>
    <definedName name="LTCell021">#REF!</definedName>
    <definedName name="LTCell022" localSheetId="5">#REF!</definedName>
    <definedName name="LTCell022" localSheetId="13">#REF!</definedName>
    <definedName name="LTCell022" localSheetId="17">#REF!</definedName>
    <definedName name="LTCell022" localSheetId="35">#REF!</definedName>
    <definedName name="LTCell022" localSheetId="37">#REF!</definedName>
    <definedName name="LTCell022" localSheetId="42">#REF!</definedName>
    <definedName name="LTCell022" localSheetId="47">#REF!</definedName>
    <definedName name="LTCell022" localSheetId="52">#REF!</definedName>
    <definedName name="LTCell022" localSheetId="60">#REF!</definedName>
    <definedName name="LTCell022" localSheetId="65">#REF!</definedName>
    <definedName name="LTCell022" localSheetId="68">#REF!</definedName>
    <definedName name="LTCell022" localSheetId="72">#REF!</definedName>
    <definedName name="LTCell022" localSheetId="75">#REF!</definedName>
    <definedName name="LTCell022">#REF!</definedName>
    <definedName name="LTCell030" localSheetId="5">#REF!</definedName>
    <definedName name="LTCell030" localSheetId="13">#REF!</definedName>
    <definedName name="LTCell030" localSheetId="17">#REF!</definedName>
    <definedName name="LTCell030" localSheetId="35">#REF!</definedName>
    <definedName name="LTCell030" localSheetId="37">#REF!</definedName>
    <definedName name="LTCell030" localSheetId="42">#REF!</definedName>
    <definedName name="LTCell030" localSheetId="47">#REF!</definedName>
    <definedName name="LTCell030" localSheetId="52">#REF!</definedName>
    <definedName name="LTCell030" localSheetId="60">#REF!</definedName>
    <definedName name="LTCell030" localSheetId="65">#REF!</definedName>
    <definedName name="LTCell030" localSheetId="68">#REF!</definedName>
    <definedName name="LTCell030" localSheetId="72">#REF!</definedName>
    <definedName name="LTCell030" localSheetId="75">#REF!</definedName>
    <definedName name="LTCell030">#REF!</definedName>
    <definedName name="LTCell090" localSheetId="5">#REF!</definedName>
    <definedName name="LTCell090" localSheetId="13">#REF!</definedName>
    <definedName name="LTCell090" localSheetId="17">#REF!</definedName>
    <definedName name="LTCell090" localSheetId="35">#REF!</definedName>
    <definedName name="LTCell090" localSheetId="37">#REF!</definedName>
    <definedName name="LTCell090" localSheetId="42">#REF!</definedName>
    <definedName name="LTCell090" localSheetId="47">#REF!</definedName>
    <definedName name="LTCell090" localSheetId="52">#REF!</definedName>
    <definedName name="LTCell090" localSheetId="60">#REF!</definedName>
    <definedName name="LTCell090" localSheetId="65">#REF!</definedName>
    <definedName name="LTCell090" localSheetId="68">#REF!</definedName>
    <definedName name="LTCell090" localSheetId="72">#REF!</definedName>
    <definedName name="LTCell090" localSheetId="75">#REF!</definedName>
    <definedName name="LTCell090">#REF!</definedName>
    <definedName name="LTCell150" localSheetId="5">#REF!</definedName>
    <definedName name="LTCell150" localSheetId="13">#REF!</definedName>
    <definedName name="LTCell150" localSheetId="17">#REF!</definedName>
    <definedName name="LTCell150" localSheetId="35">#REF!</definedName>
    <definedName name="LTCell150" localSheetId="37">#REF!</definedName>
    <definedName name="LTCell150" localSheetId="42">#REF!</definedName>
    <definedName name="LTCell150" localSheetId="47">#REF!</definedName>
    <definedName name="LTCell150" localSheetId="52">#REF!</definedName>
    <definedName name="LTCell150" localSheetId="60">#REF!</definedName>
    <definedName name="LTCell150" localSheetId="65">#REF!</definedName>
    <definedName name="LTCell150" localSheetId="68">#REF!</definedName>
    <definedName name="LTCell150" localSheetId="72">#REF!</definedName>
    <definedName name="LTCell150" localSheetId="75">#REF!</definedName>
    <definedName name="LTCell150">#REF!</definedName>
    <definedName name="LTCell160" localSheetId="8">'[15]表13-1'!#REF!</definedName>
    <definedName name="LTCell160" localSheetId="15">'[15]表13-1'!#REF!</definedName>
    <definedName name="LTCell160" localSheetId="17">'[15]表13-1'!#REF!</definedName>
    <definedName name="LTCell160" localSheetId="34">'[15]表13-1'!#REF!</definedName>
    <definedName name="LTCell160" localSheetId="35">'[15]表13-1'!#REF!</definedName>
    <definedName name="LTCell160" localSheetId="42">'[15]表13-1'!#REF!</definedName>
    <definedName name="LTCell160" localSheetId="50">'[15]表13-1'!#REF!</definedName>
    <definedName name="LTCell160" localSheetId="52">'[15]表13-1'!#REF!</definedName>
    <definedName name="LTCell160" localSheetId="60">'[15]表13-1'!#REF!</definedName>
    <definedName name="LTCell160" localSheetId="65">'[15]表13-1'!#REF!</definedName>
    <definedName name="LTCell160" localSheetId="68">'[15]表13-1'!#REF!</definedName>
    <definedName name="LTCell160" localSheetId="75">'[15]表13-1'!#REF!</definedName>
    <definedName name="LTCell160" localSheetId="76">'[15]表13-1'!#REF!</definedName>
    <definedName name="LTCell160">'[15]表13-1'!#REF!</definedName>
    <definedName name="mh" localSheetId="17">#REF!</definedName>
    <definedName name="mh" localSheetId="35">#REF!</definedName>
    <definedName name="mh" localSheetId="42">#REF!</definedName>
    <definedName name="mh" localSheetId="52">#REF!</definedName>
    <definedName name="mh" localSheetId="60">#REF!</definedName>
    <definedName name="mh" localSheetId="65">#REF!</definedName>
    <definedName name="mh" localSheetId="68">#REF!</definedName>
    <definedName name="mh" localSheetId="75">#REF!</definedName>
    <definedName name="mh">#REF!</definedName>
    <definedName name="netprem_written" localSheetId="5">[6]Sheet2!#REF!</definedName>
    <definedName name="netprem_written" localSheetId="8">[9]Sheet2!#REF!</definedName>
    <definedName name="netprem_written" localSheetId="13">[6]Sheet2!#REF!</definedName>
    <definedName name="netprem_written" localSheetId="15">[9]Sheet2!#REF!</definedName>
    <definedName name="netprem_written" localSheetId="17">[7]Sheet2!#REF!</definedName>
    <definedName name="netprem_written" localSheetId="34">[9]Sheet2!#REF!</definedName>
    <definedName name="netprem_written" localSheetId="35">[6]Sheet2!#REF!</definedName>
    <definedName name="netprem_written" localSheetId="37">[6]Sheet2!#REF!</definedName>
    <definedName name="netprem_written" localSheetId="42">[8]Sheet2!#REF!</definedName>
    <definedName name="netprem_written" localSheetId="47">[6]Sheet2!#REF!</definedName>
    <definedName name="netprem_written" localSheetId="50">[9]Sheet2!#REF!</definedName>
    <definedName name="netprem_written" localSheetId="52">[9]Sheet2!#REF!</definedName>
    <definedName name="netprem_written" localSheetId="60">[9]Sheet2!#REF!</definedName>
    <definedName name="netprem_written" localSheetId="65">[9]Sheet2!#REF!</definedName>
    <definedName name="netprem_written" localSheetId="68">[8]Sheet2!#REF!</definedName>
    <definedName name="netprem_written" localSheetId="72">[6]Sheet2!#REF!</definedName>
    <definedName name="netprem_written" localSheetId="75">[8]Sheet2!#REF!</definedName>
    <definedName name="netprem_written" localSheetId="76">[9]Sheet2!#REF!</definedName>
    <definedName name="netprem_written">[9]Sheet2!#REF!</definedName>
    <definedName name="new" localSheetId="65">#REF!</definedName>
    <definedName name="new">#REF!</definedName>
    <definedName name="NWP" localSheetId="5">#REF!</definedName>
    <definedName name="NWP" localSheetId="13">#REF!</definedName>
    <definedName name="NWP" localSheetId="17">#REF!</definedName>
    <definedName name="NWP" localSheetId="35">#REF!</definedName>
    <definedName name="NWP" localSheetId="37">#REF!</definedName>
    <definedName name="NWP" localSheetId="42">#REF!</definedName>
    <definedName name="NWP" localSheetId="47">#REF!</definedName>
    <definedName name="NWP" localSheetId="52">#REF!</definedName>
    <definedName name="NWP" localSheetId="60">#REF!</definedName>
    <definedName name="NWP" localSheetId="65">#REF!</definedName>
    <definedName name="NWP" localSheetId="68">#REF!</definedName>
    <definedName name="NWP" localSheetId="72">#REF!</definedName>
    <definedName name="NWP" localSheetId="75">#REF!</definedName>
    <definedName name="NWP">#REF!</definedName>
    <definedName name="_xlnm.Print_Area" localSheetId="1">目錄!$A$1:$P$171</definedName>
    <definedName name="_xlnm.Print_Area" localSheetId="3">'表05-1'!$A$1:$M$283</definedName>
    <definedName name="_xlnm.Print_Area" localSheetId="5">'表09-1'!$A$1:$AF$38</definedName>
    <definedName name="_xlnm.Print_Area" localSheetId="7">'表10-1'!$A$1:$AD$41</definedName>
    <definedName name="_xlnm.Print_Area" localSheetId="9">'表10-3'!$A$1:$I$59</definedName>
    <definedName name="_xlnm.Print_Area" localSheetId="10">'表10-4'!$A$1:$G$74</definedName>
    <definedName name="_xlnm.Print_Area" localSheetId="13">'表12-1'!$A$1:$AC$32</definedName>
    <definedName name="_xlnm.Print_Area" localSheetId="17">'表13-4'!$A$1:$Z$32</definedName>
    <definedName name="_xlnm.Print_Area" localSheetId="27">'表19-4'!$A$1:$AI$35</definedName>
    <definedName name="_xlnm.Print_Area" localSheetId="28">'表19-5'!$A$1:$P$27</definedName>
    <definedName name="_xlnm.Print_Area" localSheetId="29">'表19-6'!$A$1:$P$27</definedName>
    <definedName name="_xlnm.Print_Area" localSheetId="31">'表21-2'!$A$1:$M$53</definedName>
    <definedName name="_xlnm.Print_Area" localSheetId="36">'表25-2'!$A$1:$W$65</definedName>
    <definedName name="_xlnm.Print_Area" localSheetId="85">'表30-14-1'!$A$1:$L$1399</definedName>
    <definedName name="_xlnm.Print_Area" localSheetId="86">'表30-14-2'!$A$1:$K$860</definedName>
    <definedName name="_xlnm.Print_Area" localSheetId="40">'表30-2'!$A$1:$F$140</definedName>
    <definedName name="_xlnm.Print_Area" localSheetId="42">'表30-3-1'!$A$1:$G$131</definedName>
    <definedName name="_xlnm.Print_Area" localSheetId="47">'表30-4-1'!$A$1:$N$31</definedName>
    <definedName name="_xlnm.Print_Area" localSheetId="48">'表30-5'!$A$1:$G$77</definedName>
    <definedName name="_xlnm.Print_Area" localSheetId="49">'表30-5-1'!$A$1:$I$14</definedName>
    <definedName name="_xlnm.Print_Area" localSheetId="50">'表30-5-2'!$A$1:$I$55</definedName>
    <definedName name="_xlnm.Print_Area" localSheetId="51">'表30-5-2-1-1'!$A$1:$Q$90</definedName>
    <definedName name="_xlnm.Print_Area" localSheetId="52">'表30-5-2-1-2'!$A$1:$L$52</definedName>
    <definedName name="_xlnm.Print_Area" localSheetId="53">'表30-5-2-2-1'!$A$1:$Q$97</definedName>
    <definedName name="_xlnm.Print_Area" localSheetId="54">'表30-5-2-2-2'!$A$1:$Q$98</definedName>
    <definedName name="_xlnm.Print_Area" localSheetId="55">'表30-5-2-2-3'!$A$1:$K$60</definedName>
    <definedName name="_xlnm.Print_Area" localSheetId="56">'表30-5-2-3-1'!$A$1:$Y$203</definedName>
    <definedName name="_xlnm.Print_Area" localSheetId="57">'表30-5-2-3-2'!$A$1:$Y$203</definedName>
    <definedName name="_xlnm.Print_Area" localSheetId="58">'表30-5-2-4-1'!$A$1:$P$50</definedName>
    <definedName name="_xlnm.Print_Area" localSheetId="59">'表30-5-2-4-2'!$A$1:$AW$92</definedName>
    <definedName name="_xlnm.Print_Area" localSheetId="61">'表30-5-2-5-1'!$A$1:$AF$113</definedName>
    <definedName name="_xlnm.Print_Area" localSheetId="62">'表30-5-2-5-2'!$A$1:$AF$214</definedName>
    <definedName name="_xlnm.Print_Area" localSheetId="63">'表30-5-2-5-3'!$A$1:$AF$113</definedName>
    <definedName name="_xlnm.Print_Area" localSheetId="64">'表30-5-2-5-4'!$A$1:$AF$214</definedName>
    <definedName name="_xlnm.Print_Area" localSheetId="68">'表30-8'!$A$1:$H$71</definedName>
    <definedName name="_xlnm.Print_Area" localSheetId="72">'表30-8-4'!$A$1:$J$60</definedName>
    <definedName name="_xlnm.Print_Area" localSheetId="73">'表30-8-5'!$A$1:$J$24</definedName>
    <definedName name="_xlnm.Print_Titles" localSheetId="2">表03!$3:$5</definedName>
    <definedName name="_xlnm.Print_Titles" localSheetId="3">'表05-1'!$3:$5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1">'表30-13'!$3:$4</definedName>
    <definedName name="_xlnm.Print_Titles" localSheetId="41">'表30-3'!$3:$3</definedName>
    <definedName name="_xlnm.Print_Titles" localSheetId="43">'表30-3-2'!$3:$5</definedName>
    <definedName name="sencount" hidden="1">3</definedName>
    <definedName name="SHT040BR1" localSheetId="5">#REF!</definedName>
    <definedName name="SHT040BR1" localSheetId="13">#REF!</definedName>
    <definedName name="SHT040BR1" localSheetId="17">#REF!</definedName>
    <definedName name="SHT040BR1" localSheetId="35">#REF!</definedName>
    <definedName name="SHT040BR1" localSheetId="37">#REF!</definedName>
    <definedName name="SHT040BR1" localSheetId="42">#REF!</definedName>
    <definedName name="SHT040BR1" localSheetId="47">#REF!</definedName>
    <definedName name="SHT040BR1" localSheetId="52">#REF!</definedName>
    <definedName name="SHT040BR1" localSheetId="60">#REF!</definedName>
    <definedName name="SHT040BR1" localSheetId="65">#REF!</definedName>
    <definedName name="SHT040BR1" localSheetId="68">#REF!</definedName>
    <definedName name="SHT040BR1" localSheetId="72">#REF!</definedName>
    <definedName name="SHT040BR1" localSheetId="75">#REF!</definedName>
    <definedName name="SHT040BR1">#REF!</definedName>
    <definedName name="SHT040BR2" localSheetId="5">#REF!</definedName>
    <definedName name="SHT040BR2" localSheetId="13">#REF!</definedName>
    <definedName name="SHT040BR2" localSheetId="17">#REF!</definedName>
    <definedName name="SHT040BR2" localSheetId="35">#REF!</definedName>
    <definedName name="SHT040BR2" localSheetId="37">#REF!</definedName>
    <definedName name="SHT040BR2" localSheetId="42">#REF!</definedName>
    <definedName name="SHT040BR2" localSheetId="47">#REF!</definedName>
    <definedName name="SHT040BR2" localSheetId="52">#REF!</definedName>
    <definedName name="SHT040BR2" localSheetId="60">#REF!</definedName>
    <definedName name="SHT040BR2" localSheetId="65">#REF!</definedName>
    <definedName name="SHT040BR2" localSheetId="68">#REF!</definedName>
    <definedName name="SHT040BR2" localSheetId="72">#REF!</definedName>
    <definedName name="SHT040BR2" localSheetId="75">#REF!</definedName>
    <definedName name="SHT040BR2">#REF!</definedName>
    <definedName name="SHT040TR1" localSheetId="5">#REF!</definedName>
    <definedName name="SHT040TR1" localSheetId="13">#REF!</definedName>
    <definedName name="SHT040TR1" localSheetId="17">#REF!</definedName>
    <definedName name="SHT040TR1" localSheetId="35">#REF!</definedName>
    <definedName name="SHT040TR1" localSheetId="37">#REF!</definedName>
    <definedName name="SHT040TR1" localSheetId="42">#REF!</definedName>
    <definedName name="SHT040TR1" localSheetId="47">#REF!</definedName>
    <definedName name="SHT040TR1" localSheetId="52">#REF!</definedName>
    <definedName name="SHT040TR1" localSheetId="60">#REF!</definedName>
    <definedName name="SHT040TR1" localSheetId="65">#REF!</definedName>
    <definedName name="SHT040TR1" localSheetId="68">#REF!</definedName>
    <definedName name="SHT040TR1" localSheetId="72">#REF!</definedName>
    <definedName name="SHT040TR1" localSheetId="75">#REF!</definedName>
    <definedName name="SHT040TR1">#REF!</definedName>
    <definedName name="SHT040TR2" localSheetId="5">#REF!</definedName>
    <definedName name="SHT040TR2" localSheetId="13">#REF!</definedName>
    <definedName name="SHT040TR2" localSheetId="17">#REF!</definedName>
    <definedName name="SHT040TR2" localSheetId="35">#REF!</definedName>
    <definedName name="SHT040TR2" localSheetId="37">#REF!</definedName>
    <definedName name="SHT040TR2" localSheetId="42">#REF!</definedName>
    <definedName name="SHT040TR2" localSheetId="47">#REF!</definedName>
    <definedName name="SHT040TR2" localSheetId="52">#REF!</definedName>
    <definedName name="SHT040TR2" localSheetId="60">#REF!</definedName>
    <definedName name="SHT040TR2" localSheetId="65">#REF!</definedName>
    <definedName name="SHT040TR2" localSheetId="68">#REF!</definedName>
    <definedName name="SHT040TR2" localSheetId="72">#REF!</definedName>
    <definedName name="SHT040TR2" localSheetId="75">#REF!</definedName>
    <definedName name="SHT040TR2">#REF!</definedName>
    <definedName name="SHT050BR1" localSheetId="5">#REF!</definedName>
    <definedName name="SHT050BR1" localSheetId="13">#REF!</definedName>
    <definedName name="SHT050BR1" localSheetId="17">#REF!</definedName>
    <definedName name="SHT050BR1" localSheetId="35">#REF!</definedName>
    <definedName name="SHT050BR1" localSheetId="37">#REF!</definedName>
    <definedName name="SHT050BR1" localSheetId="42">#REF!</definedName>
    <definedName name="SHT050BR1" localSheetId="47">#REF!</definedName>
    <definedName name="SHT050BR1" localSheetId="52">#REF!</definedName>
    <definedName name="SHT050BR1" localSheetId="60">#REF!</definedName>
    <definedName name="SHT050BR1" localSheetId="65">#REF!</definedName>
    <definedName name="SHT050BR1" localSheetId="68">#REF!</definedName>
    <definedName name="SHT050BR1" localSheetId="72">#REF!</definedName>
    <definedName name="SHT050BR1" localSheetId="75">#REF!</definedName>
    <definedName name="SHT050BR1">#REF!</definedName>
    <definedName name="SHT050BR2" localSheetId="5">#REF!</definedName>
    <definedName name="SHT050BR2" localSheetId="13">#REF!</definedName>
    <definedName name="SHT050BR2" localSheetId="17">#REF!</definedName>
    <definedName name="SHT050BR2" localSheetId="35">#REF!</definedName>
    <definedName name="SHT050BR2" localSheetId="37">#REF!</definedName>
    <definedName name="SHT050BR2" localSheetId="42">#REF!</definedName>
    <definedName name="SHT050BR2" localSheetId="47">#REF!</definedName>
    <definedName name="SHT050BR2" localSheetId="52">#REF!</definedName>
    <definedName name="SHT050BR2" localSheetId="60">#REF!</definedName>
    <definedName name="SHT050BR2" localSheetId="65">#REF!</definedName>
    <definedName name="SHT050BR2" localSheetId="68">#REF!</definedName>
    <definedName name="SHT050BR2" localSheetId="72">#REF!</definedName>
    <definedName name="SHT050BR2" localSheetId="75">#REF!</definedName>
    <definedName name="SHT050BR2">#REF!</definedName>
    <definedName name="SHT050BR3" localSheetId="5">#REF!</definedName>
    <definedName name="SHT050BR3" localSheetId="13">#REF!</definedName>
    <definedName name="SHT050BR3" localSheetId="17">#REF!</definedName>
    <definedName name="SHT050BR3" localSheetId="35">#REF!</definedName>
    <definedName name="SHT050BR3" localSheetId="37">#REF!</definedName>
    <definedName name="SHT050BR3" localSheetId="42">#REF!</definedName>
    <definedName name="SHT050BR3" localSheetId="47">#REF!</definedName>
    <definedName name="SHT050BR3" localSheetId="52">#REF!</definedName>
    <definedName name="SHT050BR3" localSheetId="60">#REF!</definedName>
    <definedName name="SHT050BR3" localSheetId="65">#REF!</definedName>
    <definedName name="SHT050BR3" localSheetId="68">#REF!</definedName>
    <definedName name="SHT050BR3" localSheetId="72">#REF!</definedName>
    <definedName name="SHT050BR3" localSheetId="75">#REF!</definedName>
    <definedName name="SHT050BR3">#REF!</definedName>
    <definedName name="SHT050BR4" localSheetId="5">#REF!</definedName>
    <definedName name="SHT050BR4" localSheetId="13">#REF!</definedName>
    <definedName name="SHT050BR4" localSheetId="17">#REF!</definedName>
    <definedName name="SHT050BR4" localSheetId="35">#REF!</definedName>
    <definedName name="SHT050BR4" localSheetId="37">#REF!</definedName>
    <definedName name="SHT050BR4" localSheetId="42">#REF!</definedName>
    <definedName name="SHT050BR4" localSheetId="47">#REF!</definedName>
    <definedName name="SHT050BR4" localSheetId="52">#REF!</definedName>
    <definedName name="SHT050BR4" localSheetId="60">#REF!</definedName>
    <definedName name="SHT050BR4" localSheetId="65">#REF!</definedName>
    <definedName name="SHT050BR4" localSheetId="68">#REF!</definedName>
    <definedName name="SHT050BR4" localSheetId="72">#REF!</definedName>
    <definedName name="SHT050BR4" localSheetId="75">#REF!</definedName>
    <definedName name="SHT050BR4">#REF!</definedName>
    <definedName name="SHT050BR5" localSheetId="5">#REF!</definedName>
    <definedName name="SHT050BR5" localSheetId="13">#REF!</definedName>
    <definedName name="SHT050BR5" localSheetId="17">#REF!</definedName>
    <definedName name="SHT050BR5" localSheetId="35">#REF!</definedName>
    <definedName name="SHT050BR5" localSheetId="37">#REF!</definedName>
    <definedName name="SHT050BR5" localSheetId="42">#REF!</definedName>
    <definedName name="SHT050BR5" localSheetId="47">#REF!</definedName>
    <definedName name="SHT050BR5" localSheetId="52">#REF!</definedName>
    <definedName name="SHT050BR5" localSheetId="60">#REF!</definedName>
    <definedName name="SHT050BR5" localSheetId="65">#REF!</definedName>
    <definedName name="SHT050BR5" localSheetId="68">#REF!</definedName>
    <definedName name="SHT050BR5" localSheetId="72">#REF!</definedName>
    <definedName name="SHT050BR5" localSheetId="75">#REF!</definedName>
    <definedName name="SHT050BR5">#REF!</definedName>
    <definedName name="SHT050BR6" localSheetId="5">#REF!</definedName>
    <definedName name="SHT050BR6" localSheetId="13">#REF!</definedName>
    <definedName name="SHT050BR6" localSheetId="17">#REF!</definedName>
    <definedName name="SHT050BR6" localSheetId="35">#REF!</definedName>
    <definedName name="SHT050BR6" localSheetId="37">#REF!</definedName>
    <definedName name="SHT050BR6" localSheetId="42">#REF!</definedName>
    <definedName name="SHT050BR6" localSheetId="47">#REF!</definedName>
    <definedName name="SHT050BR6" localSheetId="52">#REF!</definedName>
    <definedName name="SHT050BR6" localSheetId="60">#REF!</definedName>
    <definedName name="SHT050BR6" localSheetId="65">#REF!</definedName>
    <definedName name="SHT050BR6" localSheetId="68">#REF!</definedName>
    <definedName name="SHT050BR6" localSheetId="72">#REF!</definedName>
    <definedName name="SHT050BR6" localSheetId="75">#REF!</definedName>
    <definedName name="SHT050BR6">#REF!</definedName>
    <definedName name="SHT050BR7" localSheetId="5">#REF!</definedName>
    <definedName name="SHT050BR7" localSheetId="13">#REF!</definedName>
    <definedName name="SHT050BR7" localSheetId="17">#REF!</definedName>
    <definedName name="SHT050BR7" localSheetId="35">#REF!</definedName>
    <definedName name="SHT050BR7" localSheetId="37">#REF!</definedName>
    <definedName name="SHT050BR7" localSheetId="42">#REF!</definedName>
    <definedName name="SHT050BR7" localSheetId="47">#REF!</definedName>
    <definedName name="SHT050BR7" localSheetId="52">#REF!</definedName>
    <definedName name="SHT050BR7" localSheetId="60">#REF!</definedName>
    <definedName name="SHT050BR7" localSheetId="65">#REF!</definedName>
    <definedName name="SHT050BR7" localSheetId="68">#REF!</definedName>
    <definedName name="SHT050BR7" localSheetId="72">#REF!</definedName>
    <definedName name="SHT050BR7" localSheetId="75">#REF!</definedName>
    <definedName name="SHT050BR7">#REF!</definedName>
    <definedName name="SHT050BR8" localSheetId="5">#REF!</definedName>
    <definedName name="SHT050BR8" localSheetId="13">#REF!</definedName>
    <definedName name="SHT050BR8" localSheetId="17">#REF!</definedName>
    <definedName name="SHT050BR8" localSheetId="35">#REF!</definedName>
    <definedName name="SHT050BR8" localSheetId="37">#REF!</definedName>
    <definedName name="SHT050BR8" localSheetId="42">#REF!</definedName>
    <definedName name="SHT050BR8" localSheetId="47">#REF!</definedName>
    <definedName name="SHT050BR8" localSheetId="52">#REF!</definedName>
    <definedName name="SHT050BR8" localSheetId="60">#REF!</definedName>
    <definedName name="SHT050BR8" localSheetId="65">#REF!</definedName>
    <definedName name="SHT050BR8" localSheetId="68">#REF!</definedName>
    <definedName name="SHT050BR8" localSheetId="72">#REF!</definedName>
    <definedName name="SHT050BR8" localSheetId="75">#REF!</definedName>
    <definedName name="SHT050BR8">#REF!</definedName>
    <definedName name="SHT050BR9" localSheetId="5">#REF!</definedName>
    <definedName name="SHT050BR9" localSheetId="13">#REF!</definedName>
    <definedName name="SHT050BR9" localSheetId="17">#REF!</definedName>
    <definedName name="SHT050BR9" localSheetId="35">#REF!</definedName>
    <definedName name="SHT050BR9" localSheetId="37">#REF!</definedName>
    <definedName name="SHT050BR9" localSheetId="42">#REF!</definedName>
    <definedName name="SHT050BR9" localSheetId="47">#REF!</definedName>
    <definedName name="SHT050BR9" localSheetId="52">#REF!</definedName>
    <definedName name="SHT050BR9" localSheetId="60">#REF!</definedName>
    <definedName name="SHT050BR9" localSheetId="65">#REF!</definedName>
    <definedName name="SHT050BR9" localSheetId="68">#REF!</definedName>
    <definedName name="SHT050BR9" localSheetId="72">#REF!</definedName>
    <definedName name="SHT050BR9" localSheetId="75">#REF!</definedName>
    <definedName name="SHT050BR9">#REF!</definedName>
    <definedName name="SHT050TR1" localSheetId="5">#REF!</definedName>
    <definedName name="SHT050TR1" localSheetId="13">#REF!</definedName>
    <definedName name="SHT050TR1" localSheetId="17">#REF!</definedName>
    <definedName name="SHT050TR1" localSheetId="35">#REF!</definedName>
    <definedName name="SHT050TR1" localSheetId="37">#REF!</definedName>
    <definedName name="SHT050TR1" localSheetId="42">#REF!</definedName>
    <definedName name="SHT050TR1" localSheetId="47">#REF!</definedName>
    <definedName name="SHT050TR1" localSheetId="52">#REF!</definedName>
    <definedName name="SHT050TR1" localSheetId="60">#REF!</definedName>
    <definedName name="SHT050TR1" localSheetId="65">#REF!</definedName>
    <definedName name="SHT050TR1" localSheetId="68">#REF!</definedName>
    <definedName name="SHT050TR1" localSheetId="72">#REF!</definedName>
    <definedName name="SHT050TR1" localSheetId="75">#REF!</definedName>
    <definedName name="SHT050TR1">#REF!</definedName>
    <definedName name="SHT050TR2" localSheetId="5">#REF!</definedName>
    <definedName name="SHT050TR2" localSheetId="13">#REF!</definedName>
    <definedName name="SHT050TR2" localSheetId="17">#REF!</definedName>
    <definedName name="SHT050TR2" localSheetId="35">#REF!</definedName>
    <definedName name="SHT050TR2" localSheetId="37">#REF!</definedName>
    <definedName name="SHT050TR2" localSheetId="42">#REF!</definedName>
    <definedName name="SHT050TR2" localSheetId="47">#REF!</definedName>
    <definedName name="SHT050TR2" localSheetId="52">#REF!</definedName>
    <definedName name="SHT050TR2" localSheetId="60">#REF!</definedName>
    <definedName name="SHT050TR2" localSheetId="65">#REF!</definedName>
    <definedName name="SHT050TR2" localSheetId="68">#REF!</definedName>
    <definedName name="SHT050TR2" localSheetId="72">#REF!</definedName>
    <definedName name="SHT050TR2" localSheetId="75">#REF!</definedName>
    <definedName name="SHT050TR2">#REF!</definedName>
    <definedName name="SHT050TR3" localSheetId="5">#REF!</definedName>
    <definedName name="SHT050TR3" localSheetId="13">#REF!</definedName>
    <definedName name="SHT050TR3" localSheetId="17">#REF!</definedName>
    <definedName name="SHT050TR3" localSheetId="35">#REF!</definedName>
    <definedName name="SHT050TR3" localSheetId="37">#REF!</definedName>
    <definedName name="SHT050TR3" localSheetId="42">#REF!</definedName>
    <definedName name="SHT050TR3" localSheetId="47">#REF!</definedName>
    <definedName name="SHT050TR3" localSheetId="52">#REF!</definedName>
    <definedName name="SHT050TR3" localSheetId="60">#REF!</definedName>
    <definedName name="SHT050TR3" localSheetId="65">#REF!</definedName>
    <definedName name="SHT050TR3" localSheetId="68">#REF!</definedName>
    <definedName name="SHT050TR3" localSheetId="72">#REF!</definedName>
    <definedName name="SHT050TR3" localSheetId="75">#REF!</definedName>
    <definedName name="SHT050TR3">#REF!</definedName>
    <definedName name="SHT050TR4" localSheetId="5">#REF!</definedName>
    <definedName name="SHT050TR4" localSheetId="13">#REF!</definedName>
    <definedName name="SHT050TR4" localSheetId="17">#REF!</definedName>
    <definedName name="SHT050TR4" localSheetId="35">#REF!</definedName>
    <definedName name="SHT050TR4" localSheetId="37">#REF!</definedName>
    <definedName name="SHT050TR4" localSheetId="42">#REF!</definedName>
    <definedName name="SHT050TR4" localSheetId="47">#REF!</definedName>
    <definedName name="SHT050TR4" localSheetId="52">#REF!</definedName>
    <definedName name="SHT050TR4" localSheetId="60">#REF!</definedName>
    <definedName name="SHT050TR4" localSheetId="65">#REF!</definedName>
    <definedName name="SHT050TR4" localSheetId="68">#REF!</definedName>
    <definedName name="SHT050TR4" localSheetId="72">#REF!</definedName>
    <definedName name="SHT050TR4" localSheetId="75">#REF!</definedName>
    <definedName name="SHT050TR4">#REF!</definedName>
    <definedName name="SHT050TR5" localSheetId="5">#REF!</definedName>
    <definedName name="SHT050TR5" localSheetId="13">#REF!</definedName>
    <definedName name="SHT050TR5" localSheetId="17">#REF!</definedName>
    <definedName name="SHT050TR5" localSheetId="35">#REF!</definedName>
    <definedName name="SHT050TR5" localSheetId="37">#REF!</definedName>
    <definedName name="SHT050TR5" localSheetId="42">#REF!</definedName>
    <definedName name="SHT050TR5" localSheetId="47">#REF!</definedName>
    <definedName name="SHT050TR5" localSheetId="52">#REF!</definedName>
    <definedName name="SHT050TR5" localSheetId="60">#REF!</definedName>
    <definedName name="SHT050TR5" localSheetId="65">#REF!</definedName>
    <definedName name="SHT050TR5" localSheetId="68">#REF!</definedName>
    <definedName name="SHT050TR5" localSheetId="72">#REF!</definedName>
    <definedName name="SHT050TR5" localSheetId="75">#REF!</definedName>
    <definedName name="SHT050TR5">#REF!</definedName>
    <definedName name="SHT050TR6" localSheetId="5">#REF!</definedName>
    <definedName name="SHT050TR6" localSheetId="13">#REF!</definedName>
    <definedName name="SHT050TR6" localSheetId="17">#REF!</definedName>
    <definedName name="SHT050TR6" localSheetId="35">#REF!</definedName>
    <definedName name="SHT050TR6" localSheetId="37">#REF!</definedName>
    <definedName name="SHT050TR6" localSheetId="42">#REF!</definedName>
    <definedName name="SHT050TR6" localSheetId="47">#REF!</definedName>
    <definedName name="SHT050TR6" localSheetId="52">#REF!</definedName>
    <definedName name="SHT050TR6" localSheetId="60">#REF!</definedName>
    <definedName name="SHT050TR6" localSheetId="65">#REF!</definedName>
    <definedName name="SHT050TR6" localSheetId="68">#REF!</definedName>
    <definedName name="SHT050TR6" localSheetId="72">#REF!</definedName>
    <definedName name="SHT050TR6" localSheetId="75">#REF!</definedName>
    <definedName name="SHT050TR6">#REF!</definedName>
    <definedName name="SHT050TR7" localSheetId="5">#REF!</definedName>
    <definedName name="SHT050TR7" localSheetId="13">#REF!</definedName>
    <definedName name="SHT050TR7" localSheetId="17">#REF!</definedName>
    <definedName name="SHT050TR7" localSheetId="35">#REF!</definedName>
    <definedName name="SHT050TR7" localSheetId="37">#REF!</definedName>
    <definedName name="SHT050TR7" localSheetId="42">#REF!</definedName>
    <definedName name="SHT050TR7" localSheetId="47">#REF!</definedName>
    <definedName name="SHT050TR7" localSheetId="52">#REF!</definedName>
    <definedName name="SHT050TR7" localSheetId="60">#REF!</definedName>
    <definedName name="SHT050TR7" localSheetId="65">#REF!</definedName>
    <definedName name="SHT050TR7" localSheetId="68">#REF!</definedName>
    <definedName name="SHT050TR7" localSheetId="72">#REF!</definedName>
    <definedName name="SHT050TR7" localSheetId="75">#REF!</definedName>
    <definedName name="SHT050TR7">#REF!</definedName>
    <definedName name="SHT050TR8" localSheetId="5">#REF!</definedName>
    <definedName name="SHT050TR8" localSheetId="13">#REF!</definedName>
    <definedName name="SHT050TR8" localSheetId="17">#REF!</definedName>
    <definedName name="SHT050TR8" localSheetId="35">#REF!</definedName>
    <definedName name="SHT050TR8" localSheetId="37">#REF!</definedName>
    <definedName name="SHT050TR8" localSheetId="42">#REF!</definedName>
    <definedName name="SHT050TR8" localSheetId="47">#REF!</definedName>
    <definedName name="SHT050TR8" localSheetId="52">#REF!</definedName>
    <definedName name="SHT050TR8" localSheetId="60">#REF!</definedName>
    <definedName name="SHT050TR8" localSheetId="65">#REF!</definedName>
    <definedName name="SHT050TR8" localSheetId="68">#REF!</definedName>
    <definedName name="SHT050TR8" localSheetId="72">#REF!</definedName>
    <definedName name="SHT050TR8" localSheetId="75">#REF!</definedName>
    <definedName name="SHT050TR8">#REF!</definedName>
    <definedName name="SHT050TR9" localSheetId="5">#REF!</definedName>
    <definedName name="SHT050TR9" localSheetId="13">#REF!</definedName>
    <definedName name="SHT050TR9" localSheetId="17">#REF!</definedName>
    <definedName name="SHT050TR9" localSheetId="35">#REF!</definedName>
    <definedName name="SHT050TR9" localSheetId="37">#REF!</definedName>
    <definedName name="SHT050TR9" localSheetId="42">#REF!</definedName>
    <definedName name="SHT050TR9" localSheetId="47">#REF!</definedName>
    <definedName name="SHT050TR9" localSheetId="52">#REF!</definedName>
    <definedName name="SHT050TR9" localSheetId="60">#REF!</definedName>
    <definedName name="SHT050TR9" localSheetId="65">#REF!</definedName>
    <definedName name="SHT050TR9" localSheetId="68">#REF!</definedName>
    <definedName name="SHT050TR9" localSheetId="72">#REF!</definedName>
    <definedName name="SHT050TR9" localSheetId="75">#REF!</definedName>
    <definedName name="SHT050TR9">#REF!</definedName>
    <definedName name="SHT051BR1" localSheetId="5">#REF!</definedName>
    <definedName name="SHT051BR1" localSheetId="13">#REF!</definedName>
    <definedName name="SHT051BR1" localSheetId="17">#REF!</definedName>
    <definedName name="SHT051BR1" localSheetId="35">#REF!</definedName>
    <definedName name="SHT051BR1" localSheetId="37">#REF!</definedName>
    <definedName name="SHT051BR1" localSheetId="42">#REF!</definedName>
    <definedName name="SHT051BR1" localSheetId="47">#REF!</definedName>
    <definedName name="SHT051BR1" localSheetId="52">#REF!</definedName>
    <definedName name="SHT051BR1" localSheetId="60">#REF!</definedName>
    <definedName name="SHT051BR1" localSheetId="65">#REF!</definedName>
    <definedName name="SHT051BR1" localSheetId="68">#REF!</definedName>
    <definedName name="SHT051BR1" localSheetId="72">#REF!</definedName>
    <definedName name="SHT051BR1" localSheetId="75">#REF!</definedName>
    <definedName name="SHT051BR1">#REF!</definedName>
    <definedName name="SHT051BR2" localSheetId="5">#REF!</definedName>
    <definedName name="SHT051BR2" localSheetId="13">#REF!</definedName>
    <definedName name="SHT051BR2" localSheetId="17">#REF!</definedName>
    <definedName name="SHT051BR2" localSheetId="35">#REF!</definedName>
    <definedName name="SHT051BR2" localSheetId="37">#REF!</definedName>
    <definedName name="SHT051BR2" localSheetId="42">#REF!</definedName>
    <definedName name="SHT051BR2" localSheetId="47">#REF!</definedName>
    <definedName name="SHT051BR2" localSheetId="52">#REF!</definedName>
    <definedName name="SHT051BR2" localSheetId="60">#REF!</definedName>
    <definedName name="SHT051BR2" localSheetId="65">#REF!</definedName>
    <definedName name="SHT051BR2" localSheetId="68">#REF!</definedName>
    <definedName name="SHT051BR2" localSheetId="72">#REF!</definedName>
    <definedName name="SHT051BR2" localSheetId="75">#REF!</definedName>
    <definedName name="SHT051BR2">#REF!</definedName>
    <definedName name="SHT051BR3" localSheetId="5">#REF!</definedName>
    <definedName name="SHT051BR3" localSheetId="13">#REF!</definedName>
    <definedName name="SHT051BR3" localSheetId="17">#REF!</definedName>
    <definedName name="SHT051BR3" localSheetId="35">#REF!</definedName>
    <definedName name="SHT051BR3" localSheetId="37">#REF!</definedName>
    <definedName name="SHT051BR3" localSheetId="42">#REF!</definedName>
    <definedName name="SHT051BR3" localSheetId="47">#REF!</definedName>
    <definedName name="SHT051BR3" localSheetId="52">#REF!</definedName>
    <definedName name="SHT051BR3" localSheetId="60">#REF!</definedName>
    <definedName name="SHT051BR3" localSheetId="65">#REF!</definedName>
    <definedName name="SHT051BR3" localSheetId="68">#REF!</definedName>
    <definedName name="SHT051BR3" localSheetId="72">#REF!</definedName>
    <definedName name="SHT051BR3" localSheetId="75">#REF!</definedName>
    <definedName name="SHT051BR3">#REF!</definedName>
    <definedName name="SHT051BR4" localSheetId="5">#REF!</definedName>
    <definedName name="SHT051BR4" localSheetId="13">#REF!</definedName>
    <definedName name="SHT051BR4" localSheetId="17">#REF!</definedName>
    <definedName name="SHT051BR4" localSheetId="35">#REF!</definedName>
    <definedName name="SHT051BR4" localSheetId="37">#REF!</definedName>
    <definedName name="SHT051BR4" localSheetId="42">#REF!</definedName>
    <definedName name="SHT051BR4" localSheetId="47">#REF!</definedName>
    <definedName name="SHT051BR4" localSheetId="52">#REF!</definedName>
    <definedName name="SHT051BR4" localSheetId="60">#REF!</definedName>
    <definedName name="SHT051BR4" localSheetId="65">#REF!</definedName>
    <definedName name="SHT051BR4" localSheetId="68">#REF!</definedName>
    <definedName name="SHT051BR4" localSheetId="72">#REF!</definedName>
    <definedName name="SHT051BR4" localSheetId="75">#REF!</definedName>
    <definedName name="SHT051BR4">#REF!</definedName>
    <definedName name="SHT051BR5" localSheetId="5">#REF!</definedName>
    <definedName name="SHT051BR5" localSheetId="13">#REF!</definedName>
    <definedName name="SHT051BR5" localSheetId="17">#REF!</definedName>
    <definedName name="SHT051BR5" localSheetId="35">#REF!</definedName>
    <definedName name="SHT051BR5" localSheetId="37">#REF!</definedName>
    <definedName name="SHT051BR5" localSheetId="42">#REF!</definedName>
    <definedName name="SHT051BR5" localSheetId="47">#REF!</definedName>
    <definedName name="SHT051BR5" localSheetId="52">#REF!</definedName>
    <definedName name="SHT051BR5" localSheetId="60">#REF!</definedName>
    <definedName name="SHT051BR5" localSheetId="65">#REF!</definedName>
    <definedName name="SHT051BR5" localSheetId="68">#REF!</definedName>
    <definedName name="SHT051BR5" localSheetId="72">#REF!</definedName>
    <definedName name="SHT051BR5" localSheetId="75">#REF!</definedName>
    <definedName name="SHT051BR5">#REF!</definedName>
    <definedName name="SHT051BR6" localSheetId="5">#REF!</definedName>
    <definedName name="SHT051BR6" localSheetId="13">#REF!</definedName>
    <definedName name="SHT051BR6" localSheetId="17">#REF!</definedName>
    <definedName name="SHT051BR6" localSheetId="35">#REF!</definedName>
    <definedName name="SHT051BR6" localSheetId="37">#REF!</definedName>
    <definedName name="SHT051BR6" localSheetId="42">#REF!</definedName>
    <definedName name="SHT051BR6" localSheetId="47">#REF!</definedName>
    <definedName name="SHT051BR6" localSheetId="52">#REF!</definedName>
    <definedName name="SHT051BR6" localSheetId="60">#REF!</definedName>
    <definedName name="SHT051BR6" localSheetId="65">#REF!</definedName>
    <definedName name="SHT051BR6" localSheetId="68">#REF!</definedName>
    <definedName name="SHT051BR6" localSheetId="72">#REF!</definedName>
    <definedName name="SHT051BR6" localSheetId="75">#REF!</definedName>
    <definedName name="SHT051BR6">#REF!</definedName>
    <definedName name="SHT051BR7" localSheetId="5">#REF!</definedName>
    <definedName name="SHT051BR7" localSheetId="13">#REF!</definedName>
    <definedName name="SHT051BR7" localSheetId="17">#REF!</definedName>
    <definedName name="SHT051BR7" localSheetId="35">#REF!</definedName>
    <definedName name="SHT051BR7" localSheetId="37">#REF!</definedName>
    <definedName name="SHT051BR7" localSheetId="42">#REF!</definedName>
    <definedName name="SHT051BR7" localSheetId="47">#REF!</definedName>
    <definedName name="SHT051BR7" localSheetId="52">#REF!</definedName>
    <definedName name="SHT051BR7" localSheetId="60">#REF!</definedName>
    <definedName name="SHT051BR7" localSheetId="65">#REF!</definedName>
    <definedName name="SHT051BR7" localSheetId="68">#REF!</definedName>
    <definedName name="SHT051BR7" localSheetId="72">#REF!</definedName>
    <definedName name="SHT051BR7" localSheetId="75">#REF!</definedName>
    <definedName name="SHT051BR7">#REF!</definedName>
    <definedName name="SHT051BR8" localSheetId="5">#REF!</definedName>
    <definedName name="SHT051BR8" localSheetId="13">#REF!</definedName>
    <definedName name="SHT051BR8" localSheetId="17">#REF!</definedName>
    <definedName name="SHT051BR8" localSheetId="35">#REF!</definedName>
    <definedName name="SHT051BR8" localSheetId="37">#REF!</definedName>
    <definedName name="SHT051BR8" localSheetId="42">#REF!</definedName>
    <definedName name="SHT051BR8" localSheetId="47">#REF!</definedName>
    <definedName name="SHT051BR8" localSheetId="52">#REF!</definedName>
    <definedName name="SHT051BR8" localSheetId="60">#REF!</definedName>
    <definedName name="SHT051BR8" localSheetId="65">#REF!</definedName>
    <definedName name="SHT051BR8" localSheetId="68">#REF!</definedName>
    <definedName name="SHT051BR8" localSheetId="72">#REF!</definedName>
    <definedName name="SHT051BR8" localSheetId="75">#REF!</definedName>
    <definedName name="SHT051BR8">#REF!</definedName>
    <definedName name="SHT051BR9" localSheetId="5">#REF!</definedName>
    <definedName name="SHT051BR9" localSheetId="13">#REF!</definedName>
    <definedName name="SHT051BR9" localSheetId="17">#REF!</definedName>
    <definedName name="SHT051BR9" localSheetId="35">#REF!</definedName>
    <definedName name="SHT051BR9" localSheetId="37">#REF!</definedName>
    <definedName name="SHT051BR9" localSheetId="42">#REF!</definedName>
    <definedName name="SHT051BR9" localSheetId="47">#REF!</definedName>
    <definedName name="SHT051BR9" localSheetId="52">#REF!</definedName>
    <definedName name="SHT051BR9" localSheetId="60">#REF!</definedName>
    <definedName name="SHT051BR9" localSheetId="65">#REF!</definedName>
    <definedName name="SHT051BR9" localSheetId="68">#REF!</definedName>
    <definedName name="SHT051BR9" localSheetId="72">#REF!</definedName>
    <definedName name="SHT051BR9" localSheetId="75">#REF!</definedName>
    <definedName name="SHT051BR9">#REF!</definedName>
    <definedName name="SHT051TR1" localSheetId="5">#REF!</definedName>
    <definedName name="SHT051TR1" localSheetId="13">#REF!</definedName>
    <definedName name="SHT051TR1" localSheetId="17">#REF!</definedName>
    <definedName name="SHT051TR1" localSheetId="35">#REF!</definedName>
    <definedName name="SHT051TR1" localSheetId="37">#REF!</definedName>
    <definedName name="SHT051TR1" localSheetId="42">#REF!</definedName>
    <definedName name="SHT051TR1" localSheetId="47">#REF!</definedName>
    <definedName name="SHT051TR1" localSheetId="52">#REF!</definedName>
    <definedName name="SHT051TR1" localSheetId="60">#REF!</definedName>
    <definedName name="SHT051TR1" localSheetId="65">#REF!</definedName>
    <definedName name="SHT051TR1" localSheetId="68">#REF!</definedName>
    <definedName name="SHT051TR1" localSheetId="72">#REF!</definedName>
    <definedName name="SHT051TR1" localSheetId="75">#REF!</definedName>
    <definedName name="SHT051TR1">#REF!</definedName>
    <definedName name="SHT051TR2" localSheetId="5">#REF!</definedName>
    <definedName name="SHT051TR2" localSheetId="13">#REF!</definedName>
    <definedName name="SHT051TR2" localSheetId="17">#REF!</definedName>
    <definedName name="SHT051TR2" localSheetId="35">#REF!</definedName>
    <definedName name="SHT051TR2" localSheetId="37">#REF!</definedName>
    <definedName name="SHT051TR2" localSheetId="42">#REF!</definedName>
    <definedName name="SHT051TR2" localSheetId="47">#REF!</definedName>
    <definedName name="SHT051TR2" localSheetId="52">#REF!</definedName>
    <definedName name="SHT051TR2" localSheetId="60">#REF!</definedName>
    <definedName name="SHT051TR2" localSheetId="65">#REF!</definedName>
    <definedName name="SHT051TR2" localSheetId="68">#REF!</definedName>
    <definedName name="SHT051TR2" localSheetId="72">#REF!</definedName>
    <definedName name="SHT051TR2" localSheetId="75">#REF!</definedName>
    <definedName name="SHT051TR2">#REF!</definedName>
    <definedName name="SHT051TR3" localSheetId="5">#REF!</definedName>
    <definedName name="SHT051TR3" localSheetId="13">#REF!</definedName>
    <definedName name="SHT051TR3" localSheetId="17">#REF!</definedName>
    <definedName name="SHT051TR3" localSheetId="35">#REF!</definedName>
    <definedName name="SHT051TR3" localSheetId="37">#REF!</definedName>
    <definedName name="SHT051TR3" localSheetId="42">#REF!</definedName>
    <definedName name="SHT051TR3" localSheetId="47">#REF!</definedName>
    <definedName name="SHT051TR3" localSheetId="52">#REF!</definedName>
    <definedName name="SHT051TR3" localSheetId="60">#REF!</definedName>
    <definedName name="SHT051TR3" localSheetId="65">#REF!</definedName>
    <definedName name="SHT051TR3" localSheetId="68">#REF!</definedName>
    <definedName name="SHT051TR3" localSheetId="72">#REF!</definedName>
    <definedName name="SHT051TR3" localSheetId="75">#REF!</definedName>
    <definedName name="SHT051TR3">#REF!</definedName>
    <definedName name="SHT051TR4" localSheetId="5">#REF!</definedName>
    <definedName name="SHT051TR4" localSheetId="13">#REF!</definedName>
    <definedName name="SHT051TR4" localSheetId="17">#REF!</definedName>
    <definedName name="SHT051TR4" localSheetId="35">#REF!</definedName>
    <definedName name="SHT051TR4" localSheetId="37">#REF!</definedName>
    <definedName name="SHT051TR4" localSheetId="42">#REF!</definedName>
    <definedName name="SHT051TR4" localSheetId="47">#REF!</definedName>
    <definedName name="SHT051TR4" localSheetId="52">#REF!</definedName>
    <definedName name="SHT051TR4" localSheetId="60">#REF!</definedName>
    <definedName name="SHT051TR4" localSheetId="65">#REF!</definedName>
    <definedName name="SHT051TR4" localSheetId="68">#REF!</definedName>
    <definedName name="SHT051TR4" localSheetId="72">#REF!</definedName>
    <definedName name="SHT051TR4" localSheetId="75">#REF!</definedName>
    <definedName name="SHT051TR4">#REF!</definedName>
    <definedName name="SHT051TR5" localSheetId="5">#REF!</definedName>
    <definedName name="SHT051TR5" localSheetId="13">#REF!</definedName>
    <definedName name="SHT051TR5" localSheetId="17">#REF!</definedName>
    <definedName name="SHT051TR5" localSheetId="35">#REF!</definedName>
    <definedName name="SHT051TR5" localSheetId="37">#REF!</definedName>
    <definedName name="SHT051TR5" localSheetId="42">#REF!</definedName>
    <definedName name="SHT051TR5" localSheetId="47">#REF!</definedName>
    <definedName name="SHT051TR5" localSheetId="52">#REF!</definedName>
    <definedName name="SHT051TR5" localSheetId="60">#REF!</definedName>
    <definedName name="SHT051TR5" localSheetId="65">#REF!</definedName>
    <definedName name="SHT051TR5" localSheetId="68">#REF!</definedName>
    <definedName name="SHT051TR5" localSheetId="72">#REF!</definedName>
    <definedName name="SHT051TR5" localSheetId="75">#REF!</definedName>
    <definedName name="SHT051TR5">#REF!</definedName>
    <definedName name="SHT051TR6" localSheetId="5">#REF!</definedName>
    <definedName name="SHT051TR6" localSheetId="13">#REF!</definedName>
    <definedName name="SHT051TR6" localSheetId="17">#REF!</definedName>
    <definedName name="SHT051TR6" localSheetId="35">#REF!</definedName>
    <definedName name="SHT051TR6" localSheetId="37">#REF!</definedName>
    <definedName name="SHT051TR6" localSheetId="42">#REF!</definedName>
    <definedName name="SHT051TR6" localSheetId="47">#REF!</definedName>
    <definedName name="SHT051TR6" localSheetId="52">#REF!</definedName>
    <definedName name="SHT051TR6" localSheetId="60">#REF!</definedName>
    <definedName name="SHT051TR6" localSheetId="65">#REF!</definedName>
    <definedName name="SHT051TR6" localSheetId="68">#REF!</definedName>
    <definedName name="SHT051TR6" localSheetId="72">#REF!</definedName>
    <definedName name="SHT051TR6" localSheetId="75">#REF!</definedName>
    <definedName name="SHT051TR6">#REF!</definedName>
    <definedName name="SHT051TR7" localSheetId="5">#REF!</definedName>
    <definedName name="SHT051TR7" localSheetId="13">#REF!</definedName>
    <definedName name="SHT051TR7" localSheetId="17">#REF!</definedName>
    <definedName name="SHT051TR7" localSheetId="35">#REF!</definedName>
    <definedName name="SHT051TR7" localSheetId="37">#REF!</definedName>
    <definedName name="SHT051TR7" localSheetId="42">#REF!</definedName>
    <definedName name="SHT051TR7" localSheetId="47">#REF!</definedName>
    <definedName name="SHT051TR7" localSheetId="52">#REF!</definedName>
    <definedName name="SHT051TR7" localSheetId="60">#REF!</definedName>
    <definedName name="SHT051TR7" localSheetId="65">#REF!</definedName>
    <definedName name="SHT051TR7" localSheetId="68">#REF!</definedName>
    <definedName name="SHT051TR7" localSheetId="72">#REF!</definedName>
    <definedName name="SHT051TR7" localSheetId="75">#REF!</definedName>
    <definedName name="SHT051TR7">#REF!</definedName>
    <definedName name="SHT051TR8" localSheetId="5">#REF!</definedName>
    <definedName name="SHT051TR8" localSheetId="13">#REF!</definedName>
    <definedName name="SHT051TR8" localSheetId="17">#REF!</definedName>
    <definedName name="SHT051TR8" localSheetId="35">#REF!</definedName>
    <definedName name="SHT051TR8" localSheetId="37">#REF!</definedName>
    <definedName name="SHT051TR8" localSheetId="42">#REF!</definedName>
    <definedName name="SHT051TR8" localSheetId="47">#REF!</definedName>
    <definedName name="SHT051TR8" localSheetId="52">#REF!</definedName>
    <definedName name="SHT051TR8" localSheetId="60">#REF!</definedName>
    <definedName name="SHT051TR8" localSheetId="65">#REF!</definedName>
    <definedName name="SHT051TR8" localSheetId="68">#REF!</definedName>
    <definedName name="SHT051TR8" localSheetId="72">#REF!</definedName>
    <definedName name="SHT051TR8" localSheetId="75">#REF!</definedName>
    <definedName name="SHT051TR8">#REF!</definedName>
    <definedName name="SHT051TR9" localSheetId="5">#REF!</definedName>
    <definedName name="SHT051TR9" localSheetId="13">#REF!</definedName>
    <definedName name="SHT051TR9" localSheetId="17">#REF!</definedName>
    <definedName name="SHT051TR9" localSheetId="35">#REF!</definedName>
    <definedName name="SHT051TR9" localSheetId="37">#REF!</definedName>
    <definedName name="SHT051TR9" localSheetId="42">#REF!</definedName>
    <definedName name="SHT051TR9" localSheetId="47">#REF!</definedName>
    <definedName name="SHT051TR9" localSheetId="52">#REF!</definedName>
    <definedName name="SHT051TR9" localSheetId="60">#REF!</definedName>
    <definedName name="SHT051TR9" localSheetId="65">#REF!</definedName>
    <definedName name="SHT051TR9" localSheetId="68">#REF!</definedName>
    <definedName name="SHT051TR9" localSheetId="72">#REF!</definedName>
    <definedName name="SHT051TR9" localSheetId="75">#REF!</definedName>
    <definedName name="SHT051TR9">#REF!</definedName>
    <definedName name="SHT060BR1" localSheetId="5">#REF!</definedName>
    <definedName name="SHT060BR1" localSheetId="13">#REF!</definedName>
    <definedName name="SHT060BR1" localSheetId="17">#REF!</definedName>
    <definedName name="SHT060BR1" localSheetId="35">#REF!</definedName>
    <definedName name="SHT060BR1" localSheetId="37">#REF!</definedName>
    <definedName name="SHT060BR1" localSheetId="42">#REF!</definedName>
    <definedName name="SHT060BR1" localSheetId="47">#REF!</definedName>
    <definedName name="SHT060BR1" localSheetId="52">#REF!</definedName>
    <definedName name="SHT060BR1" localSheetId="60">#REF!</definedName>
    <definedName name="SHT060BR1" localSheetId="65">#REF!</definedName>
    <definedName name="SHT060BR1" localSheetId="68">#REF!</definedName>
    <definedName name="SHT060BR1" localSheetId="72">#REF!</definedName>
    <definedName name="SHT060BR1" localSheetId="75">#REF!</definedName>
    <definedName name="SHT060BR1">#REF!</definedName>
    <definedName name="SHT060BR2" localSheetId="5">#REF!</definedName>
    <definedName name="SHT060BR2" localSheetId="13">#REF!</definedName>
    <definedName name="SHT060BR2" localSheetId="17">#REF!</definedName>
    <definedName name="SHT060BR2" localSheetId="35">#REF!</definedName>
    <definedName name="SHT060BR2" localSheetId="37">#REF!</definedName>
    <definedName name="SHT060BR2" localSheetId="42">#REF!</definedName>
    <definedName name="SHT060BR2" localSheetId="47">#REF!</definedName>
    <definedName name="SHT060BR2" localSheetId="52">#REF!</definedName>
    <definedName name="SHT060BR2" localSheetId="60">#REF!</definedName>
    <definedName name="SHT060BR2" localSheetId="65">#REF!</definedName>
    <definedName name="SHT060BR2" localSheetId="68">#REF!</definedName>
    <definedName name="SHT060BR2" localSheetId="72">#REF!</definedName>
    <definedName name="SHT060BR2" localSheetId="75">#REF!</definedName>
    <definedName name="SHT060BR2">#REF!</definedName>
    <definedName name="SHT060BR3" localSheetId="5">#REF!</definedName>
    <definedName name="SHT060BR3" localSheetId="13">#REF!</definedName>
    <definedName name="SHT060BR3" localSheetId="17">#REF!</definedName>
    <definedName name="SHT060BR3" localSheetId="35">#REF!</definedName>
    <definedName name="SHT060BR3" localSheetId="37">#REF!</definedName>
    <definedName name="SHT060BR3" localSheetId="42">#REF!</definedName>
    <definedName name="SHT060BR3" localSheetId="47">#REF!</definedName>
    <definedName name="SHT060BR3" localSheetId="52">#REF!</definedName>
    <definedName name="SHT060BR3" localSheetId="60">#REF!</definedName>
    <definedName name="SHT060BR3" localSheetId="65">#REF!</definedName>
    <definedName name="SHT060BR3" localSheetId="68">#REF!</definedName>
    <definedName name="SHT060BR3" localSheetId="72">#REF!</definedName>
    <definedName name="SHT060BR3" localSheetId="75">#REF!</definedName>
    <definedName name="SHT060BR3">#REF!</definedName>
    <definedName name="SHT060TR1" localSheetId="5">#REF!</definedName>
    <definedName name="SHT060TR1" localSheetId="13">#REF!</definedName>
    <definedName name="SHT060TR1" localSheetId="17">#REF!</definedName>
    <definedName name="SHT060TR1" localSheetId="35">#REF!</definedName>
    <definedName name="SHT060TR1" localSheetId="37">#REF!</definedName>
    <definedName name="SHT060TR1" localSheetId="42">#REF!</definedName>
    <definedName name="SHT060TR1" localSheetId="47">#REF!</definedName>
    <definedName name="SHT060TR1" localSheetId="52">#REF!</definedName>
    <definedName name="SHT060TR1" localSheetId="60">#REF!</definedName>
    <definedName name="SHT060TR1" localSheetId="65">#REF!</definedName>
    <definedName name="SHT060TR1" localSheetId="68">#REF!</definedName>
    <definedName name="SHT060TR1" localSheetId="72">#REF!</definedName>
    <definedName name="SHT060TR1" localSheetId="75">#REF!</definedName>
    <definedName name="SHT060TR1">#REF!</definedName>
    <definedName name="SHT060TR2" localSheetId="5">#REF!</definedName>
    <definedName name="SHT060TR2" localSheetId="13">#REF!</definedName>
    <definedName name="SHT060TR2" localSheetId="17">#REF!</definedName>
    <definedName name="SHT060TR2" localSheetId="35">#REF!</definedName>
    <definedName name="SHT060TR2" localSheetId="37">#REF!</definedName>
    <definedName name="SHT060TR2" localSheetId="42">#REF!</definedName>
    <definedName name="SHT060TR2" localSheetId="47">#REF!</definedName>
    <definedName name="SHT060TR2" localSheetId="52">#REF!</definedName>
    <definedName name="SHT060TR2" localSheetId="60">#REF!</definedName>
    <definedName name="SHT060TR2" localSheetId="65">#REF!</definedName>
    <definedName name="SHT060TR2" localSheetId="68">#REF!</definedName>
    <definedName name="SHT060TR2" localSheetId="72">#REF!</definedName>
    <definedName name="SHT060TR2" localSheetId="75">#REF!</definedName>
    <definedName name="SHT060TR2">#REF!</definedName>
    <definedName name="SHT060TR3" localSheetId="5">#REF!</definedName>
    <definedName name="SHT060TR3" localSheetId="13">#REF!</definedName>
    <definedName name="SHT060TR3" localSheetId="17">#REF!</definedName>
    <definedName name="SHT060TR3" localSheetId="35">#REF!</definedName>
    <definedName name="SHT060TR3" localSheetId="37">#REF!</definedName>
    <definedName name="SHT060TR3" localSheetId="42">#REF!</definedName>
    <definedName name="SHT060TR3" localSheetId="47">#REF!</definedName>
    <definedName name="SHT060TR3" localSheetId="52">#REF!</definedName>
    <definedName name="SHT060TR3" localSheetId="60">#REF!</definedName>
    <definedName name="SHT060TR3" localSheetId="65">#REF!</definedName>
    <definedName name="SHT060TR3" localSheetId="68">#REF!</definedName>
    <definedName name="SHT060TR3" localSheetId="72">#REF!</definedName>
    <definedName name="SHT060TR3" localSheetId="75">#REF!</definedName>
    <definedName name="SHT060TR3">#REF!</definedName>
    <definedName name="SHT060TR8" localSheetId="65">[15]表06!$G$35</definedName>
    <definedName name="SHT060TR8">[16]表06!$G$35</definedName>
    <definedName name="SHT070TR1" localSheetId="5">#REF!</definedName>
    <definedName name="SHT070TR1" localSheetId="13">#REF!</definedName>
    <definedName name="SHT070TR1" localSheetId="17">#REF!</definedName>
    <definedName name="SHT070TR1" localSheetId="35">#REF!</definedName>
    <definedName name="SHT070TR1" localSheetId="37">#REF!</definedName>
    <definedName name="SHT070TR1" localSheetId="42">#REF!</definedName>
    <definedName name="SHT070TR1" localSheetId="47">#REF!</definedName>
    <definedName name="SHT070TR1" localSheetId="52">#REF!</definedName>
    <definedName name="SHT070TR1" localSheetId="60">#REF!</definedName>
    <definedName name="SHT070TR1" localSheetId="65">#REF!</definedName>
    <definedName name="SHT070TR1" localSheetId="68">#REF!</definedName>
    <definedName name="SHT070TR1" localSheetId="72">#REF!</definedName>
    <definedName name="SHT070TR1" localSheetId="75">#REF!</definedName>
    <definedName name="SHT070TR1">#REF!</definedName>
    <definedName name="SHT070TR2" localSheetId="5">#REF!</definedName>
    <definedName name="SHT070TR2" localSheetId="13">#REF!</definedName>
    <definedName name="SHT070TR2" localSheetId="17">#REF!</definedName>
    <definedName name="SHT070TR2" localSheetId="35">#REF!</definedName>
    <definedName name="SHT070TR2" localSheetId="37">#REF!</definedName>
    <definedName name="SHT070TR2" localSheetId="42">#REF!</definedName>
    <definedName name="SHT070TR2" localSheetId="47">#REF!</definedName>
    <definedName name="SHT070TR2" localSheetId="52">#REF!</definedName>
    <definedName name="SHT070TR2" localSheetId="60">#REF!</definedName>
    <definedName name="SHT070TR2" localSheetId="65">#REF!</definedName>
    <definedName name="SHT070TR2" localSheetId="68">#REF!</definedName>
    <definedName name="SHT070TR2" localSheetId="72">#REF!</definedName>
    <definedName name="SHT070TR2" localSheetId="75">#REF!</definedName>
    <definedName name="SHT070TR2">#REF!</definedName>
    <definedName name="SHT070TR3" localSheetId="5">#REF!</definedName>
    <definedName name="SHT070TR3" localSheetId="13">#REF!</definedName>
    <definedName name="SHT070TR3" localSheetId="17">#REF!</definedName>
    <definedName name="SHT070TR3" localSheetId="35">#REF!</definedName>
    <definedName name="SHT070TR3" localSheetId="37">#REF!</definedName>
    <definedName name="SHT070TR3" localSheetId="42">#REF!</definedName>
    <definedName name="SHT070TR3" localSheetId="47">#REF!</definedName>
    <definedName name="SHT070TR3" localSheetId="52">#REF!</definedName>
    <definedName name="SHT070TR3" localSheetId="60">#REF!</definedName>
    <definedName name="SHT070TR3" localSheetId="65">#REF!</definedName>
    <definedName name="SHT070TR3" localSheetId="68">#REF!</definedName>
    <definedName name="SHT070TR3" localSheetId="72">#REF!</definedName>
    <definedName name="SHT070TR3" localSheetId="75">#REF!</definedName>
    <definedName name="SHT070TR3">#REF!</definedName>
    <definedName name="SHT070TR4" localSheetId="5">#REF!</definedName>
    <definedName name="SHT070TR4" localSheetId="13">#REF!</definedName>
    <definedName name="SHT070TR4" localSheetId="17">#REF!</definedName>
    <definedName name="SHT070TR4" localSheetId="35">#REF!</definedName>
    <definedName name="SHT070TR4" localSheetId="37">#REF!</definedName>
    <definedName name="SHT070TR4" localSheetId="42">#REF!</definedName>
    <definedName name="SHT070TR4" localSheetId="47">#REF!</definedName>
    <definedName name="SHT070TR4" localSheetId="52">#REF!</definedName>
    <definedName name="SHT070TR4" localSheetId="60">#REF!</definedName>
    <definedName name="SHT070TR4" localSheetId="65">#REF!</definedName>
    <definedName name="SHT070TR4" localSheetId="68">#REF!</definedName>
    <definedName name="SHT070TR4" localSheetId="72">#REF!</definedName>
    <definedName name="SHT070TR4" localSheetId="75">#REF!</definedName>
    <definedName name="SHT070TR4">#REF!</definedName>
    <definedName name="SHT070TR5" localSheetId="5">#REF!</definedName>
    <definedName name="SHT070TR5" localSheetId="13">#REF!</definedName>
    <definedName name="SHT070TR5" localSheetId="17">#REF!</definedName>
    <definedName name="SHT070TR5" localSheetId="35">#REF!</definedName>
    <definedName name="SHT070TR5" localSheetId="37">#REF!</definedName>
    <definedName name="SHT070TR5" localSheetId="42">#REF!</definedName>
    <definedName name="SHT070TR5" localSheetId="47">#REF!</definedName>
    <definedName name="SHT070TR5" localSheetId="52">#REF!</definedName>
    <definedName name="SHT070TR5" localSheetId="60">#REF!</definedName>
    <definedName name="SHT070TR5" localSheetId="65">#REF!</definedName>
    <definedName name="SHT070TR5" localSheetId="68">#REF!</definedName>
    <definedName name="SHT070TR5" localSheetId="72">#REF!</definedName>
    <definedName name="SHT070TR5" localSheetId="75">#REF!</definedName>
    <definedName name="SHT070TR5">#REF!</definedName>
    <definedName name="SHT070TR6" localSheetId="5">#REF!</definedName>
    <definedName name="SHT070TR6" localSheetId="13">#REF!</definedName>
    <definedName name="SHT070TR6" localSheetId="17">#REF!</definedName>
    <definedName name="SHT070TR6" localSheetId="35">#REF!</definedName>
    <definedName name="SHT070TR6" localSheetId="37">#REF!</definedName>
    <definedName name="SHT070TR6" localSheetId="42">#REF!</definedName>
    <definedName name="SHT070TR6" localSheetId="47">#REF!</definedName>
    <definedName name="SHT070TR6" localSheetId="52">#REF!</definedName>
    <definedName name="SHT070TR6" localSheetId="60">#REF!</definedName>
    <definedName name="SHT070TR6" localSheetId="65">#REF!</definedName>
    <definedName name="SHT070TR6" localSheetId="68">#REF!</definedName>
    <definedName name="SHT070TR6" localSheetId="72">#REF!</definedName>
    <definedName name="SHT070TR6" localSheetId="75">#REF!</definedName>
    <definedName name="SHT070TR6">#REF!</definedName>
    <definedName name="SHT070TR7" localSheetId="5">#REF!</definedName>
    <definedName name="SHT070TR7" localSheetId="13">#REF!</definedName>
    <definedName name="SHT070TR7" localSheetId="17">#REF!</definedName>
    <definedName name="SHT070TR7" localSheetId="35">#REF!</definedName>
    <definedName name="SHT070TR7" localSheetId="37">#REF!</definedName>
    <definedName name="SHT070TR7" localSheetId="42">#REF!</definedName>
    <definedName name="SHT070TR7" localSheetId="47">#REF!</definedName>
    <definedName name="SHT070TR7" localSheetId="52">#REF!</definedName>
    <definedName name="SHT070TR7" localSheetId="60">#REF!</definedName>
    <definedName name="SHT070TR7" localSheetId="65">#REF!</definedName>
    <definedName name="SHT070TR7" localSheetId="68">#REF!</definedName>
    <definedName name="SHT070TR7" localSheetId="72">#REF!</definedName>
    <definedName name="SHT070TR7" localSheetId="75">#REF!</definedName>
    <definedName name="SHT070TR7">#REF!</definedName>
    <definedName name="SHT070TR8" localSheetId="5">#REF!</definedName>
    <definedName name="SHT070TR8" localSheetId="13">#REF!</definedName>
    <definedName name="SHT070TR8" localSheetId="17">#REF!</definedName>
    <definedName name="SHT070TR8" localSheetId="35">#REF!</definedName>
    <definedName name="SHT070TR8" localSheetId="37">#REF!</definedName>
    <definedName name="SHT070TR8" localSheetId="42">#REF!</definedName>
    <definedName name="SHT070TR8" localSheetId="47">#REF!</definedName>
    <definedName name="SHT070TR8" localSheetId="52">#REF!</definedName>
    <definedName name="SHT070TR8" localSheetId="60">#REF!</definedName>
    <definedName name="SHT070TR8" localSheetId="65">#REF!</definedName>
    <definedName name="SHT070TR8" localSheetId="68">#REF!</definedName>
    <definedName name="SHT070TR8" localSheetId="72">#REF!</definedName>
    <definedName name="SHT070TR8" localSheetId="75">#REF!</definedName>
    <definedName name="SHT070TR8">#REF!</definedName>
    <definedName name="SHT070TR9" localSheetId="5">#REF!</definedName>
    <definedName name="SHT070TR9" localSheetId="13">#REF!</definedName>
    <definedName name="SHT070TR9" localSheetId="17">#REF!</definedName>
    <definedName name="SHT070TR9" localSheetId="35">#REF!</definedName>
    <definedName name="SHT070TR9" localSheetId="37">#REF!</definedName>
    <definedName name="SHT070TR9" localSheetId="42">#REF!</definedName>
    <definedName name="SHT070TR9" localSheetId="47">#REF!</definedName>
    <definedName name="SHT070TR9" localSheetId="52">#REF!</definedName>
    <definedName name="SHT070TR9" localSheetId="60">#REF!</definedName>
    <definedName name="SHT070TR9" localSheetId="65">#REF!</definedName>
    <definedName name="SHT070TR9" localSheetId="68">#REF!</definedName>
    <definedName name="SHT070TR9" localSheetId="72">#REF!</definedName>
    <definedName name="SHT070TR9" localSheetId="75">#REF!</definedName>
    <definedName name="SHT070TR9">#REF!</definedName>
    <definedName name="SHT071TR1" localSheetId="5">#REF!</definedName>
    <definedName name="SHT071TR1" localSheetId="13">#REF!</definedName>
    <definedName name="SHT071TR1" localSheetId="17">#REF!</definedName>
    <definedName name="SHT071TR1" localSheetId="35">#REF!</definedName>
    <definedName name="SHT071TR1" localSheetId="37">#REF!</definedName>
    <definedName name="SHT071TR1" localSheetId="42">#REF!</definedName>
    <definedName name="SHT071TR1" localSheetId="47">#REF!</definedName>
    <definedName name="SHT071TR1" localSheetId="52">#REF!</definedName>
    <definedName name="SHT071TR1" localSheetId="60">#REF!</definedName>
    <definedName name="SHT071TR1" localSheetId="65">#REF!</definedName>
    <definedName name="SHT071TR1" localSheetId="68">#REF!</definedName>
    <definedName name="SHT071TR1" localSheetId="72">#REF!</definedName>
    <definedName name="SHT071TR1" localSheetId="75">#REF!</definedName>
    <definedName name="SHT071TR1">#REF!</definedName>
    <definedName name="SHT071TR2" localSheetId="5">#REF!</definedName>
    <definedName name="SHT071TR2" localSheetId="13">#REF!</definedName>
    <definedName name="SHT071TR2" localSheetId="17">#REF!</definedName>
    <definedName name="SHT071TR2" localSheetId="35">#REF!</definedName>
    <definedName name="SHT071TR2" localSheetId="37">#REF!</definedName>
    <definedName name="SHT071TR2" localSheetId="42">#REF!</definedName>
    <definedName name="SHT071TR2" localSheetId="47">#REF!</definedName>
    <definedName name="SHT071TR2" localSheetId="52">#REF!</definedName>
    <definedName name="SHT071TR2" localSheetId="60">#REF!</definedName>
    <definedName name="SHT071TR2" localSheetId="65">#REF!</definedName>
    <definedName name="SHT071TR2" localSheetId="68">#REF!</definedName>
    <definedName name="SHT071TR2" localSheetId="72">#REF!</definedName>
    <definedName name="SHT071TR2" localSheetId="75">#REF!</definedName>
    <definedName name="SHT071TR2">#REF!</definedName>
    <definedName name="SHT071TR3" localSheetId="5">#REF!</definedName>
    <definedName name="SHT071TR3" localSheetId="13">#REF!</definedName>
    <definedName name="SHT071TR3" localSheetId="17">#REF!</definedName>
    <definedName name="SHT071TR3" localSheetId="35">#REF!</definedName>
    <definedName name="SHT071TR3" localSheetId="37">#REF!</definedName>
    <definedName name="SHT071TR3" localSheetId="42">#REF!</definedName>
    <definedName name="SHT071TR3" localSheetId="47">#REF!</definedName>
    <definedName name="SHT071TR3" localSheetId="52">#REF!</definedName>
    <definedName name="SHT071TR3" localSheetId="60">#REF!</definedName>
    <definedName name="SHT071TR3" localSheetId="65">#REF!</definedName>
    <definedName name="SHT071TR3" localSheetId="68">#REF!</definedName>
    <definedName name="SHT071TR3" localSheetId="72">#REF!</definedName>
    <definedName name="SHT071TR3" localSheetId="75">#REF!</definedName>
    <definedName name="SHT071TR3">#REF!</definedName>
    <definedName name="SHT071TR4" localSheetId="5">#REF!</definedName>
    <definedName name="SHT071TR4" localSheetId="13">#REF!</definedName>
    <definedName name="SHT071TR4" localSheetId="17">#REF!</definedName>
    <definedName name="SHT071TR4" localSheetId="35">#REF!</definedName>
    <definedName name="SHT071TR4" localSheetId="37">#REF!</definedName>
    <definedName name="SHT071TR4" localSheetId="42">#REF!</definedName>
    <definedName name="SHT071TR4" localSheetId="47">#REF!</definedName>
    <definedName name="SHT071TR4" localSheetId="52">#REF!</definedName>
    <definedName name="SHT071TR4" localSheetId="60">#REF!</definedName>
    <definedName name="SHT071TR4" localSheetId="65">#REF!</definedName>
    <definedName name="SHT071TR4" localSheetId="68">#REF!</definedName>
    <definedName name="SHT071TR4" localSheetId="72">#REF!</definedName>
    <definedName name="SHT071TR4" localSheetId="75">#REF!</definedName>
    <definedName name="SHT071TR4">#REF!</definedName>
    <definedName name="SHT071TR5" localSheetId="5">#REF!</definedName>
    <definedName name="SHT071TR5" localSheetId="13">#REF!</definedName>
    <definedName name="SHT071TR5" localSheetId="17">#REF!</definedName>
    <definedName name="SHT071TR5" localSheetId="35">#REF!</definedName>
    <definedName name="SHT071TR5" localSheetId="37">#REF!</definedName>
    <definedName name="SHT071TR5" localSheetId="42">#REF!</definedName>
    <definedName name="SHT071TR5" localSheetId="47">#REF!</definedName>
    <definedName name="SHT071TR5" localSheetId="52">#REF!</definedName>
    <definedName name="SHT071TR5" localSheetId="60">#REF!</definedName>
    <definedName name="SHT071TR5" localSheetId="65">#REF!</definedName>
    <definedName name="SHT071TR5" localSheetId="68">#REF!</definedName>
    <definedName name="SHT071TR5" localSheetId="72">#REF!</definedName>
    <definedName name="SHT071TR5" localSheetId="75">#REF!</definedName>
    <definedName name="SHT071TR5">#REF!</definedName>
    <definedName name="SHT071TR6" localSheetId="5">#REF!</definedName>
    <definedName name="SHT071TR6" localSheetId="13">#REF!</definedName>
    <definedName name="SHT071TR6" localSheetId="17">#REF!</definedName>
    <definedName name="SHT071TR6" localSheetId="35">#REF!</definedName>
    <definedName name="SHT071TR6" localSheetId="37">#REF!</definedName>
    <definedName name="SHT071TR6" localSheetId="42">#REF!</definedName>
    <definedName name="SHT071TR6" localSheetId="47">#REF!</definedName>
    <definedName name="SHT071TR6" localSheetId="52">#REF!</definedName>
    <definedName name="SHT071TR6" localSheetId="60">#REF!</definedName>
    <definedName name="SHT071TR6" localSheetId="65">#REF!</definedName>
    <definedName name="SHT071TR6" localSheetId="68">#REF!</definedName>
    <definedName name="SHT071TR6" localSheetId="72">#REF!</definedName>
    <definedName name="SHT071TR6" localSheetId="75">#REF!</definedName>
    <definedName name="SHT071TR6">#REF!</definedName>
    <definedName name="SHT071TR7" localSheetId="5">#REF!</definedName>
    <definedName name="SHT071TR7" localSheetId="13">#REF!</definedName>
    <definedName name="SHT071TR7" localSheetId="17">#REF!</definedName>
    <definedName name="SHT071TR7" localSheetId="35">#REF!</definedName>
    <definedName name="SHT071TR7" localSheetId="37">#REF!</definedName>
    <definedName name="SHT071TR7" localSheetId="42">#REF!</definedName>
    <definedName name="SHT071TR7" localSheetId="47">#REF!</definedName>
    <definedName name="SHT071TR7" localSheetId="52">#REF!</definedName>
    <definedName name="SHT071TR7" localSheetId="60">#REF!</definedName>
    <definedName name="SHT071TR7" localSheetId="65">#REF!</definedName>
    <definedName name="SHT071TR7" localSheetId="68">#REF!</definedName>
    <definedName name="SHT071TR7" localSheetId="72">#REF!</definedName>
    <definedName name="SHT071TR7" localSheetId="75">#REF!</definedName>
    <definedName name="SHT071TR7">#REF!</definedName>
    <definedName name="SHT071TR8" localSheetId="5">#REF!</definedName>
    <definedName name="SHT071TR8" localSheetId="13">#REF!</definedName>
    <definedName name="SHT071TR8" localSheetId="17">#REF!</definedName>
    <definedName name="SHT071TR8" localSheetId="35">#REF!</definedName>
    <definedName name="SHT071TR8" localSheetId="37">#REF!</definedName>
    <definedName name="SHT071TR8" localSheetId="42">#REF!</definedName>
    <definedName name="SHT071TR8" localSheetId="47">#REF!</definedName>
    <definedName name="SHT071TR8" localSheetId="52">#REF!</definedName>
    <definedName name="SHT071TR8" localSheetId="60">#REF!</definedName>
    <definedName name="SHT071TR8" localSheetId="65">#REF!</definedName>
    <definedName name="SHT071TR8" localSheetId="68">#REF!</definedName>
    <definedName name="SHT071TR8" localSheetId="72">#REF!</definedName>
    <definedName name="SHT071TR8" localSheetId="75">#REF!</definedName>
    <definedName name="SHT071TR8">#REF!</definedName>
    <definedName name="SHT071TR9" localSheetId="5">#REF!</definedName>
    <definedName name="SHT071TR9" localSheetId="13">#REF!</definedName>
    <definedName name="SHT071TR9" localSheetId="17">#REF!</definedName>
    <definedName name="SHT071TR9" localSheetId="35">#REF!</definedName>
    <definedName name="SHT071TR9" localSheetId="37">#REF!</definedName>
    <definedName name="SHT071TR9" localSheetId="42">#REF!</definedName>
    <definedName name="SHT071TR9" localSheetId="47">#REF!</definedName>
    <definedName name="SHT071TR9" localSheetId="52">#REF!</definedName>
    <definedName name="SHT071TR9" localSheetId="60">#REF!</definedName>
    <definedName name="SHT071TR9" localSheetId="65">#REF!</definedName>
    <definedName name="SHT071TR9" localSheetId="68">#REF!</definedName>
    <definedName name="SHT071TR9" localSheetId="72">#REF!</definedName>
    <definedName name="SHT071TR9" localSheetId="75">#REF!</definedName>
    <definedName name="SHT071TR9">#REF!</definedName>
    <definedName name="SHT080BR1" localSheetId="5">#REF!</definedName>
    <definedName name="SHT080BR1" localSheetId="13">#REF!</definedName>
    <definedName name="SHT080BR1" localSheetId="17">#REF!</definedName>
    <definedName name="SHT080BR1" localSheetId="35">#REF!</definedName>
    <definedName name="SHT080BR1" localSheetId="37">#REF!</definedName>
    <definedName name="SHT080BR1" localSheetId="42">#REF!</definedName>
    <definedName name="SHT080BR1" localSheetId="47">#REF!</definedName>
    <definedName name="SHT080BR1" localSheetId="52">#REF!</definedName>
    <definedName name="SHT080BR1" localSheetId="60">#REF!</definedName>
    <definedName name="SHT080BR1" localSheetId="65">#REF!</definedName>
    <definedName name="SHT080BR1" localSheetId="68">#REF!</definedName>
    <definedName name="SHT080BR1" localSheetId="72">#REF!</definedName>
    <definedName name="SHT080BR1" localSheetId="75">#REF!</definedName>
    <definedName name="SHT080BR1">#REF!</definedName>
    <definedName name="SHT080TR1" localSheetId="5">#REF!</definedName>
    <definedName name="SHT080TR1" localSheetId="13">#REF!</definedName>
    <definedName name="SHT080TR1" localSheetId="17">#REF!</definedName>
    <definedName name="SHT080TR1" localSheetId="35">#REF!</definedName>
    <definedName name="SHT080TR1" localSheetId="37">#REF!</definedName>
    <definedName name="SHT080TR1" localSheetId="42">#REF!</definedName>
    <definedName name="SHT080TR1" localSheetId="47">#REF!</definedName>
    <definedName name="SHT080TR1" localSheetId="52">#REF!</definedName>
    <definedName name="SHT080TR1" localSheetId="60">#REF!</definedName>
    <definedName name="SHT080TR1" localSheetId="65">#REF!</definedName>
    <definedName name="SHT080TR1" localSheetId="68">#REF!</definedName>
    <definedName name="SHT080TR1" localSheetId="72">#REF!</definedName>
    <definedName name="SHT080TR1" localSheetId="75">#REF!</definedName>
    <definedName name="SHT080TR1">#REF!</definedName>
    <definedName name="SHT100TR8" localSheetId="65">[12]表10!$G$38</definedName>
    <definedName name="SHT100TR8">[11]表10!$G$38</definedName>
    <definedName name="SHT151BR1" localSheetId="5">#REF!</definedName>
    <definedName name="SHT151BR1" localSheetId="13">#REF!</definedName>
    <definedName name="SHT151BR1" localSheetId="17">#REF!</definedName>
    <definedName name="SHT151BR1" localSheetId="35">#REF!</definedName>
    <definedName name="SHT151BR1" localSheetId="37">#REF!</definedName>
    <definedName name="SHT151BR1" localSheetId="42">#REF!</definedName>
    <definedName name="SHT151BR1" localSheetId="47">#REF!</definedName>
    <definedName name="SHT151BR1" localSheetId="52">#REF!</definedName>
    <definedName name="SHT151BR1" localSheetId="60">#REF!</definedName>
    <definedName name="SHT151BR1" localSheetId="65">#REF!</definedName>
    <definedName name="SHT151BR1" localSheetId="68">#REF!</definedName>
    <definedName name="SHT151BR1" localSheetId="72">#REF!</definedName>
    <definedName name="SHT151BR1" localSheetId="75">#REF!</definedName>
    <definedName name="SHT151BR1">#REF!</definedName>
    <definedName name="SHT151TR1" localSheetId="5">#REF!</definedName>
    <definedName name="SHT151TR1" localSheetId="13">#REF!</definedName>
    <definedName name="SHT151TR1" localSheetId="17">#REF!</definedName>
    <definedName name="SHT151TR1" localSheetId="35">#REF!</definedName>
    <definedName name="SHT151TR1" localSheetId="37">#REF!</definedName>
    <definedName name="SHT151TR1" localSheetId="42">#REF!</definedName>
    <definedName name="SHT151TR1" localSheetId="47">#REF!</definedName>
    <definedName name="SHT151TR1" localSheetId="52">#REF!</definedName>
    <definedName name="SHT151TR1" localSheetId="60">#REF!</definedName>
    <definedName name="SHT151TR1" localSheetId="65">#REF!</definedName>
    <definedName name="SHT151TR1" localSheetId="68">#REF!</definedName>
    <definedName name="SHT151TR1" localSheetId="72">#REF!</definedName>
    <definedName name="SHT151TR1" localSheetId="75">#REF!</definedName>
    <definedName name="SHT151TR1">#REF!</definedName>
    <definedName name="sht151tr2" localSheetId="65">'[12]表15(合併列示及總計)'!$E$7:$E$11</definedName>
    <definedName name="sht151tr2">'[11]表15(合併列示及總計)'!$E$7:$E$11</definedName>
    <definedName name="TextRefCopyRangeCount" hidden="1">46</definedName>
    <definedName name="weight_rate" localSheetId="17">#REF!</definedName>
    <definedName name="weight_rate" localSheetId="35">#REF!</definedName>
    <definedName name="weight_rate" localSheetId="42">#REF!</definedName>
    <definedName name="weight_rate" localSheetId="52">#REF!</definedName>
    <definedName name="weight_rate" localSheetId="60">#REF!</definedName>
    <definedName name="weight_rate" localSheetId="65">#REF!</definedName>
    <definedName name="weight_rate" localSheetId="68">#REF!</definedName>
    <definedName name="weight_rate" localSheetId="75">#REF!</definedName>
    <definedName name="weight_rate">#REF!</definedName>
    <definedName name="Z_7793056B_648B_11D0_9F55_D619C2B31977_.wvu.PrintTitles" localSheetId="2" hidden="1">表03!$4:$5</definedName>
    <definedName name="總體法規稽核結論" localSheetId="5">#REF!</definedName>
    <definedName name="總體法規稽核結論" localSheetId="13">#REF!</definedName>
    <definedName name="總體法規稽核結論" localSheetId="17">#REF!</definedName>
    <definedName name="總體法規稽核結論" localSheetId="35">#REF!</definedName>
    <definedName name="總體法規稽核結論" localSheetId="37">#REF!</definedName>
    <definedName name="總體法規稽核結論" localSheetId="42">#REF!</definedName>
    <definedName name="總體法規稽核結論" localSheetId="47">#REF!</definedName>
    <definedName name="總體法規稽核結論" localSheetId="52">#REF!</definedName>
    <definedName name="總體法規稽核結論" localSheetId="60">#REF!</definedName>
    <definedName name="總體法規稽核結論" localSheetId="65">#REF!</definedName>
    <definedName name="總體法規稽核結論" localSheetId="68">#REF!</definedName>
    <definedName name="總體法規稽核結論" localSheetId="72">#REF!</definedName>
    <definedName name="總體法規稽核結論" localSheetId="75">#REF!</definedName>
    <definedName name="總體法規稽核結論">#REF!</definedName>
    <definedName name="總體數學勾稽結論" localSheetId="5">#REF!</definedName>
    <definedName name="總體數學勾稽結論" localSheetId="13">#REF!</definedName>
    <definedName name="總體數學勾稽結論" localSheetId="17">#REF!</definedName>
    <definedName name="總體數學勾稽結論" localSheetId="35">#REF!</definedName>
    <definedName name="總體數學勾稽結論" localSheetId="37">#REF!</definedName>
    <definedName name="總體數學勾稽結論" localSheetId="42">#REF!</definedName>
    <definedName name="總體數學勾稽結論" localSheetId="47">#REF!</definedName>
    <definedName name="總體數學勾稽結論" localSheetId="52">#REF!</definedName>
    <definedName name="總體數學勾稽結論" localSheetId="60">#REF!</definedName>
    <definedName name="總體數學勾稽結論" localSheetId="65">#REF!</definedName>
    <definedName name="總體數學勾稽結論" localSheetId="68">#REF!</definedName>
    <definedName name="總體數學勾稽結論" localSheetId="72">#REF!</definedName>
    <definedName name="總體數學勾稽結論" localSheetId="75">#REF!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2" i="75" l="1"/>
  <c r="D21" i="39"/>
  <c r="F21" i="39" s="1"/>
  <c r="A83" i="282"/>
  <c r="A84" i="282" s="1"/>
  <c r="A85" i="282" s="1"/>
  <c r="A86" i="282" s="1"/>
  <c r="A87" i="282" s="1"/>
  <c r="A88" i="282" s="1"/>
  <c r="A89" i="282" s="1"/>
  <c r="A90" i="282" s="1"/>
  <c r="A91" i="282" s="1"/>
  <c r="A92" i="282" s="1"/>
  <c r="A93" i="282" s="1"/>
  <c r="A94" i="282" s="1"/>
  <c r="A95" i="282" s="1"/>
  <c r="A96" i="282" s="1"/>
  <c r="A97" i="282" s="1"/>
  <c r="A98" i="282" s="1"/>
  <c r="A99" i="282" s="1"/>
  <c r="A100" i="282" s="1"/>
  <c r="A101" i="282" s="1"/>
  <c r="A102" i="282" s="1"/>
  <c r="A103" i="282" s="1"/>
  <c r="A104" i="282" s="1"/>
  <c r="A105" i="282" s="1"/>
  <c r="A106" i="282" s="1"/>
  <c r="A107" i="282" s="1"/>
  <c r="A108" i="282" s="1"/>
  <c r="A109" i="282" s="1"/>
  <c r="A110" i="282" s="1"/>
  <c r="A111" i="282" s="1"/>
  <c r="A112" i="282" s="1"/>
  <c r="A113" i="282" s="1"/>
  <c r="A114" i="282" s="1"/>
  <c r="A115" i="282" s="1"/>
  <c r="A116" i="282" s="1"/>
  <c r="A117" i="282" s="1"/>
  <c r="A118" i="282" s="1"/>
  <c r="A119" i="282" s="1"/>
  <c r="A120" i="282" s="1"/>
  <c r="A121" i="282" s="1"/>
  <c r="A82" i="282"/>
  <c r="E17" i="327"/>
  <c r="B15" i="327"/>
  <c r="B16" i="327" s="1"/>
  <c r="B17" i="327" s="1"/>
  <c r="B23" i="327" s="1"/>
  <c r="B24" i="327" s="1"/>
  <c r="B25" i="327" s="1"/>
  <c r="B30" i="327" s="1"/>
  <c r="B32" i="327" s="1"/>
  <c r="B66" i="327" s="1"/>
  <c r="B72" i="327" s="1"/>
  <c r="G1330" i="55"/>
  <c r="F1330" i="55"/>
  <c r="G1329" i="55"/>
  <c r="F1329" i="55"/>
  <c r="G1328" i="55"/>
  <c r="F1328" i="55"/>
  <c r="G1327" i="55"/>
  <c r="F1327" i="55"/>
  <c r="G1326" i="55"/>
  <c r="F1326" i="55"/>
  <c r="G1325" i="55"/>
  <c r="F1325" i="55"/>
  <c r="G1324" i="55"/>
  <c r="F1324" i="55"/>
  <c r="G1323" i="55"/>
  <c r="F1323" i="55"/>
  <c r="G1322" i="55"/>
  <c r="F1322" i="55"/>
  <c r="G1321" i="55"/>
  <c r="F1321" i="55"/>
  <c r="G1320" i="55"/>
  <c r="F1320" i="55"/>
  <c r="G1319" i="55"/>
  <c r="F1319" i="55"/>
  <c r="G1318" i="55"/>
  <c r="F1318" i="55"/>
  <c r="G1317" i="55"/>
  <c r="F1317" i="55"/>
  <c r="G1316" i="55"/>
  <c r="F1316" i="55"/>
  <c r="G1315" i="55"/>
  <c r="F1315" i="55"/>
  <c r="G1314" i="55"/>
  <c r="F1314" i="55"/>
  <c r="G1313" i="55"/>
  <c r="F1313" i="55"/>
  <c r="G1312" i="55"/>
  <c r="F1312" i="55"/>
  <c r="E9" i="312" l="1"/>
  <c r="D9" i="312"/>
  <c r="E10" i="312" l="1"/>
  <c r="D10" i="312"/>
  <c r="H2" i="288" l="1"/>
  <c r="F823" i="56"/>
  <c r="F824" i="56"/>
  <c r="F825" i="56"/>
  <c r="F826" i="56"/>
  <c r="F827" i="56"/>
  <c r="F828" i="56"/>
  <c r="F829" i="56"/>
  <c r="F830" i="56"/>
  <c r="F831" i="56"/>
  <c r="F832" i="56"/>
  <c r="F833" i="56"/>
  <c r="F834" i="56"/>
  <c r="F835" i="56"/>
  <c r="F836" i="56"/>
  <c r="F837" i="56"/>
  <c r="F838" i="56"/>
  <c r="F839" i="56"/>
  <c r="F840" i="56"/>
  <c r="F841" i="56"/>
  <c r="F842" i="56"/>
  <c r="F843" i="56"/>
  <c r="F844" i="56"/>
  <c r="F845" i="56"/>
  <c r="F846" i="56"/>
  <c r="F847" i="56"/>
  <c r="F848" i="56"/>
  <c r="F849" i="56"/>
  <c r="F1311" i="55"/>
  <c r="F1310" i="55"/>
  <c r="F1309" i="55"/>
  <c r="F1308" i="55"/>
  <c r="F1307" i="55"/>
  <c r="F1306" i="55"/>
  <c r="F1305" i="55"/>
  <c r="F1304" i="55"/>
  <c r="F1303" i="55"/>
  <c r="F1302" i="55"/>
  <c r="F1301" i="55"/>
  <c r="F1300" i="55"/>
  <c r="F1299" i="55"/>
  <c r="F1298" i="55"/>
  <c r="F1297" i="55"/>
  <c r="F1296" i="55"/>
  <c r="F1295" i="55"/>
  <c r="F1294" i="55"/>
  <c r="F1293" i="55"/>
  <c r="F1292" i="55"/>
  <c r="F1291" i="55"/>
  <c r="F1290" i="55"/>
  <c r="F1289" i="55"/>
  <c r="F1288" i="55"/>
  <c r="F1287" i="55"/>
  <c r="F1286" i="55"/>
  <c r="F1285" i="55"/>
  <c r="F1284" i="55"/>
  <c r="F1283" i="55"/>
  <c r="F1282" i="55"/>
  <c r="F1281" i="55"/>
  <c r="F1280" i="55"/>
  <c r="F1279" i="55"/>
  <c r="F1278" i="55"/>
  <c r="F1277" i="55"/>
  <c r="F1276" i="55"/>
  <c r="F1275" i="55"/>
  <c r="F1274" i="55"/>
  <c r="F1273" i="55"/>
  <c r="F1272" i="55"/>
  <c r="F1271" i="55"/>
  <c r="F1270" i="55"/>
  <c r="F1269" i="55"/>
  <c r="F1268" i="55"/>
  <c r="F1267" i="55"/>
  <c r="F1266" i="55"/>
  <c r="F1265" i="55"/>
  <c r="F1264" i="55"/>
  <c r="F1263" i="55"/>
  <c r="F1262" i="55"/>
  <c r="F1261" i="55"/>
  <c r="F1260" i="55"/>
  <c r="F1259" i="55"/>
  <c r="F1258" i="55"/>
  <c r="F1257" i="55"/>
  <c r="F1256" i="55"/>
  <c r="C7" i="292"/>
  <c r="B7" i="292"/>
  <c r="A1" i="312" l="1"/>
  <c r="A1" i="313"/>
  <c r="A1" i="314"/>
  <c r="A1" i="315"/>
  <c r="A1" i="318"/>
  <c r="A1" i="316"/>
  <c r="A1" i="317"/>
  <c r="A1" i="319"/>
  <c r="A1" i="320"/>
  <c r="A1" i="325"/>
  <c r="A1" i="321"/>
  <c r="A1" i="322"/>
  <c r="A1" i="323"/>
  <c r="A1" i="324"/>
  <c r="A1" i="326"/>
  <c r="A1" i="308"/>
  <c r="Z6" i="326" l="1"/>
  <c r="A44" i="326"/>
  <c r="A43" i="326"/>
  <c r="A42" i="326"/>
  <c r="A41" i="326"/>
  <c r="A40" i="326"/>
  <c r="A39" i="326"/>
  <c r="A38" i="326"/>
  <c r="A37" i="326"/>
  <c r="A36" i="326"/>
  <c r="A35" i="326"/>
  <c r="A34" i="326"/>
  <c r="A33" i="326"/>
  <c r="A32" i="326"/>
  <c r="A31" i="326"/>
  <c r="A30" i="326"/>
  <c r="A24" i="326"/>
  <c r="A22" i="326"/>
  <c r="U21" i="326"/>
  <c r="S21" i="326"/>
  <c r="T21" i="326" s="1"/>
  <c r="V21" i="326" s="1"/>
  <c r="R21" i="326"/>
  <c r="Q21" i="326"/>
  <c r="AA21" i="326" s="1"/>
  <c r="P21" i="326"/>
  <c r="Z21" i="326" s="1"/>
  <c r="O21" i="326"/>
  <c r="N21" i="326"/>
  <c r="A21" i="326"/>
  <c r="U20" i="326"/>
  <c r="S20" i="326"/>
  <c r="R20" i="326"/>
  <c r="Q20" i="326"/>
  <c r="AA20" i="326" s="1"/>
  <c r="P20" i="326"/>
  <c r="O20" i="326"/>
  <c r="N20" i="326"/>
  <c r="A20" i="326"/>
  <c r="U19" i="326"/>
  <c r="S19" i="326"/>
  <c r="R19" i="326"/>
  <c r="Q19" i="326"/>
  <c r="AA19" i="326" s="1"/>
  <c r="P19" i="326"/>
  <c r="Z19" i="326" s="1"/>
  <c r="O19" i="326"/>
  <c r="N19" i="326"/>
  <c r="A19" i="326"/>
  <c r="U18" i="326"/>
  <c r="S18" i="326"/>
  <c r="R18" i="326"/>
  <c r="Q18" i="326"/>
  <c r="AA18" i="326" s="1"/>
  <c r="P18" i="326"/>
  <c r="Z18" i="326" s="1"/>
  <c r="O18" i="326"/>
  <c r="N18" i="326"/>
  <c r="A18" i="326"/>
  <c r="U17" i="326"/>
  <c r="S17" i="326"/>
  <c r="R17" i="326"/>
  <c r="Q17" i="326"/>
  <c r="AA17" i="326" s="1"/>
  <c r="P17" i="326"/>
  <c r="O17" i="326"/>
  <c r="N17" i="326"/>
  <c r="A17" i="326"/>
  <c r="AA16" i="326"/>
  <c r="Z16" i="326"/>
  <c r="U16" i="326"/>
  <c r="W16" i="326" s="1"/>
  <c r="T16" i="326"/>
  <c r="S16" i="326"/>
  <c r="R16" i="326"/>
  <c r="Q16" i="326"/>
  <c r="P16" i="326"/>
  <c r="O16" i="326"/>
  <c r="N16" i="326"/>
  <c r="A16" i="326"/>
  <c r="U15" i="326"/>
  <c r="T15" i="326"/>
  <c r="S15" i="326"/>
  <c r="R15" i="326"/>
  <c r="Q15" i="326"/>
  <c r="P15" i="326"/>
  <c r="O15" i="326"/>
  <c r="N15" i="326"/>
  <c r="A15" i="326"/>
  <c r="U14" i="326"/>
  <c r="S14" i="326"/>
  <c r="T14" i="326" s="1"/>
  <c r="V14" i="326" s="1"/>
  <c r="R14" i="326"/>
  <c r="Q14" i="326"/>
  <c r="P14" i="326"/>
  <c r="Z14" i="326" s="1"/>
  <c r="O14" i="326"/>
  <c r="N14" i="326"/>
  <c r="A14" i="326"/>
  <c r="U13" i="326"/>
  <c r="S13" i="326"/>
  <c r="R13" i="326"/>
  <c r="Q13" i="326"/>
  <c r="P13" i="326"/>
  <c r="Z13" i="326" s="1"/>
  <c r="O13" i="326"/>
  <c r="N13" i="326"/>
  <c r="A13" i="326"/>
  <c r="U12" i="326"/>
  <c r="S12" i="326"/>
  <c r="R12" i="326"/>
  <c r="Q12" i="326"/>
  <c r="AA12" i="326" s="1"/>
  <c r="P12" i="326"/>
  <c r="Z12" i="326" s="1"/>
  <c r="O12" i="326"/>
  <c r="N12" i="326"/>
  <c r="A12" i="326"/>
  <c r="U11" i="326"/>
  <c r="S11" i="326"/>
  <c r="R11" i="326"/>
  <c r="Q11" i="326"/>
  <c r="AA11" i="326" s="1"/>
  <c r="P11" i="326"/>
  <c r="O11" i="326"/>
  <c r="N11" i="326"/>
  <c r="A11" i="326"/>
  <c r="AA10" i="326"/>
  <c r="Z10" i="326"/>
  <c r="U10" i="326"/>
  <c r="T10" i="326"/>
  <c r="S10" i="326"/>
  <c r="R10" i="326"/>
  <c r="Q10" i="326"/>
  <c r="P10" i="326"/>
  <c r="O10" i="326"/>
  <c r="N10" i="326"/>
  <c r="A10" i="326"/>
  <c r="U9" i="326"/>
  <c r="T9" i="326"/>
  <c r="S9" i="326"/>
  <c r="R9" i="326"/>
  <c r="Q9" i="326"/>
  <c r="P9" i="326"/>
  <c r="O9" i="326"/>
  <c r="N9" i="326"/>
  <c r="A9" i="326"/>
  <c r="T8" i="326"/>
  <c r="S8" i="326"/>
  <c r="R8" i="326"/>
  <c r="Q8" i="326"/>
  <c r="AA8" i="326" s="1"/>
  <c r="P8" i="326"/>
  <c r="Z8" i="326" s="1"/>
  <c r="O8" i="326"/>
  <c r="N8" i="326"/>
  <c r="A8" i="326"/>
  <c r="T7" i="326"/>
  <c r="S7" i="326"/>
  <c r="U7" i="326" s="1"/>
  <c r="R7" i="326"/>
  <c r="Q7" i="326"/>
  <c r="AA7" i="326" s="1"/>
  <c r="P7" i="326"/>
  <c r="Z7" i="326" s="1"/>
  <c r="O7" i="326"/>
  <c r="N7" i="326"/>
  <c r="A7" i="326"/>
  <c r="AA6" i="326"/>
  <c r="U6" i="326"/>
  <c r="T6" i="326"/>
  <c r="S6" i="326"/>
  <c r="R6" i="326"/>
  <c r="Q6" i="326"/>
  <c r="X6" i="326" s="1"/>
  <c r="P6" i="326"/>
  <c r="O6" i="326"/>
  <c r="N6" i="326"/>
  <c r="A6" i="326"/>
  <c r="B5" i="326"/>
  <c r="C5" i="326" s="1"/>
  <c r="D5" i="326" s="1"/>
  <c r="E5" i="326" s="1"/>
  <c r="F5" i="326" s="1"/>
  <c r="G5" i="326" s="1"/>
  <c r="H5" i="326" s="1"/>
  <c r="I5" i="326" s="1"/>
  <c r="J5" i="326" s="1"/>
  <c r="K5" i="326" s="1"/>
  <c r="L5" i="326" s="1"/>
  <c r="M5" i="326" s="1"/>
  <c r="N5" i="326" s="1"/>
  <c r="O5" i="326" s="1"/>
  <c r="P5" i="326" s="1"/>
  <c r="Q5" i="326" s="1"/>
  <c r="R5" i="326" s="1"/>
  <c r="S5" i="326" s="1"/>
  <c r="T5" i="326" s="1"/>
  <c r="U5" i="326" s="1"/>
  <c r="V5" i="326" s="1"/>
  <c r="W5" i="326" s="1"/>
  <c r="X5" i="326" s="1"/>
  <c r="Y5" i="326" s="1"/>
  <c r="D7" i="325"/>
  <c r="AF115" i="324"/>
  <c r="AF116" i="324" s="1"/>
  <c r="AF117" i="324" s="1"/>
  <c r="AF118" i="324" s="1"/>
  <c r="AF119" i="324" s="1"/>
  <c r="AF120" i="324" s="1"/>
  <c r="AF121" i="324" s="1"/>
  <c r="AF122" i="324" s="1"/>
  <c r="AF123" i="324" s="1"/>
  <c r="AF124" i="324" s="1"/>
  <c r="AF125" i="324" s="1"/>
  <c r="AF126" i="324" s="1"/>
  <c r="AF127" i="324" s="1"/>
  <c r="AF128" i="324" s="1"/>
  <c r="AF129" i="324" s="1"/>
  <c r="AF130" i="324" s="1"/>
  <c r="AF131" i="324" s="1"/>
  <c r="AF132" i="324" s="1"/>
  <c r="AF133" i="324" s="1"/>
  <c r="AF134" i="324" s="1"/>
  <c r="AF135" i="324" s="1"/>
  <c r="AF136" i="324" s="1"/>
  <c r="AF137" i="324" s="1"/>
  <c r="AF138" i="324" s="1"/>
  <c r="AF139" i="324" s="1"/>
  <c r="AF140" i="324" s="1"/>
  <c r="AF141" i="324" s="1"/>
  <c r="AF142" i="324" s="1"/>
  <c r="AF143" i="324" s="1"/>
  <c r="AF144" i="324" s="1"/>
  <c r="AF145" i="324" s="1"/>
  <c r="AF146" i="324" s="1"/>
  <c r="AF147" i="324" s="1"/>
  <c r="AF148" i="324" s="1"/>
  <c r="AF149" i="324" s="1"/>
  <c r="AF150" i="324" s="1"/>
  <c r="AF151" i="324" s="1"/>
  <c r="AF152" i="324" s="1"/>
  <c r="AF153" i="324" s="1"/>
  <c r="AF154" i="324" s="1"/>
  <c r="AF155" i="324" s="1"/>
  <c r="AF156" i="324" s="1"/>
  <c r="AF157" i="324" s="1"/>
  <c r="AF158" i="324" s="1"/>
  <c r="AF159" i="324" s="1"/>
  <c r="AF160" i="324" s="1"/>
  <c r="AF161" i="324" s="1"/>
  <c r="AF162" i="324" s="1"/>
  <c r="AF163" i="324" s="1"/>
  <c r="AF164" i="324" s="1"/>
  <c r="AF165" i="324" s="1"/>
  <c r="AF166" i="324" s="1"/>
  <c r="AF167" i="324" s="1"/>
  <c r="AF168" i="324" s="1"/>
  <c r="AF169" i="324" s="1"/>
  <c r="AF170" i="324" s="1"/>
  <c r="AF171" i="324" s="1"/>
  <c r="AF172" i="324" s="1"/>
  <c r="AF173" i="324" s="1"/>
  <c r="AF174" i="324" s="1"/>
  <c r="AF175" i="324" s="1"/>
  <c r="AF176" i="324" s="1"/>
  <c r="AF177" i="324" s="1"/>
  <c r="AF178" i="324" s="1"/>
  <c r="AF179" i="324" s="1"/>
  <c r="AF180" i="324" s="1"/>
  <c r="AF181" i="324" s="1"/>
  <c r="AF182" i="324" s="1"/>
  <c r="AF183" i="324" s="1"/>
  <c r="AF184" i="324" s="1"/>
  <c r="AF185" i="324" s="1"/>
  <c r="AF186" i="324" s="1"/>
  <c r="AF187" i="324" s="1"/>
  <c r="AF188" i="324" s="1"/>
  <c r="AF189" i="324" s="1"/>
  <c r="AF190" i="324" s="1"/>
  <c r="AF191" i="324" s="1"/>
  <c r="AF192" i="324" s="1"/>
  <c r="AF193" i="324" s="1"/>
  <c r="AF194" i="324" s="1"/>
  <c r="AF195" i="324" s="1"/>
  <c r="AF196" i="324" s="1"/>
  <c r="AF197" i="324" s="1"/>
  <c r="AF198" i="324" s="1"/>
  <c r="AF199" i="324" s="1"/>
  <c r="AF200" i="324" s="1"/>
  <c r="AF201" i="324" s="1"/>
  <c r="AF202" i="324" s="1"/>
  <c r="AF203" i="324" s="1"/>
  <c r="AF204" i="324" s="1"/>
  <c r="AF205" i="324" s="1"/>
  <c r="AF206" i="324" s="1"/>
  <c r="AF207" i="324" s="1"/>
  <c r="AF208" i="324" s="1"/>
  <c r="AF209" i="324" s="1"/>
  <c r="AF210" i="324" s="1"/>
  <c r="AF211" i="324" s="1"/>
  <c r="AF212" i="324" s="1"/>
  <c r="AF213" i="324" s="1"/>
  <c r="AF214" i="324" s="1"/>
  <c r="AE115" i="324"/>
  <c r="AE116" i="324" s="1"/>
  <c r="AE117" i="324" s="1"/>
  <c r="AE118" i="324" s="1"/>
  <c r="AE119" i="324" s="1"/>
  <c r="AE120" i="324" s="1"/>
  <c r="AE121" i="324" s="1"/>
  <c r="AE122" i="324" s="1"/>
  <c r="AE123" i="324" s="1"/>
  <c r="AE124" i="324" s="1"/>
  <c r="AE125" i="324" s="1"/>
  <c r="AE126" i="324" s="1"/>
  <c r="AE127" i="324" s="1"/>
  <c r="AE128" i="324" s="1"/>
  <c r="AE129" i="324" s="1"/>
  <c r="AE130" i="324" s="1"/>
  <c r="AE131" i="324" s="1"/>
  <c r="AE132" i="324" s="1"/>
  <c r="AE133" i="324" s="1"/>
  <c r="AE134" i="324" s="1"/>
  <c r="AE135" i="324" s="1"/>
  <c r="AE136" i="324" s="1"/>
  <c r="AE137" i="324" s="1"/>
  <c r="AE138" i="324" s="1"/>
  <c r="AE139" i="324" s="1"/>
  <c r="AE140" i="324" s="1"/>
  <c r="AE141" i="324" s="1"/>
  <c r="AE142" i="324" s="1"/>
  <c r="AE143" i="324" s="1"/>
  <c r="AE144" i="324" s="1"/>
  <c r="AE145" i="324" s="1"/>
  <c r="AE146" i="324" s="1"/>
  <c r="AE147" i="324" s="1"/>
  <c r="AE148" i="324" s="1"/>
  <c r="AE149" i="324" s="1"/>
  <c r="AE150" i="324" s="1"/>
  <c r="AE151" i="324" s="1"/>
  <c r="AE152" i="324" s="1"/>
  <c r="AE153" i="324" s="1"/>
  <c r="AE154" i="324" s="1"/>
  <c r="AE155" i="324" s="1"/>
  <c r="AE156" i="324" s="1"/>
  <c r="AE157" i="324" s="1"/>
  <c r="AE158" i="324" s="1"/>
  <c r="AE159" i="324" s="1"/>
  <c r="AE160" i="324" s="1"/>
  <c r="AE161" i="324" s="1"/>
  <c r="AE162" i="324" s="1"/>
  <c r="AE163" i="324" s="1"/>
  <c r="AE164" i="324" s="1"/>
  <c r="AE165" i="324" s="1"/>
  <c r="AE166" i="324" s="1"/>
  <c r="AE167" i="324" s="1"/>
  <c r="AE168" i="324" s="1"/>
  <c r="AE169" i="324" s="1"/>
  <c r="AE170" i="324" s="1"/>
  <c r="AE171" i="324" s="1"/>
  <c r="AE172" i="324" s="1"/>
  <c r="AE173" i="324" s="1"/>
  <c r="AE174" i="324" s="1"/>
  <c r="AE175" i="324" s="1"/>
  <c r="AE176" i="324" s="1"/>
  <c r="AE177" i="324" s="1"/>
  <c r="AE178" i="324" s="1"/>
  <c r="AE179" i="324" s="1"/>
  <c r="AE180" i="324" s="1"/>
  <c r="AE181" i="324" s="1"/>
  <c r="AE182" i="324" s="1"/>
  <c r="AE183" i="324" s="1"/>
  <c r="AE184" i="324" s="1"/>
  <c r="AE185" i="324" s="1"/>
  <c r="AE186" i="324" s="1"/>
  <c r="AE187" i="324" s="1"/>
  <c r="AE188" i="324" s="1"/>
  <c r="AE189" i="324" s="1"/>
  <c r="AE190" i="324" s="1"/>
  <c r="AE191" i="324" s="1"/>
  <c r="AE192" i="324" s="1"/>
  <c r="AE193" i="324" s="1"/>
  <c r="AE194" i="324" s="1"/>
  <c r="AE195" i="324" s="1"/>
  <c r="AE196" i="324" s="1"/>
  <c r="AE197" i="324" s="1"/>
  <c r="AE198" i="324" s="1"/>
  <c r="AE199" i="324" s="1"/>
  <c r="AE200" i="324" s="1"/>
  <c r="AE201" i="324" s="1"/>
  <c r="AE202" i="324" s="1"/>
  <c r="AE203" i="324" s="1"/>
  <c r="AE204" i="324" s="1"/>
  <c r="AE205" i="324" s="1"/>
  <c r="AE206" i="324" s="1"/>
  <c r="AE207" i="324" s="1"/>
  <c r="AE208" i="324" s="1"/>
  <c r="AE209" i="324" s="1"/>
  <c r="AE210" i="324" s="1"/>
  <c r="AE211" i="324" s="1"/>
  <c r="AE212" i="324" s="1"/>
  <c r="AE213" i="324" s="1"/>
  <c r="AE214" i="324" s="1"/>
  <c r="AD115" i="324"/>
  <c r="AD116" i="324" s="1"/>
  <c r="AD117" i="324" s="1"/>
  <c r="AD118" i="324" s="1"/>
  <c r="AD119" i="324" s="1"/>
  <c r="AD120" i="324" s="1"/>
  <c r="AD121" i="324" s="1"/>
  <c r="AD122" i="324" s="1"/>
  <c r="AD123" i="324" s="1"/>
  <c r="AD124" i="324" s="1"/>
  <c r="AD125" i="324" s="1"/>
  <c r="AD126" i="324" s="1"/>
  <c r="AD127" i="324" s="1"/>
  <c r="AD128" i="324" s="1"/>
  <c r="AD129" i="324" s="1"/>
  <c r="AD130" i="324" s="1"/>
  <c r="AD131" i="324" s="1"/>
  <c r="AD132" i="324" s="1"/>
  <c r="AD133" i="324" s="1"/>
  <c r="AD134" i="324" s="1"/>
  <c r="AD135" i="324" s="1"/>
  <c r="AD136" i="324" s="1"/>
  <c r="AD137" i="324" s="1"/>
  <c r="AD138" i="324" s="1"/>
  <c r="AD139" i="324" s="1"/>
  <c r="AD140" i="324" s="1"/>
  <c r="AD141" i="324" s="1"/>
  <c r="AD142" i="324" s="1"/>
  <c r="AD143" i="324" s="1"/>
  <c r="AD144" i="324" s="1"/>
  <c r="AD145" i="324" s="1"/>
  <c r="AD146" i="324" s="1"/>
  <c r="AD147" i="324" s="1"/>
  <c r="AD148" i="324" s="1"/>
  <c r="AD149" i="324" s="1"/>
  <c r="AD150" i="324" s="1"/>
  <c r="AD151" i="324" s="1"/>
  <c r="AD152" i="324" s="1"/>
  <c r="AD153" i="324" s="1"/>
  <c r="AD154" i="324" s="1"/>
  <c r="AD155" i="324" s="1"/>
  <c r="AD156" i="324" s="1"/>
  <c r="AD157" i="324" s="1"/>
  <c r="AD158" i="324" s="1"/>
  <c r="AD159" i="324" s="1"/>
  <c r="AD160" i="324" s="1"/>
  <c r="AD161" i="324" s="1"/>
  <c r="AD162" i="324" s="1"/>
  <c r="AD163" i="324" s="1"/>
  <c r="AD164" i="324" s="1"/>
  <c r="AD165" i="324" s="1"/>
  <c r="AD166" i="324" s="1"/>
  <c r="AD167" i="324" s="1"/>
  <c r="AD168" i="324" s="1"/>
  <c r="AD169" i="324" s="1"/>
  <c r="AD170" i="324" s="1"/>
  <c r="AD171" i="324" s="1"/>
  <c r="AD172" i="324" s="1"/>
  <c r="AD173" i="324" s="1"/>
  <c r="AD174" i="324" s="1"/>
  <c r="AD175" i="324" s="1"/>
  <c r="AD176" i="324" s="1"/>
  <c r="AD177" i="324" s="1"/>
  <c r="AD178" i="324" s="1"/>
  <c r="AD179" i="324" s="1"/>
  <c r="AD180" i="324" s="1"/>
  <c r="AD181" i="324" s="1"/>
  <c r="AD182" i="324" s="1"/>
  <c r="AD183" i="324" s="1"/>
  <c r="AD184" i="324" s="1"/>
  <c r="AD185" i="324" s="1"/>
  <c r="AD186" i="324" s="1"/>
  <c r="AD187" i="324" s="1"/>
  <c r="AD188" i="324" s="1"/>
  <c r="AD189" i="324" s="1"/>
  <c r="AD190" i="324" s="1"/>
  <c r="AD191" i="324" s="1"/>
  <c r="AD192" i="324" s="1"/>
  <c r="AD193" i="324" s="1"/>
  <c r="AD194" i="324" s="1"/>
  <c r="AD195" i="324" s="1"/>
  <c r="AD196" i="324" s="1"/>
  <c r="AD197" i="324" s="1"/>
  <c r="AD198" i="324" s="1"/>
  <c r="AD199" i="324" s="1"/>
  <c r="AD200" i="324" s="1"/>
  <c r="AD201" i="324" s="1"/>
  <c r="AD202" i="324" s="1"/>
  <c r="AD203" i="324" s="1"/>
  <c r="AD204" i="324" s="1"/>
  <c r="AD205" i="324" s="1"/>
  <c r="AD206" i="324" s="1"/>
  <c r="AD207" i="324" s="1"/>
  <c r="AD208" i="324" s="1"/>
  <c r="AD209" i="324" s="1"/>
  <c r="AD210" i="324" s="1"/>
  <c r="AD211" i="324" s="1"/>
  <c r="AD212" i="324" s="1"/>
  <c r="AD213" i="324" s="1"/>
  <c r="AD214" i="324" s="1"/>
  <c r="AC115" i="324"/>
  <c r="AC116" i="324" s="1"/>
  <c r="AC117" i="324" s="1"/>
  <c r="AC118" i="324" s="1"/>
  <c r="AC119" i="324" s="1"/>
  <c r="AC120" i="324" s="1"/>
  <c r="AC121" i="324" s="1"/>
  <c r="AC122" i="324" s="1"/>
  <c r="AC123" i="324" s="1"/>
  <c r="AC124" i="324" s="1"/>
  <c r="AC125" i="324" s="1"/>
  <c r="AC126" i="324" s="1"/>
  <c r="AC127" i="324" s="1"/>
  <c r="AC128" i="324" s="1"/>
  <c r="AC129" i="324" s="1"/>
  <c r="AC130" i="324" s="1"/>
  <c r="AC131" i="324" s="1"/>
  <c r="AC132" i="324" s="1"/>
  <c r="AC133" i="324" s="1"/>
  <c r="AC134" i="324" s="1"/>
  <c r="AC135" i="324" s="1"/>
  <c r="AC136" i="324" s="1"/>
  <c r="AC137" i="324" s="1"/>
  <c r="AC138" i="324" s="1"/>
  <c r="AC139" i="324" s="1"/>
  <c r="AC140" i="324" s="1"/>
  <c r="AC141" i="324" s="1"/>
  <c r="AC142" i="324" s="1"/>
  <c r="AC143" i="324" s="1"/>
  <c r="AC144" i="324" s="1"/>
  <c r="AC145" i="324" s="1"/>
  <c r="AC146" i="324" s="1"/>
  <c r="AC147" i="324" s="1"/>
  <c r="AC148" i="324" s="1"/>
  <c r="AC149" i="324" s="1"/>
  <c r="AC150" i="324" s="1"/>
  <c r="AC151" i="324" s="1"/>
  <c r="AC152" i="324" s="1"/>
  <c r="AC153" i="324" s="1"/>
  <c r="AC154" i="324" s="1"/>
  <c r="AC155" i="324" s="1"/>
  <c r="AC156" i="324" s="1"/>
  <c r="AC157" i="324" s="1"/>
  <c r="AC158" i="324" s="1"/>
  <c r="AC159" i="324" s="1"/>
  <c r="AC160" i="324" s="1"/>
  <c r="AC161" i="324" s="1"/>
  <c r="AC162" i="324" s="1"/>
  <c r="AC163" i="324" s="1"/>
  <c r="AC164" i="324" s="1"/>
  <c r="AC165" i="324" s="1"/>
  <c r="AC166" i="324" s="1"/>
  <c r="AC167" i="324" s="1"/>
  <c r="AC168" i="324" s="1"/>
  <c r="AC169" i="324" s="1"/>
  <c r="AC170" i="324" s="1"/>
  <c r="AC171" i="324" s="1"/>
  <c r="AC172" i="324" s="1"/>
  <c r="AC173" i="324" s="1"/>
  <c r="AC174" i="324" s="1"/>
  <c r="AC175" i="324" s="1"/>
  <c r="AC176" i="324" s="1"/>
  <c r="AC177" i="324" s="1"/>
  <c r="AC178" i="324" s="1"/>
  <c r="AC179" i="324" s="1"/>
  <c r="AC180" i="324" s="1"/>
  <c r="AC181" i="324" s="1"/>
  <c r="AC182" i="324" s="1"/>
  <c r="AC183" i="324" s="1"/>
  <c r="AC184" i="324" s="1"/>
  <c r="AC185" i="324" s="1"/>
  <c r="AC186" i="324" s="1"/>
  <c r="AC187" i="324" s="1"/>
  <c r="AC188" i="324" s="1"/>
  <c r="AC189" i="324" s="1"/>
  <c r="AC190" i="324" s="1"/>
  <c r="AC191" i="324" s="1"/>
  <c r="AC192" i="324" s="1"/>
  <c r="AC193" i="324" s="1"/>
  <c r="AC194" i="324" s="1"/>
  <c r="AC195" i="324" s="1"/>
  <c r="AC196" i="324" s="1"/>
  <c r="AC197" i="324" s="1"/>
  <c r="AC198" i="324" s="1"/>
  <c r="AC199" i="324" s="1"/>
  <c r="AC200" i="324" s="1"/>
  <c r="AC201" i="324" s="1"/>
  <c r="AC202" i="324" s="1"/>
  <c r="AC203" i="324" s="1"/>
  <c r="AC204" i="324" s="1"/>
  <c r="AC205" i="324" s="1"/>
  <c r="AC206" i="324" s="1"/>
  <c r="AC207" i="324" s="1"/>
  <c r="AC208" i="324" s="1"/>
  <c r="AC209" i="324" s="1"/>
  <c r="AC210" i="324" s="1"/>
  <c r="AC211" i="324" s="1"/>
  <c r="AC212" i="324" s="1"/>
  <c r="AC213" i="324" s="1"/>
  <c r="AC214" i="324" s="1"/>
  <c r="AB115" i="324"/>
  <c r="AB116" i="324" s="1"/>
  <c r="AB117" i="324" s="1"/>
  <c r="AB118" i="324" s="1"/>
  <c r="AB119" i="324" s="1"/>
  <c r="AB120" i="324" s="1"/>
  <c r="AB121" i="324" s="1"/>
  <c r="AB122" i="324" s="1"/>
  <c r="AB123" i="324" s="1"/>
  <c r="AB124" i="324" s="1"/>
  <c r="AB125" i="324" s="1"/>
  <c r="AB126" i="324" s="1"/>
  <c r="AB127" i="324" s="1"/>
  <c r="AB128" i="324" s="1"/>
  <c r="AB129" i="324" s="1"/>
  <c r="AB130" i="324" s="1"/>
  <c r="AB131" i="324" s="1"/>
  <c r="AB132" i="324" s="1"/>
  <c r="AB133" i="324" s="1"/>
  <c r="AB134" i="324" s="1"/>
  <c r="AB135" i="324" s="1"/>
  <c r="AB136" i="324" s="1"/>
  <c r="AB137" i="324" s="1"/>
  <c r="AB138" i="324" s="1"/>
  <c r="AB139" i="324" s="1"/>
  <c r="AB140" i="324" s="1"/>
  <c r="AB141" i="324" s="1"/>
  <c r="AB142" i="324" s="1"/>
  <c r="AB143" i="324" s="1"/>
  <c r="AB144" i="324" s="1"/>
  <c r="AB145" i="324" s="1"/>
  <c r="AB146" i="324" s="1"/>
  <c r="AB147" i="324" s="1"/>
  <c r="AB148" i="324" s="1"/>
  <c r="AB149" i="324" s="1"/>
  <c r="AB150" i="324" s="1"/>
  <c r="AB151" i="324" s="1"/>
  <c r="AB152" i="324" s="1"/>
  <c r="AB153" i="324" s="1"/>
  <c r="AB154" i="324" s="1"/>
  <c r="AB155" i="324" s="1"/>
  <c r="AB156" i="324" s="1"/>
  <c r="AB157" i="324" s="1"/>
  <c r="AB158" i="324" s="1"/>
  <c r="AB159" i="324" s="1"/>
  <c r="AB160" i="324" s="1"/>
  <c r="AB161" i="324" s="1"/>
  <c r="AB162" i="324" s="1"/>
  <c r="AB163" i="324" s="1"/>
  <c r="AB164" i="324" s="1"/>
  <c r="AB165" i="324" s="1"/>
  <c r="AB166" i="324" s="1"/>
  <c r="AB167" i="324" s="1"/>
  <c r="AB168" i="324" s="1"/>
  <c r="AB169" i="324" s="1"/>
  <c r="AB170" i="324" s="1"/>
  <c r="AB171" i="324" s="1"/>
  <c r="AB172" i="324" s="1"/>
  <c r="AB173" i="324" s="1"/>
  <c r="AB174" i="324" s="1"/>
  <c r="AB175" i="324" s="1"/>
  <c r="AB176" i="324" s="1"/>
  <c r="AB177" i="324" s="1"/>
  <c r="AB178" i="324" s="1"/>
  <c r="AB179" i="324" s="1"/>
  <c r="AB180" i="324" s="1"/>
  <c r="AB181" i="324" s="1"/>
  <c r="AB182" i="324" s="1"/>
  <c r="AB183" i="324" s="1"/>
  <c r="AB184" i="324" s="1"/>
  <c r="AB185" i="324" s="1"/>
  <c r="AB186" i="324" s="1"/>
  <c r="AB187" i="324" s="1"/>
  <c r="AB188" i="324" s="1"/>
  <c r="AB189" i="324" s="1"/>
  <c r="AB190" i="324" s="1"/>
  <c r="AB191" i="324" s="1"/>
  <c r="AB192" i="324" s="1"/>
  <c r="AB193" i="324" s="1"/>
  <c r="AB194" i="324" s="1"/>
  <c r="AB195" i="324" s="1"/>
  <c r="AB196" i="324" s="1"/>
  <c r="AB197" i="324" s="1"/>
  <c r="AB198" i="324" s="1"/>
  <c r="AB199" i="324" s="1"/>
  <c r="AB200" i="324" s="1"/>
  <c r="AB201" i="324" s="1"/>
  <c r="AB202" i="324" s="1"/>
  <c r="AB203" i="324" s="1"/>
  <c r="AB204" i="324" s="1"/>
  <c r="AB205" i="324" s="1"/>
  <c r="AB206" i="324" s="1"/>
  <c r="AB207" i="324" s="1"/>
  <c r="AB208" i="324" s="1"/>
  <c r="AB209" i="324" s="1"/>
  <c r="AB210" i="324" s="1"/>
  <c r="AB211" i="324" s="1"/>
  <c r="AB212" i="324" s="1"/>
  <c r="AB213" i="324" s="1"/>
  <c r="AB214" i="324" s="1"/>
  <c r="AA115" i="324"/>
  <c r="AA116" i="324" s="1"/>
  <c r="AA117" i="324" s="1"/>
  <c r="AA118" i="324" s="1"/>
  <c r="AA119" i="324" s="1"/>
  <c r="AA120" i="324" s="1"/>
  <c r="AA121" i="324" s="1"/>
  <c r="AA122" i="324" s="1"/>
  <c r="AA123" i="324" s="1"/>
  <c r="AA124" i="324" s="1"/>
  <c r="AA125" i="324" s="1"/>
  <c r="AA126" i="324" s="1"/>
  <c r="AA127" i="324" s="1"/>
  <c r="AA128" i="324" s="1"/>
  <c r="AA129" i="324" s="1"/>
  <c r="AA130" i="324" s="1"/>
  <c r="AA131" i="324" s="1"/>
  <c r="AA132" i="324" s="1"/>
  <c r="AA133" i="324" s="1"/>
  <c r="AA134" i="324" s="1"/>
  <c r="AA135" i="324" s="1"/>
  <c r="AA136" i="324" s="1"/>
  <c r="AA137" i="324" s="1"/>
  <c r="AA138" i="324" s="1"/>
  <c r="AA139" i="324" s="1"/>
  <c r="AA140" i="324" s="1"/>
  <c r="AA141" i="324" s="1"/>
  <c r="AA142" i="324" s="1"/>
  <c r="AA143" i="324" s="1"/>
  <c r="AA144" i="324" s="1"/>
  <c r="AA145" i="324" s="1"/>
  <c r="AA146" i="324" s="1"/>
  <c r="AA147" i="324" s="1"/>
  <c r="AA148" i="324" s="1"/>
  <c r="AA149" i="324" s="1"/>
  <c r="AA150" i="324" s="1"/>
  <c r="AA151" i="324" s="1"/>
  <c r="AA152" i="324" s="1"/>
  <c r="AA153" i="324" s="1"/>
  <c r="AA154" i="324" s="1"/>
  <c r="AA155" i="324" s="1"/>
  <c r="AA156" i="324" s="1"/>
  <c r="AA157" i="324" s="1"/>
  <c r="AA158" i="324" s="1"/>
  <c r="AA159" i="324" s="1"/>
  <c r="AA160" i="324" s="1"/>
  <c r="AA161" i="324" s="1"/>
  <c r="AA162" i="324" s="1"/>
  <c r="AA163" i="324" s="1"/>
  <c r="AA164" i="324" s="1"/>
  <c r="AA165" i="324" s="1"/>
  <c r="AA166" i="324" s="1"/>
  <c r="AA167" i="324" s="1"/>
  <c r="AA168" i="324" s="1"/>
  <c r="AA169" i="324" s="1"/>
  <c r="AA170" i="324" s="1"/>
  <c r="AA171" i="324" s="1"/>
  <c r="AA172" i="324" s="1"/>
  <c r="AA173" i="324" s="1"/>
  <c r="AA174" i="324" s="1"/>
  <c r="AA175" i="324" s="1"/>
  <c r="AA176" i="324" s="1"/>
  <c r="AA177" i="324" s="1"/>
  <c r="AA178" i="324" s="1"/>
  <c r="AA179" i="324" s="1"/>
  <c r="AA180" i="324" s="1"/>
  <c r="AA181" i="324" s="1"/>
  <c r="AA182" i="324" s="1"/>
  <c r="AA183" i="324" s="1"/>
  <c r="AA184" i="324" s="1"/>
  <c r="AA185" i="324" s="1"/>
  <c r="AA186" i="324" s="1"/>
  <c r="AA187" i="324" s="1"/>
  <c r="AA188" i="324" s="1"/>
  <c r="AA189" i="324" s="1"/>
  <c r="AA190" i="324" s="1"/>
  <c r="AA191" i="324" s="1"/>
  <c r="AA192" i="324" s="1"/>
  <c r="AA193" i="324" s="1"/>
  <c r="AA194" i="324" s="1"/>
  <c r="AA195" i="324" s="1"/>
  <c r="AA196" i="324" s="1"/>
  <c r="AA197" i="324" s="1"/>
  <c r="AA198" i="324" s="1"/>
  <c r="AA199" i="324" s="1"/>
  <c r="AA200" i="324" s="1"/>
  <c r="AA201" i="324" s="1"/>
  <c r="AA202" i="324" s="1"/>
  <c r="AA203" i="324" s="1"/>
  <c r="AA204" i="324" s="1"/>
  <c r="AA205" i="324" s="1"/>
  <c r="AA206" i="324" s="1"/>
  <c r="AA207" i="324" s="1"/>
  <c r="AA208" i="324" s="1"/>
  <c r="AA209" i="324" s="1"/>
  <c r="AA210" i="324" s="1"/>
  <c r="AA211" i="324" s="1"/>
  <c r="AA212" i="324" s="1"/>
  <c r="AA213" i="324" s="1"/>
  <c r="AA214" i="324" s="1"/>
  <c r="Z115" i="324"/>
  <c r="Z116" i="324" s="1"/>
  <c r="Z117" i="324" s="1"/>
  <c r="Z118" i="324" s="1"/>
  <c r="Z119" i="324" s="1"/>
  <c r="Z120" i="324" s="1"/>
  <c r="Z121" i="324" s="1"/>
  <c r="Z122" i="324" s="1"/>
  <c r="Z123" i="324" s="1"/>
  <c r="Z124" i="324" s="1"/>
  <c r="Z125" i="324" s="1"/>
  <c r="Z126" i="324" s="1"/>
  <c r="Z127" i="324" s="1"/>
  <c r="Z128" i="324" s="1"/>
  <c r="Z129" i="324" s="1"/>
  <c r="Z130" i="324" s="1"/>
  <c r="Z131" i="324" s="1"/>
  <c r="Z132" i="324" s="1"/>
  <c r="Z133" i="324" s="1"/>
  <c r="Z134" i="324" s="1"/>
  <c r="Z135" i="324" s="1"/>
  <c r="Z136" i="324" s="1"/>
  <c r="Z137" i="324" s="1"/>
  <c r="Z138" i="324" s="1"/>
  <c r="Z139" i="324" s="1"/>
  <c r="Z140" i="324" s="1"/>
  <c r="Z141" i="324" s="1"/>
  <c r="Z142" i="324" s="1"/>
  <c r="Z143" i="324" s="1"/>
  <c r="Z144" i="324" s="1"/>
  <c r="Z145" i="324" s="1"/>
  <c r="Z146" i="324" s="1"/>
  <c r="Z147" i="324" s="1"/>
  <c r="Z148" i="324" s="1"/>
  <c r="Z149" i="324" s="1"/>
  <c r="Z150" i="324" s="1"/>
  <c r="Z151" i="324" s="1"/>
  <c r="Z152" i="324" s="1"/>
  <c r="Z153" i="324" s="1"/>
  <c r="Z154" i="324" s="1"/>
  <c r="Z155" i="324" s="1"/>
  <c r="Z156" i="324" s="1"/>
  <c r="Z157" i="324" s="1"/>
  <c r="Z158" i="324" s="1"/>
  <c r="Z159" i="324" s="1"/>
  <c r="Z160" i="324" s="1"/>
  <c r="Z161" i="324" s="1"/>
  <c r="Z162" i="324" s="1"/>
  <c r="Z163" i="324" s="1"/>
  <c r="Z164" i="324" s="1"/>
  <c r="Z165" i="324" s="1"/>
  <c r="Z166" i="324" s="1"/>
  <c r="Z167" i="324" s="1"/>
  <c r="Z168" i="324" s="1"/>
  <c r="Z169" i="324" s="1"/>
  <c r="Z170" i="324" s="1"/>
  <c r="Z171" i="324" s="1"/>
  <c r="Z172" i="324" s="1"/>
  <c r="Z173" i="324" s="1"/>
  <c r="Z174" i="324" s="1"/>
  <c r="Z175" i="324" s="1"/>
  <c r="Z176" i="324" s="1"/>
  <c r="Z177" i="324" s="1"/>
  <c r="Z178" i="324" s="1"/>
  <c r="Z179" i="324" s="1"/>
  <c r="Z180" i="324" s="1"/>
  <c r="Z181" i="324" s="1"/>
  <c r="Z182" i="324" s="1"/>
  <c r="Z183" i="324" s="1"/>
  <c r="Z184" i="324" s="1"/>
  <c r="Z185" i="324" s="1"/>
  <c r="Z186" i="324" s="1"/>
  <c r="Z187" i="324" s="1"/>
  <c r="Z188" i="324" s="1"/>
  <c r="Z189" i="324" s="1"/>
  <c r="Z190" i="324" s="1"/>
  <c r="Z191" i="324" s="1"/>
  <c r="Z192" i="324" s="1"/>
  <c r="Z193" i="324" s="1"/>
  <c r="Z194" i="324" s="1"/>
  <c r="Z195" i="324" s="1"/>
  <c r="Z196" i="324" s="1"/>
  <c r="Z197" i="324" s="1"/>
  <c r="Z198" i="324" s="1"/>
  <c r="Z199" i="324" s="1"/>
  <c r="Z200" i="324" s="1"/>
  <c r="Z201" i="324" s="1"/>
  <c r="Z202" i="324" s="1"/>
  <c r="Z203" i="324" s="1"/>
  <c r="Z204" i="324" s="1"/>
  <c r="Z205" i="324" s="1"/>
  <c r="Z206" i="324" s="1"/>
  <c r="Z207" i="324" s="1"/>
  <c r="Z208" i="324" s="1"/>
  <c r="Z209" i="324" s="1"/>
  <c r="Z210" i="324" s="1"/>
  <c r="Z211" i="324" s="1"/>
  <c r="Z212" i="324" s="1"/>
  <c r="Z213" i="324" s="1"/>
  <c r="Z214" i="324" s="1"/>
  <c r="Y115" i="324"/>
  <c r="Y116" i="324" s="1"/>
  <c r="Y117" i="324" s="1"/>
  <c r="Y118" i="324" s="1"/>
  <c r="Y119" i="324" s="1"/>
  <c r="Y120" i="324" s="1"/>
  <c r="Y121" i="324" s="1"/>
  <c r="Y122" i="324" s="1"/>
  <c r="Y123" i="324" s="1"/>
  <c r="Y124" i="324" s="1"/>
  <c r="Y125" i="324" s="1"/>
  <c r="Y126" i="324" s="1"/>
  <c r="Y127" i="324" s="1"/>
  <c r="Y128" i="324" s="1"/>
  <c r="Y129" i="324" s="1"/>
  <c r="Y130" i="324" s="1"/>
  <c r="Y131" i="324" s="1"/>
  <c r="Y132" i="324" s="1"/>
  <c r="Y133" i="324" s="1"/>
  <c r="Y134" i="324" s="1"/>
  <c r="Y135" i="324" s="1"/>
  <c r="Y136" i="324" s="1"/>
  <c r="Y137" i="324" s="1"/>
  <c r="Y138" i="324" s="1"/>
  <c r="Y139" i="324" s="1"/>
  <c r="Y140" i="324" s="1"/>
  <c r="Y141" i="324" s="1"/>
  <c r="Y142" i="324" s="1"/>
  <c r="Y143" i="324" s="1"/>
  <c r="Y144" i="324" s="1"/>
  <c r="Y145" i="324" s="1"/>
  <c r="Y146" i="324" s="1"/>
  <c r="Y147" i="324" s="1"/>
  <c r="Y148" i="324" s="1"/>
  <c r="Y149" i="324" s="1"/>
  <c r="Y150" i="324" s="1"/>
  <c r="Y151" i="324" s="1"/>
  <c r="Y152" i="324" s="1"/>
  <c r="Y153" i="324" s="1"/>
  <c r="Y154" i="324" s="1"/>
  <c r="Y155" i="324" s="1"/>
  <c r="Y156" i="324" s="1"/>
  <c r="Y157" i="324" s="1"/>
  <c r="Y158" i="324" s="1"/>
  <c r="Y159" i="324" s="1"/>
  <c r="Y160" i="324" s="1"/>
  <c r="Y161" i="324" s="1"/>
  <c r="Y162" i="324" s="1"/>
  <c r="Y163" i="324" s="1"/>
  <c r="Y164" i="324" s="1"/>
  <c r="Y165" i="324" s="1"/>
  <c r="Y166" i="324" s="1"/>
  <c r="Y167" i="324" s="1"/>
  <c r="Y168" i="324" s="1"/>
  <c r="Y169" i="324" s="1"/>
  <c r="Y170" i="324" s="1"/>
  <c r="Y171" i="324" s="1"/>
  <c r="Y172" i="324" s="1"/>
  <c r="Y173" i="324" s="1"/>
  <c r="Y174" i="324" s="1"/>
  <c r="Y175" i="324" s="1"/>
  <c r="Y176" i="324" s="1"/>
  <c r="Y177" i="324" s="1"/>
  <c r="Y178" i="324" s="1"/>
  <c r="Y179" i="324" s="1"/>
  <c r="Y180" i="324" s="1"/>
  <c r="Y181" i="324" s="1"/>
  <c r="Y182" i="324" s="1"/>
  <c r="Y183" i="324" s="1"/>
  <c r="Y184" i="324" s="1"/>
  <c r="Y185" i="324" s="1"/>
  <c r="Y186" i="324" s="1"/>
  <c r="Y187" i="324" s="1"/>
  <c r="Y188" i="324" s="1"/>
  <c r="Y189" i="324" s="1"/>
  <c r="Y190" i="324" s="1"/>
  <c r="Y191" i="324" s="1"/>
  <c r="Y192" i="324" s="1"/>
  <c r="Y193" i="324" s="1"/>
  <c r="Y194" i="324" s="1"/>
  <c r="Y195" i="324" s="1"/>
  <c r="Y196" i="324" s="1"/>
  <c r="Y197" i="324" s="1"/>
  <c r="Y198" i="324" s="1"/>
  <c r="Y199" i="324" s="1"/>
  <c r="Y200" i="324" s="1"/>
  <c r="Y201" i="324" s="1"/>
  <c r="Y202" i="324" s="1"/>
  <c r="Y203" i="324" s="1"/>
  <c r="Y204" i="324" s="1"/>
  <c r="Y205" i="324" s="1"/>
  <c r="Y206" i="324" s="1"/>
  <c r="Y207" i="324" s="1"/>
  <c r="Y208" i="324" s="1"/>
  <c r="Y209" i="324" s="1"/>
  <c r="Y210" i="324" s="1"/>
  <c r="Y211" i="324" s="1"/>
  <c r="Y212" i="324" s="1"/>
  <c r="Y213" i="324" s="1"/>
  <c r="Y214" i="324" s="1"/>
  <c r="X115" i="324"/>
  <c r="X116" i="324" s="1"/>
  <c r="X117" i="324" s="1"/>
  <c r="X118" i="324" s="1"/>
  <c r="X119" i="324" s="1"/>
  <c r="X120" i="324" s="1"/>
  <c r="X121" i="324" s="1"/>
  <c r="X122" i="324" s="1"/>
  <c r="X123" i="324" s="1"/>
  <c r="X124" i="324" s="1"/>
  <c r="X125" i="324" s="1"/>
  <c r="X126" i="324" s="1"/>
  <c r="X127" i="324" s="1"/>
  <c r="X128" i="324" s="1"/>
  <c r="X129" i="324" s="1"/>
  <c r="X130" i="324" s="1"/>
  <c r="X131" i="324" s="1"/>
  <c r="X132" i="324" s="1"/>
  <c r="X133" i="324" s="1"/>
  <c r="X134" i="324" s="1"/>
  <c r="X135" i="324" s="1"/>
  <c r="X136" i="324" s="1"/>
  <c r="X137" i="324" s="1"/>
  <c r="X138" i="324" s="1"/>
  <c r="X139" i="324" s="1"/>
  <c r="X140" i="324" s="1"/>
  <c r="X141" i="324" s="1"/>
  <c r="X142" i="324" s="1"/>
  <c r="X143" i="324" s="1"/>
  <c r="X144" i="324" s="1"/>
  <c r="X145" i="324" s="1"/>
  <c r="X146" i="324" s="1"/>
  <c r="X147" i="324" s="1"/>
  <c r="X148" i="324" s="1"/>
  <c r="X149" i="324" s="1"/>
  <c r="X150" i="324" s="1"/>
  <c r="X151" i="324" s="1"/>
  <c r="X152" i="324" s="1"/>
  <c r="X153" i="324" s="1"/>
  <c r="X154" i="324" s="1"/>
  <c r="X155" i="324" s="1"/>
  <c r="X156" i="324" s="1"/>
  <c r="X157" i="324" s="1"/>
  <c r="X158" i="324" s="1"/>
  <c r="X159" i="324" s="1"/>
  <c r="X160" i="324" s="1"/>
  <c r="X161" i="324" s="1"/>
  <c r="X162" i="324" s="1"/>
  <c r="X163" i="324" s="1"/>
  <c r="X164" i="324" s="1"/>
  <c r="X165" i="324" s="1"/>
  <c r="X166" i="324" s="1"/>
  <c r="X167" i="324" s="1"/>
  <c r="X168" i="324" s="1"/>
  <c r="X169" i="324" s="1"/>
  <c r="X170" i="324" s="1"/>
  <c r="X171" i="324" s="1"/>
  <c r="X172" i="324" s="1"/>
  <c r="X173" i="324" s="1"/>
  <c r="X174" i="324" s="1"/>
  <c r="X175" i="324" s="1"/>
  <c r="X176" i="324" s="1"/>
  <c r="X177" i="324" s="1"/>
  <c r="X178" i="324" s="1"/>
  <c r="X179" i="324" s="1"/>
  <c r="X180" i="324" s="1"/>
  <c r="X181" i="324" s="1"/>
  <c r="X182" i="324" s="1"/>
  <c r="X183" i="324" s="1"/>
  <c r="X184" i="324" s="1"/>
  <c r="X185" i="324" s="1"/>
  <c r="X186" i="324" s="1"/>
  <c r="X187" i="324" s="1"/>
  <c r="X188" i="324" s="1"/>
  <c r="X189" i="324" s="1"/>
  <c r="X190" i="324" s="1"/>
  <c r="X191" i="324" s="1"/>
  <c r="X192" i="324" s="1"/>
  <c r="X193" i="324" s="1"/>
  <c r="X194" i="324" s="1"/>
  <c r="X195" i="324" s="1"/>
  <c r="X196" i="324" s="1"/>
  <c r="X197" i="324" s="1"/>
  <c r="X198" i="324" s="1"/>
  <c r="X199" i="324" s="1"/>
  <c r="X200" i="324" s="1"/>
  <c r="X201" i="324" s="1"/>
  <c r="X202" i="324" s="1"/>
  <c r="X203" i="324" s="1"/>
  <c r="X204" i="324" s="1"/>
  <c r="X205" i="324" s="1"/>
  <c r="X206" i="324" s="1"/>
  <c r="X207" i="324" s="1"/>
  <c r="X208" i="324" s="1"/>
  <c r="X209" i="324" s="1"/>
  <c r="X210" i="324" s="1"/>
  <c r="X211" i="324" s="1"/>
  <c r="X212" i="324" s="1"/>
  <c r="X213" i="324" s="1"/>
  <c r="X214" i="324" s="1"/>
  <c r="W115" i="324"/>
  <c r="W116" i="324" s="1"/>
  <c r="W117" i="324" s="1"/>
  <c r="W118" i="324" s="1"/>
  <c r="W119" i="324" s="1"/>
  <c r="W120" i="324" s="1"/>
  <c r="W121" i="324" s="1"/>
  <c r="W122" i="324" s="1"/>
  <c r="W123" i="324" s="1"/>
  <c r="W124" i="324" s="1"/>
  <c r="W125" i="324" s="1"/>
  <c r="W126" i="324" s="1"/>
  <c r="W127" i="324" s="1"/>
  <c r="W128" i="324" s="1"/>
  <c r="W129" i="324" s="1"/>
  <c r="W130" i="324" s="1"/>
  <c r="W131" i="324" s="1"/>
  <c r="W132" i="324" s="1"/>
  <c r="W133" i="324" s="1"/>
  <c r="W134" i="324" s="1"/>
  <c r="W135" i="324" s="1"/>
  <c r="W136" i="324" s="1"/>
  <c r="W137" i="324" s="1"/>
  <c r="W138" i="324" s="1"/>
  <c r="W139" i="324" s="1"/>
  <c r="W140" i="324" s="1"/>
  <c r="W141" i="324" s="1"/>
  <c r="W142" i="324" s="1"/>
  <c r="W143" i="324" s="1"/>
  <c r="W144" i="324" s="1"/>
  <c r="W145" i="324" s="1"/>
  <c r="W146" i="324" s="1"/>
  <c r="W147" i="324" s="1"/>
  <c r="W148" i="324" s="1"/>
  <c r="W149" i="324" s="1"/>
  <c r="W150" i="324" s="1"/>
  <c r="W151" i="324" s="1"/>
  <c r="W152" i="324" s="1"/>
  <c r="W153" i="324" s="1"/>
  <c r="W154" i="324" s="1"/>
  <c r="W155" i="324" s="1"/>
  <c r="W156" i="324" s="1"/>
  <c r="W157" i="324" s="1"/>
  <c r="W158" i="324" s="1"/>
  <c r="W159" i="324" s="1"/>
  <c r="W160" i="324" s="1"/>
  <c r="W161" i="324" s="1"/>
  <c r="W162" i="324" s="1"/>
  <c r="W163" i="324" s="1"/>
  <c r="W164" i="324" s="1"/>
  <c r="W165" i="324" s="1"/>
  <c r="W166" i="324" s="1"/>
  <c r="W167" i="324" s="1"/>
  <c r="W168" i="324" s="1"/>
  <c r="W169" i="324" s="1"/>
  <c r="W170" i="324" s="1"/>
  <c r="W171" i="324" s="1"/>
  <c r="W172" i="324" s="1"/>
  <c r="W173" i="324" s="1"/>
  <c r="W174" i="324" s="1"/>
  <c r="W175" i="324" s="1"/>
  <c r="W176" i="324" s="1"/>
  <c r="W177" i="324" s="1"/>
  <c r="W178" i="324" s="1"/>
  <c r="W179" i="324" s="1"/>
  <c r="W180" i="324" s="1"/>
  <c r="W181" i="324" s="1"/>
  <c r="W182" i="324" s="1"/>
  <c r="W183" i="324" s="1"/>
  <c r="W184" i="324" s="1"/>
  <c r="W185" i="324" s="1"/>
  <c r="W186" i="324" s="1"/>
  <c r="W187" i="324" s="1"/>
  <c r="W188" i="324" s="1"/>
  <c r="W189" i="324" s="1"/>
  <c r="W190" i="324" s="1"/>
  <c r="W191" i="324" s="1"/>
  <c r="W192" i="324" s="1"/>
  <c r="W193" i="324" s="1"/>
  <c r="W194" i="324" s="1"/>
  <c r="W195" i="324" s="1"/>
  <c r="W196" i="324" s="1"/>
  <c r="W197" i="324" s="1"/>
  <c r="W198" i="324" s="1"/>
  <c r="W199" i="324" s="1"/>
  <c r="W200" i="324" s="1"/>
  <c r="W201" i="324" s="1"/>
  <c r="W202" i="324" s="1"/>
  <c r="W203" i="324" s="1"/>
  <c r="W204" i="324" s="1"/>
  <c r="W205" i="324" s="1"/>
  <c r="W206" i="324" s="1"/>
  <c r="W207" i="324" s="1"/>
  <c r="W208" i="324" s="1"/>
  <c r="W209" i="324" s="1"/>
  <c r="W210" i="324" s="1"/>
  <c r="W211" i="324" s="1"/>
  <c r="W212" i="324" s="1"/>
  <c r="W213" i="324" s="1"/>
  <c r="W214" i="324" s="1"/>
  <c r="V115" i="324"/>
  <c r="V116" i="324" s="1"/>
  <c r="V117" i="324" s="1"/>
  <c r="V118" i="324" s="1"/>
  <c r="V119" i="324" s="1"/>
  <c r="V120" i="324" s="1"/>
  <c r="V121" i="324" s="1"/>
  <c r="V122" i="324" s="1"/>
  <c r="V123" i="324" s="1"/>
  <c r="V124" i="324" s="1"/>
  <c r="V125" i="324" s="1"/>
  <c r="V126" i="324" s="1"/>
  <c r="V127" i="324" s="1"/>
  <c r="V128" i="324" s="1"/>
  <c r="V129" i="324" s="1"/>
  <c r="V130" i="324" s="1"/>
  <c r="V131" i="324" s="1"/>
  <c r="V132" i="324" s="1"/>
  <c r="V133" i="324" s="1"/>
  <c r="V134" i="324" s="1"/>
  <c r="V135" i="324" s="1"/>
  <c r="V136" i="324" s="1"/>
  <c r="V137" i="324" s="1"/>
  <c r="V138" i="324" s="1"/>
  <c r="V139" i="324" s="1"/>
  <c r="V140" i="324" s="1"/>
  <c r="V141" i="324" s="1"/>
  <c r="V142" i="324" s="1"/>
  <c r="V143" i="324" s="1"/>
  <c r="V144" i="324" s="1"/>
  <c r="V145" i="324" s="1"/>
  <c r="V146" i="324" s="1"/>
  <c r="V147" i="324" s="1"/>
  <c r="V148" i="324" s="1"/>
  <c r="V149" i="324" s="1"/>
  <c r="V150" i="324" s="1"/>
  <c r="V151" i="324" s="1"/>
  <c r="V152" i="324" s="1"/>
  <c r="V153" i="324" s="1"/>
  <c r="V154" i="324" s="1"/>
  <c r="V155" i="324" s="1"/>
  <c r="V156" i="324" s="1"/>
  <c r="V157" i="324" s="1"/>
  <c r="V158" i="324" s="1"/>
  <c r="V159" i="324" s="1"/>
  <c r="V160" i="324" s="1"/>
  <c r="V161" i="324" s="1"/>
  <c r="V162" i="324" s="1"/>
  <c r="V163" i="324" s="1"/>
  <c r="V164" i="324" s="1"/>
  <c r="V165" i="324" s="1"/>
  <c r="V166" i="324" s="1"/>
  <c r="V167" i="324" s="1"/>
  <c r="V168" i="324" s="1"/>
  <c r="V169" i="324" s="1"/>
  <c r="V170" i="324" s="1"/>
  <c r="V171" i="324" s="1"/>
  <c r="V172" i="324" s="1"/>
  <c r="V173" i="324" s="1"/>
  <c r="V174" i="324" s="1"/>
  <c r="V175" i="324" s="1"/>
  <c r="V176" i="324" s="1"/>
  <c r="V177" i="324" s="1"/>
  <c r="V178" i="324" s="1"/>
  <c r="V179" i="324" s="1"/>
  <c r="V180" i="324" s="1"/>
  <c r="V181" i="324" s="1"/>
  <c r="V182" i="324" s="1"/>
  <c r="V183" i="324" s="1"/>
  <c r="V184" i="324" s="1"/>
  <c r="V185" i="324" s="1"/>
  <c r="V186" i="324" s="1"/>
  <c r="V187" i="324" s="1"/>
  <c r="V188" i="324" s="1"/>
  <c r="V189" i="324" s="1"/>
  <c r="V190" i="324" s="1"/>
  <c r="V191" i="324" s="1"/>
  <c r="V192" i="324" s="1"/>
  <c r="V193" i="324" s="1"/>
  <c r="V194" i="324" s="1"/>
  <c r="V195" i="324" s="1"/>
  <c r="V196" i="324" s="1"/>
  <c r="V197" i="324" s="1"/>
  <c r="V198" i="324" s="1"/>
  <c r="V199" i="324" s="1"/>
  <c r="V200" i="324" s="1"/>
  <c r="V201" i="324" s="1"/>
  <c r="V202" i="324" s="1"/>
  <c r="V203" i="324" s="1"/>
  <c r="V204" i="324" s="1"/>
  <c r="V205" i="324" s="1"/>
  <c r="V206" i="324" s="1"/>
  <c r="V207" i="324" s="1"/>
  <c r="V208" i="324" s="1"/>
  <c r="V209" i="324" s="1"/>
  <c r="V210" i="324" s="1"/>
  <c r="V211" i="324" s="1"/>
  <c r="V212" i="324" s="1"/>
  <c r="V213" i="324" s="1"/>
  <c r="V214" i="324" s="1"/>
  <c r="U115" i="324"/>
  <c r="U116" i="324" s="1"/>
  <c r="U117" i="324" s="1"/>
  <c r="U118" i="324" s="1"/>
  <c r="U119" i="324" s="1"/>
  <c r="U120" i="324" s="1"/>
  <c r="U121" i="324" s="1"/>
  <c r="U122" i="324" s="1"/>
  <c r="U123" i="324" s="1"/>
  <c r="U124" i="324" s="1"/>
  <c r="U125" i="324" s="1"/>
  <c r="U126" i="324" s="1"/>
  <c r="U127" i="324" s="1"/>
  <c r="U128" i="324" s="1"/>
  <c r="U129" i="324" s="1"/>
  <c r="U130" i="324" s="1"/>
  <c r="U131" i="324" s="1"/>
  <c r="U132" i="324" s="1"/>
  <c r="U133" i="324" s="1"/>
  <c r="U134" i="324" s="1"/>
  <c r="U135" i="324" s="1"/>
  <c r="U136" i="324" s="1"/>
  <c r="U137" i="324" s="1"/>
  <c r="U138" i="324" s="1"/>
  <c r="U139" i="324" s="1"/>
  <c r="U140" i="324" s="1"/>
  <c r="U141" i="324" s="1"/>
  <c r="U142" i="324" s="1"/>
  <c r="U143" i="324" s="1"/>
  <c r="U144" i="324" s="1"/>
  <c r="U145" i="324" s="1"/>
  <c r="U146" i="324" s="1"/>
  <c r="U147" i="324" s="1"/>
  <c r="U148" i="324" s="1"/>
  <c r="U149" i="324" s="1"/>
  <c r="U150" i="324" s="1"/>
  <c r="U151" i="324" s="1"/>
  <c r="U152" i="324" s="1"/>
  <c r="U153" i="324" s="1"/>
  <c r="U154" i="324" s="1"/>
  <c r="U155" i="324" s="1"/>
  <c r="U156" i="324" s="1"/>
  <c r="U157" i="324" s="1"/>
  <c r="U158" i="324" s="1"/>
  <c r="U159" i="324" s="1"/>
  <c r="U160" i="324" s="1"/>
  <c r="U161" i="324" s="1"/>
  <c r="U162" i="324" s="1"/>
  <c r="U163" i="324" s="1"/>
  <c r="U164" i="324" s="1"/>
  <c r="U165" i="324" s="1"/>
  <c r="U166" i="324" s="1"/>
  <c r="U167" i="324" s="1"/>
  <c r="U168" i="324" s="1"/>
  <c r="U169" i="324" s="1"/>
  <c r="U170" i="324" s="1"/>
  <c r="U171" i="324" s="1"/>
  <c r="U172" i="324" s="1"/>
  <c r="U173" i="324" s="1"/>
  <c r="U174" i="324" s="1"/>
  <c r="U175" i="324" s="1"/>
  <c r="U176" i="324" s="1"/>
  <c r="U177" i="324" s="1"/>
  <c r="U178" i="324" s="1"/>
  <c r="U179" i="324" s="1"/>
  <c r="U180" i="324" s="1"/>
  <c r="U181" i="324" s="1"/>
  <c r="U182" i="324" s="1"/>
  <c r="U183" i="324" s="1"/>
  <c r="U184" i="324" s="1"/>
  <c r="U185" i="324" s="1"/>
  <c r="U186" i="324" s="1"/>
  <c r="U187" i="324" s="1"/>
  <c r="U188" i="324" s="1"/>
  <c r="U189" i="324" s="1"/>
  <c r="U190" i="324" s="1"/>
  <c r="U191" i="324" s="1"/>
  <c r="U192" i="324" s="1"/>
  <c r="U193" i="324" s="1"/>
  <c r="U194" i="324" s="1"/>
  <c r="U195" i="324" s="1"/>
  <c r="U196" i="324" s="1"/>
  <c r="U197" i="324" s="1"/>
  <c r="U198" i="324" s="1"/>
  <c r="U199" i="324" s="1"/>
  <c r="U200" i="324" s="1"/>
  <c r="U201" i="324" s="1"/>
  <c r="U202" i="324" s="1"/>
  <c r="U203" i="324" s="1"/>
  <c r="U204" i="324" s="1"/>
  <c r="U205" i="324" s="1"/>
  <c r="U206" i="324" s="1"/>
  <c r="U207" i="324" s="1"/>
  <c r="U208" i="324" s="1"/>
  <c r="U209" i="324" s="1"/>
  <c r="U210" i="324" s="1"/>
  <c r="U211" i="324" s="1"/>
  <c r="U212" i="324" s="1"/>
  <c r="U213" i="324" s="1"/>
  <c r="U214" i="324" s="1"/>
  <c r="T115" i="324"/>
  <c r="T116" i="324" s="1"/>
  <c r="T117" i="324" s="1"/>
  <c r="T118" i="324" s="1"/>
  <c r="T119" i="324" s="1"/>
  <c r="T120" i="324" s="1"/>
  <c r="T121" i="324" s="1"/>
  <c r="T122" i="324" s="1"/>
  <c r="T123" i="324" s="1"/>
  <c r="T124" i="324" s="1"/>
  <c r="T125" i="324" s="1"/>
  <c r="T126" i="324" s="1"/>
  <c r="T127" i="324" s="1"/>
  <c r="T128" i="324" s="1"/>
  <c r="T129" i="324" s="1"/>
  <c r="T130" i="324" s="1"/>
  <c r="T131" i="324" s="1"/>
  <c r="T132" i="324" s="1"/>
  <c r="T133" i="324" s="1"/>
  <c r="T134" i="324" s="1"/>
  <c r="T135" i="324" s="1"/>
  <c r="T136" i="324" s="1"/>
  <c r="T137" i="324" s="1"/>
  <c r="T138" i="324" s="1"/>
  <c r="T139" i="324" s="1"/>
  <c r="T140" i="324" s="1"/>
  <c r="T141" i="324" s="1"/>
  <c r="T142" i="324" s="1"/>
  <c r="T143" i="324" s="1"/>
  <c r="T144" i="324" s="1"/>
  <c r="T145" i="324" s="1"/>
  <c r="T146" i="324" s="1"/>
  <c r="T147" i="324" s="1"/>
  <c r="T148" i="324" s="1"/>
  <c r="T149" i="324" s="1"/>
  <c r="T150" i="324" s="1"/>
  <c r="T151" i="324" s="1"/>
  <c r="T152" i="324" s="1"/>
  <c r="T153" i="324" s="1"/>
  <c r="T154" i="324" s="1"/>
  <c r="T155" i="324" s="1"/>
  <c r="T156" i="324" s="1"/>
  <c r="T157" i="324" s="1"/>
  <c r="T158" i="324" s="1"/>
  <c r="T159" i="324" s="1"/>
  <c r="T160" i="324" s="1"/>
  <c r="T161" i="324" s="1"/>
  <c r="T162" i="324" s="1"/>
  <c r="T163" i="324" s="1"/>
  <c r="T164" i="324" s="1"/>
  <c r="T165" i="324" s="1"/>
  <c r="T166" i="324" s="1"/>
  <c r="T167" i="324" s="1"/>
  <c r="T168" i="324" s="1"/>
  <c r="T169" i="324" s="1"/>
  <c r="T170" i="324" s="1"/>
  <c r="T171" i="324" s="1"/>
  <c r="T172" i="324" s="1"/>
  <c r="T173" i="324" s="1"/>
  <c r="T174" i="324" s="1"/>
  <c r="T175" i="324" s="1"/>
  <c r="T176" i="324" s="1"/>
  <c r="T177" i="324" s="1"/>
  <c r="T178" i="324" s="1"/>
  <c r="T179" i="324" s="1"/>
  <c r="T180" i="324" s="1"/>
  <c r="T181" i="324" s="1"/>
  <c r="T182" i="324" s="1"/>
  <c r="T183" i="324" s="1"/>
  <c r="T184" i="324" s="1"/>
  <c r="T185" i="324" s="1"/>
  <c r="T186" i="324" s="1"/>
  <c r="T187" i="324" s="1"/>
  <c r="T188" i="324" s="1"/>
  <c r="T189" i="324" s="1"/>
  <c r="T190" i="324" s="1"/>
  <c r="T191" i="324" s="1"/>
  <c r="T192" i="324" s="1"/>
  <c r="T193" i="324" s="1"/>
  <c r="T194" i="324" s="1"/>
  <c r="T195" i="324" s="1"/>
  <c r="T196" i="324" s="1"/>
  <c r="T197" i="324" s="1"/>
  <c r="T198" i="324" s="1"/>
  <c r="T199" i="324" s="1"/>
  <c r="T200" i="324" s="1"/>
  <c r="T201" i="324" s="1"/>
  <c r="T202" i="324" s="1"/>
  <c r="T203" i="324" s="1"/>
  <c r="T204" i="324" s="1"/>
  <c r="T205" i="324" s="1"/>
  <c r="T206" i="324" s="1"/>
  <c r="T207" i="324" s="1"/>
  <c r="T208" i="324" s="1"/>
  <c r="T209" i="324" s="1"/>
  <c r="T210" i="324" s="1"/>
  <c r="T211" i="324" s="1"/>
  <c r="T212" i="324" s="1"/>
  <c r="T213" i="324" s="1"/>
  <c r="T214" i="324" s="1"/>
  <c r="S115" i="324"/>
  <c r="S116" i="324" s="1"/>
  <c r="S117" i="324" s="1"/>
  <c r="S118" i="324" s="1"/>
  <c r="S119" i="324" s="1"/>
  <c r="S120" i="324" s="1"/>
  <c r="S121" i="324" s="1"/>
  <c r="S122" i="324" s="1"/>
  <c r="S123" i="324" s="1"/>
  <c r="S124" i="324" s="1"/>
  <c r="S125" i="324" s="1"/>
  <c r="S126" i="324" s="1"/>
  <c r="S127" i="324" s="1"/>
  <c r="S128" i="324" s="1"/>
  <c r="S129" i="324" s="1"/>
  <c r="S130" i="324" s="1"/>
  <c r="S131" i="324" s="1"/>
  <c r="S132" i="324" s="1"/>
  <c r="S133" i="324" s="1"/>
  <c r="S134" i="324" s="1"/>
  <c r="S135" i="324" s="1"/>
  <c r="S136" i="324" s="1"/>
  <c r="S137" i="324" s="1"/>
  <c r="S138" i="324" s="1"/>
  <c r="S139" i="324" s="1"/>
  <c r="S140" i="324" s="1"/>
  <c r="S141" i="324" s="1"/>
  <c r="S142" i="324" s="1"/>
  <c r="S143" i="324" s="1"/>
  <c r="S144" i="324" s="1"/>
  <c r="S145" i="324" s="1"/>
  <c r="S146" i="324" s="1"/>
  <c r="S147" i="324" s="1"/>
  <c r="S148" i="324" s="1"/>
  <c r="S149" i="324" s="1"/>
  <c r="S150" i="324" s="1"/>
  <c r="S151" i="324" s="1"/>
  <c r="S152" i="324" s="1"/>
  <c r="S153" i="324" s="1"/>
  <c r="S154" i="324" s="1"/>
  <c r="S155" i="324" s="1"/>
  <c r="S156" i="324" s="1"/>
  <c r="S157" i="324" s="1"/>
  <c r="S158" i="324" s="1"/>
  <c r="S159" i="324" s="1"/>
  <c r="S160" i="324" s="1"/>
  <c r="S161" i="324" s="1"/>
  <c r="S162" i="324" s="1"/>
  <c r="S163" i="324" s="1"/>
  <c r="S164" i="324" s="1"/>
  <c r="S165" i="324" s="1"/>
  <c r="S166" i="324" s="1"/>
  <c r="S167" i="324" s="1"/>
  <c r="S168" i="324" s="1"/>
  <c r="S169" i="324" s="1"/>
  <c r="S170" i="324" s="1"/>
  <c r="S171" i="324" s="1"/>
  <c r="S172" i="324" s="1"/>
  <c r="S173" i="324" s="1"/>
  <c r="S174" i="324" s="1"/>
  <c r="S175" i="324" s="1"/>
  <c r="S176" i="324" s="1"/>
  <c r="S177" i="324" s="1"/>
  <c r="S178" i="324" s="1"/>
  <c r="S179" i="324" s="1"/>
  <c r="S180" i="324" s="1"/>
  <c r="S181" i="324" s="1"/>
  <c r="S182" i="324" s="1"/>
  <c r="S183" i="324" s="1"/>
  <c r="S184" i="324" s="1"/>
  <c r="S185" i="324" s="1"/>
  <c r="S186" i="324" s="1"/>
  <c r="S187" i="324" s="1"/>
  <c r="S188" i="324" s="1"/>
  <c r="S189" i="324" s="1"/>
  <c r="S190" i="324" s="1"/>
  <c r="S191" i="324" s="1"/>
  <c r="S192" i="324" s="1"/>
  <c r="S193" i="324" s="1"/>
  <c r="S194" i="324" s="1"/>
  <c r="S195" i="324" s="1"/>
  <c r="S196" i="324" s="1"/>
  <c r="S197" i="324" s="1"/>
  <c r="S198" i="324" s="1"/>
  <c r="S199" i="324" s="1"/>
  <c r="S200" i="324" s="1"/>
  <c r="S201" i="324" s="1"/>
  <c r="S202" i="324" s="1"/>
  <c r="S203" i="324" s="1"/>
  <c r="S204" i="324" s="1"/>
  <c r="S205" i="324" s="1"/>
  <c r="S206" i="324" s="1"/>
  <c r="S207" i="324" s="1"/>
  <c r="S208" i="324" s="1"/>
  <c r="S209" i="324" s="1"/>
  <c r="S210" i="324" s="1"/>
  <c r="S211" i="324" s="1"/>
  <c r="S212" i="324" s="1"/>
  <c r="S213" i="324" s="1"/>
  <c r="S214" i="324" s="1"/>
  <c r="R115" i="324"/>
  <c r="R116" i="324" s="1"/>
  <c r="R117" i="324" s="1"/>
  <c r="R118" i="324" s="1"/>
  <c r="R119" i="324" s="1"/>
  <c r="R120" i="324" s="1"/>
  <c r="R121" i="324" s="1"/>
  <c r="R122" i="324" s="1"/>
  <c r="R123" i="324" s="1"/>
  <c r="R124" i="324" s="1"/>
  <c r="R125" i="324" s="1"/>
  <c r="R126" i="324" s="1"/>
  <c r="R127" i="324" s="1"/>
  <c r="R128" i="324" s="1"/>
  <c r="R129" i="324" s="1"/>
  <c r="R130" i="324" s="1"/>
  <c r="R131" i="324" s="1"/>
  <c r="R132" i="324" s="1"/>
  <c r="R133" i="324" s="1"/>
  <c r="R134" i="324" s="1"/>
  <c r="R135" i="324" s="1"/>
  <c r="R136" i="324" s="1"/>
  <c r="R137" i="324" s="1"/>
  <c r="R138" i="324" s="1"/>
  <c r="R139" i="324" s="1"/>
  <c r="R140" i="324" s="1"/>
  <c r="R141" i="324" s="1"/>
  <c r="R142" i="324" s="1"/>
  <c r="R143" i="324" s="1"/>
  <c r="R144" i="324" s="1"/>
  <c r="R145" i="324" s="1"/>
  <c r="R146" i="324" s="1"/>
  <c r="R147" i="324" s="1"/>
  <c r="R148" i="324" s="1"/>
  <c r="R149" i="324" s="1"/>
  <c r="R150" i="324" s="1"/>
  <c r="R151" i="324" s="1"/>
  <c r="R152" i="324" s="1"/>
  <c r="R153" i="324" s="1"/>
  <c r="R154" i="324" s="1"/>
  <c r="R155" i="324" s="1"/>
  <c r="R156" i="324" s="1"/>
  <c r="R157" i="324" s="1"/>
  <c r="R158" i="324" s="1"/>
  <c r="R159" i="324" s="1"/>
  <c r="R160" i="324" s="1"/>
  <c r="R161" i="324" s="1"/>
  <c r="R162" i="324" s="1"/>
  <c r="R163" i="324" s="1"/>
  <c r="R164" i="324" s="1"/>
  <c r="R165" i="324" s="1"/>
  <c r="R166" i="324" s="1"/>
  <c r="R167" i="324" s="1"/>
  <c r="R168" i="324" s="1"/>
  <c r="R169" i="324" s="1"/>
  <c r="R170" i="324" s="1"/>
  <c r="R171" i="324" s="1"/>
  <c r="R172" i="324" s="1"/>
  <c r="R173" i="324" s="1"/>
  <c r="R174" i="324" s="1"/>
  <c r="R175" i="324" s="1"/>
  <c r="R176" i="324" s="1"/>
  <c r="R177" i="324" s="1"/>
  <c r="R178" i="324" s="1"/>
  <c r="R179" i="324" s="1"/>
  <c r="R180" i="324" s="1"/>
  <c r="R181" i="324" s="1"/>
  <c r="R182" i="324" s="1"/>
  <c r="R183" i="324" s="1"/>
  <c r="R184" i="324" s="1"/>
  <c r="R185" i="324" s="1"/>
  <c r="R186" i="324" s="1"/>
  <c r="R187" i="324" s="1"/>
  <c r="R188" i="324" s="1"/>
  <c r="R189" i="324" s="1"/>
  <c r="R190" i="324" s="1"/>
  <c r="R191" i="324" s="1"/>
  <c r="R192" i="324" s="1"/>
  <c r="R193" i="324" s="1"/>
  <c r="R194" i="324" s="1"/>
  <c r="R195" i="324" s="1"/>
  <c r="R196" i="324" s="1"/>
  <c r="R197" i="324" s="1"/>
  <c r="R198" i="324" s="1"/>
  <c r="R199" i="324" s="1"/>
  <c r="R200" i="324" s="1"/>
  <c r="R201" i="324" s="1"/>
  <c r="R202" i="324" s="1"/>
  <c r="R203" i="324" s="1"/>
  <c r="R204" i="324" s="1"/>
  <c r="R205" i="324" s="1"/>
  <c r="R206" i="324" s="1"/>
  <c r="R207" i="324" s="1"/>
  <c r="R208" i="324" s="1"/>
  <c r="R209" i="324" s="1"/>
  <c r="R210" i="324" s="1"/>
  <c r="R211" i="324" s="1"/>
  <c r="R212" i="324" s="1"/>
  <c r="R213" i="324" s="1"/>
  <c r="R214" i="324" s="1"/>
  <c r="AF114" i="324"/>
  <c r="AE114" i="324"/>
  <c r="AD114" i="324"/>
  <c r="AC114" i="324"/>
  <c r="AB114" i="324"/>
  <c r="AA114" i="324"/>
  <c r="Z114" i="324"/>
  <c r="Y114" i="324"/>
  <c r="X114" i="324"/>
  <c r="W114" i="324"/>
  <c r="V114" i="324"/>
  <c r="U114" i="324"/>
  <c r="T114" i="324"/>
  <c r="S114" i="324"/>
  <c r="R114" i="324"/>
  <c r="AF5" i="324"/>
  <c r="AF6" i="324" s="1"/>
  <c r="AF7" i="324" s="1"/>
  <c r="AF8" i="324" s="1"/>
  <c r="AF9" i="324" s="1"/>
  <c r="AF10" i="324" s="1"/>
  <c r="AF11" i="324" s="1"/>
  <c r="AF12" i="324" s="1"/>
  <c r="AF13" i="324" s="1"/>
  <c r="AF14" i="324" s="1"/>
  <c r="AF15" i="324" s="1"/>
  <c r="AF16" i="324" s="1"/>
  <c r="AF17" i="324" s="1"/>
  <c r="AF18" i="324" s="1"/>
  <c r="AF19" i="324" s="1"/>
  <c r="AF20" i="324" s="1"/>
  <c r="AF21" i="324" s="1"/>
  <c r="AF22" i="324" s="1"/>
  <c r="AF23" i="324" s="1"/>
  <c r="AF24" i="324" s="1"/>
  <c r="AF25" i="324" s="1"/>
  <c r="AF26" i="324" s="1"/>
  <c r="AF27" i="324" s="1"/>
  <c r="AF28" i="324" s="1"/>
  <c r="AF29" i="324" s="1"/>
  <c r="AF30" i="324" s="1"/>
  <c r="AF31" i="324" s="1"/>
  <c r="AF32" i="324" s="1"/>
  <c r="AF33" i="324" s="1"/>
  <c r="AF34" i="324" s="1"/>
  <c r="AF35" i="324" s="1"/>
  <c r="AF36" i="324" s="1"/>
  <c r="AF37" i="324" s="1"/>
  <c r="AF38" i="324" s="1"/>
  <c r="AF39" i="324" s="1"/>
  <c r="AF40" i="324" s="1"/>
  <c r="AF41" i="324" s="1"/>
  <c r="AF42" i="324" s="1"/>
  <c r="AF43" i="324" s="1"/>
  <c r="AF44" i="324" s="1"/>
  <c r="AF45" i="324" s="1"/>
  <c r="AF46" i="324" s="1"/>
  <c r="AF47" i="324" s="1"/>
  <c r="AF48" i="324" s="1"/>
  <c r="AF49" i="324" s="1"/>
  <c r="AF50" i="324" s="1"/>
  <c r="AF51" i="324" s="1"/>
  <c r="AF52" i="324" s="1"/>
  <c r="AF53" i="324" s="1"/>
  <c r="AF54" i="324" s="1"/>
  <c r="AF55" i="324" s="1"/>
  <c r="AF56" i="324" s="1"/>
  <c r="AF57" i="324" s="1"/>
  <c r="AF58" i="324" s="1"/>
  <c r="AF59" i="324" s="1"/>
  <c r="AF60" i="324" s="1"/>
  <c r="AF61" i="324" s="1"/>
  <c r="AF62" i="324" s="1"/>
  <c r="AF63" i="324" s="1"/>
  <c r="AF64" i="324" s="1"/>
  <c r="AF65" i="324" s="1"/>
  <c r="AF66" i="324" s="1"/>
  <c r="AF67" i="324" s="1"/>
  <c r="AF68" i="324" s="1"/>
  <c r="AF69" i="324" s="1"/>
  <c r="AF70" i="324" s="1"/>
  <c r="AF71" i="324" s="1"/>
  <c r="AF72" i="324" s="1"/>
  <c r="AF73" i="324" s="1"/>
  <c r="AF74" i="324" s="1"/>
  <c r="AF75" i="324" s="1"/>
  <c r="AF76" i="324" s="1"/>
  <c r="AF77" i="324" s="1"/>
  <c r="AF78" i="324" s="1"/>
  <c r="AF79" i="324" s="1"/>
  <c r="AF80" i="324" s="1"/>
  <c r="AF81" i="324" s="1"/>
  <c r="AF82" i="324" s="1"/>
  <c r="AF83" i="324" s="1"/>
  <c r="AF84" i="324" s="1"/>
  <c r="AF85" i="324" s="1"/>
  <c r="AF86" i="324" s="1"/>
  <c r="AF87" i="324" s="1"/>
  <c r="AF88" i="324" s="1"/>
  <c r="AF89" i="324" s="1"/>
  <c r="AF90" i="324" s="1"/>
  <c r="AF91" i="324" s="1"/>
  <c r="AF92" i="324" s="1"/>
  <c r="AF93" i="324" s="1"/>
  <c r="AF94" i="324" s="1"/>
  <c r="AF95" i="324" s="1"/>
  <c r="AF96" i="324" s="1"/>
  <c r="AF97" i="324" s="1"/>
  <c r="AF98" i="324" s="1"/>
  <c r="AF99" i="324" s="1"/>
  <c r="AF100" i="324" s="1"/>
  <c r="AF101" i="324" s="1"/>
  <c r="AF102" i="324" s="1"/>
  <c r="AF103" i="324" s="1"/>
  <c r="AF104" i="324" s="1"/>
  <c r="AE5" i="324"/>
  <c r="AE6" i="324" s="1"/>
  <c r="AE7" i="324" s="1"/>
  <c r="AE8" i="324" s="1"/>
  <c r="AE9" i="324" s="1"/>
  <c r="AE10" i="324" s="1"/>
  <c r="AE11" i="324" s="1"/>
  <c r="AE12" i="324" s="1"/>
  <c r="AE13" i="324" s="1"/>
  <c r="AE14" i="324" s="1"/>
  <c r="AE15" i="324" s="1"/>
  <c r="AE16" i="324" s="1"/>
  <c r="AE17" i="324" s="1"/>
  <c r="AE18" i="324" s="1"/>
  <c r="AE19" i="324" s="1"/>
  <c r="AE20" i="324" s="1"/>
  <c r="AE21" i="324" s="1"/>
  <c r="AE22" i="324" s="1"/>
  <c r="AE23" i="324" s="1"/>
  <c r="AE24" i="324" s="1"/>
  <c r="AE25" i="324" s="1"/>
  <c r="AE26" i="324" s="1"/>
  <c r="AE27" i="324" s="1"/>
  <c r="AE28" i="324" s="1"/>
  <c r="AE29" i="324" s="1"/>
  <c r="AE30" i="324" s="1"/>
  <c r="AE31" i="324" s="1"/>
  <c r="AE32" i="324" s="1"/>
  <c r="AE33" i="324" s="1"/>
  <c r="AE34" i="324" s="1"/>
  <c r="AE35" i="324" s="1"/>
  <c r="AE36" i="324" s="1"/>
  <c r="AE37" i="324" s="1"/>
  <c r="AE38" i="324" s="1"/>
  <c r="AE39" i="324" s="1"/>
  <c r="AE40" i="324" s="1"/>
  <c r="AE41" i="324" s="1"/>
  <c r="AE42" i="324" s="1"/>
  <c r="AE43" i="324" s="1"/>
  <c r="AE44" i="324" s="1"/>
  <c r="AE45" i="324" s="1"/>
  <c r="AE46" i="324" s="1"/>
  <c r="AE47" i="324" s="1"/>
  <c r="AE48" i="324" s="1"/>
  <c r="AE49" i="324" s="1"/>
  <c r="AE50" i="324" s="1"/>
  <c r="AE51" i="324" s="1"/>
  <c r="AE52" i="324" s="1"/>
  <c r="AE53" i="324" s="1"/>
  <c r="AE54" i="324" s="1"/>
  <c r="AE55" i="324" s="1"/>
  <c r="AE56" i="324" s="1"/>
  <c r="AE57" i="324" s="1"/>
  <c r="AE58" i="324" s="1"/>
  <c r="AE59" i="324" s="1"/>
  <c r="AE60" i="324" s="1"/>
  <c r="AE61" i="324" s="1"/>
  <c r="AE62" i="324" s="1"/>
  <c r="AE63" i="324" s="1"/>
  <c r="AE64" i="324" s="1"/>
  <c r="AE65" i="324" s="1"/>
  <c r="AE66" i="324" s="1"/>
  <c r="AE67" i="324" s="1"/>
  <c r="AE68" i="324" s="1"/>
  <c r="AE69" i="324" s="1"/>
  <c r="AE70" i="324" s="1"/>
  <c r="AE71" i="324" s="1"/>
  <c r="AE72" i="324" s="1"/>
  <c r="AE73" i="324" s="1"/>
  <c r="AE74" i="324" s="1"/>
  <c r="AE75" i="324" s="1"/>
  <c r="AE76" i="324" s="1"/>
  <c r="AE77" i="324" s="1"/>
  <c r="AE78" i="324" s="1"/>
  <c r="AE79" i="324" s="1"/>
  <c r="AE80" i="324" s="1"/>
  <c r="AE81" i="324" s="1"/>
  <c r="AE82" i="324" s="1"/>
  <c r="AE83" i="324" s="1"/>
  <c r="AE84" i="324" s="1"/>
  <c r="AE85" i="324" s="1"/>
  <c r="AE86" i="324" s="1"/>
  <c r="AE87" i="324" s="1"/>
  <c r="AE88" i="324" s="1"/>
  <c r="AE89" i="324" s="1"/>
  <c r="AE90" i="324" s="1"/>
  <c r="AE91" i="324" s="1"/>
  <c r="AE92" i="324" s="1"/>
  <c r="AE93" i="324" s="1"/>
  <c r="AE94" i="324" s="1"/>
  <c r="AE95" i="324" s="1"/>
  <c r="AE96" i="324" s="1"/>
  <c r="AE97" i="324" s="1"/>
  <c r="AE98" i="324" s="1"/>
  <c r="AE99" i="324" s="1"/>
  <c r="AE100" i="324" s="1"/>
  <c r="AE101" i="324" s="1"/>
  <c r="AE102" i="324" s="1"/>
  <c r="AE103" i="324" s="1"/>
  <c r="AE104" i="324" s="1"/>
  <c r="AD5" i="324"/>
  <c r="AD6" i="324" s="1"/>
  <c r="AD7" i="324" s="1"/>
  <c r="AD8" i="324" s="1"/>
  <c r="AD9" i="324" s="1"/>
  <c r="AD10" i="324" s="1"/>
  <c r="AD11" i="324" s="1"/>
  <c r="AD12" i="324" s="1"/>
  <c r="AD13" i="324" s="1"/>
  <c r="AD14" i="324" s="1"/>
  <c r="AD15" i="324" s="1"/>
  <c r="AD16" i="324" s="1"/>
  <c r="AD17" i="324" s="1"/>
  <c r="AD18" i="324" s="1"/>
  <c r="AD19" i="324" s="1"/>
  <c r="AD20" i="324" s="1"/>
  <c r="AD21" i="324" s="1"/>
  <c r="AD22" i="324" s="1"/>
  <c r="AD23" i="324" s="1"/>
  <c r="AD24" i="324" s="1"/>
  <c r="AD25" i="324" s="1"/>
  <c r="AD26" i="324" s="1"/>
  <c r="AD27" i="324" s="1"/>
  <c r="AD28" i="324" s="1"/>
  <c r="AD29" i="324" s="1"/>
  <c r="AD30" i="324" s="1"/>
  <c r="AD31" i="324" s="1"/>
  <c r="AD32" i="324" s="1"/>
  <c r="AD33" i="324" s="1"/>
  <c r="AD34" i="324" s="1"/>
  <c r="AD35" i="324" s="1"/>
  <c r="AD36" i="324" s="1"/>
  <c r="AD37" i="324" s="1"/>
  <c r="AD38" i="324" s="1"/>
  <c r="AD39" i="324" s="1"/>
  <c r="AD40" i="324" s="1"/>
  <c r="AD41" i="324" s="1"/>
  <c r="AD42" i="324" s="1"/>
  <c r="AD43" i="324" s="1"/>
  <c r="AD44" i="324" s="1"/>
  <c r="AD45" i="324" s="1"/>
  <c r="AD46" i="324" s="1"/>
  <c r="AD47" i="324" s="1"/>
  <c r="AD48" i="324" s="1"/>
  <c r="AD49" i="324" s="1"/>
  <c r="AD50" i="324" s="1"/>
  <c r="AD51" i="324" s="1"/>
  <c r="AD52" i="324" s="1"/>
  <c r="AD53" i="324" s="1"/>
  <c r="AD54" i="324" s="1"/>
  <c r="AD55" i="324" s="1"/>
  <c r="AD56" i="324" s="1"/>
  <c r="AD57" i="324" s="1"/>
  <c r="AD58" i="324" s="1"/>
  <c r="AD59" i="324" s="1"/>
  <c r="AD60" i="324" s="1"/>
  <c r="AD61" i="324" s="1"/>
  <c r="AD62" i="324" s="1"/>
  <c r="AD63" i="324" s="1"/>
  <c r="AD64" i="324" s="1"/>
  <c r="AD65" i="324" s="1"/>
  <c r="AD66" i="324" s="1"/>
  <c r="AD67" i="324" s="1"/>
  <c r="AD68" i="324" s="1"/>
  <c r="AD69" i="324" s="1"/>
  <c r="AD70" i="324" s="1"/>
  <c r="AD71" i="324" s="1"/>
  <c r="AD72" i="324" s="1"/>
  <c r="AD73" i="324" s="1"/>
  <c r="AD74" i="324" s="1"/>
  <c r="AD75" i="324" s="1"/>
  <c r="AD76" i="324" s="1"/>
  <c r="AD77" i="324" s="1"/>
  <c r="AD78" i="324" s="1"/>
  <c r="AD79" i="324" s="1"/>
  <c r="AD80" i="324" s="1"/>
  <c r="AD81" i="324" s="1"/>
  <c r="AD82" i="324" s="1"/>
  <c r="AD83" i="324" s="1"/>
  <c r="AD84" i="324" s="1"/>
  <c r="AD85" i="324" s="1"/>
  <c r="AD86" i="324" s="1"/>
  <c r="AD87" i="324" s="1"/>
  <c r="AD88" i="324" s="1"/>
  <c r="AD89" i="324" s="1"/>
  <c r="AD90" i="324" s="1"/>
  <c r="AD91" i="324" s="1"/>
  <c r="AD92" i="324" s="1"/>
  <c r="AD93" i="324" s="1"/>
  <c r="AD94" i="324" s="1"/>
  <c r="AD95" i="324" s="1"/>
  <c r="AD96" i="324" s="1"/>
  <c r="AD97" i="324" s="1"/>
  <c r="AD98" i="324" s="1"/>
  <c r="AD99" i="324" s="1"/>
  <c r="AD100" i="324" s="1"/>
  <c r="AD101" i="324" s="1"/>
  <c r="AD102" i="324" s="1"/>
  <c r="AD103" i="324" s="1"/>
  <c r="AD104" i="324" s="1"/>
  <c r="AC5" i="324"/>
  <c r="AC6" i="324" s="1"/>
  <c r="AC7" i="324" s="1"/>
  <c r="AC8" i="324" s="1"/>
  <c r="AC9" i="324" s="1"/>
  <c r="AC10" i="324" s="1"/>
  <c r="AC11" i="324" s="1"/>
  <c r="AC12" i="324" s="1"/>
  <c r="AC13" i="324" s="1"/>
  <c r="AC14" i="324" s="1"/>
  <c r="AC15" i="324" s="1"/>
  <c r="AC16" i="324" s="1"/>
  <c r="AC17" i="324" s="1"/>
  <c r="AC18" i="324" s="1"/>
  <c r="AC19" i="324" s="1"/>
  <c r="AC20" i="324" s="1"/>
  <c r="AC21" i="324" s="1"/>
  <c r="AC22" i="324" s="1"/>
  <c r="AC23" i="324" s="1"/>
  <c r="AC24" i="324" s="1"/>
  <c r="AC25" i="324" s="1"/>
  <c r="AC26" i="324" s="1"/>
  <c r="AC27" i="324" s="1"/>
  <c r="AC28" i="324" s="1"/>
  <c r="AC29" i="324" s="1"/>
  <c r="AC30" i="324" s="1"/>
  <c r="AC31" i="324" s="1"/>
  <c r="AC32" i="324" s="1"/>
  <c r="AC33" i="324" s="1"/>
  <c r="AC34" i="324" s="1"/>
  <c r="AC35" i="324" s="1"/>
  <c r="AC36" i="324" s="1"/>
  <c r="AC37" i="324" s="1"/>
  <c r="AC38" i="324" s="1"/>
  <c r="AC39" i="324" s="1"/>
  <c r="AC40" i="324" s="1"/>
  <c r="AC41" i="324" s="1"/>
  <c r="AC42" i="324" s="1"/>
  <c r="AC43" i="324" s="1"/>
  <c r="AC44" i="324" s="1"/>
  <c r="AC45" i="324" s="1"/>
  <c r="AC46" i="324" s="1"/>
  <c r="AC47" i="324" s="1"/>
  <c r="AC48" i="324" s="1"/>
  <c r="AC49" i="324" s="1"/>
  <c r="AC50" i="324" s="1"/>
  <c r="AC51" i="324" s="1"/>
  <c r="AC52" i="324" s="1"/>
  <c r="AC53" i="324" s="1"/>
  <c r="AC54" i="324" s="1"/>
  <c r="AC55" i="324" s="1"/>
  <c r="AC56" i="324" s="1"/>
  <c r="AC57" i="324" s="1"/>
  <c r="AC58" i="324" s="1"/>
  <c r="AC59" i="324" s="1"/>
  <c r="AC60" i="324" s="1"/>
  <c r="AC61" i="324" s="1"/>
  <c r="AC62" i="324" s="1"/>
  <c r="AC63" i="324" s="1"/>
  <c r="AC64" i="324" s="1"/>
  <c r="AC65" i="324" s="1"/>
  <c r="AC66" i="324" s="1"/>
  <c r="AC67" i="324" s="1"/>
  <c r="AC68" i="324" s="1"/>
  <c r="AC69" i="324" s="1"/>
  <c r="AC70" i="324" s="1"/>
  <c r="AC71" i="324" s="1"/>
  <c r="AC72" i="324" s="1"/>
  <c r="AC73" i="324" s="1"/>
  <c r="AC74" i="324" s="1"/>
  <c r="AC75" i="324" s="1"/>
  <c r="AC76" i="324" s="1"/>
  <c r="AC77" i="324" s="1"/>
  <c r="AC78" i="324" s="1"/>
  <c r="AC79" i="324" s="1"/>
  <c r="AC80" i="324" s="1"/>
  <c r="AC81" i="324" s="1"/>
  <c r="AC82" i="324" s="1"/>
  <c r="AC83" i="324" s="1"/>
  <c r="AC84" i="324" s="1"/>
  <c r="AC85" i="324" s="1"/>
  <c r="AC86" i="324" s="1"/>
  <c r="AC87" i="324" s="1"/>
  <c r="AC88" i="324" s="1"/>
  <c r="AC89" i="324" s="1"/>
  <c r="AC90" i="324" s="1"/>
  <c r="AC91" i="324" s="1"/>
  <c r="AC92" i="324" s="1"/>
  <c r="AC93" i="324" s="1"/>
  <c r="AC94" i="324" s="1"/>
  <c r="AC95" i="324" s="1"/>
  <c r="AC96" i="324" s="1"/>
  <c r="AC97" i="324" s="1"/>
  <c r="AC98" i="324" s="1"/>
  <c r="AC99" i="324" s="1"/>
  <c r="AC100" i="324" s="1"/>
  <c r="AC101" i="324" s="1"/>
  <c r="AC102" i="324" s="1"/>
  <c r="AC103" i="324" s="1"/>
  <c r="AC104" i="324" s="1"/>
  <c r="AB5" i="324"/>
  <c r="AB6" i="324" s="1"/>
  <c r="AB7" i="324" s="1"/>
  <c r="AB8" i="324" s="1"/>
  <c r="AB9" i="324" s="1"/>
  <c r="AB10" i="324" s="1"/>
  <c r="AB11" i="324" s="1"/>
  <c r="AB12" i="324" s="1"/>
  <c r="AB13" i="324" s="1"/>
  <c r="AB14" i="324" s="1"/>
  <c r="AB15" i="324" s="1"/>
  <c r="AB16" i="324" s="1"/>
  <c r="AB17" i="324" s="1"/>
  <c r="AB18" i="324" s="1"/>
  <c r="AB19" i="324" s="1"/>
  <c r="AB20" i="324" s="1"/>
  <c r="AB21" i="324" s="1"/>
  <c r="AB22" i="324" s="1"/>
  <c r="AB23" i="324" s="1"/>
  <c r="AB24" i="324" s="1"/>
  <c r="AB25" i="324" s="1"/>
  <c r="AB26" i="324" s="1"/>
  <c r="AB27" i="324" s="1"/>
  <c r="AB28" i="324" s="1"/>
  <c r="AB29" i="324" s="1"/>
  <c r="AB30" i="324" s="1"/>
  <c r="AB31" i="324" s="1"/>
  <c r="AB32" i="324" s="1"/>
  <c r="AB33" i="324" s="1"/>
  <c r="AB34" i="324" s="1"/>
  <c r="AB35" i="324" s="1"/>
  <c r="AB36" i="324" s="1"/>
  <c r="AB37" i="324" s="1"/>
  <c r="AB38" i="324" s="1"/>
  <c r="AB39" i="324" s="1"/>
  <c r="AB40" i="324" s="1"/>
  <c r="AB41" i="324" s="1"/>
  <c r="AB42" i="324" s="1"/>
  <c r="AB43" i="324" s="1"/>
  <c r="AB44" i="324" s="1"/>
  <c r="AB45" i="324" s="1"/>
  <c r="AB46" i="324" s="1"/>
  <c r="AB47" i="324" s="1"/>
  <c r="AB48" i="324" s="1"/>
  <c r="AB49" i="324" s="1"/>
  <c r="AB50" i="324" s="1"/>
  <c r="AB51" i="324" s="1"/>
  <c r="AB52" i="324" s="1"/>
  <c r="AB53" i="324" s="1"/>
  <c r="AB54" i="324" s="1"/>
  <c r="AB55" i="324" s="1"/>
  <c r="AB56" i="324" s="1"/>
  <c r="AB57" i="324" s="1"/>
  <c r="AB58" i="324" s="1"/>
  <c r="AB59" i="324" s="1"/>
  <c r="AB60" i="324" s="1"/>
  <c r="AB61" i="324" s="1"/>
  <c r="AB62" i="324" s="1"/>
  <c r="AB63" i="324" s="1"/>
  <c r="AB64" i="324" s="1"/>
  <c r="AB65" i="324" s="1"/>
  <c r="AB66" i="324" s="1"/>
  <c r="AB67" i="324" s="1"/>
  <c r="AB68" i="324" s="1"/>
  <c r="AB69" i="324" s="1"/>
  <c r="AB70" i="324" s="1"/>
  <c r="AB71" i="324" s="1"/>
  <c r="AB72" i="324" s="1"/>
  <c r="AB73" i="324" s="1"/>
  <c r="AB74" i="324" s="1"/>
  <c r="AB75" i="324" s="1"/>
  <c r="AB76" i="324" s="1"/>
  <c r="AB77" i="324" s="1"/>
  <c r="AB78" i="324" s="1"/>
  <c r="AB79" i="324" s="1"/>
  <c r="AB80" i="324" s="1"/>
  <c r="AB81" i="324" s="1"/>
  <c r="AB82" i="324" s="1"/>
  <c r="AB83" i="324" s="1"/>
  <c r="AB84" i="324" s="1"/>
  <c r="AB85" i="324" s="1"/>
  <c r="AB86" i="324" s="1"/>
  <c r="AB87" i="324" s="1"/>
  <c r="AB88" i="324" s="1"/>
  <c r="AB89" i="324" s="1"/>
  <c r="AB90" i="324" s="1"/>
  <c r="AB91" i="324" s="1"/>
  <c r="AB92" i="324" s="1"/>
  <c r="AB93" i="324" s="1"/>
  <c r="AB94" i="324" s="1"/>
  <c r="AB95" i="324" s="1"/>
  <c r="AB96" i="324" s="1"/>
  <c r="AB97" i="324" s="1"/>
  <c r="AB98" i="324" s="1"/>
  <c r="AB99" i="324" s="1"/>
  <c r="AB100" i="324" s="1"/>
  <c r="AB101" i="324" s="1"/>
  <c r="AB102" i="324" s="1"/>
  <c r="AB103" i="324" s="1"/>
  <c r="AB104" i="324" s="1"/>
  <c r="AA5" i="324"/>
  <c r="AA6" i="324" s="1"/>
  <c r="AA7" i="324" s="1"/>
  <c r="AA8" i="324" s="1"/>
  <c r="AA9" i="324" s="1"/>
  <c r="AA10" i="324" s="1"/>
  <c r="AA11" i="324" s="1"/>
  <c r="AA12" i="324" s="1"/>
  <c r="AA13" i="324" s="1"/>
  <c r="AA14" i="324" s="1"/>
  <c r="AA15" i="324" s="1"/>
  <c r="AA16" i="324" s="1"/>
  <c r="AA17" i="324" s="1"/>
  <c r="AA18" i="324" s="1"/>
  <c r="AA19" i="324" s="1"/>
  <c r="AA20" i="324" s="1"/>
  <c r="AA21" i="324" s="1"/>
  <c r="AA22" i="324" s="1"/>
  <c r="AA23" i="324" s="1"/>
  <c r="AA24" i="324" s="1"/>
  <c r="AA25" i="324" s="1"/>
  <c r="AA26" i="324" s="1"/>
  <c r="AA27" i="324" s="1"/>
  <c r="AA28" i="324" s="1"/>
  <c r="AA29" i="324" s="1"/>
  <c r="AA30" i="324" s="1"/>
  <c r="AA31" i="324" s="1"/>
  <c r="AA32" i="324" s="1"/>
  <c r="AA33" i="324" s="1"/>
  <c r="AA34" i="324" s="1"/>
  <c r="AA35" i="324" s="1"/>
  <c r="AA36" i="324" s="1"/>
  <c r="AA37" i="324" s="1"/>
  <c r="AA38" i="324" s="1"/>
  <c r="AA39" i="324" s="1"/>
  <c r="AA40" i="324" s="1"/>
  <c r="AA41" i="324" s="1"/>
  <c r="AA42" i="324" s="1"/>
  <c r="AA43" i="324" s="1"/>
  <c r="AA44" i="324" s="1"/>
  <c r="AA45" i="324" s="1"/>
  <c r="AA46" i="324" s="1"/>
  <c r="AA47" i="324" s="1"/>
  <c r="AA48" i="324" s="1"/>
  <c r="AA49" i="324" s="1"/>
  <c r="AA50" i="324" s="1"/>
  <c r="AA51" i="324" s="1"/>
  <c r="AA52" i="324" s="1"/>
  <c r="AA53" i="324" s="1"/>
  <c r="AA54" i="324" s="1"/>
  <c r="AA55" i="324" s="1"/>
  <c r="AA56" i="324" s="1"/>
  <c r="AA57" i="324" s="1"/>
  <c r="AA58" i="324" s="1"/>
  <c r="AA59" i="324" s="1"/>
  <c r="AA60" i="324" s="1"/>
  <c r="AA61" i="324" s="1"/>
  <c r="AA62" i="324" s="1"/>
  <c r="AA63" i="324" s="1"/>
  <c r="AA64" i="324" s="1"/>
  <c r="AA65" i="324" s="1"/>
  <c r="AA66" i="324" s="1"/>
  <c r="AA67" i="324" s="1"/>
  <c r="AA68" i="324" s="1"/>
  <c r="AA69" i="324" s="1"/>
  <c r="AA70" i="324" s="1"/>
  <c r="AA71" i="324" s="1"/>
  <c r="AA72" i="324" s="1"/>
  <c r="AA73" i="324" s="1"/>
  <c r="AA74" i="324" s="1"/>
  <c r="AA75" i="324" s="1"/>
  <c r="AA76" i="324" s="1"/>
  <c r="AA77" i="324" s="1"/>
  <c r="AA78" i="324" s="1"/>
  <c r="AA79" i="324" s="1"/>
  <c r="AA80" i="324" s="1"/>
  <c r="AA81" i="324" s="1"/>
  <c r="AA82" i="324" s="1"/>
  <c r="AA83" i="324" s="1"/>
  <c r="AA84" i="324" s="1"/>
  <c r="AA85" i="324" s="1"/>
  <c r="AA86" i="324" s="1"/>
  <c r="AA87" i="324" s="1"/>
  <c r="AA88" i="324" s="1"/>
  <c r="AA89" i="324" s="1"/>
  <c r="AA90" i="324" s="1"/>
  <c r="AA91" i="324" s="1"/>
  <c r="AA92" i="324" s="1"/>
  <c r="AA93" i="324" s="1"/>
  <c r="AA94" i="324" s="1"/>
  <c r="AA95" i="324" s="1"/>
  <c r="AA96" i="324" s="1"/>
  <c r="AA97" i="324" s="1"/>
  <c r="AA98" i="324" s="1"/>
  <c r="AA99" i="324" s="1"/>
  <c r="AA100" i="324" s="1"/>
  <c r="AA101" i="324" s="1"/>
  <c r="AA102" i="324" s="1"/>
  <c r="AA103" i="324" s="1"/>
  <c r="AA104" i="324" s="1"/>
  <c r="Z5" i="324"/>
  <c r="Z6" i="324" s="1"/>
  <c r="Z7" i="324" s="1"/>
  <c r="Z8" i="324" s="1"/>
  <c r="Z9" i="324" s="1"/>
  <c r="Z10" i="324" s="1"/>
  <c r="Z11" i="324" s="1"/>
  <c r="Z12" i="324" s="1"/>
  <c r="Z13" i="324" s="1"/>
  <c r="Z14" i="324" s="1"/>
  <c r="Z15" i="324" s="1"/>
  <c r="Z16" i="324" s="1"/>
  <c r="Z17" i="324" s="1"/>
  <c r="Z18" i="324" s="1"/>
  <c r="Z19" i="324" s="1"/>
  <c r="Z20" i="324" s="1"/>
  <c r="Z21" i="324" s="1"/>
  <c r="Z22" i="324" s="1"/>
  <c r="Z23" i="324" s="1"/>
  <c r="Z24" i="324" s="1"/>
  <c r="Z25" i="324" s="1"/>
  <c r="Z26" i="324" s="1"/>
  <c r="Z27" i="324" s="1"/>
  <c r="Z28" i="324" s="1"/>
  <c r="Z29" i="324" s="1"/>
  <c r="Z30" i="324" s="1"/>
  <c r="Z31" i="324" s="1"/>
  <c r="Z32" i="324" s="1"/>
  <c r="Z33" i="324" s="1"/>
  <c r="Z34" i="324" s="1"/>
  <c r="Z35" i="324" s="1"/>
  <c r="Z36" i="324" s="1"/>
  <c r="Z37" i="324" s="1"/>
  <c r="Z38" i="324" s="1"/>
  <c r="Z39" i="324" s="1"/>
  <c r="Z40" i="324" s="1"/>
  <c r="Z41" i="324" s="1"/>
  <c r="Z42" i="324" s="1"/>
  <c r="Z43" i="324" s="1"/>
  <c r="Z44" i="324" s="1"/>
  <c r="Z45" i="324" s="1"/>
  <c r="Z46" i="324" s="1"/>
  <c r="Z47" i="324" s="1"/>
  <c r="Z48" i="324" s="1"/>
  <c r="Z49" i="324" s="1"/>
  <c r="Z50" i="324" s="1"/>
  <c r="Z51" i="324" s="1"/>
  <c r="Z52" i="324" s="1"/>
  <c r="Z53" i="324" s="1"/>
  <c r="Z54" i="324" s="1"/>
  <c r="Z55" i="324" s="1"/>
  <c r="Z56" i="324" s="1"/>
  <c r="Z57" i="324" s="1"/>
  <c r="Z58" i="324" s="1"/>
  <c r="Z59" i="324" s="1"/>
  <c r="Z60" i="324" s="1"/>
  <c r="Z61" i="324" s="1"/>
  <c r="Z62" i="324" s="1"/>
  <c r="Z63" i="324" s="1"/>
  <c r="Z64" i="324" s="1"/>
  <c r="Z65" i="324" s="1"/>
  <c r="Z66" i="324" s="1"/>
  <c r="Z67" i="324" s="1"/>
  <c r="Z68" i="324" s="1"/>
  <c r="Z69" i="324" s="1"/>
  <c r="Z70" i="324" s="1"/>
  <c r="Z71" i="324" s="1"/>
  <c r="Z72" i="324" s="1"/>
  <c r="Z73" i="324" s="1"/>
  <c r="Z74" i="324" s="1"/>
  <c r="Z75" i="324" s="1"/>
  <c r="Z76" i="324" s="1"/>
  <c r="Z77" i="324" s="1"/>
  <c r="Z78" i="324" s="1"/>
  <c r="Z79" i="324" s="1"/>
  <c r="Z80" i="324" s="1"/>
  <c r="Z81" i="324" s="1"/>
  <c r="Z82" i="324" s="1"/>
  <c r="Z83" i="324" s="1"/>
  <c r="Z84" i="324" s="1"/>
  <c r="Z85" i="324" s="1"/>
  <c r="Z86" i="324" s="1"/>
  <c r="Z87" i="324" s="1"/>
  <c r="Z88" i="324" s="1"/>
  <c r="Z89" i="324" s="1"/>
  <c r="Z90" i="324" s="1"/>
  <c r="Z91" i="324" s="1"/>
  <c r="Z92" i="324" s="1"/>
  <c r="Z93" i="324" s="1"/>
  <c r="Z94" i="324" s="1"/>
  <c r="Z95" i="324" s="1"/>
  <c r="Z96" i="324" s="1"/>
  <c r="Z97" i="324" s="1"/>
  <c r="Z98" i="324" s="1"/>
  <c r="Z99" i="324" s="1"/>
  <c r="Z100" i="324" s="1"/>
  <c r="Z101" i="324" s="1"/>
  <c r="Z102" i="324" s="1"/>
  <c r="Z103" i="324" s="1"/>
  <c r="Z104" i="324" s="1"/>
  <c r="Y5" i="324"/>
  <c r="Y6" i="324" s="1"/>
  <c r="Y7" i="324" s="1"/>
  <c r="Y8" i="324" s="1"/>
  <c r="Y9" i="324" s="1"/>
  <c r="Y10" i="324" s="1"/>
  <c r="Y11" i="324" s="1"/>
  <c r="Y12" i="324" s="1"/>
  <c r="Y13" i="324" s="1"/>
  <c r="Y14" i="324" s="1"/>
  <c r="Y15" i="324" s="1"/>
  <c r="Y16" i="324" s="1"/>
  <c r="Y17" i="324" s="1"/>
  <c r="Y18" i="324" s="1"/>
  <c r="Y19" i="324" s="1"/>
  <c r="Y20" i="324" s="1"/>
  <c r="Y21" i="324" s="1"/>
  <c r="Y22" i="324" s="1"/>
  <c r="Y23" i="324" s="1"/>
  <c r="Y24" i="324" s="1"/>
  <c r="Y25" i="324" s="1"/>
  <c r="Y26" i="324" s="1"/>
  <c r="Y27" i="324" s="1"/>
  <c r="Y28" i="324" s="1"/>
  <c r="Y29" i="324" s="1"/>
  <c r="Y30" i="324" s="1"/>
  <c r="Y31" i="324" s="1"/>
  <c r="Y32" i="324" s="1"/>
  <c r="Y33" i="324" s="1"/>
  <c r="Y34" i="324" s="1"/>
  <c r="Y35" i="324" s="1"/>
  <c r="Y36" i="324" s="1"/>
  <c r="Y37" i="324" s="1"/>
  <c r="Y38" i="324" s="1"/>
  <c r="Y39" i="324" s="1"/>
  <c r="Y40" i="324" s="1"/>
  <c r="Y41" i="324" s="1"/>
  <c r="Y42" i="324" s="1"/>
  <c r="Y43" i="324" s="1"/>
  <c r="Y44" i="324" s="1"/>
  <c r="Y45" i="324" s="1"/>
  <c r="Y46" i="324" s="1"/>
  <c r="Y47" i="324" s="1"/>
  <c r="Y48" i="324" s="1"/>
  <c r="Y49" i="324" s="1"/>
  <c r="Y50" i="324" s="1"/>
  <c r="Y51" i="324" s="1"/>
  <c r="Y52" i="324" s="1"/>
  <c r="Y53" i="324" s="1"/>
  <c r="Y54" i="324" s="1"/>
  <c r="Y55" i="324" s="1"/>
  <c r="Y56" i="324" s="1"/>
  <c r="Y57" i="324" s="1"/>
  <c r="Y58" i="324" s="1"/>
  <c r="Y59" i="324" s="1"/>
  <c r="Y60" i="324" s="1"/>
  <c r="Y61" i="324" s="1"/>
  <c r="Y62" i="324" s="1"/>
  <c r="Y63" i="324" s="1"/>
  <c r="Y64" i="324" s="1"/>
  <c r="Y65" i="324" s="1"/>
  <c r="Y66" i="324" s="1"/>
  <c r="Y67" i="324" s="1"/>
  <c r="Y68" i="324" s="1"/>
  <c r="Y69" i="324" s="1"/>
  <c r="Y70" i="324" s="1"/>
  <c r="Y71" i="324" s="1"/>
  <c r="Y72" i="324" s="1"/>
  <c r="Y73" i="324" s="1"/>
  <c r="Y74" i="324" s="1"/>
  <c r="Y75" i="324" s="1"/>
  <c r="Y76" i="324" s="1"/>
  <c r="Y77" i="324" s="1"/>
  <c r="Y78" i="324" s="1"/>
  <c r="Y79" i="324" s="1"/>
  <c r="Y80" i="324" s="1"/>
  <c r="Y81" i="324" s="1"/>
  <c r="Y82" i="324" s="1"/>
  <c r="Y83" i="324" s="1"/>
  <c r="Y84" i="324" s="1"/>
  <c r="Y85" i="324" s="1"/>
  <c r="Y86" i="324" s="1"/>
  <c r="Y87" i="324" s="1"/>
  <c r="Y88" i="324" s="1"/>
  <c r="Y89" i="324" s="1"/>
  <c r="Y90" i="324" s="1"/>
  <c r="Y91" i="324" s="1"/>
  <c r="Y92" i="324" s="1"/>
  <c r="Y93" i="324" s="1"/>
  <c r="Y94" i="324" s="1"/>
  <c r="Y95" i="324" s="1"/>
  <c r="Y96" i="324" s="1"/>
  <c r="Y97" i="324" s="1"/>
  <c r="Y98" i="324" s="1"/>
  <c r="Y99" i="324" s="1"/>
  <c r="Y100" i="324" s="1"/>
  <c r="Y101" i="324" s="1"/>
  <c r="Y102" i="324" s="1"/>
  <c r="Y103" i="324" s="1"/>
  <c r="Y104" i="324" s="1"/>
  <c r="X5" i="324"/>
  <c r="X6" i="324" s="1"/>
  <c r="X7" i="324" s="1"/>
  <c r="X8" i="324" s="1"/>
  <c r="X9" i="324" s="1"/>
  <c r="X10" i="324" s="1"/>
  <c r="X11" i="324" s="1"/>
  <c r="X12" i="324" s="1"/>
  <c r="X13" i="324" s="1"/>
  <c r="X14" i="324" s="1"/>
  <c r="X15" i="324" s="1"/>
  <c r="X16" i="324" s="1"/>
  <c r="X17" i="324" s="1"/>
  <c r="X18" i="324" s="1"/>
  <c r="X19" i="324" s="1"/>
  <c r="X20" i="324" s="1"/>
  <c r="X21" i="324" s="1"/>
  <c r="X22" i="324" s="1"/>
  <c r="X23" i="324" s="1"/>
  <c r="X24" i="324" s="1"/>
  <c r="X25" i="324" s="1"/>
  <c r="X26" i="324" s="1"/>
  <c r="X27" i="324" s="1"/>
  <c r="X28" i="324" s="1"/>
  <c r="X29" i="324" s="1"/>
  <c r="X30" i="324" s="1"/>
  <c r="X31" i="324" s="1"/>
  <c r="X32" i="324" s="1"/>
  <c r="X33" i="324" s="1"/>
  <c r="X34" i="324" s="1"/>
  <c r="X35" i="324" s="1"/>
  <c r="X36" i="324" s="1"/>
  <c r="X37" i="324" s="1"/>
  <c r="X38" i="324" s="1"/>
  <c r="X39" i="324" s="1"/>
  <c r="X40" i="324" s="1"/>
  <c r="X41" i="324" s="1"/>
  <c r="X42" i="324" s="1"/>
  <c r="X43" i="324" s="1"/>
  <c r="X44" i="324" s="1"/>
  <c r="X45" i="324" s="1"/>
  <c r="X46" i="324" s="1"/>
  <c r="X47" i="324" s="1"/>
  <c r="X48" i="324" s="1"/>
  <c r="X49" i="324" s="1"/>
  <c r="X50" i="324" s="1"/>
  <c r="X51" i="324" s="1"/>
  <c r="X52" i="324" s="1"/>
  <c r="X53" i="324" s="1"/>
  <c r="X54" i="324" s="1"/>
  <c r="X55" i="324" s="1"/>
  <c r="X56" i="324" s="1"/>
  <c r="X57" i="324" s="1"/>
  <c r="X58" i="324" s="1"/>
  <c r="X59" i="324" s="1"/>
  <c r="X60" i="324" s="1"/>
  <c r="X61" i="324" s="1"/>
  <c r="X62" i="324" s="1"/>
  <c r="X63" i="324" s="1"/>
  <c r="X64" i="324" s="1"/>
  <c r="X65" i="324" s="1"/>
  <c r="X66" i="324" s="1"/>
  <c r="X67" i="324" s="1"/>
  <c r="X68" i="324" s="1"/>
  <c r="X69" i="324" s="1"/>
  <c r="X70" i="324" s="1"/>
  <c r="X71" i="324" s="1"/>
  <c r="X72" i="324" s="1"/>
  <c r="X73" i="324" s="1"/>
  <c r="X74" i="324" s="1"/>
  <c r="X75" i="324" s="1"/>
  <c r="X76" i="324" s="1"/>
  <c r="X77" i="324" s="1"/>
  <c r="X78" i="324" s="1"/>
  <c r="X79" i="324" s="1"/>
  <c r="X80" i="324" s="1"/>
  <c r="X81" i="324" s="1"/>
  <c r="X82" i="324" s="1"/>
  <c r="X83" i="324" s="1"/>
  <c r="X84" i="324" s="1"/>
  <c r="X85" i="324" s="1"/>
  <c r="X86" i="324" s="1"/>
  <c r="X87" i="324" s="1"/>
  <c r="X88" i="324" s="1"/>
  <c r="X89" i="324" s="1"/>
  <c r="X90" i="324" s="1"/>
  <c r="X91" i="324" s="1"/>
  <c r="X92" i="324" s="1"/>
  <c r="X93" i="324" s="1"/>
  <c r="X94" i="324" s="1"/>
  <c r="X95" i="324" s="1"/>
  <c r="X96" i="324" s="1"/>
  <c r="X97" i="324" s="1"/>
  <c r="X98" i="324" s="1"/>
  <c r="X99" i="324" s="1"/>
  <c r="X100" i="324" s="1"/>
  <c r="X101" i="324" s="1"/>
  <c r="X102" i="324" s="1"/>
  <c r="X103" i="324" s="1"/>
  <c r="X104" i="324" s="1"/>
  <c r="W5" i="324"/>
  <c r="W6" i="324" s="1"/>
  <c r="W7" i="324" s="1"/>
  <c r="W8" i="324" s="1"/>
  <c r="W9" i="324" s="1"/>
  <c r="W10" i="324" s="1"/>
  <c r="W11" i="324" s="1"/>
  <c r="W12" i="324" s="1"/>
  <c r="W13" i="324" s="1"/>
  <c r="W14" i="324" s="1"/>
  <c r="W15" i="324" s="1"/>
  <c r="W16" i="324" s="1"/>
  <c r="W17" i="324" s="1"/>
  <c r="W18" i="324" s="1"/>
  <c r="W19" i="324" s="1"/>
  <c r="W20" i="324" s="1"/>
  <c r="W21" i="324" s="1"/>
  <c r="W22" i="324" s="1"/>
  <c r="W23" i="324" s="1"/>
  <c r="W24" i="324" s="1"/>
  <c r="W25" i="324" s="1"/>
  <c r="W26" i="324" s="1"/>
  <c r="W27" i="324" s="1"/>
  <c r="W28" i="324" s="1"/>
  <c r="W29" i="324" s="1"/>
  <c r="W30" i="324" s="1"/>
  <c r="W31" i="324" s="1"/>
  <c r="W32" i="324" s="1"/>
  <c r="W33" i="324" s="1"/>
  <c r="W34" i="324" s="1"/>
  <c r="W35" i="324" s="1"/>
  <c r="W36" i="324" s="1"/>
  <c r="W37" i="324" s="1"/>
  <c r="W38" i="324" s="1"/>
  <c r="W39" i="324" s="1"/>
  <c r="W40" i="324" s="1"/>
  <c r="W41" i="324" s="1"/>
  <c r="W42" i="324" s="1"/>
  <c r="W43" i="324" s="1"/>
  <c r="W44" i="324" s="1"/>
  <c r="W45" i="324" s="1"/>
  <c r="W46" i="324" s="1"/>
  <c r="W47" i="324" s="1"/>
  <c r="W48" i="324" s="1"/>
  <c r="W49" i="324" s="1"/>
  <c r="W50" i="324" s="1"/>
  <c r="W51" i="324" s="1"/>
  <c r="W52" i="324" s="1"/>
  <c r="W53" i="324" s="1"/>
  <c r="W54" i="324" s="1"/>
  <c r="W55" i="324" s="1"/>
  <c r="W56" i="324" s="1"/>
  <c r="W57" i="324" s="1"/>
  <c r="W58" i="324" s="1"/>
  <c r="W59" i="324" s="1"/>
  <c r="W60" i="324" s="1"/>
  <c r="W61" i="324" s="1"/>
  <c r="W62" i="324" s="1"/>
  <c r="W63" i="324" s="1"/>
  <c r="W64" i="324" s="1"/>
  <c r="W65" i="324" s="1"/>
  <c r="W66" i="324" s="1"/>
  <c r="W67" i="324" s="1"/>
  <c r="W68" i="324" s="1"/>
  <c r="W69" i="324" s="1"/>
  <c r="W70" i="324" s="1"/>
  <c r="W71" i="324" s="1"/>
  <c r="W72" i="324" s="1"/>
  <c r="W73" i="324" s="1"/>
  <c r="W74" i="324" s="1"/>
  <c r="W75" i="324" s="1"/>
  <c r="W76" i="324" s="1"/>
  <c r="W77" i="324" s="1"/>
  <c r="W78" i="324" s="1"/>
  <c r="W79" i="324" s="1"/>
  <c r="W80" i="324" s="1"/>
  <c r="W81" i="324" s="1"/>
  <c r="W82" i="324" s="1"/>
  <c r="W83" i="324" s="1"/>
  <c r="W84" i="324" s="1"/>
  <c r="W85" i="324" s="1"/>
  <c r="W86" i="324" s="1"/>
  <c r="W87" i="324" s="1"/>
  <c r="W88" i="324" s="1"/>
  <c r="W89" i="324" s="1"/>
  <c r="W90" i="324" s="1"/>
  <c r="W91" i="324" s="1"/>
  <c r="W92" i="324" s="1"/>
  <c r="W93" i="324" s="1"/>
  <c r="W94" i="324" s="1"/>
  <c r="W95" i="324" s="1"/>
  <c r="W96" i="324" s="1"/>
  <c r="W97" i="324" s="1"/>
  <c r="W98" i="324" s="1"/>
  <c r="W99" i="324" s="1"/>
  <c r="W100" i="324" s="1"/>
  <c r="W101" i="324" s="1"/>
  <c r="W102" i="324" s="1"/>
  <c r="W103" i="324" s="1"/>
  <c r="W104" i="324" s="1"/>
  <c r="V5" i="324"/>
  <c r="V6" i="324" s="1"/>
  <c r="V7" i="324" s="1"/>
  <c r="V8" i="324" s="1"/>
  <c r="V9" i="324" s="1"/>
  <c r="V10" i="324" s="1"/>
  <c r="V11" i="324" s="1"/>
  <c r="V12" i="324" s="1"/>
  <c r="V13" i="324" s="1"/>
  <c r="V14" i="324" s="1"/>
  <c r="V15" i="324" s="1"/>
  <c r="V16" i="324" s="1"/>
  <c r="V17" i="324" s="1"/>
  <c r="V18" i="324" s="1"/>
  <c r="V19" i="324" s="1"/>
  <c r="V20" i="324" s="1"/>
  <c r="V21" i="324" s="1"/>
  <c r="V22" i="324" s="1"/>
  <c r="V23" i="324" s="1"/>
  <c r="V24" i="324" s="1"/>
  <c r="V25" i="324" s="1"/>
  <c r="V26" i="324" s="1"/>
  <c r="V27" i="324" s="1"/>
  <c r="V28" i="324" s="1"/>
  <c r="V29" i="324" s="1"/>
  <c r="V30" i="324" s="1"/>
  <c r="V31" i="324" s="1"/>
  <c r="V32" i="324" s="1"/>
  <c r="V33" i="324" s="1"/>
  <c r="V34" i="324" s="1"/>
  <c r="V35" i="324" s="1"/>
  <c r="V36" i="324" s="1"/>
  <c r="V37" i="324" s="1"/>
  <c r="V38" i="324" s="1"/>
  <c r="V39" i="324" s="1"/>
  <c r="V40" i="324" s="1"/>
  <c r="V41" i="324" s="1"/>
  <c r="V42" i="324" s="1"/>
  <c r="V43" i="324" s="1"/>
  <c r="V44" i="324" s="1"/>
  <c r="V45" i="324" s="1"/>
  <c r="V46" i="324" s="1"/>
  <c r="V47" i="324" s="1"/>
  <c r="V48" i="324" s="1"/>
  <c r="V49" i="324" s="1"/>
  <c r="V50" i="324" s="1"/>
  <c r="V51" i="324" s="1"/>
  <c r="V52" i="324" s="1"/>
  <c r="V53" i="324" s="1"/>
  <c r="V54" i="324" s="1"/>
  <c r="V55" i="324" s="1"/>
  <c r="V56" i="324" s="1"/>
  <c r="V57" i="324" s="1"/>
  <c r="V58" i="324" s="1"/>
  <c r="V59" i="324" s="1"/>
  <c r="V60" i="324" s="1"/>
  <c r="V61" i="324" s="1"/>
  <c r="V62" i="324" s="1"/>
  <c r="V63" i="324" s="1"/>
  <c r="V64" i="324" s="1"/>
  <c r="V65" i="324" s="1"/>
  <c r="V66" i="324" s="1"/>
  <c r="V67" i="324" s="1"/>
  <c r="V68" i="324" s="1"/>
  <c r="V69" i="324" s="1"/>
  <c r="V70" i="324" s="1"/>
  <c r="V71" i="324" s="1"/>
  <c r="V72" i="324" s="1"/>
  <c r="V73" i="324" s="1"/>
  <c r="V74" i="324" s="1"/>
  <c r="V75" i="324" s="1"/>
  <c r="V76" i="324" s="1"/>
  <c r="V77" i="324" s="1"/>
  <c r="V78" i="324" s="1"/>
  <c r="V79" i="324" s="1"/>
  <c r="V80" i="324" s="1"/>
  <c r="V81" i="324" s="1"/>
  <c r="V82" i="324" s="1"/>
  <c r="V83" i="324" s="1"/>
  <c r="V84" i="324" s="1"/>
  <c r="V85" i="324" s="1"/>
  <c r="V86" i="324" s="1"/>
  <c r="V87" i="324" s="1"/>
  <c r="V88" i="324" s="1"/>
  <c r="V89" i="324" s="1"/>
  <c r="V90" i="324" s="1"/>
  <c r="V91" i="324" s="1"/>
  <c r="V92" i="324" s="1"/>
  <c r="V93" i="324" s="1"/>
  <c r="V94" i="324" s="1"/>
  <c r="V95" i="324" s="1"/>
  <c r="V96" i="324" s="1"/>
  <c r="V97" i="324" s="1"/>
  <c r="V98" i="324" s="1"/>
  <c r="V99" i="324" s="1"/>
  <c r="V100" i="324" s="1"/>
  <c r="V101" i="324" s="1"/>
  <c r="V102" i="324" s="1"/>
  <c r="V103" i="324" s="1"/>
  <c r="V104" i="324" s="1"/>
  <c r="U5" i="324"/>
  <c r="U6" i="324" s="1"/>
  <c r="U7" i="324" s="1"/>
  <c r="U8" i="324" s="1"/>
  <c r="U9" i="324" s="1"/>
  <c r="U10" i="324" s="1"/>
  <c r="U11" i="324" s="1"/>
  <c r="U12" i="324" s="1"/>
  <c r="U13" i="324" s="1"/>
  <c r="U14" i="324" s="1"/>
  <c r="U15" i="324" s="1"/>
  <c r="U16" i="324" s="1"/>
  <c r="U17" i="324" s="1"/>
  <c r="U18" i="324" s="1"/>
  <c r="U19" i="324" s="1"/>
  <c r="U20" i="324" s="1"/>
  <c r="U21" i="324" s="1"/>
  <c r="U22" i="324" s="1"/>
  <c r="U23" i="324" s="1"/>
  <c r="U24" i="324" s="1"/>
  <c r="U25" i="324" s="1"/>
  <c r="U26" i="324" s="1"/>
  <c r="U27" i="324" s="1"/>
  <c r="U28" i="324" s="1"/>
  <c r="U29" i="324" s="1"/>
  <c r="U30" i="324" s="1"/>
  <c r="U31" i="324" s="1"/>
  <c r="U32" i="324" s="1"/>
  <c r="U33" i="324" s="1"/>
  <c r="U34" i="324" s="1"/>
  <c r="U35" i="324" s="1"/>
  <c r="U36" i="324" s="1"/>
  <c r="U37" i="324" s="1"/>
  <c r="U38" i="324" s="1"/>
  <c r="U39" i="324" s="1"/>
  <c r="U40" i="324" s="1"/>
  <c r="U41" i="324" s="1"/>
  <c r="U42" i="324" s="1"/>
  <c r="U43" i="324" s="1"/>
  <c r="U44" i="324" s="1"/>
  <c r="U45" i="324" s="1"/>
  <c r="U46" i="324" s="1"/>
  <c r="U47" i="324" s="1"/>
  <c r="U48" i="324" s="1"/>
  <c r="U49" i="324" s="1"/>
  <c r="U50" i="324" s="1"/>
  <c r="U51" i="324" s="1"/>
  <c r="U52" i="324" s="1"/>
  <c r="U53" i="324" s="1"/>
  <c r="U54" i="324" s="1"/>
  <c r="U55" i="324" s="1"/>
  <c r="U56" i="324" s="1"/>
  <c r="U57" i="324" s="1"/>
  <c r="U58" i="324" s="1"/>
  <c r="U59" i="324" s="1"/>
  <c r="U60" i="324" s="1"/>
  <c r="U61" i="324" s="1"/>
  <c r="U62" i="324" s="1"/>
  <c r="U63" i="324" s="1"/>
  <c r="U64" i="324" s="1"/>
  <c r="U65" i="324" s="1"/>
  <c r="U66" i="324" s="1"/>
  <c r="U67" i="324" s="1"/>
  <c r="U68" i="324" s="1"/>
  <c r="U69" i="324" s="1"/>
  <c r="U70" i="324" s="1"/>
  <c r="U71" i="324" s="1"/>
  <c r="U72" i="324" s="1"/>
  <c r="U73" i="324" s="1"/>
  <c r="U74" i="324" s="1"/>
  <c r="U75" i="324" s="1"/>
  <c r="U76" i="324" s="1"/>
  <c r="U77" i="324" s="1"/>
  <c r="U78" i="324" s="1"/>
  <c r="U79" i="324" s="1"/>
  <c r="U80" i="324" s="1"/>
  <c r="U81" i="324" s="1"/>
  <c r="U82" i="324" s="1"/>
  <c r="U83" i="324" s="1"/>
  <c r="U84" i="324" s="1"/>
  <c r="U85" i="324" s="1"/>
  <c r="U86" i="324" s="1"/>
  <c r="U87" i="324" s="1"/>
  <c r="U88" i="324" s="1"/>
  <c r="U89" i="324" s="1"/>
  <c r="U90" i="324" s="1"/>
  <c r="U91" i="324" s="1"/>
  <c r="U92" i="324" s="1"/>
  <c r="U93" i="324" s="1"/>
  <c r="U94" i="324" s="1"/>
  <c r="U95" i="324" s="1"/>
  <c r="U96" i="324" s="1"/>
  <c r="U97" i="324" s="1"/>
  <c r="U98" i="324" s="1"/>
  <c r="U99" i="324" s="1"/>
  <c r="U100" i="324" s="1"/>
  <c r="U101" i="324" s="1"/>
  <c r="U102" i="324" s="1"/>
  <c r="U103" i="324" s="1"/>
  <c r="U104" i="324" s="1"/>
  <c r="T5" i="324"/>
  <c r="T6" i="324" s="1"/>
  <c r="T7" i="324" s="1"/>
  <c r="T8" i="324" s="1"/>
  <c r="T9" i="324" s="1"/>
  <c r="T10" i="324" s="1"/>
  <c r="T11" i="324" s="1"/>
  <c r="T12" i="324" s="1"/>
  <c r="T13" i="324" s="1"/>
  <c r="T14" i="324" s="1"/>
  <c r="T15" i="324" s="1"/>
  <c r="T16" i="324" s="1"/>
  <c r="T17" i="324" s="1"/>
  <c r="T18" i="324" s="1"/>
  <c r="T19" i="324" s="1"/>
  <c r="T20" i="324" s="1"/>
  <c r="T21" i="324" s="1"/>
  <c r="T22" i="324" s="1"/>
  <c r="T23" i="324" s="1"/>
  <c r="T24" i="324" s="1"/>
  <c r="T25" i="324" s="1"/>
  <c r="T26" i="324" s="1"/>
  <c r="T27" i="324" s="1"/>
  <c r="T28" i="324" s="1"/>
  <c r="T29" i="324" s="1"/>
  <c r="T30" i="324" s="1"/>
  <c r="T31" i="324" s="1"/>
  <c r="T32" i="324" s="1"/>
  <c r="T33" i="324" s="1"/>
  <c r="T34" i="324" s="1"/>
  <c r="T35" i="324" s="1"/>
  <c r="T36" i="324" s="1"/>
  <c r="T37" i="324" s="1"/>
  <c r="T38" i="324" s="1"/>
  <c r="T39" i="324" s="1"/>
  <c r="T40" i="324" s="1"/>
  <c r="T41" i="324" s="1"/>
  <c r="T42" i="324" s="1"/>
  <c r="T43" i="324" s="1"/>
  <c r="T44" i="324" s="1"/>
  <c r="T45" i="324" s="1"/>
  <c r="T46" i="324" s="1"/>
  <c r="T47" i="324" s="1"/>
  <c r="T48" i="324" s="1"/>
  <c r="T49" i="324" s="1"/>
  <c r="T50" i="324" s="1"/>
  <c r="T51" i="324" s="1"/>
  <c r="T52" i="324" s="1"/>
  <c r="T53" i="324" s="1"/>
  <c r="T54" i="324" s="1"/>
  <c r="T55" i="324" s="1"/>
  <c r="T56" i="324" s="1"/>
  <c r="T57" i="324" s="1"/>
  <c r="T58" i="324" s="1"/>
  <c r="T59" i="324" s="1"/>
  <c r="T60" i="324" s="1"/>
  <c r="T61" i="324" s="1"/>
  <c r="T62" i="324" s="1"/>
  <c r="T63" i="324" s="1"/>
  <c r="T64" i="324" s="1"/>
  <c r="T65" i="324" s="1"/>
  <c r="T66" i="324" s="1"/>
  <c r="T67" i="324" s="1"/>
  <c r="T68" i="324" s="1"/>
  <c r="T69" i="324" s="1"/>
  <c r="T70" i="324" s="1"/>
  <c r="T71" i="324" s="1"/>
  <c r="T72" i="324" s="1"/>
  <c r="T73" i="324" s="1"/>
  <c r="T74" i="324" s="1"/>
  <c r="T75" i="324" s="1"/>
  <c r="T76" i="324" s="1"/>
  <c r="T77" i="324" s="1"/>
  <c r="T78" i="324" s="1"/>
  <c r="T79" i="324" s="1"/>
  <c r="T80" i="324" s="1"/>
  <c r="T81" i="324" s="1"/>
  <c r="T82" i="324" s="1"/>
  <c r="T83" i="324" s="1"/>
  <c r="T84" i="324" s="1"/>
  <c r="T85" i="324" s="1"/>
  <c r="T86" i="324" s="1"/>
  <c r="T87" i="324" s="1"/>
  <c r="T88" i="324" s="1"/>
  <c r="T89" i="324" s="1"/>
  <c r="T90" i="324" s="1"/>
  <c r="T91" i="324" s="1"/>
  <c r="T92" i="324" s="1"/>
  <c r="T93" i="324" s="1"/>
  <c r="T94" i="324" s="1"/>
  <c r="T95" i="324" s="1"/>
  <c r="T96" i="324" s="1"/>
  <c r="T97" i="324" s="1"/>
  <c r="T98" i="324" s="1"/>
  <c r="T99" i="324" s="1"/>
  <c r="T100" i="324" s="1"/>
  <c r="T101" i="324" s="1"/>
  <c r="T102" i="324" s="1"/>
  <c r="T103" i="324" s="1"/>
  <c r="T104" i="324" s="1"/>
  <c r="S5" i="324"/>
  <c r="S6" i="324" s="1"/>
  <c r="S7" i="324" s="1"/>
  <c r="S8" i="324" s="1"/>
  <c r="S9" i="324" s="1"/>
  <c r="S10" i="324" s="1"/>
  <c r="S11" i="324" s="1"/>
  <c r="S12" i="324" s="1"/>
  <c r="S13" i="324" s="1"/>
  <c r="S14" i="324" s="1"/>
  <c r="S15" i="324" s="1"/>
  <c r="S16" i="324" s="1"/>
  <c r="S17" i="324" s="1"/>
  <c r="S18" i="324" s="1"/>
  <c r="S19" i="324" s="1"/>
  <c r="S20" i="324" s="1"/>
  <c r="S21" i="324" s="1"/>
  <c r="S22" i="324" s="1"/>
  <c r="S23" i="324" s="1"/>
  <c r="S24" i="324" s="1"/>
  <c r="S25" i="324" s="1"/>
  <c r="S26" i="324" s="1"/>
  <c r="S27" i="324" s="1"/>
  <c r="S28" i="324" s="1"/>
  <c r="S29" i="324" s="1"/>
  <c r="S30" i="324" s="1"/>
  <c r="S31" i="324" s="1"/>
  <c r="S32" i="324" s="1"/>
  <c r="S33" i="324" s="1"/>
  <c r="S34" i="324" s="1"/>
  <c r="S35" i="324" s="1"/>
  <c r="S36" i="324" s="1"/>
  <c r="S37" i="324" s="1"/>
  <c r="S38" i="324" s="1"/>
  <c r="S39" i="324" s="1"/>
  <c r="S40" i="324" s="1"/>
  <c r="S41" i="324" s="1"/>
  <c r="S42" i="324" s="1"/>
  <c r="S43" i="324" s="1"/>
  <c r="S44" i="324" s="1"/>
  <c r="S45" i="324" s="1"/>
  <c r="S46" i="324" s="1"/>
  <c r="S47" i="324" s="1"/>
  <c r="S48" i="324" s="1"/>
  <c r="S49" i="324" s="1"/>
  <c r="S50" i="324" s="1"/>
  <c r="S51" i="324" s="1"/>
  <c r="S52" i="324" s="1"/>
  <c r="S53" i="324" s="1"/>
  <c r="S54" i="324" s="1"/>
  <c r="S55" i="324" s="1"/>
  <c r="S56" i="324" s="1"/>
  <c r="S57" i="324" s="1"/>
  <c r="S58" i="324" s="1"/>
  <c r="S59" i="324" s="1"/>
  <c r="S60" i="324" s="1"/>
  <c r="S61" i="324" s="1"/>
  <c r="S62" i="324" s="1"/>
  <c r="S63" i="324" s="1"/>
  <c r="S64" i="324" s="1"/>
  <c r="S65" i="324" s="1"/>
  <c r="S66" i="324" s="1"/>
  <c r="S67" i="324" s="1"/>
  <c r="S68" i="324" s="1"/>
  <c r="S69" i="324" s="1"/>
  <c r="S70" i="324" s="1"/>
  <c r="S71" i="324" s="1"/>
  <c r="S72" i="324" s="1"/>
  <c r="S73" i="324" s="1"/>
  <c r="S74" i="324" s="1"/>
  <c r="S75" i="324" s="1"/>
  <c r="S76" i="324" s="1"/>
  <c r="S77" i="324" s="1"/>
  <c r="S78" i="324" s="1"/>
  <c r="S79" i="324" s="1"/>
  <c r="S80" i="324" s="1"/>
  <c r="S81" i="324" s="1"/>
  <c r="S82" i="324" s="1"/>
  <c r="S83" i="324" s="1"/>
  <c r="S84" i="324" s="1"/>
  <c r="S85" i="324" s="1"/>
  <c r="S86" i="324" s="1"/>
  <c r="S87" i="324" s="1"/>
  <c r="S88" i="324" s="1"/>
  <c r="S89" i="324" s="1"/>
  <c r="S90" i="324" s="1"/>
  <c r="S91" i="324" s="1"/>
  <c r="S92" i="324" s="1"/>
  <c r="S93" i="324" s="1"/>
  <c r="S94" i="324" s="1"/>
  <c r="S95" i="324" s="1"/>
  <c r="S96" i="324" s="1"/>
  <c r="S97" i="324" s="1"/>
  <c r="S98" i="324" s="1"/>
  <c r="S99" i="324" s="1"/>
  <c r="S100" i="324" s="1"/>
  <c r="S101" i="324" s="1"/>
  <c r="S102" i="324" s="1"/>
  <c r="S103" i="324" s="1"/>
  <c r="S104" i="324" s="1"/>
  <c r="R5" i="324"/>
  <c r="R6" i="324" s="1"/>
  <c r="R7" i="324" s="1"/>
  <c r="R8" i="324" s="1"/>
  <c r="R9" i="324" s="1"/>
  <c r="R10" i="324" s="1"/>
  <c r="R11" i="324" s="1"/>
  <c r="R12" i="324" s="1"/>
  <c r="R13" i="324" s="1"/>
  <c r="R14" i="324" s="1"/>
  <c r="R15" i="324" s="1"/>
  <c r="R16" i="324" s="1"/>
  <c r="R17" i="324" s="1"/>
  <c r="R18" i="324" s="1"/>
  <c r="R19" i="324" s="1"/>
  <c r="R20" i="324" s="1"/>
  <c r="R21" i="324" s="1"/>
  <c r="R22" i="324" s="1"/>
  <c r="R23" i="324" s="1"/>
  <c r="R24" i="324" s="1"/>
  <c r="R25" i="324" s="1"/>
  <c r="R26" i="324" s="1"/>
  <c r="R27" i="324" s="1"/>
  <c r="R28" i="324" s="1"/>
  <c r="R29" i="324" s="1"/>
  <c r="R30" i="324" s="1"/>
  <c r="R31" i="324" s="1"/>
  <c r="R32" i="324" s="1"/>
  <c r="R33" i="324" s="1"/>
  <c r="R34" i="324" s="1"/>
  <c r="R35" i="324" s="1"/>
  <c r="R36" i="324" s="1"/>
  <c r="R37" i="324" s="1"/>
  <c r="R38" i="324" s="1"/>
  <c r="R39" i="324" s="1"/>
  <c r="R40" i="324" s="1"/>
  <c r="R41" i="324" s="1"/>
  <c r="R42" i="324" s="1"/>
  <c r="R43" i="324" s="1"/>
  <c r="R44" i="324" s="1"/>
  <c r="R45" i="324" s="1"/>
  <c r="R46" i="324" s="1"/>
  <c r="R47" i="324" s="1"/>
  <c r="R48" i="324" s="1"/>
  <c r="R49" i="324" s="1"/>
  <c r="R50" i="324" s="1"/>
  <c r="R51" i="324" s="1"/>
  <c r="R52" i="324" s="1"/>
  <c r="R53" i="324" s="1"/>
  <c r="R54" i="324" s="1"/>
  <c r="R55" i="324" s="1"/>
  <c r="R56" i="324" s="1"/>
  <c r="R57" i="324" s="1"/>
  <c r="R58" i="324" s="1"/>
  <c r="R59" i="324" s="1"/>
  <c r="R60" i="324" s="1"/>
  <c r="R61" i="324" s="1"/>
  <c r="R62" i="324" s="1"/>
  <c r="R63" i="324" s="1"/>
  <c r="R64" i="324" s="1"/>
  <c r="R65" i="324" s="1"/>
  <c r="R66" i="324" s="1"/>
  <c r="R67" i="324" s="1"/>
  <c r="R68" i="324" s="1"/>
  <c r="R69" i="324" s="1"/>
  <c r="R70" i="324" s="1"/>
  <c r="R71" i="324" s="1"/>
  <c r="R72" i="324" s="1"/>
  <c r="R73" i="324" s="1"/>
  <c r="R74" i="324" s="1"/>
  <c r="R75" i="324" s="1"/>
  <c r="R76" i="324" s="1"/>
  <c r="R77" i="324" s="1"/>
  <c r="R78" i="324" s="1"/>
  <c r="R79" i="324" s="1"/>
  <c r="R80" i="324" s="1"/>
  <c r="R81" i="324" s="1"/>
  <c r="R82" i="324" s="1"/>
  <c r="R83" i="324" s="1"/>
  <c r="R84" i="324" s="1"/>
  <c r="R85" i="324" s="1"/>
  <c r="R86" i="324" s="1"/>
  <c r="R87" i="324" s="1"/>
  <c r="R88" i="324" s="1"/>
  <c r="R89" i="324" s="1"/>
  <c r="R90" i="324" s="1"/>
  <c r="R91" i="324" s="1"/>
  <c r="R92" i="324" s="1"/>
  <c r="R93" i="324" s="1"/>
  <c r="R94" i="324" s="1"/>
  <c r="R95" i="324" s="1"/>
  <c r="R96" i="324" s="1"/>
  <c r="R97" i="324" s="1"/>
  <c r="R98" i="324" s="1"/>
  <c r="R99" i="324" s="1"/>
  <c r="R100" i="324" s="1"/>
  <c r="R101" i="324" s="1"/>
  <c r="R102" i="324" s="1"/>
  <c r="R103" i="324" s="1"/>
  <c r="R104" i="324" s="1"/>
  <c r="AF4" i="324"/>
  <c r="AE4" i="324"/>
  <c r="AD4" i="324"/>
  <c r="AC4" i="324"/>
  <c r="AB4" i="324"/>
  <c r="AA4" i="324"/>
  <c r="Z4" i="324"/>
  <c r="Y4" i="324"/>
  <c r="X4" i="324"/>
  <c r="W4" i="324"/>
  <c r="V4" i="324"/>
  <c r="U4" i="324"/>
  <c r="T4" i="324"/>
  <c r="S4" i="324"/>
  <c r="R4" i="324"/>
  <c r="AF5" i="323"/>
  <c r="AF6" i="323" s="1"/>
  <c r="AF7" i="323" s="1"/>
  <c r="AF8" i="323" s="1"/>
  <c r="AF9" i="323" s="1"/>
  <c r="AF10" i="323" s="1"/>
  <c r="AF11" i="323" s="1"/>
  <c r="AF12" i="323" s="1"/>
  <c r="AF13" i="323" s="1"/>
  <c r="AF14" i="323" s="1"/>
  <c r="AF15" i="323" s="1"/>
  <c r="AF16" i="323" s="1"/>
  <c r="AF17" i="323" s="1"/>
  <c r="AF18" i="323" s="1"/>
  <c r="AF19" i="323" s="1"/>
  <c r="AF20" i="323" s="1"/>
  <c r="AF21" i="323" s="1"/>
  <c r="AF22" i="323" s="1"/>
  <c r="AF23" i="323" s="1"/>
  <c r="AF24" i="323" s="1"/>
  <c r="AF25" i="323" s="1"/>
  <c r="AF26" i="323" s="1"/>
  <c r="AF27" i="323" s="1"/>
  <c r="AF28" i="323" s="1"/>
  <c r="AF29" i="323" s="1"/>
  <c r="AF30" i="323" s="1"/>
  <c r="AF31" i="323" s="1"/>
  <c r="AF32" i="323" s="1"/>
  <c r="AF33" i="323" s="1"/>
  <c r="AF34" i="323" s="1"/>
  <c r="AF35" i="323" s="1"/>
  <c r="AF36" i="323" s="1"/>
  <c r="AF37" i="323" s="1"/>
  <c r="AF38" i="323" s="1"/>
  <c r="AF39" i="323" s="1"/>
  <c r="AF40" i="323" s="1"/>
  <c r="AF41" i="323" s="1"/>
  <c r="AF42" i="323" s="1"/>
  <c r="AF43" i="323" s="1"/>
  <c r="AF44" i="323" s="1"/>
  <c r="AF45" i="323" s="1"/>
  <c r="AF46" i="323" s="1"/>
  <c r="AF47" i="323" s="1"/>
  <c r="AF48" i="323" s="1"/>
  <c r="AF49" i="323" s="1"/>
  <c r="AF50" i="323" s="1"/>
  <c r="AF51" i="323" s="1"/>
  <c r="AF52" i="323" s="1"/>
  <c r="AF53" i="323" s="1"/>
  <c r="AF54" i="323" s="1"/>
  <c r="AF55" i="323" s="1"/>
  <c r="AF56" i="323" s="1"/>
  <c r="AF57" i="323" s="1"/>
  <c r="AF58" i="323" s="1"/>
  <c r="AF59" i="323" s="1"/>
  <c r="AF60" i="323" s="1"/>
  <c r="AF61" i="323" s="1"/>
  <c r="AF62" i="323" s="1"/>
  <c r="AF63" i="323" s="1"/>
  <c r="AF64" i="323" s="1"/>
  <c r="AF65" i="323" s="1"/>
  <c r="AF66" i="323" s="1"/>
  <c r="AF67" i="323" s="1"/>
  <c r="AF68" i="323" s="1"/>
  <c r="AF69" i="323" s="1"/>
  <c r="AF70" i="323" s="1"/>
  <c r="AF71" i="323" s="1"/>
  <c r="AF72" i="323" s="1"/>
  <c r="AF73" i="323" s="1"/>
  <c r="AF74" i="323" s="1"/>
  <c r="AF75" i="323" s="1"/>
  <c r="AF76" i="323" s="1"/>
  <c r="AF77" i="323" s="1"/>
  <c r="AF78" i="323" s="1"/>
  <c r="AF79" i="323" s="1"/>
  <c r="AF80" i="323" s="1"/>
  <c r="AF81" i="323" s="1"/>
  <c r="AF82" i="323" s="1"/>
  <c r="AF83" i="323" s="1"/>
  <c r="AF84" i="323" s="1"/>
  <c r="AF85" i="323" s="1"/>
  <c r="AF86" i="323" s="1"/>
  <c r="AF87" i="323" s="1"/>
  <c r="AF88" i="323" s="1"/>
  <c r="AF89" i="323" s="1"/>
  <c r="AF90" i="323" s="1"/>
  <c r="AF91" i="323" s="1"/>
  <c r="AF92" i="323" s="1"/>
  <c r="AF93" i="323" s="1"/>
  <c r="AF94" i="323" s="1"/>
  <c r="AF95" i="323" s="1"/>
  <c r="AF96" i="323" s="1"/>
  <c r="AF97" i="323" s="1"/>
  <c r="AF98" i="323" s="1"/>
  <c r="AF99" i="323" s="1"/>
  <c r="AF100" i="323" s="1"/>
  <c r="AF101" i="323" s="1"/>
  <c r="AF102" i="323" s="1"/>
  <c r="AF103" i="323" s="1"/>
  <c r="AF104" i="323" s="1"/>
  <c r="AE5" i="323"/>
  <c r="AE6" i="323" s="1"/>
  <c r="AE7" i="323" s="1"/>
  <c r="AE8" i="323" s="1"/>
  <c r="AE9" i="323" s="1"/>
  <c r="AE10" i="323" s="1"/>
  <c r="AE11" i="323" s="1"/>
  <c r="AE12" i="323" s="1"/>
  <c r="AE13" i="323" s="1"/>
  <c r="AE14" i="323" s="1"/>
  <c r="AE15" i="323" s="1"/>
  <c r="AE16" i="323" s="1"/>
  <c r="AE17" i="323" s="1"/>
  <c r="AE18" i="323" s="1"/>
  <c r="AE19" i="323" s="1"/>
  <c r="AE20" i="323" s="1"/>
  <c r="AE21" i="323" s="1"/>
  <c r="AE22" i="323" s="1"/>
  <c r="AE23" i="323" s="1"/>
  <c r="AE24" i="323" s="1"/>
  <c r="AE25" i="323" s="1"/>
  <c r="AE26" i="323" s="1"/>
  <c r="AE27" i="323" s="1"/>
  <c r="AE28" i="323" s="1"/>
  <c r="AE29" i="323" s="1"/>
  <c r="AE30" i="323" s="1"/>
  <c r="AE31" i="323" s="1"/>
  <c r="AE32" i="323" s="1"/>
  <c r="AE33" i="323" s="1"/>
  <c r="AE34" i="323" s="1"/>
  <c r="AE35" i="323" s="1"/>
  <c r="AE36" i="323" s="1"/>
  <c r="AE37" i="323" s="1"/>
  <c r="AE38" i="323" s="1"/>
  <c r="AE39" i="323" s="1"/>
  <c r="AE40" i="323" s="1"/>
  <c r="AE41" i="323" s="1"/>
  <c r="AE42" i="323" s="1"/>
  <c r="AE43" i="323" s="1"/>
  <c r="AE44" i="323" s="1"/>
  <c r="AE45" i="323" s="1"/>
  <c r="AE46" i="323" s="1"/>
  <c r="AE47" i="323" s="1"/>
  <c r="AE48" i="323" s="1"/>
  <c r="AE49" i="323" s="1"/>
  <c r="AE50" i="323" s="1"/>
  <c r="AE51" i="323" s="1"/>
  <c r="AE52" i="323" s="1"/>
  <c r="AE53" i="323" s="1"/>
  <c r="AE54" i="323" s="1"/>
  <c r="AE55" i="323" s="1"/>
  <c r="AE56" i="323" s="1"/>
  <c r="AE57" i="323" s="1"/>
  <c r="AE58" i="323" s="1"/>
  <c r="AE59" i="323" s="1"/>
  <c r="AE60" i="323" s="1"/>
  <c r="AE61" i="323" s="1"/>
  <c r="AE62" i="323" s="1"/>
  <c r="AE63" i="323" s="1"/>
  <c r="AE64" i="323" s="1"/>
  <c r="AE65" i="323" s="1"/>
  <c r="AE66" i="323" s="1"/>
  <c r="AE67" i="323" s="1"/>
  <c r="AE68" i="323" s="1"/>
  <c r="AE69" i="323" s="1"/>
  <c r="AE70" i="323" s="1"/>
  <c r="AE71" i="323" s="1"/>
  <c r="AE72" i="323" s="1"/>
  <c r="AE73" i="323" s="1"/>
  <c r="AE74" i="323" s="1"/>
  <c r="AE75" i="323" s="1"/>
  <c r="AE76" i="323" s="1"/>
  <c r="AE77" i="323" s="1"/>
  <c r="AE78" i="323" s="1"/>
  <c r="AE79" i="323" s="1"/>
  <c r="AE80" i="323" s="1"/>
  <c r="AE81" i="323" s="1"/>
  <c r="AE82" i="323" s="1"/>
  <c r="AE83" i="323" s="1"/>
  <c r="AE84" i="323" s="1"/>
  <c r="AE85" i="323" s="1"/>
  <c r="AE86" i="323" s="1"/>
  <c r="AE87" i="323" s="1"/>
  <c r="AE88" i="323" s="1"/>
  <c r="AE89" i="323" s="1"/>
  <c r="AE90" i="323" s="1"/>
  <c r="AE91" i="323" s="1"/>
  <c r="AE92" i="323" s="1"/>
  <c r="AE93" i="323" s="1"/>
  <c r="AE94" i="323" s="1"/>
  <c r="AE95" i="323" s="1"/>
  <c r="AE96" i="323" s="1"/>
  <c r="AE97" i="323" s="1"/>
  <c r="AE98" i="323" s="1"/>
  <c r="AE99" i="323" s="1"/>
  <c r="AE100" i="323" s="1"/>
  <c r="AE101" i="323" s="1"/>
  <c r="AE102" i="323" s="1"/>
  <c r="AE103" i="323" s="1"/>
  <c r="AE104" i="323" s="1"/>
  <c r="AD5" i="323"/>
  <c r="AD6" i="323" s="1"/>
  <c r="AD7" i="323" s="1"/>
  <c r="AD8" i="323" s="1"/>
  <c r="AD9" i="323" s="1"/>
  <c r="AD10" i="323" s="1"/>
  <c r="AD11" i="323" s="1"/>
  <c r="AD12" i="323" s="1"/>
  <c r="AD13" i="323" s="1"/>
  <c r="AD14" i="323" s="1"/>
  <c r="AD15" i="323" s="1"/>
  <c r="AD16" i="323" s="1"/>
  <c r="AD17" i="323" s="1"/>
  <c r="AD18" i="323" s="1"/>
  <c r="AD19" i="323" s="1"/>
  <c r="AD20" i="323" s="1"/>
  <c r="AD21" i="323" s="1"/>
  <c r="AD22" i="323" s="1"/>
  <c r="AD23" i="323" s="1"/>
  <c r="AD24" i="323" s="1"/>
  <c r="AD25" i="323" s="1"/>
  <c r="AD26" i="323" s="1"/>
  <c r="AD27" i="323" s="1"/>
  <c r="AD28" i="323" s="1"/>
  <c r="AD29" i="323" s="1"/>
  <c r="AD30" i="323" s="1"/>
  <c r="AD31" i="323" s="1"/>
  <c r="AD32" i="323" s="1"/>
  <c r="AD33" i="323" s="1"/>
  <c r="AD34" i="323" s="1"/>
  <c r="AD35" i="323" s="1"/>
  <c r="AD36" i="323" s="1"/>
  <c r="AD37" i="323" s="1"/>
  <c r="AD38" i="323" s="1"/>
  <c r="AD39" i="323" s="1"/>
  <c r="AD40" i="323" s="1"/>
  <c r="AD41" i="323" s="1"/>
  <c r="AD42" i="323" s="1"/>
  <c r="AD43" i="323" s="1"/>
  <c r="AD44" i="323" s="1"/>
  <c r="AD45" i="323" s="1"/>
  <c r="AD46" i="323" s="1"/>
  <c r="AD47" i="323" s="1"/>
  <c r="AD48" i="323" s="1"/>
  <c r="AD49" i="323" s="1"/>
  <c r="AD50" i="323" s="1"/>
  <c r="AD51" i="323" s="1"/>
  <c r="AD52" i="323" s="1"/>
  <c r="AD53" i="323" s="1"/>
  <c r="AD54" i="323" s="1"/>
  <c r="AD55" i="323" s="1"/>
  <c r="AD56" i="323" s="1"/>
  <c r="AD57" i="323" s="1"/>
  <c r="AD58" i="323" s="1"/>
  <c r="AD59" i="323" s="1"/>
  <c r="AD60" i="323" s="1"/>
  <c r="AD61" i="323" s="1"/>
  <c r="AD62" i="323" s="1"/>
  <c r="AD63" i="323" s="1"/>
  <c r="AD64" i="323" s="1"/>
  <c r="AD65" i="323" s="1"/>
  <c r="AD66" i="323" s="1"/>
  <c r="AD67" i="323" s="1"/>
  <c r="AD68" i="323" s="1"/>
  <c r="AD69" i="323" s="1"/>
  <c r="AD70" i="323" s="1"/>
  <c r="AD71" i="323" s="1"/>
  <c r="AD72" i="323" s="1"/>
  <c r="AD73" i="323" s="1"/>
  <c r="AD74" i="323" s="1"/>
  <c r="AD75" i="323" s="1"/>
  <c r="AD76" i="323" s="1"/>
  <c r="AD77" i="323" s="1"/>
  <c r="AD78" i="323" s="1"/>
  <c r="AD79" i="323" s="1"/>
  <c r="AD80" i="323" s="1"/>
  <c r="AD81" i="323" s="1"/>
  <c r="AD82" i="323" s="1"/>
  <c r="AD83" i="323" s="1"/>
  <c r="AD84" i="323" s="1"/>
  <c r="AD85" i="323" s="1"/>
  <c r="AD86" i="323" s="1"/>
  <c r="AD87" i="323" s="1"/>
  <c r="AD88" i="323" s="1"/>
  <c r="AD89" i="323" s="1"/>
  <c r="AD90" i="323" s="1"/>
  <c r="AD91" i="323" s="1"/>
  <c r="AD92" i="323" s="1"/>
  <c r="AD93" i="323" s="1"/>
  <c r="AD94" i="323" s="1"/>
  <c r="AD95" i="323" s="1"/>
  <c r="AD96" i="323" s="1"/>
  <c r="AD97" i="323" s="1"/>
  <c r="AD98" i="323" s="1"/>
  <c r="AD99" i="323" s="1"/>
  <c r="AD100" i="323" s="1"/>
  <c r="AD101" i="323" s="1"/>
  <c r="AD102" i="323" s="1"/>
  <c r="AD103" i="323" s="1"/>
  <c r="AD104" i="323" s="1"/>
  <c r="AC5" i="323"/>
  <c r="AC6" i="323" s="1"/>
  <c r="AC7" i="323" s="1"/>
  <c r="AC8" i="323" s="1"/>
  <c r="AC9" i="323" s="1"/>
  <c r="AC10" i="323" s="1"/>
  <c r="AC11" i="323" s="1"/>
  <c r="AC12" i="323" s="1"/>
  <c r="AC13" i="323" s="1"/>
  <c r="AC14" i="323" s="1"/>
  <c r="AC15" i="323" s="1"/>
  <c r="AC16" i="323" s="1"/>
  <c r="AC17" i="323" s="1"/>
  <c r="AC18" i="323" s="1"/>
  <c r="AC19" i="323" s="1"/>
  <c r="AC20" i="323" s="1"/>
  <c r="AC21" i="323" s="1"/>
  <c r="AC22" i="323" s="1"/>
  <c r="AC23" i="323" s="1"/>
  <c r="AC24" i="323" s="1"/>
  <c r="AC25" i="323" s="1"/>
  <c r="AC26" i="323" s="1"/>
  <c r="AC27" i="323" s="1"/>
  <c r="AC28" i="323" s="1"/>
  <c r="AC29" i="323" s="1"/>
  <c r="AC30" i="323" s="1"/>
  <c r="AC31" i="323" s="1"/>
  <c r="AC32" i="323" s="1"/>
  <c r="AC33" i="323" s="1"/>
  <c r="AC34" i="323" s="1"/>
  <c r="AC35" i="323" s="1"/>
  <c r="AC36" i="323" s="1"/>
  <c r="AC37" i="323" s="1"/>
  <c r="AC38" i="323" s="1"/>
  <c r="AC39" i="323" s="1"/>
  <c r="AC40" i="323" s="1"/>
  <c r="AC41" i="323" s="1"/>
  <c r="AC42" i="323" s="1"/>
  <c r="AC43" i="323" s="1"/>
  <c r="AC44" i="323" s="1"/>
  <c r="AC45" i="323" s="1"/>
  <c r="AC46" i="323" s="1"/>
  <c r="AC47" i="323" s="1"/>
  <c r="AC48" i="323" s="1"/>
  <c r="AC49" i="323" s="1"/>
  <c r="AC50" i="323" s="1"/>
  <c r="AC51" i="323" s="1"/>
  <c r="AC52" i="323" s="1"/>
  <c r="AC53" i="323" s="1"/>
  <c r="AC54" i="323" s="1"/>
  <c r="AC55" i="323" s="1"/>
  <c r="AC56" i="323" s="1"/>
  <c r="AC57" i="323" s="1"/>
  <c r="AC58" i="323" s="1"/>
  <c r="AC59" i="323" s="1"/>
  <c r="AC60" i="323" s="1"/>
  <c r="AC61" i="323" s="1"/>
  <c r="AC62" i="323" s="1"/>
  <c r="AC63" i="323" s="1"/>
  <c r="AC64" i="323" s="1"/>
  <c r="AC65" i="323" s="1"/>
  <c r="AC66" i="323" s="1"/>
  <c r="AC67" i="323" s="1"/>
  <c r="AC68" i="323" s="1"/>
  <c r="AC69" i="323" s="1"/>
  <c r="AC70" i="323" s="1"/>
  <c r="AC71" i="323" s="1"/>
  <c r="AC72" i="323" s="1"/>
  <c r="AC73" i="323" s="1"/>
  <c r="AC74" i="323" s="1"/>
  <c r="AC75" i="323" s="1"/>
  <c r="AC76" i="323" s="1"/>
  <c r="AC77" i="323" s="1"/>
  <c r="AC78" i="323" s="1"/>
  <c r="AC79" i="323" s="1"/>
  <c r="AC80" i="323" s="1"/>
  <c r="AC81" i="323" s="1"/>
  <c r="AC82" i="323" s="1"/>
  <c r="AC83" i="323" s="1"/>
  <c r="AC84" i="323" s="1"/>
  <c r="AC85" i="323" s="1"/>
  <c r="AC86" i="323" s="1"/>
  <c r="AC87" i="323" s="1"/>
  <c r="AC88" i="323" s="1"/>
  <c r="AC89" i="323" s="1"/>
  <c r="AC90" i="323" s="1"/>
  <c r="AC91" i="323" s="1"/>
  <c r="AC92" i="323" s="1"/>
  <c r="AC93" i="323" s="1"/>
  <c r="AC94" i="323" s="1"/>
  <c r="AC95" i="323" s="1"/>
  <c r="AC96" i="323" s="1"/>
  <c r="AC97" i="323" s="1"/>
  <c r="AC98" i="323" s="1"/>
  <c r="AC99" i="323" s="1"/>
  <c r="AC100" i="323" s="1"/>
  <c r="AC101" i="323" s="1"/>
  <c r="AC102" i="323" s="1"/>
  <c r="AC103" i="323" s="1"/>
  <c r="AC104" i="323" s="1"/>
  <c r="AB5" i="323"/>
  <c r="AB6" i="323" s="1"/>
  <c r="AB7" i="323" s="1"/>
  <c r="AB8" i="323" s="1"/>
  <c r="AB9" i="323" s="1"/>
  <c r="AB10" i="323" s="1"/>
  <c r="AB11" i="323" s="1"/>
  <c r="AB12" i="323" s="1"/>
  <c r="AB13" i="323" s="1"/>
  <c r="AB14" i="323" s="1"/>
  <c r="AB15" i="323" s="1"/>
  <c r="AB16" i="323" s="1"/>
  <c r="AB17" i="323" s="1"/>
  <c r="AB18" i="323" s="1"/>
  <c r="AB19" i="323" s="1"/>
  <c r="AB20" i="323" s="1"/>
  <c r="AB21" i="323" s="1"/>
  <c r="AB22" i="323" s="1"/>
  <c r="AB23" i="323" s="1"/>
  <c r="AB24" i="323" s="1"/>
  <c r="AB25" i="323" s="1"/>
  <c r="AB26" i="323" s="1"/>
  <c r="AB27" i="323" s="1"/>
  <c r="AB28" i="323" s="1"/>
  <c r="AB29" i="323" s="1"/>
  <c r="AB30" i="323" s="1"/>
  <c r="AB31" i="323" s="1"/>
  <c r="AB32" i="323" s="1"/>
  <c r="AB33" i="323" s="1"/>
  <c r="AB34" i="323" s="1"/>
  <c r="AB35" i="323" s="1"/>
  <c r="AB36" i="323" s="1"/>
  <c r="AB37" i="323" s="1"/>
  <c r="AB38" i="323" s="1"/>
  <c r="AB39" i="323" s="1"/>
  <c r="AB40" i="323" s="1"/>
  <c r="AB41" i="323" s="1"/>
  <c r="AB42" i="323" s="1"/>
  <c r="AB43" i="323" s="1"/>
  <c r="AB44" i="323" s="1"/>
  <c r="AB45" i="323" s="1"/>
  <c r="AB46" i="323" s="1"/>
  <c r="AB47" i="323" s="1"/>
  <c r="AB48" i="323" s="1"/>
  <c r="AB49" i="323" s="1"/>
  <c r="AB50" i="323" s="1"/>
  <c r="AB51" i="323" s="1"/>
  <c r="AB52" i="323" s="1"/>
  <c r="AB53" i="323" s="1"/>
  <c r="AB54" i="323" s="1"/>
  <c r="AB55" i="323" s="1"/>
  <c r="AB56" i="323" s="1"/>
  <c r="AB57" i="323" s="1"/>
  <c r="AB58" i="323" s="1"/>
  <c r="AB59" i="323" s="1"/>
  <c r="AB60" i="323" s="1"/>
  <c r="AB61" i="323" s="1"/>
  <c r="AB62" i="323" s="1"/>
  <c r="AB63" i="323" s="1"/>
  <c r="AB64" i="323" s="1"/>
  <c r="AB65" i="323" s="1"/>
  <c r="AB66" i="323" s="1"/>
  <c r="AB67" i="323" s="1"/>
  <c r="AB68" i="323" s="1"/>
  <c r="AB69" i="323" s="1"/>
  <c r="AB70" i="323" s="1"/>
  <c r="AB71" i="323" s="1"/>
  <c r="AB72" i="323" s="1"/>
  <c r="AB73" i="323" s="1"/>
  <c r="AB74" i="323" s="1"/>
  <c r="AB75" i="323" s="1"/>
  <c r="AB76" i="323" s="1"/>
  <c r="AB77" i="323" s="1"/>
  <c r="AB78" i="323" s="1"/>
  <c r="AB79" i="323" s="1"/>
  <c r="AB80" i="323" s="1"/>
  <c r="AB81" i="323" s="1"/>
  <c r="AB82" i="323" s="1"/>
  <c r="AB83" i="323" s="1"/>
  <c r="AB84" i="323" s="1"/>
  <c r="AB85" i="323" s="1"/>
  <c r="AB86" i="323" s="1"/>
  <c r="AB87" i="323" s="1"/>
  <c r="AB88" i="323" s="1"/>
  <c r="AB89" i="323" s="1"/>
  <c r="AB90" i="323" s="1"/>
  <c r="AB91" i="323" s="1"/>
  <c r="AB92" i="323" s="1"/>
  <c r="AB93" i="323" s="1"/>
  <c r="AB94" i="323" s="1"/>
  <c r="AB95" i="323" s="1"/>
  <c r="AB96" i="323" s="1"/>
  <c r="AB97" i="323" s="1"/>
  <c r="AB98" i="323" s="1"/>
  <c r="AB99" i="323" s="1"/>
  <c r="AB100" i="323" s="1"/>
  <c r="AB101" i="323" s="1"/>
  <c r="AB102" i="323" s="1"/>
  <c r="AB103" i="323" s="1"/>
  <c r="AB104" i="323" s="1"/>
  <c r="AA5" i="323"/>
  <c r="AA6" i="323" s="1"/>
  <c r="AA7" i="323" s="1"/>
  <c r="AA8" i="323" s="1"/>
  <c r="AA9" i="323" s="1"/>
  <c r="AA10" i="323" s="1"/>
  <c r="AA11" i="323" s="1"/>
  <c r="AA12" i="323" s="1"/>
  <c r="AA13" i="323" s="1"/>
  <c r="AA14" i="323" s="1"/>
  <c r="AA15" i="323" s="1"/>
  <c r="AA16" i="323" s="1"/>
  <c r="AA17" i="323" s="1"/>
  <c r="AA18" i="323" s="1"/>
  <c r="AA19" i="323" s="1"/>
  <c r="AA20" i="323" s="1"/>
  <c r="AA21" i="323" s="1"/>
  <c r="AA22" i="323" s="1"/>
  <c r="AA23" i="323" s="1"/>
  <c r="AA24" i="323" s="1"/>
  <c r="AA25" i="323" s="1"/>
  <c r="AA26" i="323" s="1"/>
  <c r="AA27" i="323" s="1"/>
  <c r="AA28" i="323" s="1"/>
  <c r="AA29" i="323" s="1"/>
  <c r="AA30" i="323" s="1"/>
  <c r="AA31" i="323" s="1"/>
  <c r="AA32" i="323" s="1"/>
  <c r="AA33" i="323" s="1"/>
  <c r="AA34" i="323" s="1"/>
  <c r="AA35" i="323" s="1"/>
  <c r="AA36" i="323" s="1"/>
  <c r="AA37" i="323" s="1"/>
  <c r="AA38" i="323" s="1"/>
  <c r="AA39" i="323" s="1"/>
  <c r="AA40" i="323" s="1"/>
  <c r="AA41" i="323" s="1"/>
  <c r="AA42" i="323" s="1"/>
  <c r="AA43" i="323" s="1"/>
  <c r="AA44" i="323" s="1"/>
  <c r="AA45" i="323" s="1"/>
  <c r="AA46" i="323" s="1"/>
  <c r="AA47" i="323" s="1"/>
  <c r="AA48" i="323" s="1"/>
  <c r="AA49" i="323" s="1"/>
  <c r="AA50" i="323" s="1"/>
  <c r="AA51" i="323" s="1"/>
  <c r="AA52" i="323" s="1"/>
  <c r="AA53" i="323" s="1"/>
  <c r="AA54" i="323" s="1"/>
  <c r="AA55" i="323" s="1"/>
  <c r="AA56" i="323" s="1"/>
  <c r="AA57" i="323" s="1"/>
  <c r="AA58" i="323" s="1"/>
  <c r="AA59" i="323" s="1"/>
  <c r="AA60" i="323" s="1"/>
  <c r="AA61" i="323" s="1"/>
  <c r="AA62" i="323" s="1"/>
  <c r="AA63" i="323" s="1"/>
  <c r="AA64" i="323" s="1"/>
  <c r="AA65" i="323" s="1"/>
  <c r="AA66" i="323" s="1"/>
  <c r="AA67" i="323" s="1"/>
  <c r="AA68" i="323" s="1"/>
  <c r="AA69" i="323" s="1"/>
  <c r="AA70" i="323" s="1"/>
  <c r="AA71" i="323" s="1"/>
  <c r="AA72" i="323" s="1"/>
  <c r="AA73" i="323" s="1"/>
  <c r="AA74" i="323" s="1"/>
  <c r="AA75" i="323" s="1"/>
  <c r="AA76" i="323" s="1"/>
  <c r="AA77" i="323" s="1"/>
  <c r="AA78" i="323" s="1"/>
  <c r="AA79" i="323" s="1"/>
  <c r="AA80" i="323" s="1"/>
  <c r="AA81" i="323" s="1"/>
  <c r="AA82" i="323" s="1"/>
  <c r="AA83" i="323" s="1"/>
  <c r="AA84" i="323" s="1"/>
  <c r="AA85" i="323" s="1"/>
  <c r="AA86" i="323" s="1"/>
  <c r="AA87" i="323" s="1"/>
  <c r="AA88" i="323" s="1"/>
  <c r="AA89" i="323" s="1"/>
  <c r="AA90" i="323" s="1"/>
  <c r="AA91" i="323" s="1"/>
  <c r="AA92" i="323" s="1"/>
  <c r="AA93" i="323" s="1"/>
  <c r="AA94" i="323" s="1"/>
  <c r="AA95" i="323" s="1"/>
  <c r="AA96" i="323" s="1"/>
  <c r="AA97" i="323" s="1"/>
  <c r="AA98" i="323" s="1"/>
  <c r="AA99" i="323" s="1"/>
  <c r="AA100" i="323" s="1"/>
  <c r="AA101" i="323" s="1"/>
  <c r="AA102" i="323" s="1"/>
  <c r="AA103" i="323" s="1"/>
  <c r="AA104" i="323" s="1"/>
  <c r="Z5" i="323"/>
  <c r="Z6" i="323" s="1"/>
  <c r="Z7" i="323" s="1"/>
  <c r="Z8" i="323" s="1"/>
  <c r="Z9" i="323" s="1"/>
  <c r="Z10" i="323" s="1"/>
  <c r="Z11" i="323" s="1"/>
  <c r="Z12" i="323" s="1"/>
  <c r="Z13" i="323" s="1"/>
  <c r="Z14" i="323" s="1"/>
  <c r="Z15" i="323" s="1"/>
  <c r="Z16" i="323" s="1"/>
  <c r="Z17" i="323" s="1"/>
  <c r="Z18" i="323" s="1"/>
  <c r="Z19" i="323" s="1"/>
  <c r="Z20" i="323" s="1"/>
  <c r="Z21" i="323" s="1"/>
  <c r="Z22" i="323" s="1"/>
  <c r="Z23" i="323" s="1"/>
  <c r="Z24" i="323" s="1"/>
  <c r="Z25" i="323" s="1"/>
  <c r="Z26" i="323" s="1"/>
  <c r="Z27" i="323" s="1"/>
  <c r="Z28" i="323" s="1"/>
  <c r="Z29" i="323" s="1"/>
  <c r="Z30" i="323" s="1"/>
  <c r="Z31" i="323" s="1"/>
  <c r="Z32" i="323" s="1"/>
  <c r="Z33" i="323" s="1"/>
  <c r="Z34" i="323" s="1"/>
  <c r="Z35" i="323" s="1"/>
  <c r="Z36" i="323" s="1"/>
  <c r="Z37" i="323" s="1"/>
  <c r="Z38" i="323" s="1"/>
  <c r="Z39" i="323" s="1"/>
  <c r="Z40" i="323" s="1"/>
  <c r="Z41" i="323" s="1"/>
  <c r="Z42" i="323" s="1"/>
  <c r="Z43" i="323" s="1"/>
  <c r="Z44" i="323" s="1"/>
  <c r="Z45" i="323" s="1"/>
  <c r="Z46" i="323" s="1"/>
  <c r="Z47" i="323" s="1"/>
  <c r="Z48" i="323" s="1"/>
  <c r="Z49" i="323" s="1"/>
  <c r="Z50" i="323" s="1"/>
  <c r="Z51" i="323" s="1"/>
  <c r="Z52" i="323" s="1"/>
  <c r="Z53" i="323" s="1"/>
  <c r="Z54" i="323" s="1"/>
  <c r="Z55" i="323" s="1"/>
  <c r="Z56" i="323" s="1"/>
  <c r="Z57" i="323" s="1"/>
  <c r="Z58" i="323" s="1"/>
  <c r="Z59" i="323" s="1"/>
  <c r="Z60" i="323" s="1"/>
  <c r="Z61" i="323" s="1"/>
  <c r="Z62" i="323" s="1"/>
  <c r="Z63" i="323" s="1"/>
  <c r="Z64" i="323" s="1"/>
  <c r="Z65" i="323" s="1"/>
  <c r="Z66" i="323" s="1"/>
  <c r="Z67" i="323" s="1"/>
  <c r="Z68" i="323" s="1"/>
  <c r="Z69" i="323" s="1"/>
  <c r="Z70" i="323" s="1"/>
  <c r="Z71" i="323" s="1"/>
  <c r="Z72" i="323" s="1"/>
  <c r="Z73" i="323" s="1"/>
  <c r="Z74" i="323" s="1"/>
  <c r="Z75" i="323" s="1"/>
  <c r="Z76" i="323" s="1"/>
  <c r="Z77" i="323" s="1"/>
  <c r="Z78" i="323" s="1"/>
  <c r="Z79" i="323" s="1"/>
  <c r="Z80" i="323" s="1"/>
  <c r="Z81" i="323" s="1"/>
  <c r="Z82" i="323" s="1"/>
  <c r="Z83" i="323" s="1"/>
  <c r="Z84" i="323" s="1"/>
  <c r="Z85" i="323" s="1"/>
  <c r="Z86" i="323" s="1"/>
  <c r="Z87" i="323" s="1"/>
  <c r="Z88" i="323" s="1"/>
  <c r="Z89" i="323" s="1"/>
  <c r="Z90" i="323" s="1"/>
  <c r="Z91" i="323" s="1"/>
  <c r="Z92" i="323" s="1"/>
  <c r="Z93" i="323" s="1"/>
  <c r="Z94" i="323" s="1"/>
  <c r="Z95" i="323" s="1"/>
  <c r="Z96" i="323" s="1"/>
  <c r="Z97" i="323" s="1"/>
  <c r="Z98" i="323" s="1"/>
  <c r="Z99" i="323" s="1"/>
  <c r="Z100" i="323" s="1"/>
  <c r="Z101" i="323" s="1"/>
  <c r="Z102" i="323" s="1"/>
  <c r="Z103" i="323" s="1"/>
  <c r="Z104" i="323" s="1"/>
  <c r="Y5" i="323"/>
  <c r="Y6" i="323" s="1"/>
  <c r="Y7" i="323" s="1"/>
  <c r="Y8" i="323" s="1"/>
  <c r="Y9" i="323" s="1"/>
  <c r="Y10" i="323" s="1"/>
  <c r="Y11" i="323" s="1"/>
  <c r="Y12" i="323" s="1"/>
  <c r="Y13" i="323" s="1"/>
  <c r="Y14" i="323" s="1"/>
  <c r="Y15" i="323" s="1"/>
  <c r="Y16" i="323" s="1"/>
  <c r="Y17" i="323" s="1"/>
  <c r="Y18" i="323" s="1"/>
  <c r="Y19" i="323" s="1"/>
  <c r="Y20" i="323" s="1"/>
  <c r="Y21" i="323" s="1"/>
  <c r="Y22" i="323" s="1"/>
  <c r="Y23" i="323" s="1"/>
  <c r="Y24" i="323" s="1"/>
  <c r="Y25" i="323" s="1"/>
  <c r="Y26" i="323" s="1"/>
  <c r="Y27" i="323" s="1"/>
  <c r="Y28" i="323" s="1"/>
  <c r="Y29" i="323" s="1"/>
  <c r="Y30" i="323" s="1"/>
  <c r="Y31" i="323" s="1"/>
  <c r="Y32" i="323" s="1"/>
  <c r="Y33" i="323" s="1"/>
  <c r="Y34" i="323" s="1"/>
  <c r="Y35" i="323" s="1"/>
  <c r="Y36" i="323" s="1"/>
  <c r="Y37" i="323" s="1"/>
  <c r="Y38" i="323" s="1"/>
  <c r="Y39" i="323" s="1"/>
  <c r="Y40" i="323" s="1"/>
  <c r="Y41" i="323" s="1"/>
  <c r="Y42" i="323" s="1"/>
  <c r="Y43" i="323" s="1"/>
  <c r="Y44" i="323" s="1"/>
  <c r="Y45" i="323" s="1"/>
  <c r="Y46" i="323" s="1"/>
  <c r="Y47" i="323" s="1"/>
  <c r="Y48" i="323" s="1"/>
  <c r="Y49" i="323" s="1"/>
  <c r="Y50" i="323" s="1"/>
  <c r="Y51" i="323" s="1"/>
  <c r="Y52" i="323" s="1"/>
  <c r="Y53" i="323" s="1"/>
  <c r="Y54" i="323" s="1"/>
  <c r="Y55" i="323" s="1"/>
  <c r="Y56" i="323" s="1"/>
  <c r="Y57" i="323" s="1"/>
  <c r="Y58" i="323" s="1"/>
  <c r="Y59" i="323" s="1"/>
  <c r="Y60" i="323" s="1"/>
  <c r="Y61" i="323" s="1"/>
  <c r="Y62" i="323" s="1"/>
  <c r="Y63" i="323" s="1"/>
  <c r="Y64" i="323" s="1"/>
  <c r="Y65" i="323" s="1"/>
  <c r="Y66" i="323" s="1"/>
  <c r="Y67" i="323" s="1"/>
  <c r="Y68" i="323" s="1"/>
  <c r="Y69" i="323" s="1"/>
  <c r="Y70" i="323" s="1"/>
  <c r="Y71" i="323" s="1"/>
  <c r="Y72" i="323" s="1"/>
  <c r="Y73" i="323" s="1"/>
  <c r="Y74" i="323" s="1"/>
  <c r="Y75" i="323" s="1"/>
  <c r="Y76" i="323" s="1"/>
  <c r="Y77" i="323" s="1"/>
  <c r="Y78" i="323" s="1"/>
  <c r="Y79" i="323" s="1"/>
  <c r="Y80" i="323" s="1"/>
  <c r="Y81" i="323" s="1"/>
  <c r="Y82" i="323" s="1"/>
  <c r="Y83" i="323" s="1"/>
  <c r="Y84" i="323" s="1"/>
  <c r="Y85" i="323" s="1"/>
  <c r="Y86" i="323" s="1"/>
  <c r="Y87" i="323" s="1"/>
  <c r="Y88" i="323" s="1"/>
  <c r="Y89" i="323" s="1"/>
  <c r="Y90" i="323" s="1"/>
  <c r="Y91" i="323" s="1"/>
  <c r="Y92" i="323" s="1"/>
  <c r="Y93" i="323" s="1"/>
  <c r="Y94" i="323" s="1"/>
  <c r="Y95" i="323" s="1"/>
  <c r="Y96" i="323" s="1"/>
  <c r="Y97" i="323" s="1"/>
  <c r="Y98" i="323" s="1"/>
  <c r="Y99" i="323" s="1"/>
  <c r="Y100" i="323" s="1"/>
  <c r="Y101" i="323" s="1"/>
  <c r="Y102" i="323" s="1"/>
  <c r="Y103" i="323" s="1"/>
  <c r="Y104" i="323" s="1"/>
  <c r="X5" i="323"/>
  <c r="X6" i="323" s="1"/>
  <c r="X7" i="323" s="1"/>
  <c r="X8" i="323" s="1"/>
  <c r="X9" i="323" s="1"/>
  <c r="X10" i="323" s="1"/>
  <c r="X11" i="323" s="1"/>
  <c r="X12" i="323" s="1"/>
  <c r="X13" i="323" s="1"/>
  <c r="X14" i="323" s="1"/>
  <c r="X15" i="323" s="1"/>
  <c r="X16" i="323" s="1"/>
  <c r="X17" i="323" s="1"/>
  <c r="X18" i="323" s="1"/>
  <c r="X19" i="323" s="1"/>
  <c r="X20" i="323" s="1"/>
  <c r="X21" i="323" s="1"/>
  <c r="X22" i="323" s="1"/>
  <c r="X23" i="323" s="1"/>
  <c r="X24" i="323" s="1"/>
  <c r="X25" i="323" s="1"/>
  <c r="X26" i="323" s="1"/>
  <c r="X27" i="323" s="1"/>
  <c r="X28" i="323" s="1"/>
  <c r="X29" i="323" s="1"/>
  <c r="X30" i="323" s="1"/>
  <c r="X31" i="323" s="1"/>
  <c r="X32" i="323" s="1"/>
  <c r="X33" i="323" s="1"/>
  <c r="X34" i="323" s="1"/>
  <c r="X35" i="323" s="1"/>
  <c r="X36" i="323" s="1"/>
  <c r="X37" i="323" s="1"/>
  <c r="X38" i="323" s="1"/>
  <c r="X39" i="323" s="1"/>
  <c r="X40" i="323" s="1"/>
  <c r="X41" i="323" s="1"/>
  <c r="X42" i="323" s="1"/>
  <c r="X43" i="323" s="1"/>
  <c r="X44" i="323" s="1"/>
  <c r="X45" i="323" s="1"/>
  <c r="X46" i="323" s="1"/>
  <c r="X47" i="323" s="1"/>
  <c r="X48" i="323" s="1"/>
  <c r="X49" i="323" s="1"/>
  <c r="X50" i="323" s="1"/>
  <c r="X51" i="323" s="1"/>
  <c r="X52" i="323" s="1"/>
  <c r="X53" i="323" s="1"/>
  <c r="X54" i="323" s="1"/>
  <c r="X55" i="323" s="1"/>
  <c r="X56" i="323" s="1"/>
  <c r="X57" i="323" s="1"/>
  <c r="X58" i="323" s="1"/>
  <c r="X59" i="323" s="1"/>
  <c r="X60" i="323" s="1"/>
  <c r="X61" i="323" s="1"/>
  <c r="X62" i="323" s="1"/>
  <c r="X63" i="323" s="1"/>
  <c r="X64" i="323" s="1"/>
  <c r="X65" i="323" s="1"/>
  <c r="X66" i="323" s="1"/>
  <c r="X67" i="323" s="1"/>
  <c r="X68" i="323" s="1"/>
  <c r="X69" i="323" s="1"/>
  <c r="X70" i="323" s="1"/>
  <c r="X71" i="323" s="1"/>
  <c r="X72" i="323" s="1"/>
  <c r="X73" i="323" s="1"/>
  <c r="X74" i="323" s="1"/>
  <c r="X75" i="323" s="1"/>
  <c r="X76" i="323" s="1"/>
  <c r="X77" i="323" s="1"/>
  <c r="X78" i="323" s="1"/>
  <c r="X79" i="323" s="1"/>
  <c r="X80" i="323" s="1"/>
  <c r="X81" i="323" s="1"/>
  <c r="X82" i="323" s="1"/>
  <c r="X83" i="323" s="1"/>
  <c r="X84" i="323" s="1"/>
  <c r="X85" i="323" s="1"/>
  <c r="X86" i="323" s="1"/>
  <c r="X87" i="323" s="1"/>
  <c r="X88" i="323" s="1"/>
  <c r="X89" i="323" s="1"/>
  <c r="X90" i="323" s="1"/>
  <c r="X91" i="323" s="1"/>
  <c r="X92" i="323" s="1"/>
  <c r="X93" i="323" s="1"/>
  <c r="X94" i="323" s="1"/>
  <c r="X95" i="323" s="1"/>
  <c r="X96" i="323" s="1"/>
  <c r="X97" i="323" s="1"/>
  <c r="X98" i="323" s="1"/>
  <c r="X99" i="323" s="1"/>
  <c r="X100" i="323" s="1"/>
  <c r="X101" i="323" s="1"/>
  <c r="X102" i="323" s="1"/>
  <c r="X103" i="323" s="1"/>
  <c r="X104" i="323" s="1"/>
  <c r="W5" i="323"/>
  <c r="W6" i="323" s="1"/>
  <c r="W7" i="323" s="1"/>
  <c r="W8" i="323" s="1"/>
  <c r="W9" i="323" s="1"/>
  <c r="W10" i="323" s="1"/>
  <c r="W11" i="323" s="1"/>
  <c r="W12" i="323" s="1"/>
  <c r="W13" i="323" s="1"/>
  <c r="W14" i="323" s="1"/>
  <c r="W15" i="323" s="1"/>
  <c r="W16" i="323" s="1"/>
  <c r="W17" i="323" s="1"/>
  <c r="W18" i="323" s="1"/>
  <c r="W19" i="323" s="1"/>
  <c r="W20" i="323" s="1"/>
  <c r="W21" i="323" s="1"/>
  <c r="W22" i="323" s="1"/>
  <c r="W23" i="323" s="1"/>
  <c r="W24" i="323" s="1"/>
  <c r="W25" i="323" s="1"/>
  <c r="W26" i="323" s="1"/>
  <c r="W27" i="323" s="1"/>
  <c r="W28" i="323" s="1"/>
  <c r="W29" i="323" s="1"/>
  <c r="W30" i="323" s="1"/>
  <c r="W31" i="323" s="1"/>
  <c r="W32" i="323" s="1"/>
  <c r="W33" i="323" s="1"/>
  <c r="W34" i="323" s="1"/>
  <c r="W35" i="323" s="1"/>
  <c r="W36" i="323" s="1"/>
  <c r="W37" i="323" s="1"/>
  <c r="W38" i="323" s="1"/>
  <c r="W39" i="323" s="1"/>
  <c r="W40" i="323" s="1"/>
  <c r="W41" i="323" s="1"/>
  <c r="W42" i="323" s="1"/>
  <c r="W43" i="323" s="1"/>
  <c r="W44" i="323" s="1"/>
  <c r="W45" i="323" s="1"/>
  <c r="W46" i="323" s="1"/>
  <c r="W47" i="323" s="1"/>
  <c r="W48" i="323" s="1"/>
  <c r="W49" i="323" s="1"/>
  <c r="W50" i="323" s="1"/>
  <c r="W51" i="323" s="1"/>
  <c r="W52" i="323" s="1"/>
  <c r="W53" i="323" s="1"/>
  <c r="W54" i="323" s="1"/>
  <c r="W55" i="323" s="1"/>
  <c r="W56" i="323" s="1"/>
  <c r="W57" i="323" s="1"/>
  <c r="W58" i="323" s="1"/>
  <c r="W59" i="323" s="1"/>
  <c r="W60" i="323" s="1"/>
  <c r="W61" i="323" s="1"/>
  <c r="W62" i="323" s="1"/>
  <c r="W63" i="323" s="1"/>
  <c r="W64" i="323" s="1"/>
  <c r="W65" i="323" s="1"/>
  <c r="W66" i="323" s="1"/>
  <c r="W67" i="323" s="1"/>
  <c r="W68" i="323" s="1"/>
  <c r="W69" i="323" s="1"/>
  <c r="W70" i="323" s="1"/>
  <c r="W71" i="323" s="1"/>
  <c r="W72" i="323" s="1"/>
  <c r="W73" i="323" s="1"/>
  <c r="W74" i="323" s="1"/>
  <c r="W75" i="323" s="1"/>
  <c r="W76" i="323" s="1"/>
  <c r="W77" i="323" s="1"/>
  <c r="W78" i="323" s="1"/>
  <c r="W79" i="323" s="1"/>
  <c r="W80" i="323" s="1"/>
  <c r="W81" i="323" s="1"/>
  <c r="W82" i="323" s="1"/>
  <c r="W83" i="323" s="1"/>
  <c r="W84" i="323" s="1"/>
  <c r="W85" i="323" s="1"/>
  <c r="W86" i="323" s="1"/>
  <c r="W87" i="323" s="1"/>
  <c r="W88" i="323" s="1"/>
  <c r="W89" i="323" s="1"/>
  <c r="W90" i="323" s="1"/>
  <c r="W91" i="323" s="1"/>
  <c r="W92" i="323" s="1"/>
  <c r="W93" i="323" s="1"/>
  <c r="W94" i="323" s="1"/>
  <c r="W95" i="323" s="1"/>
  <c r="W96" i="323" s="1"/>
  <c r="W97" i="323" s="1"/>
  <c r="W98" i="323" s="1"/>
  <c r="W99" i="323" s="1"/>
  <c r="W100" i="323" s="1"/>
  <c r="W101" i="323" s="1"/>
  <c r="W102" i="323" s="1"/>
  <c r="W103" i="323" s="1"/>
  <c r="W104" i="323" s="1"/>
  <c r="V5" i="323"/>
  <c r="V6" i="323" s="1"/>
  <c r="V7" i="323" s="1"/>
  <c r="V8" i="323" s="1"/>
  <c r="V9" i="323" s="1"/>
  <c r="V10" i="323" s="1"/>
  <c r="V11" i="323" s="1"/>
  <c r="V12" i="323" s="1"/>
  <c r="V13" i="323" s="1"/>
  <c r="V14" i="323" s="1"/>
  <c r="V15" i="323" s="1"/>
  <c r="V16" i="323" s="1"/>
  <c r="V17" i="323" s="1"/>
  <c r="V18" i="323" s="1"/>
  <c r="V19" i="323" s="1"/>
  <c r="V20" i="323" s="1"/>
  <c r="V21" i="323" s="1"/>
  <c r="V22" i="323" s="1"/>
  <c r="V23" i="323" s="1"/>
  <c r="V24" i="323" s="1"/>
  <c r="V25" i="323" s="1"/>
  <c r="V26" i="323" s="1"/>
  <c r="V27" i="323" s="1"/>
  <c r="V28" i="323" s="1"/>
  <c r="V29" i="323" s="1"/>
  <c r="V30" i="323" s="1"/>
  <c r="V31" i="323" s="1"/>
  <c r="V32" i="323" s="1"/>
  <c r="V33" i="323" s="1"/>
  <c r="V34" i="323" s="1"/>
  <c r="V35" i="323" s="1"/>
  <c r="V36" i="323" s="1"/>
  <c r="V37" i="323" s="1"/>
  <c r="V38" i="323" s="1"/>
  <c r="V39" i="323" s="1"/>
  <c r="V40" i="323" s="1"/>
  <c r="V41" i="323" s="1"/>
  <c r="V42" i="323" s="1"/>
  <c r="V43" i="323" s="1"/>
  <c r="V44" i="323" s="1"/>
  <c r="V45" i="323" s="1"/>
  <c r="V46" i="323" s="1"/>
  <c r="V47" i="323" s="1"/>
  <c r="V48" i="323" s="1"/>
  <c r="V49" i="323" s="1"/>
  <c r="V50" i="323" s="1"/>
  <c r="V51" i="323" s="1"/>
  <c r="V52" i="323" s="1"/>
  <c r="V53" i="323" s="1"/>
  <c r="V54" i="323" s="1"/>
  <c r="V55" i="323" s="1"/>
  <c r="V56" i="323" s="1"/>
  <c r="V57" i="323" s="1"/>
  <c r="V58" i="323" s="1"/>
  <c r="V59" i="323" s="1"/>
  <c r="V60" i="323" s="1"/>
  <c r="V61" i="323" s="1"/>
  <c r="V62" i="323" s="1"/>
  <c r="V63" i="323" s="1"/>
  <c r="V64" i="323" s="1"/>
  <c r="V65" i="323" s="1"/>
  <c r="V66" i="323" s="1"/>
  <c r="V67" i="323" s="1"/>
  <c r="V68" i="323" s="1"/>
  <c r="V69" i="323" s="1"/>
  <c r="V70" i="323" s="1"/>
  <c r="V71" i="323" s="1"/>
  <c r="V72" i="323" s="1"/>
  <c r="V73" i="323" s="1"/>
  <c r="V74" i="323" s="1"/>
  <c r="V75" i="323" s="1"/>
  <c r="V76" i="323" s="1"/>
  <c r="V77" i="323" s="1"/>
  <c r="V78" i="323" s="1"/>
  <c r="V79" i="323" s="1"/>
  <c r="V80" i="323" s="1"/>
  <c r="V81" i="323" s="1"/>
  <c r="V82" i="323" s="1"/>
  <c r="V83" i="323" s="1"/>
  <c r="V84" i="323" s="1"/>
  <c r="V85" i="323" s="1"/>
  <c r="V86" i="323" s="1"/>
  <c r="V87" i="323" s="1"/>
  <c r="V88" i="323" s="1"/>
  <c r="V89" i="323" s="1"/>
  <c r="V90" i="323" s="1"/>
  <c r="V91" i="323" s="1"/>
  <c r="V92" i="323" s="1"/>
  <c r="V93" i="323" s="1"/>
  <c r="V94" i="323" s="1"/>
  <c r="V95" i="323" s="1"/>
  <c r="V96" i="323" s="1"/>
  <c r="V97" i="323" s="1"/>
  <c r="V98" i="323" s="1"/>
  <c r="V99" i="323" s="1"/>
  <c r="V100" i="323" s="1"/>
  <c r="V101" i="323" s="1"/>
  <c r="V102" i="323" s="1"/>
  <c r="V103" i="323" s="1"/>
  <c r="V104" i="323" s="1"/>
  <c r="U5" i="323"/>
  <c r="U6" i="323" s="1"/>
  <c r="U7" i="323" s="1"/>
  <c r="U8" i="323" s="1"/>
  <c r="U9" i="323" s="1"/>
  <c r="U10" i="323" s="1"/>
  <c r="U11" i="323" s="1"/>
  <c r="U12" i="323" s="1"/>
  <c r="U13" i="323" s="1"/>
  <c r="U14" i="323" s="1"/>
  <c r="U15" i="323" s="1"/>
  <c r="U16" i="323" s="1"/>
  <c r="U17" i="323" s="1"/>
  <c r="U18" i="323" s="1"/>
  <c r="U19" i="323" s="1"/>
  <c r="U20" i="323" s="1"/>
  <c r="U21" i="323" s="1"/>
  <c r="U22" i="323" s="1"/>
  <c r="U23" i="323" s="1"/>
  <c r="U24" i="323" s="1"/>
  <c r="U25" i="323" s="1"/>
  <c r="U26" i="323" s="1"/>
  <c r="U27" i="323" s="1"/>
  <c r="U28" i="323" s="1"/>
  <c r="U29" i="323" s="1"/>
  <c r="U30" i="323" s="1"/>
  <c r="U31" i="323" s="1"/>
  <c r="U32" i="323" s="1"/>
  <c r="U33" i="323" s="1"/>
  <c r="U34" i="323" s="1"/>
  <c r="U35" i="323" s="1"/>
  <c r="U36" i="323" s="1"/>
  <c r="U37" i="323" s="1"/>
  <c r="U38" i="323" s="1"/>
  <c r="U39" i="323" s="1"/>
  <c r="U40" i="323" s="1"/>
  <c r="U41" i="323" s="1"/>
  <c r="U42" i="323" s="1"/>
  <c r="U43" i="323" s="1"/>
  <c r="U44" i="323" s="1"/>
  <c r="U45" i="323" s="1"/>
  <c r="U46" i="323" s="1"/>
  <c r="U47" i="323" s="1"/>
  <c r="U48" i="323" s="1"/>
  <c r="U49" i="323" s="1"/>
  <c r="U50" i="323" s="1"/>
  <c r="U51" i="323" s="1"/>
  <c r="U52" i="323" s="1"/>
  <c r="U53" i="323" s="1"/>
  <c r="U54" i="323" s="1"/>
  <c r="U55" i="323" s="1"/>
  <c r="U56" i="323" s="1"/>
  <c r="U57" i="323" s="1"/>
  <c r="U58" i="323" s="1"/>
  <c r="U59" i="323" s="1"/>
  <c r="U60" i="323" s="1"/>
  <c r="U61" i="323" s="1"/>
  <c r="U62" i="323" s="1"/>
  <c r="U63" i="323" s="1"/>
  <c r="U64" i="323" s="1"/>
  <c r="U65" i="323" s="1"/>
  <c r="U66" i="323" s="1"/>
  <c r="U67" i="323" s="1"/>
  <c r="U68" i="323" s="1"/>
  <c r="U69" i="323" s="1"/>
  <c r="U70" i="323" s="1"/>
  <c r="U71" i="323" s="1"/>
  <c r="U72" i="323" s="1"/>
  <c r="U73" i="323" s="1"/>
  <c r="U74" i="323" s="1"/>
  <c r="U75" i="323" s="1"/>
  <c r="U76" i="323" s="1"/>
  <c r="U77" i="323" s="1"/>
  <c r="U78" i="323" s="1"/>
  <c r="U79" i="323" s="1"/>
  <c r="U80" i="323" s="1"/>
  <c r="U81" i="323" s="1"/>
  <c r="U82" i="323" s="1"/>
  <c r="U83" i="323" s="1"/>
  <c r="U84" i="323" s="1"/>
  <c r="U85" i="323" s="1"/>
  <c r="U86" i="323" s="1"/>
  <c r="U87" i="323" s="1"/>
  <c r="U88" i="323" s="1"/>
  <c r="U89" i="323" s="1"/>
  <c r="U90" i="323" s="1"/>
  <c r="U91" i="323" s="1"/>
  <c r="U92" i="323" s="1"/>
  <c r="U93" i="323" s="1"/>
  <c r="U94" i="323" s="1"/>
  <c r="U95" i="323" s="1"/>
  <c r="U96" i="323" s="1"/>
  <c r="U97" i="323" s="1"/>
  <c r="U98" i="323" s="1"/>
  <c r="U99" i="323" s="1"/>
  <c r="U100" i="323" s="1"/>
  <c r="U101" i="323" s="1"/>
  <c r="U102" i="323" s="1"/>
  <c r="U103" i="323" s="1"/>
  <c r="U104" i="323" s="1"/>
  <c r="T5" i="323"/>
  <c r="T6" i="323" s="1"/>
  <c r="T7" i="323" s="1"/>
  <c r="T8" i="323" s="1"/>
  <c r="T9" i="323" s="1"/>
  <c r="T10" i="323" s="1"/>
  <c r="T11" i="323" s="1"/>
  <c r="T12" i="323" s="1"/>
  <c r="T13" i="323" s="1"/>
  <c r="T14" i="323" s="1"/>
  <c r="T15" i="323" s="1"/>
  <c r="T16" i="323" s="1"/>
  <c r="T17" i="323" s="1"/>
  <c r="T18" i="323" s="1"/>
  <c r="T19" i="323" s="1"/>
  <c r="T20" i="323" s="1"/>
  <c r="T21" i="323" s="1"/>
  <c r="T22" i="323" s="1"/>
  <c r="T23" i="323" s="1"/>
  <c r="T24" i="323" s="1"/>
  <c r="T25" i="323" s="1"/>
  <c r="T26" i="323" s="1"/>
  <c r="T27" i="323" s="1"/>
  <c r="T28" i="323" s="1"/>
  <c r="T29" i="323" s="1"/>
  <c r="T30" i="323" s="1"/>
  <c r="T31" i="323" s="1"/>
  <c r="T32" i="323" s="1"/>
  <c r="T33" i="323" s="1"/>
  <c r="T34" i="323" s="1"/>
  <c r="T35" i="323" s="1"/>
  <c r="T36" i="323" s="1"/>
  <c r="T37" i="323" s="1"/>
  <c r="T38" i="323" s="1"/>
  <c r="T39" i="323" s="1"/>
  <c r="T40" i="323" s="1"/>
  <c r="T41" i="323" s="1"/>
  <c r="T42" i="323" s="1"/>
  <c r="T43" i="323" s="1"/>
  <c r="T44" i="323" s="1"/>
  <c r="T45" i="323" s="1"/>
  <c r="T46" i="323" s="1"/>
  <c r="T47" i="323" s="1"/>
  <c r="T48" i="323" s="1"/>
  <c r="T49" i="323" s="1"/>
  <c r="T50" i="323" s="1"/>
  <c r="T51" i="323" s="1"/>
  <c r="T52" i="323" s="1"/>
  <c r="T53" i="323" s="1"/>
  <c r="T54" i="323" s="1"/>
  <c r="T55" i="323" s="1"/>
  <c r="T56" i="323" s="1"/>
  <c r="T57" i="323" s="1"/>
  <c r="T58" i="323" s="1"/>
  <c r="T59" i="323" s="1"/>
  <c r="T60" i="323" s="1"/>
  <c r="T61" i="323" s="1"/>
  <c r="T62" i="323" s="1"/>
  <c r="T63" i="323" s="1"/>
  <c r="T64" i="323" s="1"/>
  <c r="T65" i="323" s="1"/>
  <c r="T66" i="323" s="1"/>
  <c r="T67" i="323" s="1"/>
  <c r="T68" i="323" s="1"/>
  <c r="T69" i="323" s="1"/>
  <c r="T70" i="323" s="1"/>
  <c r="T71" i="323" s="1"/>
  <c r="T72" i="323" s="1"/>
  <c r="T73" i="323" s="1"/>
  <c r="T74" i="323" s="1"/>
  <c r="T75" i="323" s="1"/>
  <c r="T76" i="323" s="1"/>
  <c r="T77" i="323" s="1"/>
  <c r="T78" i="323" s="1"/>
  <c r="T79" i="323" s="1"/>
  <c r="T80" i="323" s="1"/>
  <c r="T81" i="323" s="1"/>
  <c r="T82" i="323" s="1"/>
  <c r="T83" i="323" s="1"/>
  <c r="T84" i="323" s="1"/>
  <c r="T85" i="323" s="1"/>
  <c r="T86" i="323" s="1"/>
  <c r="T87" i="323" s="1"/>
  <c r="T88" i="323" s="1"/>
  <c r="T89" i="323" s="1"/>
  <c r="T90" i="323" s="1"/>
  <c r="T91" i="323" s="1"/>
  <c r="T92" i="323" s="1"/>
  <c r="T93" i="323" s="1"/>
  <c r="T94" i="323" s="1"/>
  <c r="T95" i="323" s="1"/>
  <c r="T96" i="323" s="1"/>
  <c r="T97" i="323" s="1"/>
  <c r="T98" i="323" s="1"/>
  <c r="T99" i="323" s="1"/>
  <c r="T100" i="323" s="1"/>
  <c r="T101" i="323" s="1"/>
  <c r="T102" i="323" s="1"/>
  <c r="T103" i="323" s="1"/>
  <c r="T104" i="323" s="1"/>
  <c r="S5" i="323"/>
  <c r="S6" i="323" s="1"/>
  <c r="S7" i="323" s="1"/>
  <c r="S8" i="323" s="1"/>
  <c r="S9" i="323" s="1"/>
  <c r="S10" i="323" s="1"/>
  <c r="S11" i="323" s="1"/>
  <c r="S12" i="323" s="1"/>
  <c r="S13" i="323" s="1"/>
  <c r="S14" i="323" s="1"/>
  <c r="S15" i="323" s="1"/>
  <c r="S16" i="323" s="1"/>
  <c r="S17" i="323" s="1"/>
  <c r="S18" i="323" s="1"/>
  <c r="S19" i="323" s="1"/>
  <c r="S20" i="323" s="1"/>
  <c r="S21" i="323" s="1"/>
  <c r="S22" i="323" s="1"/>
  <c r="S23" i="323" s="1"/>
  <c r="S24" i="323" s="1"/>
  <c r="S25" i="323" s="1"/>
  <c r="S26" i="323" s="1"/>
  <c r="S27" i="323" s="1"/>
  <c r="S28" i="323" s="1"/>
  <c r="S29" i="323" s="1"/>
  <c r="S30" i="323" s="1"/>
  <c r="S31" i="323" s="1"/>
  <c r="S32" i="323" s="1"/>
  <c r="S33" i="323" s="1"/>
  <c r="S34" i="323" s="1"/>
  <c r="S35" i="323" s="1"/>
  <c r="S36" i="323" s="1"/>
  <c r="S37" i="323" s="1"/>
  <c r="S38" i="323" s="1"/>
  <c r="S39" i="323" s="1"/>
  <c r="S40" i="323" s="1"/>
  <c r="S41" i="323" s="1"/>
  <c r="S42" i="323" s="1"/>
  <c r="S43" i="323" s="1"/>
  <c r="S44" i="323" s="1"/>
  <c r="S45" i="323" s="1"/>
  <c r="S46" i="323" s="1"/>
  <c r="S47" i="323" s="1"/>
  <c r="S48" i="323" s="1"/>
  <c r="S49" i="323" s="1"/>
  <c r="S50" i="323" s="1"/>
  <c r="S51" i="323" s="1"/>
  <c r="S52" i="323" s="1"/>
  <c r="S53" i="323" s="1"/>
  <c r="S54" i="323" s="1"/>
  <c r="S55" i="323" s="1"/>
  <c r="S56" i="323" s="1"/>
  <c r="S57" i="323" s="1"/>
  <c r="S58" i="323" s="1"/>
  <c r="S59" i="323" s="1"/>
  <c r="S60" i="323" s="1"/>
  <c r="S61" i="323" s="1"/>
  <c r="S62" i="323" s="1"/>
  <c r="S63" i="323" s="1"/>
  <c r="S64" i="323" s="1"/>
  <c r="S65" i="323" s="1"/>
  <c r="S66" i="323" s="1"/>
  <c r="S67" i="323" s="1"/>
  <c r="S68" i="323" s="1"/>
  <c r="S69" i="323" s="1"/>
  <c r="S70" i="323" s="1"/>
  <c r="S71" i="323" s="1"/>
  <c r="S72" i="323" s="1"/>
  <c r="S73" i="323" s="1"/>
  <c r="S74" i="323" s="1"/>
  <c r="S75" i="323" s="1"/>
  <c r="S76" i="323" s="1"/>
  <c r="S77" i="323" s="1"/>
  <c r="S78" i="323" s="1"/>
  <c r="S79" i="323" s="1"/>
  <c r="S80" i="323" s="1"/>
  <c r="S81" i="323" s="1"/>
  <c r="S82" i="323" s="1"/>
  <c r="S83" i="323" s="1"/>
  <c r="S84" i="323" s="1"/>
  <c r="S85" i="323" s="1"/>
  <c r="S86" i="323" s="1"/>
  <c r="S87" i="323" s="1"/>
  <c r="S88" i="323" s="1"/>
  <c r="S89" i="323" s="1"/>
  <c r="S90" i="323" s="1"/>
  <c r="S91" i="323" s="1"/>
  <c r="S92" i="323" s="1"/>
  <c r="S93" i="323" s="1"/>
  <c r="S94" i="323" s="1"/>
  <c r="S95" i="323" s="1"/>
  <c r="S96" i="323" s="1"/>
  <c r="S97" i="323" s="1"/>
  <c r="S98" i="323" s="1"/>
  <c r="S99" i="323" s="1"/>
  <c r="S100" i="323" s="1"/>
  <c r="S101" i="323" s="1"/>
  <c r="S102" i="323" s="1"/>
  <c r="S103" i="323" s="1"/>
  <c r="S104" i="323" s="1"/>
  <c r="R5" i="323"/>
  <c r="R6" i="323" s="1"/>
  <c r="R7" i="323" s="1"/>
  <c r="R8" i="323" s="1"/>
  <c r="R9" i="323" s="1"/>
  <c r="R10" i="323" s="1"/>
  <c r="R11" i="323" s="1"/>
  <c r="R12" i="323" s="1"/>
  <c r="R13" i="323" s="1"/>
  <c r="R14" i="323" s="1"/>
  <c r="R15" i="323" s="1"/>
  <c r="R16" i="323" s="1"/>
  <c r="R17" i="323" s="1"/>
  <c r="R18" i="323" s="1"/>
  <c r="R19" i="323" s="1"/>
  <c r="R20" i="323" s="1"/>
  <c r="R21" i="323" s="1"/>
  <c r="R22" i="323" s="1"/>
  <c r="R23" i="323" s="1"/>
  <c r="R24" i="323" s="1"/>
  <c r="R25" i="323" s="1"/>
  <c r="R26" i="323" s="1"/>
  <c r="R27" i="323" s="1"/>
  <c r="R28" i="323" s="1"/>
  <c r="R29" i="323" s="1"/>
  <c r="R30" i="323" s="1"/>
  <c r="R31" i="323" s="1"/>
  <c r="R32" i="323" s="1"/>
  <c r="R33" i="323" s="1"/>
  <c r="R34" i="323" s="1"/>
  <c r="R35" i="323" s="1"/>
  <c r="R36" i="323" s="1"/>
  <c r="R37" i="323" s="1"/>
  <c r="R38" i="323" s="1"/>
  <c r="R39" i="323" s="1"/>
  <c r="R40" i="323" s="1"/>
  <c r="R41" i="323" s="1"/>
  <c r="R42" i="323" s="1"/>
  <c r="R43" i="323" s="1"/>
  <c r="R44" i="323" s="1"/>
  <c r="R45" i="323" s="1"/>
  <c r="R46" i="323" s="1"/>
  <c r="R47" i="323" s="1"/>
  <c r="R48" i="323" s="1"/>
  <c r="R49" i="323" s="1"/>
  <c r="R50" i="323" s="1"/>
  <c r="R51" i="323" s="1"/>
  <c r="R52" i="323" s="1"/>
  <c r="R53" i="323" s="1"/>
  <c r="R54" i="323" s="1"/>
  <c r="R55" i="323" s="1"/>
  <c r="R56" i="323" s="1"/>
  <c r="R57" i="323" s="1"/>
  <c r="R58" i="323" s="1"/>
  <c r="R59" i="323" s="1"/>
  <c r="R60" i="323" s="1"/>
  <c r="R61" i="323" s="1"/>
  <c r="R62" i="323" s="1"/>
  <c r="R63" i="323" s="1"/>
  <c r="R64" i="323" s="1"/>
  <c r="R65" i="323" s="1"/>
  <c r="R66" i="323" s="1"/>
  <c r="R67" i="323" s="1"/>
  <c r="R68" i="323" s="1"/>
  <c r="R69" i="323" s="1"/>
  <c r="R70" i="323" s="1"/>
  <c r="R71" i="323" s="1"/>
  <c r="R72" i="323" s="1"/>
  <c r="R73" i="323" s="1"/>
  <c r="R74" i="323" s="1"/>
  <c r="R75" i="323" s="1"/>
  <c r="R76" i="323" s="1"/>
  <c r="R77" i="323" s="1"/>
  <c r="R78" i="323" s="1"/>
  <c r="R79" i="323" s="1"/>
  <c r="R80" i="323" s="1"/>
  <c r="R81" i="323" s="1"/>
  <c r="R82" i="323" s="1"/>
  <c r="R83" i="323" s="1"/>
  <c r="R84" i="323" s="1"/>
  <c r="R85" i="323" s="1"/>
  <c r="R86" i="323" s="1"/>
  <c r="R87" i="323" s="1"/>
  <c r="R88" i="323" s="1"/>
  <c r="R89" i="323" s="1"/>
  <c r="R90" i="323" s="1"/>
  <c r="R91" i="323" s="1"/>
  <c r="R92" i="323" s="1"/>
  <c r="R93" i="323" s="1"/>
  <c r="R94" i="323" s="1"/>
  <c r="R95" i="323" s="1"/>
  <c r="R96" i="323" s="1"/>
  <c r="R97" i="323" s="1"/>
  <c r="R98" i="323" s="1"/>
  <c r="R99" i="323" s="1"/>
  <c r="R100" i="323" s="1"/>
  <c r="R101" i="323" s="1"/>
  <c r="R102" i="323" s="1"/>
  <c r="R103" i="323" s="1"/>
  <c r="R104" i="323" s="1"/>
  <c r="AF4" i="323"/>
  <c r="AE4" i="323"/>
  <c r="AD4" i="323"/>
  <c r="AC4" i="323"/>
  <c r="AB4" i="323"/>
  <c r="AA4" i="323"/>
  <c r="Z4" i="323"/>
  <c r="Y4" i="323"/>
  <c r="X4" i="323"/>
  <c r="W4" i="323"/>
  <c r="V4" i="323"/>
  <c r="U4" i="323"/>
  <c r="T4" i="323"/>
  <c r="S4" i="323"/>
  <c r="R4" i="323"/>
  <c r="AF115" i="322"/>
  <c r="AF116" i="322" s="1"/>
  <c r="AF117" i="322" s="1"/>
  <c r="AF118" i="322" s="1"/>
  <c r="AF119" i="322" s="1"/>
  <c r="AF120" i="322" s="1"/>
  <c r="AF121" i="322" s="1"/>
  <c r="AF122" i="322" s="1"/>
  <c r="AF123" i="322" s="1"/>
  <c r="AF124" i="322" s="1"/>
  <c r="AF125" i="322" s="1"/>
  <c r="AF126" i="322" s="1"/>
  <c r="AF127" i="322" s="1"/>
  <c r="AF128" i="322" s="1"/>
  <c r="AF129" i="322" s="1"/>
  <c r="AF130" i="322" s="1"/>
  <c r="AF131" i="322" s="1"/>
  <c r="AF132" i="322" s="1"/>
  <c r="AF133" i="322" s="1"/>
  <c r="AF134" i="322" s="1"/>
  <c r="AF135" i="322" s="1"/>
  <c r="AF136" i="322" s="1"/>
  <c r="AF137" i="322" s="1"/>
  <c r="AF138" i="322" s="1"/>
  <c r="AF139" i="322" s="1"/>
  <c r="AF140" i="322" s="1"/>
  <c r="AF141" i="322" s="1"/>
  <c r="AF142" i="322" s="1"/>
  <c r="AF143" i="322" s="1"/>
  <c r="AF144" i="322" s="1"/>
  <c r="AF145" i="322" s="1"/>
  <c r="AF146" i="322" s="1"/>
  <c r="AF147" i="322" s="1"/>
  <c r="AF148" i="322" s="1"/>
  <c r="AF149" i="322" s="1"/>
  <c r="AF150" i="322" s="1"/>
  <c r="AF151" i="322" s="1"/>
  <c r="AF152" i="322" s="1"/>
  <c r="AF153" i="322" s="1"/>
  <c r="AF154" i="322" s="1"/>
  <c r="AF155" i="322" s="1"/>
  <c r="AF156" i="322" s="1"/>
  <c r="AF157" i="322" s="1"/>
  <c r="AF158" i="322" s="1"/>
  <c r="AF159" i="322" s="1"/>
  <c r="AF160" i="322" s="1"/>
  <c r="AF161" i="322" s="1"/>
  <c r="AF162" i="322" s="1"/>
  <c r="AF163" i="322" s="1"/>
  <c r="AF164" i="322" s="1"/>
  <c r="AF165" i="322" s="1"/>
  <c r="AF166" i="322" s="1"/>
  <c r="AF167" i="322" s="1"/>
  <c r="AF168" i="322" s="1"/>
  <c r="AF169" i="322" s="1"/>
  <c r="AF170" i="322" s="1"/>
  <c r="AF171" i="322" s="1"/>
  <c r="AF172" i="322" s="1"/>
  <c r="AF173" i="322" s="1"/>
  <c r="AF174" i="322" s="1"/>
  <c r="AF175" i="322" s="1"/>
  <c r="AF176" i="322" s="1"/>
  <c r="AF177" i="322" s="1"/>
  <c r="AF178" i="322" s="1"/>
  <c r="AF179" i="322" s="1"/>
  <c r="AF180" i="322" s="1"/>
  <c r="AF181" i="322" s="1"/>
  <c r="AF182" i="322" s="1"/>
  <c r="AF183" i="322" s="1"/>
  <c r="AF184" i="322" s="1"/>
  <c r="AF185" i="322" s="1"/>
  <c r="AF186" i="322" s="1"/>
  <c r="AF187" i="322" s="1"/>
  <c r="AF188" i="322" s="1"/>
  <c r="AF189" i="322" s="1"/>
  <c r="AF190" i="322" s="1"/>
  <c r="AF191" i="322" s="1"/>
  <c r="AF192" i="322" s="1"/>
  <c r="AF193" i="322" s="1"/>
  <c r="AF194" i="322" s="1"/>
  <c r="AF195" i="322" s="1"/>
  <c r="AF196" i="322" s="1"/>
  <c r="AF197" i="322" s="1"/>
  <c r="AF198" i="322" s="1"/>
  <c r="AF199" i="322" s="1"/>
  <c r="AF200" i="322" s="1"/>
  <c r="AF201" i="322" s="1"/>
  <c r="AF202" i="322" s="1"/>
  <c r="AF203" i="322" s="1"/>
  <c r="AF204" i="322" s="1"/>
  <c r="AF205" i="322" s="1"/>
  <c r="AF206" i="322" s="1"/>
  <c r="AF207" i="322" s="1"/>
  <c r="AF208" i="322" s="1"/>
  <c r="AF209" i="322" s="1"/>
  <c r="AF210" i="322" s="1"/>
  <c r="AF211" i="322" s="1"/>
  <c r="AF212" i="322" s="1"/>
  <c r="AF213" i="322" s="1"/>
  <c r="AF214" i="322" s="1"/>
  <c r="AE115" i="322"/>
  <c r="AE116" i="322" s="1"/>
  <c r="AE117" i="322" s="1"/>
  <c r="AE118" i="322" s="1"/>
  <c r="AE119" i="322" s="1"/>
  <c r="AE120" i="322" s="1"/>
  <c r="AE121" i="322" s="1"/>
  <c r="AE122" i="322" s="1"/>
  <c r="AE123" i="322" s="1"/>
  <c r="AE124" i="322" s="1"/>
  <c r="AE125" i="322" s="1"/>
  <c r="AE126" i="322" s="1"/>
  <c r="AE127" i="322" s="1"/>
  <c r="AE128" i="322" s="1"/>
  <c r="AE129" i="322" s="1"/>
  <c r="AE130" i="322" s="1"/>
  <c r="AE131" i="322" s="1"/>
  <c r="AE132" i="322" s="1"/>
  <c r="AE133" i="322" s="1"/>
  <c r="AE134" i="322" s="1"/>
  <c r="AE135" i="322" s="1"/>
  <c r="AE136" i="322" s="1"/>
  <c r="AE137" i="322" s="1"/>
  <c r="AE138" i="322" s="1"/>
  <c r="AE139" i="322" s="1"/>
  <c r="AE140" i="322" s="1"/>
  <c r="AE141" i="322" s="1"/>
  <c r="AE142" i="322" s="1"/>
  <c r="AE143" i="322" s="1"/>
  <c r="AE144" i="322" s="1"/>
  <c r="AE145" i="322" s="1"/>
  <c r="AE146" i="322" s="1"/>
  <c r="AE147" i="322" s="1"/>
  <c r="AE148" i="322" s="1"/>
  <c r="AE149" i="322" s="1"/>
  <c r="AE150" i="322" s="1"/>
  <c r="AE151" i="322" s="1"/>
  <c r="AE152" i="322" s="1"/>
  <c r="AE153" i="322" s="1"/>
  <c r="AE154" i="322" s="1"/>
  <c r="AE155" i="322" s="1"/>
  <c r="AE156" i="322" s="1"/>
  <c r="AE157" i="322" s="1"/>
  <c r="AE158" i="322" s="1"/>
  <c r="AE159" i="322" s="1"/>
  <c r="AE160" i="322" s="1"/>
  <c r="AE161" i="322" s="1"/>
  <c r="AE162" i="322" s="1"/>
  <c r="AE163" i="322" s="1"/>
  <c r="AE164" i="322" s="1"/>
  <c r="AE165" i="322" s="1"/>
  <c r="AE166" i="322" s="1"/>
  <c r="AE167" i="322" s="1"/>
  <c r="AE168" i="322" s="1"/>
  <c r="AE169" i="322" s="1"/>
  <c r="AE170" i="322" s="1"/>
  <c r="AE171" i="322" s="1"/>
  <c r="AE172" i="322" s="1"/>
  <c r="AE173" i="322" s="1"/>
  <c r="AE174" i="322" s="1"/>
  <c r="AE175" i="322" s="1"/>
  <c r="AE176" i="322" s="1"/>
  <c r="AE177" i="322" s="1"/>
  <c r="AE178" i="322" s="1"/>
  <c r="AE179" i="322" s="1"/>
  <c r="AE180" i="322" s="1"/>
  <c r="AE181" i="322" s="1"/>
  <c r="AE182" i="322" s="1"/>
  <c r="AE183" i="322" s="1"/>
  <c r="AE184" i="322" s="1"/>
  <c r="AE185" i="322" s="1"/>
  <c r="AE186" i="322" s="1"/>
  <c r="AE187" i="322" s="1"/>
  <c r="AE188" i="322" s="1"/>
  <c r="AE189" i="322" s="1"/>
  <c r="AE190" i="322" s="1"/>
  <c r="AE191" i="322" s="1"/>
  <c r="AE192" i="322" s="1"/>
  <c r="AE193" i="322" s="1"/>
  <c r="AE194" i="322" s="1"/>
  <c r="AE195" i="322" s="1"/>
  <c r="AE196" i="322" s="1"/>
  <c r="AE197" i="322" s="1"/>
  <c r="AE198" i="322" s="1"/>
  <c r="AE199" i="322" s="1"/>
  <c r="AE200" i="322" s="1"/>
  <c r="AE201" i="322" s="1"/>
  <c r="AE202" i="322" s="1"/>
  <c r="AE203" i="322" s="1"/>
  <c r="AE204" i="322" s="1"/>
  <c r="AE205" i="322" s="1"/>
  <c r="AE206" i="322" s="1"/>
  <c r="AE207" i="322" s="1"/>
  <c r="AE208" i="322" s="1"/>
  <c r="AE209" i="322" s="1"/>
  <c r="AE210" i="322" s="1"/>
  <c r="AE211" i="322" s="1"/>
  <c r="AE212" i="322" s="1"/>
  <c r="AE213" i="322" s="1"/>
  <c r="AE214" i="322" s="1"/>
  <c r="AD115" i="322"/>
  <c r="AD116" i="322" s="1"/>
  <c r="AD117" i="322" s="1"/>
  <c r="AD118" i="322" s="1"/>
  <c r="AD119" i="322" s="1"/>
  <c r="AD120" i="322" s="1"/>
  <c r="AD121" i="322" s="1"/>
  <c r="AD122" i="322" s="1"/>
  <c r="AD123" i="322" s="1"/>
  <c r="AD124" i="322" s="1"/>
  <c r="AD125" i="322" s="1"/>
  <c r="AD126" i="322" s="1"/>
  <c r="AD127" i="322" s="1"/>
  <c r="AD128" i="322" s="1"/>
  <c r="AD129" i="322" s="1"/>
  <c r="AD130" i="322" s="1"/>
  <c r="AD131" i="322" s="1"/>
  <c r="AD132" i="322" s="1"/>
  <c r="AD133" i="322" s="1"/>
  <c r="AD134" i="322" s="1"/>
  <c r="AD135" i="322" s="1"/>
  <c r="AD136" i="322" s="1"/>
  <c r="AD137" i="322" s="1"/>
  <c r="AD138" i="322" s="1"/>
  <c r="AD139" i="322" s="1"/>
  <c r="AD140" i="322" s="1"/>
  <c r="AD141" i="322" s="1"/>
  <c r="AD142" i="322" s="1"/>
  <c r="AD143" i="322" s="1"/>
  <c r="AD144" i="322" s="1"/>
  <c r="AD145" i="322" s="1"/>
  <c r="AD146" i="322" s="1"/>
  <c r="AD147" i="322" s="1"/>
  <c r="AD148" i="322" s="1"/>
  <c r="AD149" i="322" s="1"/>
  <c r="AD150" i="322" s="1"/>
  <c r="AD151" i="322" s="1"/>
  <c r="AD152" i="322" s="1"/>
  <c r="AD153" i="322" s="1"/>
  <c r="AD154" i="322" s="1"/>
  <c r="AD155" i="322" s="1"/>
  <c r="AD156" i="322" s="1"/>
  <c r="AD157" i="322" s="1"/>
  <c r="AD158" i="322" s="1"/>
  <c r="AD159" i="322" s="1"/>
  <c r="AD160" i="322" s="1"/>
  <c r="AD161" i="322" s="1"/>
  <c r="AD162" i="322" s="1"/>
  <c r="AD163" i="322" s="1"/>
  <c r="AD164" i="322" s="1"/>
  <c r="AD165" i="322" s="1"/>
  <c r="AD166" i="322" s="1"/>
  <c r="AD167" i="322" s="1"/>
  <c r="AD168" i="322" s="1"/>
  <c r="AD169" i="322" s="1"/>
  <c r="AD170" i="322" s="1"/>
  <c r="AD171" i="322" s="1"/>
  <c r="AD172" i="322" s="1"/>
  <c r="AD173" i="322" s="1"/>
  <c r="AD174" i="322" s="1"/>
  <c r="AD175" i="322" s="1"/>
  <c r="AD176" i="322" s="1"/>
  <c r="AD177" i="322" s="1"/>
  <c r="AD178" i="322" s="1"/>
  <c r="AD179" i="322" s="1"/>
  <c r="AD180" i="322" s="1"/>
  <c r="AD181" i="322" s="1"/>
  <c r="AD182" i="322" s="1"/>
  <c r="AD183" i="322" s="1"/>
  <c r="AD184" i="322" s="1"/>
  <c r="AD185" i="322" s="1"/>
  <c r="AD186" i="322" s="1"/>
  <c r="AD187" i="322" s="1"/>
  <c r="AD188" i="322" s="1"/>
  <c r="AD189" i="322" s="1"/>
  <c r="AD190" i="322" s="1"/>
  <c r="AD191" i="322" s="1"/>
  <c r="AD192" i="322" s="1"/>
  <c r="AD193" i="322" s="1"/>
  <c r="AD194" i="322" s="1"/>
  <c r="AD195" i="322" s="1"/>
  <c r="AD196" i="322" s="1"/>
  <c r="AD197" i="322" s="1"/>
  <c r="AD198" i="322" s="1"/>
  <c r="AD199" i="322" s="1"/>
  <c r="AD200" i="322" s="1"/>
  <c r="AD201" i="322" s="1"/>
  <c r="AD202" i="322" s="1"/>
  <c r="AD203" i="322" s="1"/>
  <c r="AD204" i="322" s="1"/>
  <c r="AD205" i="322" s="1"/>
  <c r="AD206" i="322" s="1"/>
  <c r="AD207" i="322" s="1"/>
  <c r="AD208" i="322" s="1"/>
  <c r="AD209" i="322" s="1"/>
  <c r="AD210" i="322" s="1"/>
  <c r="AD211" i="322" s="1"/>
  <c r="AD212" i="322" s="1"/>
  <c r="AD213" i="322" s="1"/>
  <c r="AD214" i="322" s="1"/>
  <c r="AC115" i="322"/>
  <c r="AC116" i="322" s="1"/>
  <c r="AC117" i="322" s="1"/>
  <c r="AC118" i="322" s="1"/>
  <c r="AC119" i="322" s="1"/>
  <c r="AC120" i="322" s="1"/>
  <c r="AC121" i="322" s="1"/>
  <c r="AC122" i="322" s="1"/>
  <c r="AC123" i="322" s="1"/>
  <c r="AC124" i="322" s="1"/>
  <c r="AC125" i="322" s="1"/>
  <c r="AC126" i="322" s="1"/>
  <c r="AC127" i="322" s="1"/>
  <c r="AC128" i="322" s="1"/>
  <c r="AC129" i="322" s="1"/>
  <c r="AC130" i="322" s="1"/>
  <c r="AC131" i="322" s="1"/>
  <c r="AC132" i="322" s="1"/>
  <c r="AC133" i="322" s="1"/>
  <c r="AC134" i="322" s="1"/>
  <c r="AC135" i="322" s="1"/>
  <c r="AC136" i="322" s="1"/>
  <c r="AC137" i="322" s="1"/>
  <c r="AC138" i="322" s="1"/>
  <c r="AC139" i="322" s="1"/>
  <c r="AC140" i="322" s="1"/>
  <c r="AC141" i="322" s="1"/>
  <c r="AC142" i="322" s="1"/>
  <c r="AC143" i="322" s="1"/>
  <c r="AC144" i="322" s="1"/>
  <c r="AC145" i="322" s="1"/>
  <c r="AC146" i="322" s="1"/>
  <c r="AC147" i="322" s="1"/>
  <c r="AC148" i="322" s="1"/>
  <c r="AC149" i="322" s="1"/>
  <c r="AC150" i="322" s="1"/>
  <c r="AC151" i="322" s="1"/>
  <c r="AC152" i="322" s="1"/>
  <c r="AC153" i="322" s="1"/>
  <c r="AC154" i="322" s="1"/>
  <c r="AC155" i="322" s="1"/>
  <c r="AC156" i="322" s="1"/>
  <c r="AC157" i="322" s="1"/>
  <c r="AC158" i="322" s="1"/>
  <c r="AC159" i="322" s="1"/>
  <c r="AC160" i="322" s="1"/>
  <c r="AC161" i="322" s="1"/>
  <c r="AC162" i="322" s="1"/>
  <c r="AC163" i="322" s="1"/>
  <c r="AC164" i="322" s="1"/>
  <c r="AC165" i="322" s="1"/>
  <c r="AC166" i="322" s="1"/>
  <c r="AC167" i="322" s="1"/>
  <c r="AC168" i="322" s="1"/>
  <c r="AC169" i="322" s="1"/>
  <c r="AC170" i="322" s="1"/>
  <c r="AC171" i="322" s="1"/>
  <c r="AC172" i="322" s="1"/>
  <c r="AC173" i="322" s="1"/>
  <c r="AC174" i="322" s="1"/>
  <c r="AC175" i="322" s="1"/>
  <c r="AC176" i="322" s="1"/>
  <c r="AC177" i="322" s="1"/>
  <c r="AC178" i="322" s="1"/>
  <c r="AC179" i="322" s="1"/>
  <c r="AC180" i="322" s="1"/>
  <c r="AC181" i="322" s="1"/>
  <c r="AC182" i="322" s="1"/>
  <c r="AC183" i="322" s="1"/>
  <c r="AC184" i="322" s="1"/>
  <c r="AC185" i="322" s="1"/>
  <c r="AC186" i="322" s="1"/>
  <c r="AC187" i="322" s="1"/>
  <c r="AC188" i="322" s="1"/>
  <c r="AC189" i="322" s="1"/>
  <c r="AC190" i="322" s="1"/>
  <c r="AC191" i="322" s="1"/>
  <c r="AC192" i="322" s="1"/>
  <c r="AC193" i="322" s="1"/>
  <c r="AC194" i="322" s="1"/>
  <c r="AC195" i="322" s="1"/>
  <c r="AC196" i="322" s="1"/>
  <c r="AC197" i="322" s="1"/>
  <c r="AC198" i="322" s="1"/>
  <c r="AC199" i="322" s="1"/>
  <c r="AC200" i="322" s="1"/>
  <c r="AC201" i="322" s="1"/>
  <c r="AC202" i="322" s="1"/>
  <c r="AC203" i="322" s="1"/>
  <c r="AC204" i="322" s="1"/>
  <c r="AC205" i="322" s="1"/>
  <c r="AC206" i="322" s="1"/>
  <c r="AC207" i="322" s="1"/>
  <c r="AC208" i="322" s="1"/>
  <c r="AC209" i="322" s="1"/>
  <c r="AC210" i="322" s="1"/>
  <c r="AC211" i="322" s="1"/>
  <c r="AC212" i="322" s="1"/>
  <c r="AC213" i="322" s="1"/>
  <c r="AC214" i="322" s="1"/>
  <c r="AB115" i="322"/>
  <c r="AB116" i="322" s="1"/>
  <c r="AB117" i="322" s="1"/>
  <c r="AB118" i="322" s="1"/>
  <c r="AB119" i="322" s="1"/>
  <c r="AB120" i="322" s="1"/>
  <c r="AB121" i="322" s="1"/>
  <c r="AB122" i="322" s="1"/>
  <c r="AB123" i="322" s="1"/>
  <c r="AB124" i="322" s="1"/>
  <c r="AB125" i="322" s="1"/>
  <c r="AB126" i="322" s="1"/>
  <c r="AB127" i="322" s="1"/>
  <c r="AB128" i="322" s="1"/>
  <c r="AB129" i="322" s="1"/>
  <c r="AB130" i="322" s="1"/>
  <c r="AB131" i="322" s="1"/>
  <c r="AB132" i="322" s="1"/>
  <c r="AB133" i="322" s="1"/>
  <c r="AB134" i="322" s="1"/>
  <c r="AB135" i="322" s="1"/>
  <c r="AB136" i="322" s="1"/>
  <c r="AB137" i="322" s="1"/>
  <c r="AB138" i="322" s="1"/>
  <c r="AB139" i="322" s="1"/>
  <c r="AB140" i="322" s="1"/>
  <c r="AB141" i="322" s="1"/>
  <c r="AB142" i="322" s="1"/>
  <c r="AB143" i="322" s="1"/>
  <c r="AB144" i="322" s="1"/>
  <c r="AB145" i="322" s="1"/>
  <c r="AB146" i="322" s="1"/>
  <c r="AB147" i="322" s="1"/>
  <c r="AB148" i="322" s="1"/>
  <c r="AB149" i="322" s="1"/>
  <c r="AB150" i="322" s="1"/>
  <c r="AB151" i="322" s="1"/>
  <c r="AB152" i="322" s="1"/>
  <c r="AB153" i="322" s="1"/>
  <c r="AB154" i="322" s="1"/>
  <c r="AB155" i="322" s="1"/>
  <c r="AB156" i="322" s="1"/>
  <c r="AB157" i="322" s="1"/>
  <c r="AB158" i="322" s="1"/>
  <c r="AB159" i="322" s="1"/>
  <c r="AB160" i="322" s="1"/>
  <c r="AB161" i="322" s="1"/>
  <c r="AB162" i="322" s="1"/>
  <c r="AB163" i="322" s="1"/>
  <c r="AB164" i="322" s="1"/>
  <c r="AB165" i="322" s="1"/>
  <c r="AB166" i="322" s="1"/>
  <c r="AB167" i="322" s="1"/>
  <c r="AB168" i="322" s="1"/>
  <c r="AB169" i="322" s="1"/>
  <c r="AB170" i="322" s="1"/>
  <c r="AB171" i="322" s="1"/>
  <c r="AB172" i="322" s="1"/>
  <c r="AB173" i="322" s="1"/>
  <c r="AB174" i="322" s="1"/>
  <c r="AB175" i="322" s="1"/>
  <c r="AB176" i="322" s="1"/>
  <c r="AB177" i="322" s="1"/>
  <c r="AB178" i="322" s="1"/>
  <c r="AB179" i="322" s="1"/>
  <c r="AB180" i="322" s="1"/>
  <c r="AB181" i="322" s="1"/>
  <c r="AB182" i="322" s="1"/>
  <c r="AB183" i="322" s="1"/>
  <c r="AB184" i="322" s="1"/>
  <c r="AB185" i="322" s="1"/>
  <c r="AB186" i="322" s="1"/>
  <c r="AB187" i="322" s="1"/>
  <c r="AB188" i="322" s="1"/>
  <c r="AB189" i="322" s="1"/>
  <c r="AB190" i="322" s="1"/>
  <c r="AB191" i="322" s="1"/>
  <c r="AB192" i="322" s="1"/>
  <c r="AB193" i="322" s="1"/>
  <c r="AB194" i="322" s="1"/>
  <c r="AB195" i="322" s="1"/>
  <c r="AB196" i="322" s="1"/>
  <c r="AB197" i="322" s="1"/>
  <c r="AB198" i="322" s="1"/>
  <c r="AB199" i="322" s="1"/>
  <c r="AB200" i="322" s="1"/>
  <c r="AB201" i="322" s="1"/>
  <c r="AB202" i="322" s="1"/>
  <c r="AB203" i="322" s="1"/>
  <c r="AB204" i="322" s="1"/>
  <c r="AB205" i="322" s="1"/>
  <c r="AB206" i="322" s="1"/>
  <c r="AB207" i="322" s="1"/>
  <c r="AB208" i="322" s="1"/>
  <c r="AB209" i="322" s="1"/>
  <c r="AB210" i="322" s="1"/>
  <c r="AB211" i="322" s="1"/>
  <c r="AB212" i="322" s="1"/>
  <c r="AB213" i="322" s="1"/>
  <c r="AB214" i="322" s="1"/>
  <c r="AA115" i="322"/>
  <c r="AA116" i="322" s="1"/>
  <c r="AA117" i="322" s="1"/>
  <c r="AA118" i="322" s="1"/>
  <c r="AA119" i="322" s="1"/>
  <c r="AA120" i="322" s="1"/>
  <c r="AA121" i="322" s="1"/>
  <c r="AA122" i="322" s="1"/>
  <c r="AA123" i="322" s="1"/>
  <c r="AA124" i="322" s="1"/>
  <c r="AA125" i="322" s="1"/>
  <c r="AA126" i="322" s="1"/>
  <c r="AA127" i="322" s="1"/>
  <c r="AA128" i="322" s="1"/>
  <c r="AA129" i="322" s="1"/>
  <c r="AA130" i="322" s="1"/>
  <c r="AA131" i="322" s="1"/>
  <c r="AA132" i="322" s="1"/>
  <c r="AA133" i="322" s="1"/>
  <c r="AA134" i="322" s="1"/>
  <c r="AA135" i="322" s="1"/>
  <c r="AA136" i="322" s="1"/>
  <c r="AA137" i="322" s="1"/>
  <c r="AA138" i="322" s="1"/>
  <c r="AA139" i="322" s="1"/>
  <c r="AA140" i="322" s="1"/>
  <c r="AA141" i="322" s="1"/>
  <c r="AA142" i="322" s="1"/>
  <c r="AA143" i="322" s="1"/>
  <c r="AA144" i="322" s="1"/>
  <c r="AA145" i="322" s="1"/>
  <c r="AA146" i="322" s="1"/>
  <c r="AA147" i="322" s="1"/>
  <c r="AA148" i="322" s="1"/>
  <c r="AA149" i="322" s="1"/>
  <c r="AA150" i="322" s="1"/>
  <c r="AA151" i="322" s="1"/>
  <c r="AA152" i="322" s="1"/>
  <c r="AA153" i="322" s="1"/>
  <c r="AA154" i="322" s="1"/>
  <c r="AA155" i="322" s="1"/>
  <c r="AA156" i="322" s="1"/>
  <c r="AA157" i="322" s="1"/>
  <c r="AA158" i="322" s="1"/>
  <c r="AA159" i="322" s="1"/>
  <c r="AA160" i="322" s="1"/>
  <c r="AA161" i="322" s="1"/>
  <c r="AA162" i="322" s="1"/>
  <c r="AA163" i="322" s="1"/>
  <c r="AA164" i="322" s="1"/>
  <c r="AA165" i="322" s="1"/>
  <c r="AA166" i="322" s="1"/>
  <c r="AA167" i="322" s="1"/>
  <c r="AA168" i="322" s="1"/>
  <c r="AA169" i="322" s="1"/>
  <c r="AA170" i="322" s="1"/>
  <c r="AA171" i="322" s="1"/>
  <c r="AA172" i="322" s="1"/>
  <c r="AA173" i="322" s="1"/>
  <c r="AA174" i="322" s="1"/>
  <c r="AA175" i="322" s="1"/>
  <c r="AA176" i="322" s="1"/>
  <c r="AA177" i="322" s="1"/>
  <c r="AA178" i="322" s="1"/>
  <c r="AA179" i="322" s="1"/>
  <c r="AA180" i="322" s="1"/>
  <c r="AA181" i="322" s="1"/>
  <c r="AA182" i="322" s="1"/>
  <c r="AA183" i="322" s="1"/>
  <c r="AA184" i="322" s="1"/>
  <c r="AA185" i="322" s="1"/>
  <c r="AA186" i="322" s="1"/>
  <c r="AA187" i="322" s="1"/>
  <c r="AA188" i="322" s="1"/>
  <c r="AA189" i="322" s="1"/>
  <c r="AA190" i="322" s="1"/>
  <c r="AA191" i="322" s="1"/>
  <c r="AA192" i="322" s="1"/>
  <c r="AA193" i="322" s="1"/>
  <c r="AA194" i="322" s="1"/>
  <c r="AA195" i="322" s="1"/>
  <c r="AA196" i="322" s="1"/>
  <c r="AA197" i="322" s="1"/>
  <c r="AA198" i="322" s="1"/>
  <c r="AA199" i="322" s="1"/>
  <c r="AA200" i="322" s="1"/>
  <c r="AA201" i="322" s="1"/>
  <c r="AA202" i="322" s="1"/>
  <c r="AA203" i="322" s="1"/>
  <c r="AA204" i="322" s="1"/>
  <c r="AA205" i="322" s="1"/>
  <c r="AA206" i="322" s="1"/>
  <c r="AA207" i="322" s="1"/>
  <c r="AA208" i="322" s="1"/>
  <c r="AA209" i="322" s="1"/>
  <c r="AA210" i="322" s="1"/>
  <c r="AA211" i="322" s="1"/>
  <c r="AA212" i="322" s="1"/>
  <c r="AA213" i="322" s="1"/>
  <c r="AA214" i="322" s="1"/>
  <c r="Z115" i="322"/>
  <c r="Z116" i="322" s="1"/>
  <c r="Z117" i="322" s="1"/>
  <c r="Z118" i="322" s="1"/>
  <c r="Z119" i="322" s="1"/>
  <c r="Z120" i="322" s="1"/>
  <c r="Z121" i="322" s="1"/>
  <c r="Z122" i="322" s="1"/>
  <c r="Z123" i="322" s="1"/>
  <c r="Z124" i="322" s="1"/>
  <c r="Z125" i="322" s="1"/>
  <c r="Z126" i="322" s="1"/>
  <c r="Z127" i="322" s="1"/>
  <c r="Z128" i="322" s="1"/>
  <c r="Z129" i="322" s="1"/>
  <c r="Z130" i="322" s="1"/>
  <c r="Z131" i="322" s="1"/>
  <c r="Z132" i="322" s="1"/>
  <c r="Z133" i="322" s="1"/>
  <c r="Z134" i="322" s="1"/>
  <c r="Z135" i="322" s="1"/>
  <c r="Z136" i="322" s="1"/>
  <c r="Z137" i="322" s="1"/>
  <c r="Z138" i="322" s="1"/>
  <c r="Z139" i="322" s="1"/>
  <c r="Z140" i="322" s="1"/>
  <c r="Z141" i="322" s="1"/>
  <c r="Z142" i="322" s="1"/>
  <c r="Z143" i="322" s="1"/>
  <c r="Z144" i="322" s="1"/>
  <c r="Z145" i="322" s="1"/>
  <c r="Z146" i="322" s="1"/>
  <c r="Z147" i="322" s="1"/>
  <c r="Z148" i="322" s="1"/>
  <c r="Z149" i="322" s="1"/>
  <c r="Z150" i="322" s="1"/>
  <c r="Z151" i="322" s="1"/>
  <c r="Z152" i="322" s="1"/>
  <c r="Z153" i="322" s="1"/>
  <c r="Z154" i="322" s="1"/>
  <c r="Z155" i="322" s="1"/>
  <c r="Z156" i="322" s="1"/>
  <c r="Z157" i="322" s="1"/>
  <c r="Z158" i="322" s="1"/>
  <c r="Z159" i="322" s="1"/>
  <c r="Z160" i="322" s="1"/>
  <c r="Z161" i="322" s="1"/>
  <c r="Z162" i="322" s="1"/>
  <c r="Z163" i="322" s="1"/>
  <c r="Z164" i="322" s="1"/>
  <c r="Z165" i="322" s="1"/>
  <c r="Z166" i="322" s="1"/>
  <c r="Z167" i="322" s="1"/>
  <c r="Z168" i="322" s="1"/>
  <c r="Z169" i="322" s="1"/>
  <c r="Z170" i="322" s="1"/>
  <c r="Z171" i="322" s="1"/>
  <c r="Z172" i="322" s="1"/>
  <c r="Z173" i="322" s="1"/>
  <c r="Z174" i="322" s="1"/>
  <c r="Z175" i="322" s="1"/>
  <c r="Z176" i="322" s="1"/>
  <c r="Z177" i="322" s="1"/>
  <c r="Z178" i="322" s="1"/>
  <c r="Z179" i="322" s="1"/>
  <c r="Z180" i="322" s="1"/>
  <c r="Z181" i="322" s="1"/>
  <c r="Z182" i="322" s="1"/>
  <c r="Z183" i="322" s="1"/>
  <c r="Z184" i="322" s="1"/>
  <c r="Z185" i="322" s="1"/>
  <c r="Z186" i="322" s="1"/>
  <c r="Z187" i="322" s="1"/>
  <c r="Z188" i="322" s="1"/>
  <c r="Z189" i="322" s="1"/>
  <c r="Z190" i="322" s="1"/>
  <c r="Z191" i="322" s="1"/>
  <c r="Z192" i="322" s="1"/>
  <c r="Z193" i="322" s="1"/>
  <c r="Z194" i="322" s="1"/>
  <c r="Z195" i="322" s="1"/>
  <c r="Z196" i="322" s="1"/>
  <c r="Z197" i="322" s="1"/>
  <c r="Z198" i="322" s="1"/>
  <c r="Z199" i="322" s="1"/>
  <c r="Z200" i="322" s="1"/>
  <c r="Z201" i="322" s="1"/>
  <c r="Z202" i="322" s="1"/>
  <c r="Z203" i="322" s="1"/>
  <c r="Z204" i="322" s="1"/>
  <c r="Z205" i="322" s="1"/>
  <c r="Z206" i="322" s="1"/>
  <c r="Z207" i="322" s="1"/>
  <c r="Z208" i="322" s="1"/>
  <c r="Z209" i="322" s="1"/>
  <c r="Z210" i="322" s="1"/>
  <c r="Z211" i="322" s="1"/>
  <c r="Z212" i="322" s="1"/>
  <c r="Z213" i="322" s="1"/>
  <c r="Z214" i="322" s="1"/>
  <c r="Y115" i="322"/>
  <c r="Y116" i="322" s="1"/>
  <c r="Y117" i="322" s="1"/>
  <c r="Y118" i="322" s="1"/>
  <c r="Y119" i="322" s="1"/>
  <c r="Y120" i="322" s="1"/>
  <c r="Y121" i="322" s="1"/>
  <c r="Y122" i="322" s="1"/>
  <c r="Y123" i="322" s="1"/>
  <c r="Y124" i="322" s="1"/>
  <c r="Y125" i="322" s="1"/>
  <c r="Y126" i="322" s="1"/>
  <c r="Y127" i="322" s="1"/>
  <c r="Y128" i="322" s="1"/>
  <c r="Y129" i="322" s="1"/>
  <c r="Y130" i="322" s="1"/>
  <c r="Y131" i="322" s="1"/>
  <c r="Y132" i="322" s="1"/>
  <c r="Y133" i="322" s="1"/>
  <c r="Y134" i="322" s="1"/>
  <c r="Y135" i="322" s="1"/>
  <c r="Y136" i="322" s="1"/>
  <c r="Y137" i="322" s="1"/>
  <c r="Y138" i="322" s="1"/>
  <c r="Y139" i="322" s="1"/>
  <c r="Y140" i="322" s="1"/>
  <c r="Y141" i="322" s="1"/>
  <c r="Y142" i="322" s="1"/>
  <c r="Y143" i="322" s="1"/>
  <c r="Y144" i="322" s="1"/>
  <c r="Y145" i="322" s="1"/>
  <c r="Y146" i="322" s="1"/>
  <c r="Y147" i="322" s="1"/>
  <c r="Y148" i="322" s="1"/>
  <c r="Y149" i="322" s="1"/>
  <c r="Y150" i="322" s="1"/>
  <c r="Y151" i="322" s="1"/>
  <c r="Y152" i="322" s="1"/>
  <c r="Y153" i="322" s="1"/>
  <c r="Y154" i="322" s="1"/>
  <c r="Y155" i="322" s="1"/>
  <c r="Y156" i="322" s="1"/>
  <c r="Y157" i="322" s="1"/>
  <c r="Y158" i="322" s="1"/>
  <c r="Y159" i="322" s="1"/>
  <c r="Y160" i="322" s="1"/>
  <c r="Y161" i="322" s="1"/>
  <c r="Y162" i="322" s="1"/>
  <c r="Y163" i="322" s="1"/>
  <c r="Y164" i="322" s="1"/>
  <c r="Y165" i="322" s="1"/>
  <c r="Y166" i="322" s="1"/>
  <c r="Y167" i="322" s="1"/>
  <c r="Y168" i="322" s="1"/>
  <c r="Y169" i="322" s="1"/>
  <c r="Y170" i="322" s="1"/>
  <c r="Y171" i="322" s="1"/>
  <c r="Y172" i="322" s="1"/>
  <c r="Y173" i="322" s="1"/>
  <c r="Y174" i="322" s="1"/>
  <c r="Y175" i="322" s="1"/>
  <c r="Y176" i="322" s="1"/>
  <c r="Y177" i="322" s="1"/>
  <c r="Y178" i="322" s="1"/>
  <c r="Y179" i="322" s="1"/>
  <c r="Y180" i="322" s="1"/>
  <c r="Y181" i="322" s="1"/>
  <c r="Y182" i="322" s="1"/>
  <c r="Y183" i="322" s="1"/>
  <c r="Y184" i="322" s="1"/>
  <c r="Y185" i="322" s="1"/>
  <c r="Y186" i="322" s="1"/>
  <c r="Y187" i="322" s="1"/>
  <c r="Y188" i="322" s="1"/>
  <c r="Y189" i="322" s="1"/>
  <c r="Y190" i="322" s="1"/>
  <c r="Y191" i="322" s="1"/>
  <c r="Y192" i="322" s="1"/>
  <c r="Y193" i="322" s="1"/>
  <c r="Y194" i="322" s="1"/>
  <c r="Y195" i="322" s="1"/>
  <c r="Y196" i="322" s="1"/>
  <c r="Y197" i="322" s="1"/>
  <c r="Y198" i="322" s="1"/>
  <c r="Y199" i="322" s="1"/>
  <c r="Y200" i="322" s="1"/>
  <c r="Y201" i="322" s="1"/>
  <c r="Y202" i="322" s="1"/>
  <c r="Y203" i="322" s="1"/>
  <c r="Y204" i="322" s="1"/>
  <c r="Y205" i="322" s="1"/>
  <c r="Y206" i="322" s="1"/>
  <c r="Y207" i="322" s="1"/>
  <c r="Y208" i="322" s="1"/>
  <c r="Y209" i="322" s="1"/>
  <c r="Y210" i="322" s="1"/>
  <c r="Y211" i="322" s="1"/>
  <c r="Y212" i="322" s="1"/>
  <c r="Y213" i="322" s="1"/>
  <c r="Y214" i="322" s="1"/>
  <c r="X115" i="322"/>
  <c r="X116" i="322" s="1"/>
  <c r="X117" i="322" s="1"/>
  <c r="X118" i="322" s="1"/>
  <c r="X119" i="322" s="1"/>
  <c r="X120" i="322" s="1"/>
  <c r="X121" i="322" s="1"/>
  <c r="X122" i="322" s="1"/>
  <c r="X123" i="322" s="1"/>
  <c r="X124" i="322" s="1"/>
  <c r="X125" i="322" s="1"/>
  <c r="X126" i="322" s="1"/>
  <c r="X127" i="322" s="1"/>
  <c r="X128" i="322" s="1"/>
  <c r="X129" i="322" s="1"/>
  <c r="X130" i="322" s="1"/>
  <c r="X131" i="322" s="1"/>
  <c r="X132" i="322" s="1"/>
  <c r="X133" i="322" s="1"/>
  <c r="X134" i="322" s="1"/>
  <c r="X135" i="322" s="1"/>
  <c r="X136" i="322" s="1"/>
  <c r="X137" i="322" s="1"/>
  <c r="X138" i="322" s="1"/>
  <c r="X139" i="322" s="1"/>
  <c r="X140" i="322" s="1"/>
  <c r="X141" i="322" s="1"/>
  <c r="X142" i="322" s="1"/>
  <c r="X143" i="322" s="1"/>
  <c r="X144" i="322" s="1"/>
  <c r="X145" i="322" s="1"/>
  <c r="X146" i="322" s="1"/>
  <c r="X147" i="322" s="1"/>
  <c r="X148" i="322" s="1"/>
  <c r="X149" i="322" s="1"/>
  <c r="X150" i="322" s="1"/>
  <c r="X151" i="322" s="1"/>
  <c r="X152" i="322" s="1"/>
  <c r="X153" i="322" s="1"/>
  <c r="X154" i="322" s="1"/>
  <c r="X155" i="322" s="1"/>
  <c r="X156" i="322" s="1"/>
  <c r="X157" i="322" s="1"/>
  <c r="X158" i="322" s="1"/>
  <c r="X159" i="322" s="1"/>
  <c r="X160" i="322" s="1"/>
  <c r="X161" i="322" s="1"/>
  <c r="X162" i="322" s="1"/>
  <c r="X163" i="322" s="1"/>
  <c r="X164" i="322" s="1"/>
  <c r="X165" i="322" s="1"/>
  <c r="X166" i="322" s="1"/>
  <c r="X167" i="322" s="1"/>
  <c r="X168" i="322" s="1"/>
  <c r="X169" i="322" s="1"/>
  <c r="X170" i="322" s="1"/>
  <c r="X171" i="322" s="1"/>
  <c r="X172" i="322" s="1"/>
  <c r="X173" i="322" s="1"/>
  <c r="X174" i="322" s="1"/>
  <c r="X175" i="322" s="1"/>
  <c r="X176" i="322" s="1"/>
  <c r="X177" i="322" s="1"/>
  <c r="X178" i="322" s="1"/>
  <c r="X179" i="322" s="1"/>
  <c r="X180" i="322" s="1"/>
  <c r="X181" i="322" s="1"/>
  <c r="X182" i="322" s="1"/>
  <c r="X183" i="322" s="1"/>
  <c r="X184" i="322" s="1"/>
  <c r="X185" i="322" s="1"/>
  <c r="X186" i="322" s="1"/>
  <c r="X187" i="322" s="1"/>
  <c r="X188" i="322" s="1"/>
  <c r="X189" i="322" s="1"/>
  <c r="X190" i="322" s="1"/>
  <c r="X191" i="322" s="1"/>
  <c r="X192" i="322" s="1"/>
  <c r="X193" i="322" s="1"/>
  <c r="X194" i="322" s="1"/>
  <c r="X195" i="322" s="1"/>
  <c r="X196" i="322" s="1"/>
  <c r="X197" i="322" s="1"/>
  <c r="X198" i="322" s="1"/>
  <c r="X199" i="322" s="1"/>
  <c r="X200" i="322" s="1"/>
  <c r="X201" i="322" s="1"/>
  <c r="X202" i="322" s="1"/>
  <c r="X203" i="322" s="1"/>
  <c r="X204" i="322" s="1"/>
  <c r="X205" i="322" s="1"/>
  <c r="X206" i="322" s="1"/>
  <c r="X207" i="322" s="1"/>
  <c r="X208" i="322" s="1"/>
  <c r="X209" i="322" s="1"/>
  <c r="X210" i="322" s="1"/>
  <c r="X211" i="322" s="1"/>
  <c r="X212" i="322" s="1"/>
  <c r="X213" i="322" s="1"/>
  <c r="X214" i="322" s="1"/>
  <c r="W115" i="322"/>
  <c r="W116" i="322" s="1"/>
  <c r="W117" i="322" s="1"/>
  <c r="W118" i="322" s="1"/>
  <c r="W119" i="322" s="1"/>
  <c r="W120" i="322" s="1"/>
  <c r="W121" i="322" s="1"/>
  <c r="W122" i="322" s="1"/>
  <c r="W123" i="322" s="1"/>
  <c r="W124" i="322" s="1"/>
  <c r="W125" i="322" s="1"/>
  <c r="W126" i="322" s="1"/>
  <c r="W127" i="322" s="1"/>
  <c r="W128" i="322" s="1"/>
  <c r="W129" i="322" s="1"/>
  <c r="W130" i="322" s="1"/>
  <c r="W131" i="322" s="1"/>
  <c r="W132" i="322" s="1"/>
  <c r="W133" i="322" s="1"/>
  <c r="W134" i="322" s="1"/>
  <c r="W135" i="322" s="1"/>
  <c r="W136" i="322" s="1"/>
  <c r="W137" i="322" s="1"/>
  <c r="W138" i="322" s="1"/>
  <c r="W139" i="322" s="1"/>
  <c r="W140" i="322" s="1"/>
  <c r="W141" i="322" s="1"/>
  <c r="W142" i="322" s="1"/>
  <c r="W143" i="322" s="1"/>
  <c r="W144" i="322" s="1"/>
  <c r="W145" i="322" s="1"/>
  <c r="W146" i="322" s="1"/>
  <c r="W147" i="322" s="1"/>
  <c r="W148" i="322" s="1"/>
  <c r="W149" i="322" s="1"/>
  <c r="W150" i="322" s="1"/>
  <c r="W151" i="322" s="1"/>
  <c r="W152" i="322" s="1"/>
  <c r="W153" i="322" s="1"/>
  <c r="W154" i="322" s="1"/>
  <c r="W155" i="322" s="1"/>
  <c r="W156" i="322" s="1"/>
  <c r="W157" i="322" s="1"/>
  <c r="W158" i="322" s="1"/>
  <c r="W159" i="322" s="1"/>
  <c r="W160" i="322" s="1"/>
  <c r="W161" i="322" s="1"/>
  <c r="W162" i="322" s="1"/>
  <c r="W163" i="322" s="1"/>
  <c r="W164" i="322" s="1"/>
  <c r="W165" i="322" s="1"/>
  <c r="W166" i="322" s="1"/>
  <c r="W167" i="322" s="1"/>
  <c r="W168" i="322" s="1"/>
  <c r="W169" i="322" s="1"/>
  <c r="W170" i="322" s="1"/>
  <c r="W171" i="322" s="1"/>
  <c r="W172" i="322" s="1"/>
  <c r="W173" i="322" s="1"/>
  <c r="W174" i="322" s="1"/>
  <c r="W175" i="322" s="1"/>
  <c r="W176" i="322" s="1"/>
  <c r="W177" i="322" s="1"/>
  <c r="W178" i="322" s="1"/>
  <c r="W179" i="322" s="1"/>
  <c r="W180" i="322" s="1"/>
  <c r="W181" i="322" s="1"/>
  <c r="W182" i="322" s="1"/>
  <c r="W183" i="322" s="1"/>
  <c r="W184" i="322" s="1"/>
  <c r="W185" i="322" s="1"/>
  <c r="W186" i="322" s="1"/>
  <c r="W187" i="322" s="1"/>
  <c r="W188" i="322" s="1"/>
  <c r="W189" i="322" s="1"/>
  <c r="W190" i="322" s="1"/>
  <c r="W191" i="322" s="1"/>
  <c r="W192" i="322" s="1"/>
  <c r="W193" i="322" s="1"/>
  <c r="W194" i="322" s="1"/>
  <c r="W195" i="322" s="1"/>
  <c r="W196" i="322" s="1"/>
  <c r="W197" i="322" s="1"/>
  <c r="W198" i="322" s="1"/>
  <c r="W199" i="322" s="1"/>
  <c r="W200" i="322" s="1"/>
  <c r="W201" i="322" s="1"/>
  <c r="W202" i="322" s="1"/>
  <c r="W203" i="322" s="1"/>
  <c r="W204" i="322" s="1"/>
  <c r="W205" i="322" s="1"/>
  <c r="W206" i="322" s="1"/>
  <c r="W207" i="322" s="1"/>
  <c r="W208" i="322" s="1"/>
  <c r="W209" i="322" s="1"/>
  <c r="W210" i="322" s="1"/>
  <c r="W211" i="322" s="1"/>
  <c r="W212" i="322" s="1"/>
  <c r="W213" i="322" s="1"/>
  <c r="W214" i="322" s="1"/>
  <c r="V115" i="322"/>
  <c r="V116" i="322" s="1"/>
  <c r="V117" i="322" s="1"/>
  <c r="V118" i="322" s="1"/>
  <c r="V119" i="322" s="1"/>
  <c r="V120" i="322" s="1"/>
  <c r="V121" i="322" s="1"/>
  <c r="V122" i="322" s="1"/>
  <c r="V123" i="322" s="1"/>
  <c r="V124" i="322" s="1"/>
  <c r="V125" i="322" s="1"/>
  <c r="V126" i="322" s="1"/>
  <c r="V127" i="322" s="1"/>
  <c r="V128" i="322" s="1"/>
  <c r="V129" i="322" s="1"/>
  <c r="V130" i="322" s="1"/>
  <c r="V131" i="322" s="1"/>
  <c r="V132" i="322" s="1"/>
  <c r="V133" i="322" s="1"/>
  <c r="V134" i="322" s="1"/>
  <c r="V135" i="322" s="1"/>
  <c r="V136" i="322" s="1"/>
  <c r="V137" i="322" s="1"/>
  <c r="V138" i="322" s="1"/>
  <c r="V139" i="322" s="1"/>
  <c r="V140" i="322" s="1"/>
  <c r="V141" i="322" s="1"/>
  <c r="V142" i="322" s="1"/>
  <c r="V143" i="322" s="1"/>
  <c r="V144" i="322" s="1"/>
  <c r="V145" i="322" s="1"/>
  <c r="V146" i="322" s="1"/>
  <c r="V147" i="322" s="1"/>
  <c r="V148" i="322" s="1"/>
  <c r="V149" i="322" s="1"/>
  <c r="V150" i="322" s="1"/>
  <c r="V151" i="322" s="1"/>
  <c r="V152" i="322" s="1"/>
  <c r="V153" i="322" s="1"/>
  <c r="V154" i="322" s="1"/>
  <c r="V155" i="322" s="1"/>
  <c r="V156" i="322" s="1"/>
  <c r="V157" i="322" s="1"/>
  <c r="V158" i="322" s="1"/>
  <c r="V159" i="322" s="1"/>
  <c r="V160" i="322" s="1"/>
  <c r="V161" i="322" s="1"/>
  <c r="V162" i="322" s="1"/>
  <c r="V163" i="322" s="1"/>
  <c r="V164" i="322" s="1"/>
  <c r="V165" i="322" s="1"/>
  <c r="V166" i="322" s="1"/>
  <c r="V167" i="322" s="1"/>
  <c r="V168" i="322" s="1"/>
  <c r="V169" i="322" s="1"/>
  <c r="V170" i="322" s="1"/>
  <c r="V171" i="322" s="1"/>
  <c r="V172" i="322" s="1"/>
  <c r="V173" i="322" s="1"/>
  <c r="V174" i="322" s="1"/>
  <c r="V175" i="322" s="1"/>
  <c r="V176" i="322" s="1"/>
  <c r="V177" i="322" s="1"/>
  <c r="V178" i="322" s="1"/>
  <c r="V179" i="322" s="1"/>
  <c r="V180" i="322" s="1"/>
  <c r="V181" i="322" s="1"/>
  <c r="V182" i="322" s="1"/>
  <c r="V183" i="322" s="1"/>
  <c r="V184" i="322" s="1"/>
  <c r="V185" i="322" s="1"/>
  <c r="V186" i="322" s="1"/>
  <c r="V187" i="322" s="1"/>
  <c r="V188" i="322" s="1"/>
  <c r="V189" i="322" s="1"/>
  <c r="V190" i="322" s="1"/>
  <c r="V191" i="322" s="1"/>
  <c r="V192" i="322" s="1"/>
  <c r="V193" i="322" s="1"/>
  <c r="V194" i="322" s="1"/>
  <c r="V195" i="322" s="1"/>
  <c r="V196" i="322" s="1"/>
  <c r="V197" i="322" s="1"/>
  <c r="V198" i="322" s="1"/>
  <c r="V199" i="322" s="1"/>
  <c r="V200" i="322" s="1"/>
  <c r="V201" i="322" s="1"/>
  <c r="V202" i="322" s="1"/>
  <c r="V203" i="322" s="1"/>
  <c r="V204" i="322" s="1"/>
  <c r="V205" i="322" s="1"/>
  <c r="V206" i="322" s="1"/>
  <c r="V207" i="322" s="1"/>
  <c r="V208" i="322" s="1"/>
  <c r="V209" i="322" s="1"/>
  <c r="V210" i="322" s="1"/>
  <c r="V211" i="322" s="1"/>
  <c r="V212" i="322" s="1"/>
  <c r="V213" i="322" s="1"/>
  <c r="V214" i="322" s="1"/>
  <c r="U115" i="322"/>
  <c r="U116" i="322" s="1"/>
  <c r="U117" i="322" s="1"/>
  <c r="U118" i="322" s="1"/>
  <c r="U119" i="322" s="1"/>
  <c r="U120" i="322" s="1"/>
  <c r="U121" i="322" s="1"/>
  <c r="U122" i="322" s="1"/>
  <c r="U123" i="322" s="1"/>
  <c r="U124" i="322" s="1"/>
  <c r="U125" i="322" s="1"/>
  <c r="U126" i="322" s="1"/>
  <c r="U127" i="322" s="1"/>
  <c r="U128" i="322" s="1"/>
  <c r="U129" i="322" s="1"/>
  <c r="U130" i="322" s="1"/>
  <c r="U131" i="322" s="1"/>
  <c r="U132" i="322" s="1"/>
  <c r="U133" i="322" s="1"/>
  <c r="U134" i="322" s="1"/>
  <c r="U135" i="322" s="1"/>
  <c r="U136" i="322" s="1"/>
  <c r="U137" i="322" s="1"/>
  <c r="U138" i="322" s="1"/>
  <c r="U139" i="322" s="1"/>
  <c r="U140" i="322" s="1"/>
  <c r="U141" i="322" s="1"/>
  <c r="U142" i="322" s="1"/>
  <c r="U143" i="322" s="1"/>
  <c r="U144" i="322" s="1"/>
  <c r="U145" i="322" s="1"/>
  <c r="U146" i="322" s="1"/>
  <c r="U147" i="322" s="1"/>
  <c r="U148" i="322" s="1"/>
  <c r="U149" i="322" s="1"/>
  <c r="U150" i="322" s="1"/>
  <c r="U151" i="322" s="1"/>
  <c r="U152" i="322" s="1"/>
  <c r="U153" i="322" s="1"/>
  <c r="U154" i="322" s="1"/>
  <c r="U155" i="322" s="1"/>
  <c r="U156" i="322" s="1"/>
  <c r="U157" i="322" s="1"/>
  <c r="U158" i="322" s="1"/>
  <c r="U159" i="322" s="1"/>
  <c r="U160" i="322" s="1"/>
  <c r="U161" i="322" s="1"/>
  <c r="U162" i="322" s="1"/>
  <c r="U163" i="322" s="1"/>
  <c r="U164" i="322" s="1"/>
  <c r="U165" i="322" s="1"/>
  <c r="U166" i="322" s="1"/>
  <c r="U167" i="322" s="1"/>
  <c r="U168" i="322" s="1"/>
  <c r="U169" i="322" s="1"/>
  <c r="U170" i="322" s="1"/>
  <c r="U171" i="322" s="1"/>
  <c r="U172" i="322" s="1"/>
  <c r="U173" i="322" s="1"/>
  <c r="U174" i="322" s="1"/>
  <c r="U175" i="322" s="1"/>
  <c r="U176" i="322" s="1"/>
  <c r="U177" i="322" s="1"/>
  <c r="U178" i="322" s="1"/>
  <c r="U179" i="322" s="1"/>
  <c r="U180" i="322" s="1"/>
  <c r="U181" i="322" s="1"/>
  <c r="U182" i="322" s="1"/>
  <c r="U183" i="322" s="1"/>
  <c r="U184" i="322" s="1"/>
  <c r="U185" i="322" s="1"/>
  <c r="U186" i="322" s="1"/>
  <c r="U187" i="322" s="1"/>
  <c r="U188" i="322" s="1"/>
  <c r="U189" i="322" s="1"/>
  <c r="U190" i="322" s="1"/>
  <c r="U191" i="322" s="1"/>
  <c r="U192" i="322" s="1"/>
  <c r="U193" i="322" s="1"/>
  <c r="U194" i="322" s="1"/>
  <c r="U195" i="322" s="1"/>
  <c r="U196" i="322" s="1"/>
  <c r="U197" i="322" s="1"/>
  <c r="U198" i="322" s="1"/>
  <c r="U199" i="322" s="1"/>
  <c r="U200" i="322" s="1"/>
  <c r="U201" i="322" s="1"/>
  <c r="U202" i="322" s="1"/>
  <c r="U203" i="322" s="1"/>
  <c r="U204" i="322" s="1"/>
  <c r="U205" i="322" s="1"/>
  <c r="U206" i="322" s="1"/>
  <c r="U207" i="322" s="1"/>
  <c r="U208" i="322" s="1"/>
  <c r="U209" i="322" s="1"/>
  <c r="U210" i="322" s="1"/>
  <c r="U211" i="322" s="1"/>
  <c r="U212" i="322" s="1"/>
  <c r="U213" i="322" s="1"/>
  <c r="U214" i="322" s="1"/>
  <c r="T115" i="322"/>
  <c r="T116" i="322" s="1"/>
  <c r="T117" i="322" s="1"/>
  <c r="T118" i="322" s="1"/>
  <c r="T119" i="322" s="1"/>
  <c r="T120" i="322" s="1"/>
  <c r="T121" i="322" s="1"/>
  <c r="T122" i="322" s="1"/>
  <c r="T123" i="322" s="1"/>
  <c r="T124" i="322" s="1"/>
  <c r="T125" i="322" s="1"/>
  <c r="T126" i="322" s="1"/>
  <c r="T127" i="322" s="1"/>
  <c r="T128" i="322" s="1"/>
  <c r="T129" i="322" s="1"/>
  <c r="T130" i="322" s="1"/>
  <c r="T131" i="322" s="1"/>
  <c r="T132" i="322" s="1"/>
  <c r="T133" i="322" s="1"/>
  <c r="T134" i="322" s="1"/>
  <c r="T135" i="322" s="1"/>
  <c r="T136" i="322" s="1"/>
  <c r="T137" i="322" s="1"/>
  <c r="T138" i="322" s="1"/>
  <c r="T139" i="322" s="1"/>
  <c r="T140" i="322" s="1"/>
  <c r="T141" i="322" s="1"/>
  <c r="T142" i="322" s="1"/>
  <c r="T143" i="322" s="1"/>
  <c r="T144" i="322" s="1"/>
  <c r="T145" i="322" s="1"/>
  <c r="T146" i="322" s="1"/>
  <c r="T147" i="322" s="1"/>
  <c r="T148" i="322" s="1"/>
  <c r="T149" i="322" s="1"/>
  <c r="T150" i="322" s="1"/>
  <c r="T151" i="322" s="1"/>
  <c r="T152" i="322" s="1"/>
  <c r="T153" i="322" s="1"/>
  <c r="T154" i="322" s="1"/>
  <c r="T155" i="322" s="1"/>
  <c r="T156" i="322" s="1"/>
  <c r="T157" i="322" s="1"/>
  <c r="T158" i="322" s="1"/>
  <c r="T159" i="322" s="1"/>
  <c r="T160" i="322" s="1"/>
  <c r="T161" i="322" s="1"/>
  <c r="T162" i="322" s="1"/>
  <c r="T163" i="322" s="1"/>
  <c r="T164" i="322" s="1"/>
  <c r="T165" i="322" s="1"/>
  <c r="T166" i="322" s="1"/>
  <c r="T167" i="322" s="1"/>
  <c r="T168" i="322" s="1"/>
  <c r="T169" i="322" s="1"/>
  <c r="T170" i="322" s="1"/>
  <c r="T171" i="322" s="1"/>
  <c r="T172" i="322" s="1"/>
  <c r="T173" i="322" s="1"/>
  <c r="T174" i="322" s="1"/>
  <c r="T175" i="322" s="1"/>
  <c r="T176" i="322" s="1"/>
  <c r="T177" i="322" s="1"/>
  <c r="T178" i="322" s="1"/>
  <c r="T179" i="322" s="1"/>
  <c r="T180" i="322" s="1"/>
  <c r="T181" i="322" s="1"/>
  <c r="T182" i="322" s="1"/>
  <c r="T183" i="322" s="1"/>
  <c r="T184" i="322" s="1"/>
  <c r="T185" i="322" s="1"/>
  <c r="T186" i="322" s="1"/>
  <c r="T187" i="322" s="1"/>
  <c r="T188" i="322" s="1"/>
  <c r="T189" i="322" s="1"/>
  <c r="T190" i="322" s="1"/>
  <c r="T191" i="322" s="1"/>
  <c r="T192" i="322" s="1"/>
  <c r="T193" i="322" s="1"/>
  <c r="T194" i="322" s="1"/>
  <c r="T195" i="322" s="1"/>
  <c r="T196" i="322" s="1"/>
  <c r="T197" i="322" s="1"/>
  <c r="T198" i="322" s="1"/>
  <c r="T199" i="322" s="1"/>
  <c r="T200" i="322" s="1"/>
  <c r="T201" i="322" s="1"/>
  <c r="T202" i="322" s="1"/>
  <c r="T203" i="322" s="1"/>
  <c r="T204" i="322" s="1"/>
  <c r="T205" i="322" s="1"/>
  <c r="T206" i="322" s="1"/>
  <c r="T207" i="322" s="1"/>
  <c r="T208" i="322" s="1"/>
  <c r="T209" i="322" s="1"/>
  <c r="T210" i="322" s="1"/>
  <c r="T211" i="322" s="1"/>
  <c r="T212" i="322" s="1"/>
  <c r="T213" i="322" s="1"/>
  <c r="T214" i="322" s="1"/>
  <c r="S115" i="322"/>
  <c r="S116" i="322" s="1"/>
  <c r="S117" i="322" s="1"/>
  <c r="S118" i="322" s="1"/>
  <c r="S119" i="322" s="1"/>
  <c r="S120" i="322" s="1"/>
  <c r="S121" i="322" s="1"/>
  <c r="S122" i="322" s="1"/>
  <c r="S123" i="322" s="1"/>
  <c r="S124" i="322" s="1"/>
  <c r="S125" i="322" s="1"/>
  <c r="S126" i="322" s="1"/>
  <c r="S127" i="322" s="1"/>
  <c r="S128" i="322" s="1"/>
  <c r="S129" i="322" s="1"/>
  <c r="S130" i="322" s="1"/>
  <c r="S131" i="322" s="1"/>
  <c r="S132" i="322" s="1"/>
  <c r="S133" i="322" s="1"/>
  <c r="S134" i="322" s="1"/>
  <c r="S135" i="322" s="1"/>
  <c r="S136" i="322" s="1"/>
  <c r="S137" i="322" s="1"/>
  <c r="S138" i="322" s="1"/>
  <c r="S139" i="322" s="1"/>
  <c r="S140" i="322" s="1"/>
  <c r="S141" i="322" s="1"/>
  <c r="S142" i="322" s="1"/>
  <c r="S143" i="322" s="1"/>
  <c r="S144" i="322" s="1"/>
  <c r="S145" i="322" s="1"/>
  <c r="S146" i="322" s="1"/>
  <c r="S147" i="322" s="1"/>
  <c r="S148" i="322" s="1"/>
  <c r="S149" i="322" s="1"/>
  <c r="S150" i="322" s="1"/>
  <c r="S151" i="322" s="1"/>
  <c r="S152" i="322" s="1"/>
  <c r="S153" i="322" s="1"/>
  <c r="S154" i="322" s="1"/>
  <c r="S155" i="322" s="1"/>
  <c r="S156" i="322" s="1"/>
  <c r="S157" i="322" s="1"/>
  <c r="S158" i="322" s="1"/>
  <c r="S159" i="322" s="1"/>
  <c r="S160" i="322" s="1"/>
  <c r="S161" i="322" s="1"/>
  <c r="S162" i="322" s="1"/>
  <c r="S163" i="322" s="1"/>
  <c r="S164" i="322" s="1"/>
  <c r="S165" i="322" s="1"/>
  <c r="S166" i="322" s="1"/>
  <c r="S167" i="322" s="1"/>
  <c r="S168" i="322" s="1"/>
  <c r="S169" i="322" s="1"/>
  <c r="S170" i="322" s="1"/>
  <c r="S171" i="322" s="1"/>
  <c r="S172" i="322" s="1"/>
  <c r="S173" i="322" s="1"/>
  <c r="S174" i="322" s="1"/>
  <c r="S175" i="322" s="1"/>
  <c r="S176" i="322" s="1"/>
  <c r="S177" i="322" s="1"/>
  <c r="S178" i="322" s="1"/>
  <c r="S179" i="322" s="1"/>
  <c r="S180" i="322" s="1"/>
  <c r="S181" i="322" s="1"/>
  <c r="S182" i="322" s="1"/>
  <c r="S183" i="322" s="1"/>
  <c r="S184" i="322" s="1"/>
  <c r="S185" i="322" s="1"/>
  <c r="S186" i="322" s="1"/>
  <c r="S187" i="322" s="1"/>
  <c r="S188" i="322" s="1"/>
  <c r="S189" i="322" s="1"/>
  <c r="S190" i="322" s="1"/>
  <c r="S191" i="322" s="1"/>
  <c r="S192" i="322" s="1"/>
  <c r="S193" i="322" s="1"/>
  <c r="S194" i="322" s="1"/>
  <c r="S195" i="322" s="1"/>
  <c r="S196" i="322" s="1"/>
  <c r="S197" i="322" s="1"/>
  <c r="S198" i="322" s="1"/>
  <c r="S199" i="322" s="1"/>
  <c r="S200" i="322" s="1"/>
  <c r="S201" i="322" s="1"/>
  <c r="S202" i="322" s="1"/>
  <c r="S203" i="322" s="1"/>
  <c r="S204" i="322" s="1"/>
  <c r="S205" i="322" s="1"/>
  <c r="S206" i="322" s="1"/>
  <c r="S207" i="322" s="1"/>
  <c r="S208" i="322" s="1"/>
  <c r="S209" i="322" s="1"/>
  <c r="S210" i="322" s="1"/>
  <c r="S211" i="322" s="1"/>
  <c r="S212" i="322" s="1"/>
  <c r="S213" i="322" s="1"/>
  <c r="S214" i="322" s="1"/>
  <c r="R115" i="322"/>
  <c r="R116" i="322" s="1"/>
  <c r="R117" i="322" s="1"/>
  <c r="R118" i="322" s="1"/>
  <c r="R119" i="322" s="1"/>
  <c r="R120" i="322" s="1"/>
  <c r="R121" i="322" s="1"/>
  <c r="R122" i="322" s="1"/>
  <c r="R123" i="322" s="1"/>
  <c r="R124" i="322" s="1"/>
  <c r="R125" i="322" s="1"/>
  <c r="R126" i="322" s="1"/>
  <c r="R127" i="322" s="1"/>
  <c r="R128" i="322" s="1"/>
  <c r="R129" i="322" s="1"/>
  <c r="R130" i="322" s="1"/>
  <c r="R131" i="322" s="1"/>
  <c r="R132" i="322" s="1"/>
  <c r="R133" i="322" s="1"/>
  <c r="R134" i="322" s="1"/>
  <c r="R135" i="322" s="1"/>
  <c r="R136" i="322" s="1"/>
  <c r="R137" i="322" s="1"/>
  <c r="R138" i="322" s="1"/>
  <c r="R139" i="322" s="1"/>
  <c r="R140" i="322" s="1"/>
  <c r="R141" i="322" s="1"/>
  <c r="R142" i="322" s="1"/>
  <c r="R143" i="322" s="1"/>
  <c r="R144" i="322" s="1"/>
  <c r="R145" i="322" s="1"/>
  <c r="R146" i="322" s="1"/>
  <c r="R147" i="322" s="1"/>
  <c r="R148" i="322" s="1"/>
  <c r="R149" i="322" s="1"/>
  <c r="R150" i="322" s="1"/>
  <c r="R151" i="322" s="1"/>
  <c r="R152" i="322" s="1"/>
  <c r="R153" i="322" s="1"/>
  <c r="R154" i="322" s="1"/>
  <c r="R155" i="322" s="1"/>
  <c r="R156" i="322" s="1"/>
  <c r="R157" i="322" s="1"/>
  <c r="R158" i="322" s="1"/>
  <c r="R159" i="322" s="1"/>
  <c r="R160" i="322" s="1"/>
  <c r="R161" i="322" s="1"/>
  <c r="R162" i="322" s="1"/>
  <c r="R163" i="322" s="1"/>
  <c r="R164" i="322" s="1"/>
  <c r="R165" i="322" s="1"/>
  <c r="R166" i="322" s="1"/>
  <c r="R167" i="322" s="1"/>
  <c r="R168" i="322" s="1"/>
  <c r="R169" i="322" s="1"/>
  <c r="R170" i="322" s="1"/>
  <c r="R171" i="322" s="1"/>
  <c r="R172" i="322" s="1"/>
  <c r="R173" i="322" s="1"/>
  <c r="R174" i="322" s="1"/>
  <c r="R175" i="322" s="1"/>
  <c r="R176" i="322" s="1"/>
  <c r="R177" i="322" s="1"/>
  <c r="R178" i="322" s="1"/>
  <c r="R179" i="322" s="1"/>
  <c r="R180" i="322" s="1"/>
  <c r="R181" i="322" s="1"/>
  <c r="R182" i="322" s="1"/>
  <c r="R183" i="322" s="1"/>
  <c r="R184" i="322" s="1"/>
  <c r="R185" i="322" s="1"/>
  <c r="R186" i="322" s="1"/>
  <c r="R187" i="322" s="1"/>
  <c r="R188" i="322" s="1"/>
  <c r="R189" i="322" s="1"/>
  <c r="R190" i="322" s="1"/>
  <c r="R191" i="322" s="1"/>
  <c r="R192" i="322" s="1"/>
  <c r="R193" i="322" s="1"/>
  <c r="R194" i="322" s="1"/>
  <c r="R195" i="322" s="1"/>
  <c r="R196" i="322" s="1"/>
  <c r="R197" i="322" s="1"/>
  <c r="R198" i="322" s="1"/>
  <c r="R199" i="322" s="1"/>
  <c r="R200" i="322" s="1"/>
  <c r="R201" i="322" s="1"/>
  <c r="R202" i="322" s="1"/>
  <c r="R203" i="322" s="1"/>
  <c r="R204" i="322" s="1"/>
  <c r="R205" i="322" s="1"/>
  <c r="R206" i="322" s="1"/>
  <c r="R207" i="322" s="1"/>
  <c r="R208" i="322" s="1"/>
  <c r="R209" i="322" s="1"/>
  <c r="R210" i="322" s="1"/>
  <c r="R211" i="322" s="1"/>
  <c r="R212" i="322" s="1"/>
  <c r="R213" i="322" s="1"/>
  <c r="R214" i="322" s="1"/>
  <c r="AF114" i="322"/>
  <c r="AE114" i="322"/>
  <c r="AD114" i="322"/>
  <c r="AC114" i="322"/>
  <c r="AB114" i="322"/>
  <c r="AA114" i="322"/>
  <c r="Z114" i="322"/>
  <c r="Y114" i="322"/>
  <c r="X114" i="322"/>
  <c r="W114" i="322"/>
  <c r="V114" i="322"/>
  <c r="U114" i="322"/>
  <c r="T114" i="322"/>
  <c r="S114" i="322"/>
  <c r="R114" i="322"/>
  <c r="AF5" i="322"/>
  <c r="AF6" i="322" s="1"/>
  <c r="AF7" i="322" s="1"/>
  <c r="AF8" i="322" s="1"/>
  <c r="AF9" i="322" s="1"/>
  <c r="AF10" i="322" s="1"/>
  <c r="AF11" i="322" s="1"/>
  <c r="AF12" i="322" s="1"/>
  <c r="AF13" i="322" s="1"/>
  <c r="AF14" i="322" s="1"/>
  <c r="AF15" i="322" s="1"/>
  <c r="AF16" i="322" s="1"/>
  <c r="AF17" i="322" s="1"/>
  <c r="AF18" i="322" s="1"/>
  <c r="AF19" i="322" s="1"/>
  <c r="AF20" i="322" s="1"/>
  <c r="AF21" i="322" s="1"/>
  <c r="AF22" i="322" s="1"/>
  <c r="AF23" i="322" s="1"/>
  <c r="AF24" i="322" s="1"/>
  <c r="AF25" i="322" s="1"/>
  <c r="AF26" i="322" s="1"/>
  <c r="AF27" i="322" s="1"/>
  <c r="AF28" i="322" s="1"/>
  <c r="AF29" i="322" s="1"/>
  <c r="AF30" i="322" s="1"/>
  <c r="AF31" i="322" s="1"/>
  <c r="AF32" i="322" s="1"/>
  <c r="AF33" i="322" s="1"/>
  <c r="AF34" i="322" s="1"/>
  <c r="AF35" i="322" s="1"/>
  <c r="AF36" i="322" s="1"/>
  <c r="AF37" i="322" s="1"/>
  <c r="AF38" i="322" s="1"/>
  <c r="AF39" i="322" s="1"/>
  <c r="AF40" i="322" s="1"/>
  <c r="AF41" i="322" s="1"/>
  <c r="AF42" i="322" s="1"/>
  <c r="AF43" i="322" s="1"/>
  <c r="AF44" i="322" s="1"/>
  <c r="AF45" i="322" s="1"/>
  <c r="AF46" i="322" s="1"/>
  <c r="AF47" i="322" s="1"/>
  <c r="AF48" i="322" s="1"/>
  <c r="AF49" i="322" s="1"/>
  <c r="AF50" i="322" s="1"/>
  <c r="AF51" i="322" s="1"/>
  <c r="AF52" i="322" s="1"/>
  <c r="AF53" i="322" s="1"/>
  <c r="AF54" i="322" s="1"/>
  <c r="AF55" i="322" s="1"/>
  <c r="AF56" i="322" s="1"/>
  <c r="AF57" i="322" s="1"/>
  <c r="AF58" i="322" s="1"/>
  <c r="AF59" i="322" s="1"/>
  <c r="AF60" i="322" s="1"/>
  <c r="AF61" i="322" s="1"/>
  <c r="AF62" i="322" s="1"/>
  <c r="AF63" i="322" s="1"/>
  <c r="AF64" i="322" s="1"/>
  <c r="AF65" i="322" s="1"/>
  <c r="AF66" i="322" s="1"/>
  <c r="AF67" i="322" s="1"/>
  <c r="AF68" i="322" s="1"/>
  <c r="AF69" i="322" s="1"/>
  <c r="AF70" i="322" s="1"/>
  <c r="AF71" i="322" s="1"/>
  <c r="AF72" i="322" s="1"/>
  <c r="AF73" i="322" s="1"/>
  <c r="AF74" i="322" s="1"/>
  <c r="AF75" i="322" s="1"/>
  <c r="AF76" i="322" s="1"/>
  <c r="AF77" i="322" s="1"/>
  <c r="AF78" i="322" s="1"/>
  <c r="AF79" i="322" s="1"/>
  <c r="AF80" i="322" s="1"/>
  <c r="AF81" i="322" s="1"/>
  <c r="AF82" i="322" s="1"/>
  <c r="AF83" i="322" s="1"/>
  <c r="AF84" i="322" s="1"/>
  <c r="AF85" i="322" s="1"/>
  <c r="AF86" i="322" s="1"/>
  <c r="AF87" i="322" s="1"/>
  <c r="AF88" i="322" s="1"/>
  <c r="AF89" i="322" s="1"/>
  <c r="AF90" i="322" s="1"/>
  <c r="AF91" i="322" s="1"/>
  <c r="AF92" i="322" s="1"/>
  <c r="AF93" i="322" s="1"/>
  <c r="AF94" i="322" s="1"/>
  <c r="AF95" i="322" s="1"/>
  <c r="AF96" i="322" s="1"/>
  <c r="AF97" i="322" s="1"/>
  <c r="AF98" i="322" s="1"/>
  <c r="AF99" i="322" s="1"/>
  <c r="AF100" i="322" s="1"/>
  <c r="AF101" i="322" s="1"/>
  <c r="AF102" i="322" s="1"/>
  <c r="AF103" i="322" s="1"/>
  <c r="AF104" i="322" s="1"/>
  <c r="AE5" i="322"/>
  <c r="AE6" i="322" s="1"/>
  <c r="AE7" i="322" s="1"/>
  <c r="AE8" i="322" s="1"/>
  <c r="AE9" i="322" s="1"/>
  <c r="AE10" i="322" s="1"/>
  <c r="AE11" i="322" s="1"/>
  <c r="AE12" i="322" s="1"/>
  <c r="AE13" i="322" s="1"/>
  <c r="AE14" i="322" s="1"/>
  <c r="AE15" i="322" s="1"/>
  <c r="AE16" i="322" s="1"/>
  <c r="AE17" i="322" s="1"/>
  <c r="AE18" i="322" s="1"/>
  <c r="AE19" i="322" s="1"/>
  <c r="AE20" i="322" s="1"/>
  <c r="AE21" i="322" s="1"/>
  <c r="AE22" i="322" s="1"/>
  <c r="AE23" i="322" s="1"/>
  <c r="AE24" i="322" s="1"/>
  <c r="AE25" i="322" s="1"/>
  <c r="AE26" i="322" s="1"/>
  <c r="AE27" i="322" s="1"/>
  <c r="AE28" i="322" s="1"/>
  <c r="AE29" i="322" s="1"/>
  <c r="AE30" i="322" s="1"/>
  <c r="AE31" i="322" s="1"/>
  <c r="AE32" i="322" s="1"/>
  <c r="AE33" i="322" s="1"/>
  <c r="AE34" i="322" s="1"/>
  <c r="AE35" i="322" s="1"/>
  <c r="AE36" i="322" s="1"/>
  <c r="AE37" i="322" s="1"/>
  <c r="AE38" i="322" s="1"/>
  <c r="AE39" i="322" s="1"/>
  <c r="AE40" i="322" s="1"/>
  <c r="AE41" i="322" s="1"/>
  <c r="AE42" i="322" s="1"/>
  <c r="AE43" i="322" s="1"/>
  <c r="AE44" i="322" s="1"/>
  <c r="AE45" i="322" s="1"/>
  <c r="AE46" i="322" s="1"/>
  <c r="AE47" i="322" s="1"/>
  <c r="AE48" i="322" s="1"/>
  <c r="AE49" i="322" s="1"/>
  <c r="AE50" i="322" s="1"/>
  <c r="AE51" i="322" s="1"/>
  <c r="AE52" i="322" s="1"/>
  <c r="AE53" i="322" s="1"/>
  <c r="AE54" i="322" s="1"/>
  <c r="AE55" i="322" s="1"/>
  <c r="AE56" i="322" s="1"/>
  <c r="AE57" i="322" s="1"/>
  <c r="AE58" i="322" s="1"/>
  <c r="AE59" i="322" s="1"/>
  <c r="AE60" i="322" s="1"/>
  <c r="AE61" i="322" s="1"/>
  <c r="AE62" i="322" s="1"/>
  <c r="AE63" i="322" s="1"/>
  <c r="AE64" i="322" s="1"/>
  <c r="AE65" i="322" s="1"/>
  <c r="AE66" i="322" s="1"/>
  <c r="AE67" i="322" s="1"/>
  <c r="AE68" i="322" s="1"/>
  <c r="AE69" i="322" s="1"/>
  <c r="AE70" i="322" s="1"/>
  <c r="AE71" i="322" s="1"/>
  <c r="AE72" i="322" s="1"/>
  <c r="AE73" i="322" s="1"/>
  <c r="AE74" i="322" s="1"/>
  <c r="AE75" i="322" s="1"/>
  <c r="AE76" i="322" s="1"/>
  <c r="AE77" i="322" s="1"/>
  <c r="AE78" i="322" s="1"/>
  <c r="AE79" i="322" s="1"/>
  <c r="AE80" i="322" s="1"/>
  <c r="AE81" i="322" s="1"/>
  <c r="AE82" i="322" s="1"/>
  <c r="AE83" i="322" s="1"/>
  <c r="AE84" i="322" s="1"/>
  <c r="AE85" i="322" s="1"/>
  <c r="AE86" i="322" s="1"/>
  <c r="AE87" i="322" s="1"/>
  <c r="AE88" i="322" s="1"/>
  <c r="AE89" i="322" s="1"/>
  <c r="AE90" i="322" s="1"/>
  <c r="AE91" i="322" s="1"/>
  <c r="AE92" i="322" s="1"/>
  <c r="AE93" i="322" s="1"/>
  <c r="AE94" i="322" s="1"/>
  <c r="AE95" i="322" s="1"/>
  <c r="AE96" i="322" s="1"/>
  <c r="AE97" i="322" s="1"/>
  <c r="AE98" i="322" s="1"/>
  <c r="AE99" i="322" s="1"/>
  <c r="AE100" i="322" s="1"/>
  <c r="AE101" i="322" s="1"/>
  <c r="AE102" i="322" s="1"/>
  <c r="AE103" i="322" s="1"/>
  <c r="AE104" i="322" s="1"/>
  <c r="AD5" i="322"/>
  <c r="AD6" i="322" s="1"/>
  <c r="AD7" i="322" s="1"/>
  <c r="AD8" i="322" s="1"/>
  <c r="AD9" i="322" s="1"/>
  <c r="AD10" i="322" s="1"/>
  <c r="AD11" i="322" s="1"/>
  <c r="AD12" i="322" s="1"/>
  <c r="AD13" i="322" s="1"/>
  <c r="AD14" i="322" s="1"/>
  <c r="AD15" i="322" s="1"/>
  <c r="AD16" i="322" s="1"/>
  <c r="AD17" i="322" s="1"/>
  <c r="AD18" i="322" s="1"/>
  <c r="AD19" i="322" s="1"/>
  <c r="AD20" i="322" s="1"/>
  <c r="AD21" i="322" s="1"/>
  <c r="AD22" i="322" s="1"/>
  <c r="AD23" i="322" s="1"/>
  <c r="AD24" i="322" s="1"/>
  <c r="AD25" i="322" s="1"/>
  <c r="AD26" i="322" s="1"/>
  <c r="AD27" i="322" s="1"/>
  <c r="AD28" i="322" s="1"/>
  <c r="AD29" i="322" s="1"/>
  <c r="AD30" i="322" s="1"/>
  <c r="AD31" i="322" s="1"/>
  <c r="AD32" i="322" s="1"/>
  <c r="AD33" i="322" s="1"/>
  <c r="AD34" i="322" s="1"/>
  <c r="AD35" i="322" s="1"/>
  <c r="AD36" i="322" s="1"/>
  <c r="AD37" i="322" s="1"/>
  <c r="AD38" i="322" s="1"/>
  <c r="AD39" i="322" s="1"/>
  <c r="AD40" i="322" s="1"/>
  <c r="AD41" i="322" s="1"/>
  <c r="AD42" i="322" s="1"/>
  <c r="AD43" i="322" s="1"/>
  <c r="AD44" i="322" s="1"/>
  <c r="AD45" i="322" s="1"/>
  <c r="AD46" i="322" s="1"/>
  <c r="AD47" i="322" s="1"/>
  <c r="AD48" i="322" s="1"/>
  <c r="AD49" i="322" s="1"/>
  <c r="AD50" i="322" s="1"/>
  <c r="AD51" i="322" s="1"/>
  <c r="AD52" i="322" s="1"/>
  <c r="AD53" i="322" s="1"/>
  <c r="AD54" i="322" s="1"/>
  <c r="AD55" i="322" s="1"/>
  <c r="AD56" i="322" s="1"/>
  <c r="AD57" i="322" s="1"/>
  <c r="AD58" i="322" s="1"/>
  <c r="AD59" i="322" s="1"/>
  <c r="AD60" i="322" s="1"/>
  <c r="AD61" i="322" s="1"/>
  <c r="AD62" i="322" s="1"/>
  <c r="AD63" i="322" s="1"/>
  <c r="AD64" i="322" s="1"/>
  <c r="AD65" i="322" s="1"/>
  <c r="AD66" i="322" s="1"/>
  <c r="AD67" i="322" s="1"/>
  <c r="AD68" i="322" s="1"/>
  <c r="AD69" i="322" s="1"/>
  <c r="AD70" i="322" s="1"/>
  <c r="AD71" i="322" s="1"/>
  <c r="AD72" i="322" s="1"/>
  <c r="AD73" i="322" s="1"/>
  <c r="AD74" i="322" s="1"/>
  <c r="AD75" i="322" s="1"/>
  <c r="AD76" i="322" s="1"/>
  <c r="AD77" i="322" s="1"/>
  <c r="AD78" i="322" s="1"/>
  <c r="AD79" i="322" s="1"/>
  <c r="AD80" i="322" s="1"/>
  <c r="AD81" i="322" s="1"/>
  <c r="AD82" i="322" s="1"/>
  <c r="AD83" i="322" s="1"/>
  <c r="AD84" i="322" s="1"/>
  <c r="AD85" i="322" s="1"/>
  <c r="AD86" i="322" s="1"/>
  <c r="AD87" i="322" s="1"/>
  <c r="AD88" i="322" s="1"/>
  <c r="AD89" i="322" s="1"/>
  <c r="AD90" i="322" s="1"/>
  <c r="AD91" i="322" s="1"/>
  <c r="AD92" i="322" s="1"/>
  <c r="AD93" i="322" s="1"/>
  <c r="AD94" i="322" s="1"/>
  <c r="AD95" i="322" s="1"/>
  <c r="AD96" i="322" s="1"/>
  <c r="AD97" i="322" s="1"/>
  <c r="AD98" i="322" s="1"/>
  <c r="AD99" i="322" s="1"/>
  <c r="AD100" i="322" s="1"/>
  <c r="AD101" i="322" s="1"/>
  <c r="AD102" i="322" s="1"/>
  <c r="AD103" i="322" s="1"/>
  <c r="AD104" i="322" s="1"/>
  <c r="AC5" i="322"/>
  <c r="AC6" i="322" s="1"/>
  <c r="AC7" i="322" s="1"/>
  <c r="AC8" i="322" s="1"/>
  <c r="AC9" i="322" s="1"/>
  <c r="AC10" i="322" s="1"/>
  <c r="AC11" i="322" s="1"/>
  <c r="AC12" i="322" s="1"/>
  <c r="AC13" i="322" s="1"/>
  <c r="AC14" i="322" s="1"/>
  <c r="AC15" i="322" s="1"/>
  <c r="AC16" i="322" s="1"/>
  <c r="AC17" i="322" s="1"/>
  <c r="AC18" i="322" s="1"/>
  <c r="AC19" i="322" s="1"/>
  <c r="AC20" i="322" s="1"/>
  <c r="AC21" i="322" s="1"/>
  <c r="AC22" i="322" s="1"/>
  <c r="AC23" i="322" s="1"/>
  <c r="AC24" i="322" s="1"/>
  <c r="AC25" i="322" s="1"/>
  <c r="AC26" i="322" s="1"/>
  <c r="AC27" i="322" s="1"/>
  <c r="AC28" i="322" s="1"/>
  <c r="AC29" i="322" s="1"/>
  <c r="AC30" i="322" s="1"/>
  <c r="AC31" i="322" s="1"/>
  <c r="AC32" i="322" s="1"/>
  <c r="AC33" i="322" s="1"/>
  <c r="AC34" i="322" s="1"/>
  <c r="AC35" i="322" s="1"/>
  <c r="AC36" i="322" s="1"/>
  <c r="AC37" i="322" s="1"/>
  <c r="AC38" i="322" s="1"/>
  <c r="AC39" i="322" s="1"/>
  <c r="AC40" i="322" s="1"/>
  <c r="AC41" i="322" s="1"/>
  <c r="AC42" i="322" s="1"/>
  <c r="AC43" i="322" s="1"/>
  <c r="AC44" i="322" s="1"/>
  <c r="AC45" i="322" s="1"/>
  <c r="AC46" i="322" s="1"/>
  <c r="AC47" i="322" s="1"/>
  <c r="AC48" i="322" s="1"/>
  <c r="AC49" i="322" s="1"/>
  <c r="AC50" i="322" s="1"/>
  <c r="AC51" i="322" s="1"/>
  <c r="AC52" i="322" s="1"/>
  <c r="AC53" i="322" s="1"/>
  <c r="AC54" i="322" s="1"/>
  <c r="AC55" i="322" s="1"/>
  <c r="AC56" i="322" s="1"/>
  <c r="AC57" i="322" s="1"/>
  <c r="AC58" i="322" s="1"/>
  <c r="AC59" i="322" s="1"/>
  <c r="AC60" i="322" s="1"/>
  <c r="AC61" i="322" s="1"/>
  <c r="AC62" i="322" s="1"/>
  <c r="AC63" i="322" s="1"/>
  <c r="AC64" i="322" s="1"/>
  <c r="AC65" i="322" s="1"/>
  <c r="AC66" i="322" s="1"/>
  <c r="AC67" i="322" s="1"/>
  <c r="AC68" i="322" s="1"/>
  <c r="AC69" i="322" s="1"/>
  <c r="AC70" i="322" s="1"/>
  <c r="AC71" i="322" s="1"/>
  <c r="AC72" i="322" s="1"/>
  <c r="AC73" i="322" s="1"/>
  <c r="AC74" i="322" s="1"/>
  <c r="AC75" i="322" s="1"/>
  <c r="AC76" i="322" s="1"/>
  <c r="AC77" i="322" s="1"/>
  <c r="AC78" i="322" s="1"/>
  <c r="AC79" i="322" s="1"/>
  <c r="AC80" i="322" s="1"/>
  <c r="AC81" i="322" s="1"/>
  <c r="AC82" i="322" s="1"/>
  <c r="AC83" i="322" s="1"/>
  <c r="AC84" i="322" s="1"/>
  <c r="AC85" i="322" s="1"/>
  <c r="AC86" i="322" s="1"/>
  <c r="AC87" i="322" s="1"/>
  <c r="AC88" i="322" s="1"/>
  <c r="AC89" i="322" s="1"/>
  <c r="AC90" i="322" s="1"/>
  <c r="AC91" i="322" s="1"/>
  <c r="AC92" i="322" s="1"/>
  <c r="AC93" i="322" s="1"/>
  <c r="AC94" i="322" s="1"/>
  <c r="AC95" i="322" s="1"/>
  <c r="AC96" i="322" s="1"/>
  <c r="AC97" i="322" s="1"/>
  <c r="AC98" i="322" s="1"/>
  <c r="AC99" i="322" s="1"/>
  <c r="AC100" i="322" s="1"/>
  <c r="AC101" i="322" s="1"/>
  <c r="AC102" i="322" s="1"/>
  <c r="AC103" i="322" s="1"/>
  <c r="AC104" i="322" s="1"/>
  <c r="AB5" i="322"/>
  <c r="AB6" i="322" s="1"/>
  <c r="AB7" i="322" s="1"/>
  <c r="AB8" i="322" s="1"/>
  <c r="AB9" i="322" s="1"/>
  <c r="AB10" i="322" s="1"/>
  <c r="AB11" i="322" s="1"/>
  <c r="AB12" i="322" s="1"/>
  <c r="AB13" i="322" s="1"/>
  <c r="AB14" i="322" s="1"/>
  <c r="AB15" i="322" s="1"/>
  <c r="AB16" i="322" s="1"/>
  <c r="AB17" i="322" s="1"/>
  <c r="AB18" i="322" s="1"/>
  <c r="AB19" i="322" s="1"/>
  <c r="AB20" i="322" s="1"/>
  <c r="AB21" i="322" s="1"/>
  <c r="AB22" i="322" s="1"/>
  <c r="AB23" i="322" s="1"/>
  <c r="AB24" i="322" s="1"/>
  <c r="AB25" i="322" s="1"/>
  <c r="AB26" i="322" s="1"/>
  <c r="AB27" i="322" s="1"/>
  <c r="AB28" i="322" s="1"/>
  <c r="AB29" i="322" s="1"/>
  <c r="AB30" i="322" s="1"/>
  <c r="AB31" i="322" s="1"/>
  <c r="AB32" i="322" s="1"/>
  <c r="AB33" i="322" s="1"/>
  <c r="AB34" i="322" s="1"/>
  <c r="AB35" i="322" s="1"/>
  <c r="AB36" i="322" s="1"/>
  <c r="AB37" i="322" s="1"/>
  <c r="AB38" i="322" s="1"/>
  <c r="AB39" i="322" s="1"/>
  <c r="AB40" i="322" s="1"/>
  <c r="AB41" i="322" s="1"/>
  <c r="AB42" i="322" s="1"/>
  <c r="AB43" i="322" s="1"/>
  <c r="AB44" i="322" s="1"/>
  <c r="AB45" i="322" s="1"/>
  <c r="AB46" i="322" s="1"/>
  <c r="AB47" i="322" s="1"/>
  <c r="AB48" i="322" s="1"/>
  <c r="AB49" i="322" s="1"/>
  <c r="AB50" i="322" s="1"/>
  <c r="AB51" i="322" s="1"/>
  <c r="AB52" i="322" s="1"/>
  <c r="AB53" i="322" s="1"/>
  <c r="AB54" i="322" s="1"/>
  <c r="AB55" i="322" s="1"/>
  <c r="AB56" i="322" s="1"/>
  <c r="AB57" i="322" s="1"/>
  <c r="AB58" i="322" s="1"/>
  <c r="AB59" i="322" s="1"/>
  <c r="AB60" i="322" s="1"/>
  <c r="AB61" i="322" s="1"/>
  <c r="AB62" i="322" s="1"/>
  <c r="AB63" i="322" s="1"/>
  <c r="AB64" i="322" s="1"/>
  <c r="AB65" i="322" s="1"/>
  <c r="AB66" i="322" s="1"/>
  <c r="AB67" i="322" s="1"/>
  <c r="AB68" i="322" s="1"/>
  <c r="AB69" i="322" s="1"/>
  <c r="AB70" i="322" s="1"/>
  <c r="AB71" i="322" s="1"/>
  <c r="AB72" i="322" s="1"/>
  <c r="AB73" i="322" s="1"/>
  <c r="AB74" i="322" s="1"/>
  <c r="AB75" i="322" s="1"/>
  <c r="AB76" i="322" s="1"/>
  <c r="AB77" i="322" s="1"/>
  <c r="AB78" i="322" s="1"/>
  <c r="AB79" i="322" s="1"/>
  <c r="AB80" i="322" s="1"/>
  <c r="AB81" i="322" s="1"/>
  <c r="AB82" i="322" s="1"/>
  <c r="AB83" i="322" s="1"/>
  <c r="AB84" i="322" s="1"/>
  <c r="AB85" i="322" s="1"/>
  <c r="AB86" i="322" s="1"/>
  <c r="AB87" i="322" s="1"/>
  <c r="AB88" i="322" s="1"/>
  <c r="AB89" i="322" s="1"/>
  <c r="AB90" i="322" s="1"/>
  <c r="AB91" i="322" s="1"/>
  <c r="AB92" i="322" s="1"/>
  <c r="AB93" i="322" s="1"/>
  <c r="AB94" i="322" s="1"/>
  <c r="AB95" i="322" s="1"/>
  <c r="AB96" i="322" s="1"/>
  <c r="AB97" i="322" s="1"/>
  <c r="AB98" i="322" s="1"/>
  <c r="AB99" i="322" s="1"/>
  <c r="AB100" i="322" s="1"/>
  <c r="AB101" i="322" s="1"/>
  <c r="AB102" i="322" s="1"/>
  <c r="AB103" i="322" s="1"/>
  <c r="AB104" i="322" s="1"/>
  <c r="AA5" i="322"/>
  <c r="AA6" i="322" s="1"/>
  <c r="AA7" i="322" s="1"/>
  <c r="AA8" i="322" s="1"/>
  <c r="AA9" i="322" s="1"/>
  <c r="AA10" i="322" s="1"/>
  <c r="AA11" i="322" s="1"/>
  <c r="AA12" i="322" s="1"/>
  <c r="AA13" i="322" s="1"/>
  <c r="AA14" i="322" s="1"/>
  <c r="AA15" i="322" s="1"/>
  <c r="AA16" i="322" s="1"/>
  <c r="AA17" i="322" s="1"/>
  <c r="AA18" i="322" s="1"/>
  <c r="AA19" i="322" s="1"/>
  <c r="AA20" i="322" s="1"/>
  <c r="AA21" i="322" s="1"/>
  <c r="AA22" i="322" s="1"/>
  <c r="AA23" i="322" s="1"/>
  <c r="AA24" i="322" s="1"/>
  <c r="AA25" i="322" s="1"/>
  <c r="AA26" i="322" s="1"/>
  <c r="AA27" i="322" s="1"/>
  <c r="AA28" i="322" s="1"/>
  <c r="AA29" i="322" s="1"/>
  <c r="AA30" i="322" s="1"/>
  <c r="AA31" i="322" s="1"/>
  <c r="AA32" i="322" s="1"/>
  <c r="AA33" i="322" s="1"/>
  <c r="AA34" i="322" s="1"/>
  <c r="AA35" i="322" s="1"/>
  <c r="AA36" i="322" s="1"/>
  <c r="AA37" i="322" s="1"/>
  <c r="AA38" i="322" s="1"/>
  <c r="AA39" i="322" s="1"/>
  <c r="AA40" i="322" s="1"/>
  <c r="AA41" i="322" s="1"/>
  <c r="AA42" i="322" s="1"/>
  <c r="AA43" i="322" s="1"/>
  <c r="AA44" i="322" s="1"/>
  <c r="AA45" i="322" s="1"/>
  <c r="AA46" i="322" s="1"/>
  <c r="AA47" i="322" s="1"/>
  <c r="AA48" i="322" s="1"/>
  <c r="AA49" i="322" s="1"/>
  <c r="AA50" i="322" s="1"/>
  <c r="AA51" i="322" s="1"/>
  <c r="AA52" i="322" s="1"/>
  <c r="AA53" i="322" s="1"/>
  <c r="AA54" i="322" s="1"/>
  <c r="AA55" i="322" s="1"/>
  <c r="AA56" i="322" s="1"/>
  <c r="AA57" i="322" s="1"/>
  <c r="AA58" i="322" s="1"/>
  <c r="AA59" i="322" s="1"/>
  <c r="AA60" i="322" s="1"/>
  <c r="AA61" i="322" s="1"/>
  <c r="AA62" i="322" s="1"/>
  <c r="AA63" i="322" s="1"/>
  <c r="AA64" i="322" s="1"/>
  <c r="AA65" i="322" s="1"/>
  <c r="AA66" i="322" s="1"/>
  <c r="AA67" i="322" s="1"/>
  <c r="AA68" i="322" s="1"/>
  <c r="AA69" i="322" s="1"/>
  <c r="AA70" i="322" s="1"/>
  <c r="AA71" i="322" s="1"/>
  <c r="AA72" i="322" s="1"/>
  <c r="AA73" i="322" s="1"/>
  <c r="AA74" i="322" s="1"/>
  <c r="AA75" i="322" s="1"/>
  <c r="AA76" i="322" s="1"/>
  <c r="AA77" i="322" s="1"/>
  <c r="AA78" i="322" s="1"/>
  <c r="AA79" i="322" s="1"/>
  <c r="AA80" i="322" s="1"/>
  <c r="AA81" i="322" s="1"/>
  <c r="AA82" i="322" s="1"/>
  <c r="AA83" i="322" s="1"/>
  <c r="AA84" i="322" s="1"/>
  <c r="AA85" i="322" s="1"/>
  <c r="AA86" i="322" s="1"/>
  <c r="AA87" i="322" s="1"/>
  <c r="AA88" i="322" s="1"/>
  <c r="AA89" i="322" s="1"/>
  <c r="AA90" i="322" s="1"/>
  <c r="AA91" i="322" s="1"/>
  <c r="AA92" i="322" s="1"/>
  <c r="AA93" i="322" s="1"/>
  <c r="AA94" i="322" s="1"/>
  <c r="AA95" i="322" s="1"/>
  <c r="AA96" i="322" s="1"/>
  <c r="AA97" i="322" s="1"/>
  <c r="AA98" i="322" s="1"/>
  <c r="AA99" i="322" s="1"/>
  <c r="AA100" i="322" s="1"/>
  <c r="AA101" i="322" s="1"/>
  <c r="AA102" i="322" s="1"/>
  <c r="AA103" i="322" s="1"/>
  <c r="AA104" i="322" s="1"/>
  <c r="Z5" i="322"/>
  <c r="Z6" i="322" s="1"/>
  <c r="Z7" i="322" s="1"/>
  <c r="Z8" i="322" s="1"/>
  <c r="Z9" i="322" s="1"/>
  <c r="Z10" i="322" s="1"/>
  <c r="Z11" i="322" s="1"/>
  <c r="Z12" i="322" s="1"/>
  <c r="Z13" i="322" s="1"/>
  <c r="Z14" i="322" s="1"/>
  <c r="Z15" i="322" s="1"/>
  <c r="Z16" i="322" s="1"/>
  <c r="Z17" i="322" s="1"/>
  <c r="Z18" i="322" s="1"/>
  <c r="Z19" i="322" s="1"/>
  <c r="Z20" i="322" s="1"/>
  <c r="Z21" i="322" s="1"/>
  <c r="Z22" i="322" s="1"/>
  <c r="Z23" i="322" s="1"/>
  <c r="Z24" i="322" s="1"/>
  <c r="Z25" i="322" s="1"/>
  <c r="Z26" i="322" s="1"/>
  <c r="Z27" i="322" s="1"/>
  <c r="Z28" i="322" s="1"/>
  <c r="Z29" i="322" s="1"/>
  <c r="Z30" i="322" s="1"/>
  <c r="Z31" i="322" s="1"/>
  <c r="Z32" i="322" s="1"/>
  <c r="Z33" i="322" s="1"/>
  <c r="Z34" i="322" s="1"/>
  <c r="Z35" i="322" s="1"/>
  <c r="Z36" i="322" s="1"/>
  <c r="Z37" i="322" s="1"/>
  <c r="Z38" i="322" s="1"/>
  <c r="Z39" i="322" s="1"/>
  <c r="Z40" i="322" s="1"/>
  <c r="Z41" i="322" s="1"/>
  <c r="Z42" i="322" s="1"/>
  <c r="Z43" i="322" s="1"/>
  <c r="Z44" i="322" s="1"/>
  <c r="Z45" i="322" s="1"/>
  <c r="Z46" i="322" s="1"/>
  <c r="Z47" i="322" s="1"/>
  <c r="Z48" i="322" s="1"/>
  <c r="Z49" i="322" s="1"/>
  <c r="Z50" i="322" s="1"/>
  <c r="Z51" i="322" s="1"/>
  <c r="Z52" i="322" s="1"/>
  <c r="Z53" i="322" s="1"/>
  <c r="Z54" i="322" s="1"/>
  <c r="Z55" i="322" s="1"/>
  <c r="Z56" i="322" s="1"/>
  <c r="Z57" i="322" s="1"/>
  <c r="Z58" i="322" s="1"/>
  <c r="Z59" i="322" s="1"/>
  <c r="Z60" i="322" s="1"/>
  <c r="Z61" i="322" s="1"/>
  <c r="Z62" i="322" s="1"/>
  <c r="Z63" i="322" s="1"/>
  <c r="Z64" i="322" s="1"/>
  <c r="Z65" i="322" s="1"/>
  <c r="Z66" i="322" s="1"/>
  <c r="Z67" i="322" s="1"/>
  <c r="Z68" i="322" s="1"/>
  <c r="Z69" i="322" s="1"/>
  <c r="Z70" i="322" s="1"/>
  <c r="Z71" i="322" s="1"/>
  <c r="Z72" i="322" s="1"/>
  <c r="Z73" i="322" s="1"/>
  <c r="Z74" i="322" s="1"/>
  <c r="Z75" i="322" s="1"/>
  <c r="Z76" i="322" s="1"/>
  <c r="Z77" i="322" s="1"/>
  <c r="Z78" i="322" s="1"/>
  <c r="Z79" i="322" s="1"/>
  <c r="Z80" i="322" s="1"/>
  <c r="Z81" i="322" s="1"/>
  <c r="Z82" i="322" s="1"/>
  <c r="Z83" i="322" s="1"/>
  <c r="Z84" i="322" s="1"/>
  <c r="Z85" i="322" s="1"/>
  <c r="Z86" i="322" s="1"/>
  <c r="Z87" i="322" s="1"/>
  <c r="Z88" i="322" s="1"/>
  <c r="Z89" i="322" s="1"/>
  <c r="Z90" i="322" s="1"/>
  <c r="Z91" i="322" s="1"/>
  <c r="Z92" i="322" s="1"/>
  <c r="Z93" i="322" s="1"/>
  <c r="Z94" i="322" s="1"/>
  <c r="Z95" i="322" s="1"/>
  <c r="Z96" i="322" s="1"/>
  <c r="Z97" i="322" s="1"/>
  <c r="Z98" i="322" s="1"/>
  <c r="Z99" i="322" s="1"/>
  <c r="Z100" i="322" s="1"/>
  <c r="Z101" i="322" s="1"/>
  <c r="Z102" i="322" s="1"/>
  <c r="Z103" i="322" s="1"/>
  <c r="Z104" i="322" s="1"/>
  <c r="Y5" i="322"/>
  <c r="Y6" i="322" s="1"/>
  <c r="Y7" i="322" s="1"/>
  <c r="Y8" i="322" s="1"/>
  <c r="Y9" i="322" s="1"/>
  <c r="Y10" i="322" s="1"/>
  <c r="Y11" i="322" s="1"/>
  <c r="Y12" i="322" s="1"/>
  <c r="Y13" i="322" s="1"/>
  <c r="Y14" i="322" s="1"/>
  <c r="Y15" i="322" s="1"/>
  <c r="Y16" i="322" s="1"/>
  <c r="Y17" i="322" s="1"/>
  <c r="Y18" i="322" s="1"/>
  <c r="Y19" i="322" s="1"/>
  <c r="Y20" i="322" s="1"/>
  <c r="Y21" i="322" s="1"/>
  <c r="Y22" i="322" s="1"/>
  <c r="Y23" i="322" s="1"/>
  <c r="Y24" i="322" s="1"/>
  <c r="Y25" i="322" s="1"/>
  <c r="Y26" i="322" s="1"/>
  <c r="Y27" i="322" s="1"/>
  <c r="Y28" i="322" s="1"/>
  <c r="Y29" i="322" s="1"/>
  <c r="Y30" i="322" s="1"/>
  <c r="Y31" i="322" s="1"/>
  <c r="Y32" i="322" s="1"/>
  <c r="Y33" i="322" s="1"/>
  <c r="Y34" i="322" s="1"/>
  <c r="Y35" i="322" s="1"/>
  <c r="Y36" i="322" s="1"/>
  <c r="Y37" i="322" s="1"/>
  <c r="Y38" i="322" s="1"/>
  <c r="Y39" i="322" s="1"/>
  <c r="Y40" i="322" s="1"/>
  <c r="Y41" i="322" s="1"/>
  <c r="Y42" i="322" s="1"/>
  <c r="Y43" i="322" s="1"/>
  <c r="Y44" i="322" s="1"/>
  <c r="Y45" i="322" s="1"/>
  <c r="Y46" i="322" s="1"/>
  <c r="Y47" i="322" s="1"/>
  <c r="Y48" i="322" s="1"/>
  <c r="Y49" i="322" s="1"/>
  <c r="Y50" i="322" s="1"/>
  <c r="Y51" i="322" s="1"/>
  <c r="Y52" i="322" s="1"/>
  <c r="Y53" i="322" s="1"/>
  <c r="Y54" i="322" s="1"/>
  <c r="Y55" i="322" s="1"/>
  <c r="Y56" i="322" s="1"/>
  <c r="Y57" i="322" s="1"/>
  <c r="Y58" i="322" s="1"/>
  <c r="Y59" i="322" s="1"/>
  <c r="Y60" i="322" s="1"/>
  <c r="Y61" i="322" s="1"/>
  <c r="Y62" i="322" s="1"/>
  <c r="Y63" i="322" s="1"/>
  <c r="Y64" i="322" s="1"/>
  <c r="Y65" i="322" s="1"/>
  <c r="Y66" i="322" s="1"/>
  <c r="Y67" i="322" s="1"/>
  <c r="Y68" i="322" s="1"/>
  <c r="Y69" i="322" s="1"/>
  <c r="Y70" i="322" s="1"/>
  <c r="Y71" i="322" s="1"/>
  <c r="Y72" i="322" s="1"/>
  <c r="Y73" i="322" s="1"/>
  <c r="Y74" i="322" s="1"/>
  <c r="Y75" i="322" s="1"/>
  <c r="Y76" i="322" s="1"/>
  <c r="Y77" i="322" s="1"/>
  <c r="Y78" i="322" s="1"/>
  <c r="Y79" i="322" s="1"/>
  <c r="Y80" i="322" s="1"/>
  <c r="Y81" i="322" s="1"/>
  <c r="Y82" i="322" s="1"/>
  <c r="Y83" i="322" s="1"/>
  <c r="Y84" i="322" s="1"/>
  <c r="Y85" i="322" s="1"/>
  <c r="Y86" i="322" s="1"/>
  <c r="Y87" i="322" s="1"/>
  <c r="Y88" i="322" s="1"/>
  <c r="Y89" i="322" s="1"/>
  <c r="Y90" i="322" s="1"/>
  <c r="Y91" i="322" s="1"/>
  <c r="Y92" i="322" s="1"/>
  <c r="Y93" i="322" s="1"/>
  <c r="Y94" i="322" s="1"/>
  <c r="Y95" i="322" s="1"/>
  <c r="Y96" i="322" s="1"/>
  <c r="Y97" i="322" s="1"/>
  <c r="Y98" i="322" s="1"/>
  <c r="Y99" i="322" s="1"/>
  <c r="Y100" i="322" s="1"/>
  <c r="Y101" i="322" s="1"/>
  <c r="Y102" i="322" s="1"/>
  <c r="Y103" i="322" s="1"/>
  <c r="Y104" i="322" s="1"/>
  <c r="X5" i="322"/>
  <c r="X6" i="322" s="1"/>
  <c r="X7" i="322" s="1"/>
  <c r="X8" i="322" s="1"/>
  <c r="X9" i="322" s="1"/>
  <c r="X10" i="322" s="1"/>
  <c r="X11" i="322" s="1"/>
  <c r="X12" i="322" s="1"/>
  <c r="X13" i="322" s="1"/>
  <c r="X14" i="322" s="1"/>
  <c r="X15" i="322" s="1"/>
  <c r="X16" i="322" s="1"/>
  <c r="X17" i="322" s="1"/>
  <c r="X18" i="322" s="1"/>
  <c r="X19" i="322" s="1"/>
  <c r="X20" i="322" s="1"/>
  <c r="X21" i="322" s="1"/>
  <c r="X22" i="322" s="1"/>
  <c r="X23" i="322" s="1"/>
  <c r="X24" i="322" s="1"/>
  <c r="X25" i="322" s="1"/>
  <c r="X26" i="322" s="1"/>
  <c r="X27" i="322" s="1"/>
  <c r="X28" i="322" s="1"/>
  <c r="X29" i="322" s="1"/>
  <c r="X30" i="322" s="1"/>
  <c r="X31" i="322" s="1"/>
  <c r="X32" i="322" s="1"/>
  <c r="X33" i="322" s="1"/>
  <c r="X34" i="322" s="1"/>
  <c r="X35" i="322" s="1"/>
  <c r="X36" i="322" s="1"/>
  <c r="X37" i="322" s="1"/>
  <c r="X38" i="322" s="1"/>
  <c r="X39" i="322" s="1"/>
  <c r="X40" i="322" s="1"/>
  <c r="X41" i="322" s="1"/>
  <c r="X42" i="322" s="1"/>
  <c r="X43" i="322" s="1"/>
  <c r="X44" i="322" s="1"/>
  <c r="X45" i="322" s="1"/>
  <c r="X46" i="322" s="1"/>
  <c r="X47" i="322" s="1"/>
  <c r="X48" i="322" s="1"/>
  <c r="X49" i="322" s="1"/>
  <c r="X50" i="322" s="1"/>
  <c r="X51" i="322" s="1"/>
  <c r="X52" i="322" s="1"/>
  <c r="X53" i="322" s="1"/>
  <c r="X54" i="322" s="1"/>
  <c r="X55" i="322" s="1"/>
  <c r="X56" i="322" s="1"/>
  <c r="X57" i="322" s="1"/>
  <c r="X58" i="322" s="1"/>
  <c r="X59" i="322" s="1"/>
  <c r="X60" i="322" s="1"/>
  <c r="X61" i="322" s="1"/>
  <c r="X62" i="322" s="1"/>
  <c r="X63" i="322" s="1"/>
  <c r="X64" i="322" s="1"/>
  <c r="X65" i="322" s="1"/>
  <c r="X66" i="322" s="1"/>
  <c r="X67" i="322" s="1"/>
  <c r="X68" i="322" s="1"/>
  <c r="X69" i="322" s="1"/>
  <c r="X70" i="322" s="1"/>
  <c r="X71" i="322" s="1"/>
  <c r="X72" i="322" s="1"/>
  <c r="X73" i="322" s="1"/>
  <c r="X74" i="322" s="1"/>
  <c r="X75" i="322" s="1"/>
  <c r="X76" i="322" s="1"/>
  <c r="X77" i="322" s="1"/>
  <c r="X78" i="322" s="1"/>
  <c r="X79" i="322" s="1"/>
  <c r="X80" i="322" s="1"/>
  <c r="X81" i="322" s="1"/>
  <c r="X82" i="322" s="1"/>
  <c r="X83" i="322" s="1"/>
  <c r="X84" i="322" s="1"/>
  <c r="X85" i="322" s="1"/>
  <c r="X86" i="322" s="1"/>
  <c r="X87" i="322" s="1"/>
  <c r="X88" i="322" s="1"/>
  <c r="X89" i="322" s="1"/>
  <c r="X90" i="322" s="1"/>
  <c r="X91" i="322" s="1"/>
  <c r="X92" i="322" s="1"/>
  <c r="X93" i="322" s="1"/>
  <c r="X94" i="322" s="1"/>
  <c r="X95" i="322" s="1"/>
  <c r="X96" i="322" s="1"/>
  <c r="X97" i="322" s="1"/>
  <c r="X98" i="322" s="1"/>
  <c r="X99" i="322" s="1"/>
  <c r="X100" i="322" s="1"/>
  <c r="X101" i="322" s="1"/>
  <c r="X102" i="322" s="1"/>
  <c r="X103" i="322" s="1"/>
  <c r="X104" i="322" s="1"/>
  <c r="W5" i="322"/>
  <c r="W6" i="322" s="1"/>
  <c r="W7" i="322" s="1"/>
  <c r="W8" i="322" s="1"/>
  <c r="W9" i="322" s="1"/>
  <c r="W10" i="322" s="1"/>
  <c r="W11" i="322" s="1"/>
  <c r="W12" i="322" s="1"/>
  <c r="W13" i="322" s="1"/>
  <c r="W14" i="322" s="1"/>
  <c r="W15" i="322" s="1"/>
  <c r="W16" i="322" s="1"/>
  <c r="W17" i="322" s="1"/>
  <c r="W18" i="322" s="1"/>
  <c r="W19" i="322" s="1"/>
  <c r="W20" i="322" s="1"/>
  <c r="W21" i="322" s="1"/>
  <c r="W22" i="322" s="1"/>
  <c r="W23" i="322" s="1"/>
  <c r="W24" i="322" s="1"/>
  <c r="W25" i="322" s="1"/>
  <c r="W26" i="322" s="1"/>
  <c r="W27" i="322" s="1"/>
  <c r="W28" i="322" s="1"/>
  <c r="W29" i="322" s="1"/>
  <c r="W30" i="322" s="1"/>
  <c r="W31" i="322" s="1"/>
  <c r="W32" i="322" s="1"/>
  <c r="W33" i="322" s="1"/>
  <c r="W34" i="322" s="1"/>
  <c r="W35" i="322" s="1"/>
  <c r="W36" i="322" s="1"/>
  <c r="W37" i="322" s="1"/>
  <c r="W38" i="322" s="1"/>
  <c r="W39" i="322" s="1"/>
  <c r="W40" i="322" s="1"/>
  <c r="W41" i="322" s="1"/>
  <c r="W42" i="322" s="1"/>
  <c r="W43" i="322" s="1"/>
  <c r="W44" i="322" s="1"/>
  <c r="W45" i="322" s="1"/>
  <c r="W46" i="322" s="1"/>
  <c r="W47" i="322" s="1"/>
  <c r="W48" i="322" s="1"/>
  <c r="W49" i="322" s="1"/>
  <c r="W50" i="322" s="1"/>
  <c r="W51" i="322" s="1"/>
  <c r="W52" i="322" s="1"/>
  <c r="W53" i="322" s="1"/>
  <c r="W54" i="322" s="1"/>
  <c r="W55" i="322" s="1"/>
  <c r="W56" i="322" s="1"/>
  <c r="W57" i="322" s="1"/>
  <c r="W58" i="322" s="1"/>
  <c r="W59" i="322" s="1"/>
  <c r="W60" i="322" s="1"/>
  <c r="W61" i="322" s="1"/>
  <c r="W62" i="322" s="1"/>
  <c r="W63" i="322" s="1"/>
  <c r="W64" i="322" s="1"/>
  <c r="W65" i="322" s="1"/>
  <c r="W66" i="322" s="1"/>
  <c r="W67" i="322" s="1"/>
  <c r="W68" i="322" s="1"/>
  <c r="W69" i="322" s="1"/>
  <c r="W70" i="322" s="1"/>
  <c r="W71" i="322" s="1"/>
  <c r="W72" i="322" s="1"/>
  <c r="W73" i="322" s="1"/>
  <c r="W74" i="322" s="1"/>
  <c r="W75" i="322" s="1"/>
  <c r="W76" i="322" s="1"/>
  <c r="W77" i="322" s="1"/>
  <c r="W78" i="322" s="1"/>
  <c r="W79" i="322" s="1"/>
  <c r="W80" i="322" s="1"/>
  <c r="W81" i="322" s="1"/>
  <c r="W82" i="322" s="1"/>
  <c r="W83" i="322" s="1"/>
  <c r="W84" i="322" s="1"/>
  <c r="W85" i="322" s="1"/>
  <c r="W86" i="322" s="1"/>
  <c r="W87" i="322" s="1"/>
  <c r="W88" i="322" s="1"/>
  <c r="W89" i="322" s="1"/>
  <c r="W90" i="322" s="1"/>
  <c r="W91" i="322" s="1"/>
  <c r="W92" i="322" s="1"/>
  <c r="W93" i="322" s="1"/>
  <c r="W94" i="322" s="1"/>
  <c r="W95" i="322" s="1"/>
  <c r="W96" i="322" s="1"/>
  <c r="W97" i="322" s="1"/>
  <c r="W98" i="322" s="1"/>
  <c r="W99" i="322" s="1"/>
  <c r="W100" i="322" s="1"/>
  <c r="W101" i="322" s="1"/>
  <c r="W102" i="322" s="1"/>
  <c r="W103" i="322" s="1"/>
  <c r="W104" i="322" s="1"/>
  <c r="V5" i="322"/>
  <c r="V6" i="322" s="1"/>
  <c r="V7" i="322" s="1"/>
  <c r="V8" i="322" s="1"/>
  <c r="V9" i="322" s="1"/>
  <c r="V10" i="322" s="1"/>
  <c r="V11" i="322" s="1"/>
  <c r="V12" i="322" s="1"/>
  <c r="V13" i="322" s="1"/>
  <c r="V14" i="322" s="1"/>
  <c r="V15" i="322" s="1"/>
  <c r="V16" i="322" s="1"/>
  <c r="V17" i="322" s="1"/>
  <c r="V18" i="322" s="1"/>
  <c r="V19" i="322" s="1"/>
  <c r="V20" i="322" s="1"/>
  <c r="V21" i="322" s="1"/>
  <c r="V22" i="322" s="1"/>
  <c r="V23" i="322" s="1"/>
  <c r="V24" i="322" s="1"/>
  <c r="V25" i="322" s="1"/>
  <c r="V26" i="322" s="1"/>
  <c r="V27" i="322" s="1"/>
  <c r="V28" i="322" s="1"/>
  <c r="V29" i="322" s="1"/>
  <c r="V30" i="322" s="1"/>
  <c r="V31" i="322" s="1"/>
  <c r="V32" i="322" s="1"/>
  <c r="V33" i="322" s="1"/>
  <c r="V34" i="322" s="1"/>
  <c r="V35" i="322" s="1"/>
  <c r="V36" i="322" s="1"/>
  <c r="V37" i="322" s="1"/>
  <c r="V38" i="322" s="1"/>
  <c r="V39" i="322" s="1"/>
  <c r="V40" i="322" s="1"/>
  <c r="V41" i="322" s="1"/>
  <c r="V42" i="322" s="1"/>
  <c r="V43" i="322" s="1"/>
  <c r="V44" i="322" s="1"/>
  <c r="V45" i="322" s="1"/>
  <c r="V46" i="322" s="1"/>
  <c r="V47" i="322" s="1"/>
  <c r="V48" i="322" s="1"/>
  <c r="V49" i="322" s="1"/>
  <c r="V50" i="322" s="1"/>
  <c r="V51" i="322" s="1"/>
  <c r="V52" i="322" s="1"/>
  <c r="V53" i="322" s="1"/>
  <c r="V54" i="322" s="1"/>
  <c r="V55" i="322" s="1"/>
  <c r="V56" i="322" s="1"/>
  <c r="V57" i="322" s="1"/>
  <c r="V58" i="322" s="1"/>
  <c r="V59" i="322" s="1"/>
  <c r="V60" i="322" s="1"/>
  <c r="V61" i="322" s="1"/>
  <c r="V62" i="322" s="1"/>
  <c r="V63" i="322" s="1"/>
  <c r="V64" i="322" s="1"/>
  <c r="V65" i="322" s="1"/>
  <c r="V66" i="322" s="1"/>
  <c r="V67" i="322" s="1"/>
  <c r="V68" i="322" s="1"/>
  <c r="V69" i="322" s="1"/>
  <c r="V70" i="322" s="1"/>
  <c r="V71" i="322" s="1"/>
  <c r="V72" i="322" s="1"/>
  <c r="V73" i="322" s="1"/>
  <c r="V74" i="322" s="1"/>
  <c r="V75" i="322" s="1"/>
  <c r="V76" i="322" s="1"/>
  <c r="V77" i="322" s="1"/>
  <c r="V78" i="322" s="1"/>
  <c r="V79" i="322" s="1"/>
  <c r="V80" i="322" s="1"/>
  <c r="V81" i="322" s="1"/>
  <c r="V82" i="322" s="1"/>
  <c r="V83" i="322" s="1"/>
  <c r="V84" i="322" s="1"/>
  <c r="V85" i="322" s="1"/>
  <c r="V86" i="322" s="1"/>
  <c r="V87" i="322" s="1"/>
  <c r="V88" i="322" s="1"/>
  <c r="V89" i="322" s="1"/>
  <c r="V90" i="322" s="1"/>
  <c r="V91" i="322" s="1"/>
  <c r="V92" i="322" s="1"/>
  <c r="V93" i="322" s="1"/>
  <c r="V94" i="322" s="1"/>
  <c r="V95" i="322" s="1"/>
  <c r="V96" i="322" s="1"/>
  <c r="V97" i="322" s="1"/>
  <c r="V98" i="322" s="1"/>
  <c r="V99" i="322" s="1"/>
  <c r="V100" i="322" s="1"/>
  <c r="V101" i="322" s="1"/>
  <c r="V102" i="322" s="1"/>
  <c r="V103" i="322" s="1"/>
  <c r="V104" i="322" s="1"/>
  <c r="U5" i="322"/>
  <c r="U6" i="322" s="1"/>
  <c r="U7" i="322" s="1"/>
  <c r="U8" i="322" s="1"/>
  <c r="U9" i="322" s="1"/>
  <c r="U10" i="322" s="1"/>
  <c r="U11" i="322" s="1"/>
  <c r="U12" i="322" s="1"/>
  <c r="U13" i="322" s="1"/>
  <c r="U14" i="322" s="1"/>
  <c r="U15" i="322" s="1"/>
  <c r="U16" i="322" s="1"/>
  <c r="U17" i="322" s="1"/>
  <c r="U18" i="322" s="1"/>
  <c r="U19" i="322" s="1"/>
  <c r="U20" i="322" s="1"/>
  <c r="U21" i="322" s="1"/>
  <c r="U22" i="322" s="1"/>
  <c r="U23" i="322" s="1"/>
  <c r="U24" i="322" s="1"/>
  <c r="U25" i="322" s="1"/>
  <c r="U26" i="322" s="1"/>
  <c r="U27" i="322" s="1"/>
  <c r="U28" i="322" s="1"/>
  <c r="U29" i="322" s="1"/>
  <c r="U30" i="322" s="1"/>
  <c r="U31" i="322" s="1"/>
  <c r="U32" i="322" s="1"/>
  <c r="U33" i="322" s="1"/>
  <c r="U34" i="322" s="1"/>
  <c r="U35" i="322" s="1"/>
  <c r="U36" i="322" s="1"/>
  <c r="U37" i="322" s="1"/>
  <c r="U38" i="322" s="1"/>
  <c r="U39" i="322" s="1"/>
  <c r="U40" i="322" s="1"/>
  <c r="U41" i="322" s="1"/>
  <c r="U42" i="322" s="1"/>
  <c r="U43" i="322" s="1"/>
  <c r="U44" i="322" s="1"/>
  <c r="U45" i="322" s="1"/>
  <c r="U46" i="322" s="1"/>
  <c r="U47" i="322" s="1"/>
  <c r="U48" i="322" s="1"/>
  <c r="U49" i="322" s="1"/>
  <c r="U50" i="322" s="1"/>
  <c r="U51" i="322" s="1"/>
  <c r="U52" i="322" s="1"/>
  <c r="U53" i="322" s="1"/>
  <c r="U54" i="322" s="1"/>
  <c r="U55" i="322" s="1"/>
  <c r="U56" i="322" s="1"/>
  <c r="U57" i="322" s="1"/>
  <c r="U58" i="322" s="1"/>
  <c r="U59" i="322" s="1"/>
  <c r="U60" i="322" s="1"/>
  <c r="U61" i="322" s="1"/>
  <c r="U62" i="322" s="1"/>
  <c r="U63" i="322" s="1"/>
  <c r="U64" i="322" s="1"/>
  <c r="U65" i="322" s="1"/>
  <c r="U66" i="322" s="1"/>
  <c r="U67" i="322" s="1"/>
  <c r="U68" i="322" s="1"/>
  <c r="U69" i="322" s="1"/>
  <c r="U70" i="322" s="1"/>
  <c r="U71" i="322" s="1"/>
  <c r="U72" i="322" s="1"/>
  <c r="U73" i="322" s="1"/>
  <c r="U74" i="322" s="1"/>
  <c r="U75" i="322" s="1"/>
  <c r="U76" i="322" s="1"/>
  <c r="U77" i="322" s="1"/>
  <c r="U78" i="322" s="1"/>
  <c r="U79" i="322" s="1"/>
  <c r="U80" i="322" s="1"/>
  <c r="U81" i="322" s="1"/>
  <c r="U82" i="322" s="1"/>
  <c r="U83" i="322" s="1"/>
  <c r="U84" i="322" s="1"/>
  <c r="U85" i="322" s="1"/>
  <c r="U86" i="322" s="1"/>
  <c r="U87" i="322" s="1"/>
  <c r="U88" i="322" s="1"/>
  <c r="U89" i="322" s="1"/>
  <c r="U90" i="322" s="1"/>
  <c r="U91" i="322" s="1"/>
  <c r="U92" i="322" s="1"/>
  <c r="U93" i="322" s="1"/>
  <c r="U94" i="322" s="1"/>
  <c r="U95" i="322" s="1"/>
  <c r="U96" i="322" s="1"/>
  <c r="U97" i="322" s="1"/>
  <c r="U98" i="322" s="1"/>
  <c r="U99" i="322" s="1"/>
  <c r="U100" i="322" s="1"/>
  <c r="U101" i="322" s="1"/>
  <c r="U102" i="322" s="1"/>
  <c r="U103" i="322" s="1"/>
  <c r="U104" i="322" s="1"/>
  <c r="T5" i="322"/>
  <c r="T6" i="322" s="1"/>
  <c r="T7" i="322" s="1"/>
  <c r="T8" i="322" s="1"/>
  <c r="T9" i="322" s="1"/>
  <c r="T10" i="322" s="1"/>
  <c r="T11" i="322" s="1"/>
  <c r="T12" i="322" s="1"/>
  <c r="T13" i="322" s="1"/>
  <c r="T14" i="322" s="1"/>
  <c r="T15" i="322" s="1"/>
  <c r="T16" i="322" s="1"/>
  <c r="T17" i="322" s="1"/>
  <c r="T18" i="322" s="1"/>
  <c r="T19" i="322" s="1"/>
  <c r="T20" i="322" s="1"/>
  <c r="T21" i="322" s="1"/>
  <c r="T22" i="322" s="1"/>
  <c r="T23" i="322" s="1"/>
  <c r="T24" i="322" s="1"/>
  <c r="T25" i="322" s="1"/>
  <c r="T26" i="322" s="1"/>
  <c r="T27" i="322" s="1"/>
  <c r="T28" i="322" s="1"/>
  <c r="T29" i="322" s="1"/>
  <c r="T30" i="322" s="1"/>
  <c r="T31" i="322" s="1"/>
  <c r="T32" i="322" s="1"/>
  <c r="T33" i="322" s="1"/>
  <c r="T34" i="322" s="1"/>
  <c r="T35" i="322" s="1"/>
  <c r="T36" i="322" s="1"/>
  <c r="T37" i="322" s="1"/>
  <c r="T38" i="322" s="1"/>
  <c r="T39" i="322" s="1"/>
  <c r="T40" i="322" s="1"/>
  <c r="T41" i="322" s="1"/>
  <c r="T42" i="322" s="1"/>
  <c r="T43" i="322" s="1"/>
  <c r="T44" i="322" s="1"/>
  <c r="T45" i="322" s="1"/>
  <c r="T46" i="322" s="1"/>
  <c r="T47" i="322" s="1"/>
  <c r="T48" i="322" s="1"/>
  <c r="T49" i="322" s="1"/>
  <c r="T50" i="322" s="1"/>
  <c r="T51" i="322" s="1"/>
  <c r="T52" i="322" s="1"/>
  <c r="T53" i="322" s="1"/>
  <c r="T54" i="322" s="1"/>
  <c r="T55" i="322" s="1"/>
  <c r="T56" i="322" s="1"/>
  <c r="T57" i="322" s="1"/>
  <c r="T58" i="322" s="1"/>
  <c r="T59" i="322" s="1"/>
  <c r="T60" i="322" s="1"/>
  <c r="T61" i="322" s="1"/>
  <c r="T62" i="322" s="1"/>
  <c r="T63" i="322" s="1"/>
  <c r="T64" i="322" s="1"/>
  <c r="T65" i="322" s="1"/>
  <c r="T66" i="322" s="1"/>
  <c r="T67" i="322" s="1"/>
  <c r="T68" i="322" s="1"/>
  <c r="T69" i="322" s="1"/>
  <c r="T70" i="322" s="1"/>
  <c r="T71" i="322" s="1"/>
  <c r="T72" i="322" s="1"/>
  <c r="T73" i="322" s="1"/>
  <c r="T74" i="322" s="1"/>
  <c r="T75" i="322" s="1"/>
  <c r="T76" i="322" s="1"/>
  <c r="T77" i="322" s="1"/>
  <c r="T78" i="322" s="1"/>
  <c r="T79" i="322" s="1"/>
  <c r="T80" i="322" s="1"/>
  <c r="T81" i="322" s="1"/>
  <c r="T82" i="322" s="1"/>
  <c r="T83" i="322" s="1"/>
  <c r="T84" i="322" s="1"/>
  <c r="T85" i="322" s="1"/>
  <c r="T86" i="322" s="1"/>
  <c r="T87" i="322" s="1"/>
  <c r="T88" i="322" s="1"/>
  <c r="T89" i="322" s="1"/>
  <c r="T90" i="322" s="1"/>
  <c r="T91" i="322" s="1"/>
  <c r="T92" i="322" s="1"/>
  <c r="T93" i="322" s="1"/>
  <c r="T94" i="322" s="1"/>
  <c r="T95" i="322" s="1"/>
  <c r="T96" i="322" s="1"/>
  <c r="T97" i="322" s="1"/>
  <c r="T98" i="322" s="1"/>
  <c r="T99" i="322" s="1"/>
  <c r="T100" i="322" s="1"/>
  <c r="T101" i="322" s="1"/>
  <c r="T102" i="322" s="1"/>
  <c r="T103" i="322" s="1"/>
  <c r="T104" i="322" s="1"/>
  <c r="S5" i="322"/>
  <c r="S6" i="322" s="1"/>
  <c r="S7" i="322" s="1"/>
  <c r="S8" i="322" s="1"/>
  <c r="S9" i="322" s="1"/>
  <c r="S10" i="322" s="1"/>
  <c r="S11" i="322" s="1"/>
  <c r="S12" i="322" s="1"/>
  <c r="S13" i="322" s="1"/>
  <c r="S14" i="322" s="1"/>
  <c r="S15" i="322" s="1"/>
  <c r="S16" i="322" s="1"/>
  <c r="S17" i="322" s="1"/>
  <c r="S18" i="322" s="1"/>
  <c r="S19" i="322" s="1"/>
  <c r="S20" i="322" s="1"/>
  <c r="S21" i="322" s="1"/>
  <c r="S22" i="322" s="1"/>
  <c r="S23" i="322" s="1"/>
  <c r="S24" i="322" s="1"/>
  <c r="S25" i="322" s="1"/>
  <c r="S26" i="322" s="1"/>
  <c r="S27" i="322" s="1"/>
  <c r="S28" i="322" s="1"/>
  <c r="S29" i="322" s="1"/>
  <c r="S30" i="322" s="1"/>
  <c r="S31" i="322" s="1"/>
  <c r="S32" i="322" s="1"/>
  <c r="S33" i="322" s="1"/>
  <c r="S34" i="322" s="1"/>
  <c r="S35" i="322" s="1"/>
  <c r="S36" i="322" s="1"/>
  <c r="S37" i="322" s="1"/>
  <c r="S38" i="322" s="1"/>
  <c r="S39" i="322" s="1"/>
  <c r="S40" i="322" s="1"/>
  <c r="S41" i="322" s="1"/>
  <c r="S42" i="322" s="1"/>
  <c r="S43" i="322" s="1"/>
  <c r="S44" i="322" s="1"/>
  <c r="S45" i="322" s="1"/>
  <c r="S46" i="322" s="1"/>
  <c r="S47" i="322" s="1"/>
  <c r="S48" i="322" s="1"/>
  <c r="S49" i="322" s="1"/>
  <c r="S50" i="322" s="1"/>
  <c r="S51" i="322" s="1"/>
  <c r="S52" i="322" s="1"/>
  <c r="S53" i="322" s="1"/>
  <c r="S54" i="322" s="1"/>
  <c r="S55" i="322" s="1"/>
  <c r="S56" i="322" s="1"/>
  <c r="S57" i="322" s="1"/>
  <c r="S58" i="322" s="1"/>
  <c r="S59" i="322" s="1"/>
  <c r="S60" i="322" s="1"/>
  <c r="S61" i="322" s="1"/>
  <c r="S62" i="322" s="1"/>
  <c r="S63" i="322" s="1"/>
  <c r="S64" i="322" s="1"/>
  <c r="S65" i="322" s="1"/>
  <c r="S66" i="322" s="1"/>
  <c r="S67" i="322" s="1"/>
  <c r="S68" i="322" s="1"/>
  <c r="S69" i="322" s="1"/>
  <c r="S70" i="322" s="1"/>
  <c r="S71" i="322" s="1"/>
  <c r="S72" i="322" s="1"/>
  <c r="S73" i="322" s="1"/>
  <c r="S74" i="322" s="1"/>
  <c r="S75" i="322" s="1"/>
  <c r="S76" i="322" s="1"/>
  <c r="S77" i="322" s="1"/>
  <c r="S78" i="322" s="1"/>
  <c r="S79" i="322" s="1"/>
  <c r="S80" i="322" s="1"/>
  <c r="S81" i="322" s="1"/>
  <c r="S82" i="322" s="1"/>
  <c r="S83" i="322" s="1"/>
  <c r="S84" i="322" s="1"/>
  <c r="S85" i="322" s="1"/>
  <c r="S86" i="322" s="1"/>
  <c r="S87" i="322" s="1"/>
  <c r="S88" i="322" s="1"/>
  <c r="S89" i="322" s="1"/>
  <c r="S90" i="322" s="1"/>
  <c r="S91" i="322" s="1"/>
  <c r="S92" i="322" s="1"/>
  <c r="S93" i="322" s="1"/>
  <c r="S94" i="322" s="1"/>
  <c r="S95" i="322" s="1"/>
  <c r="S96" i="322" s="1"/>
  <c r="S97" i="322" s="1"/>
  <c r="S98" i="322" s="1"/>
  <c r="S99" i="322" s="1"/>
  <c r="S100" i="322" s="1"/>
  <c r="S101" i="322" s="1"/>
  <c r="S102" i="322" s="1"/>
  <c r="S103" i="322" s="1"/>
  <c r="S104" i="322" s="1"/>
  <c r="R5" i="322"/>
  <c r="R6" i="322" s="1"/>
  <c r="R7" i="322" s="1"/>
  <c r="R8" i="322" s="1"/>
  <c r="R9" i="322" s="1"/>
  <c r="R10" i="322" s="1"/>
  <c r="R11" i="322" s="1"/>
  <c r="R12" i="322" s="1"/>
  <c r="R13" i="322" s="1"/>
  <c r="R14" i="322" s="1"/>
  <c r="R15" i="322" s="1"/>
  <c r="R16" i="322" s="1"/>
  <c r="R17" i="322" s="1"/>
  <c r="R18" i="322" s="1"/>
  <c r="R19" i="322" s="1"/>
  <c r="R20" i="322" s="1"/>
  <c r="R21" i="322" s="1"/>
  <c r="R22" i="322" s="1"/>
  <c r="R23" i="322" s="1"/>
  <c r="R24" i="322" s="1"/>
  <c r="R25" i="322" s="1"/>
  <c r="R26" i="322" s="1"/>
  <c r="R27" i="322" s="1"/>
  <c r="R28" i="322" s="1"/>
  <c r="R29" i="322" s="1"/>
  <c r="R30" i="322" s="1"/>
  <c r="R31" i="322" s="1"/>
  <c r="R32" i="322" s="1"/>
  <c r="R33" i="322" s="1"/>
  <c r="R34" i="322" s="1"/>
  <c r="R35" i="322" s="1"/>
  <c r="R36" i="322" s="1"/>
  <c r="R37" i="322" s="1"/>
  <c r="R38" i="322" s="1"/>
  <c r="R39" i="322" s="1"/>
  <c r="R40" i="322" s="1"/>
  <c r="R41" i="322" s="1"/>
  <c r="R42" i="322" s="1"/>
  <c r="R43" i="322" s="1"/>
  <c r="R44" i="322" s="1"/>
  <c r="R45" i="322" s="1"/>
  <c r="R46" i="322" s="1"/>
  <c r="R47" i="322" s="1"/>
  <c r="R48" i="322" s="1"/>
  <c r="R49" i="322" s="1"/>
  <c r="R50" i="322" s="1"/>
  <c r="R51" i="322" s="1"/>
  <c r="R52" i="322" s="1"/>
  <c r="R53" i="322" s="1"/>
  <c r="R54" i="322" s="1"/>
  <c r="R55" i="322" s="1"/>
  <c r="R56" i="322" s="1"/>
  <c r="R57" i="322" s="1"/>
  <c r="R58" i="322" s="1"/>
  <c r="R59" i="322" s="1"/>
  <c r="R60" i="322" s="1"/>
  <c r="R61" i="322" s="1"/>
  <c r="R62" i="322" s="1"/>
  <c r="R63" i="322" s="1"/>
  <c r="R64" i="322" s="1"/>
  <c r="R65" i="322" s="1"/>
  <c r="R66" i="322" s="1"/>
  <c r="R67" i="322" s="1"/>
  <c r="R68" i="322" s="1"/>
  <c r="R69" i="322" s="1"/>
  <c r="R70" i="322" s="1"/>
  <c r="R71" i="322" s="1"/>
  <c r="R72" i="322" s="1"/>
  <c r="R73" i="322" s="1"/>
  <c r="R74" i="322" s="1"/>
  <c r="R75" i="322" s="1"/>
  <c r="R76" i="322" s="1"/>
  <c r="R77" i="322" s="1"/>
  <c r="R78" i="322" s="1"/>
  <c r="R79" i="322" s="1"/>
  <c r="R80" i="322" s="1"/>
  <c r="R81" i="322" s="1"/>
  <c r="R82" i="322" s="1"/>
  <c r="R83" i="322" s="1"/>
  <c r="R84" i="322" s="1"/>
  <c r="R85" i="322" s="1"/>
  <c r="R86" i="322" s="1"/>
  <c r="R87" i="322" s="1"/>
  <c r="R88" i="322" s="1"/>
  <c r="R89" i="322" s="1"/>
  <c r="R90" i="322" s="1"/>
  <c r="R91" i="322" s="1"/>
  <c r="R92" i="322" s="1"/>
  <c r="R93" i="322" s="1"/>
  <c r="R94" i="322" s="1"/>
  <c r="R95" i="322" s="1"/>
  <c r="R96" i="322" s="1"/>
  <c r="R97" i="322" s="1"/>
  <c r="R98" i="322" s="1"/>
  <c r="R99" i="322" s="1"/>
  <c r="R100" i="322" s="1"/>
  <c r="R101" i="322" s="1"/>
  <c r="R102" i="322" s="1"/>
  <c r="R103" i="322" s="1"/>
  <c r="R104" i="322" s="1"/>
  <c r="AF4" i="322"/>
  <c r="AE4" i="322"/>
  <c r="AD4" i="322"/>
  <c r="AC4" i="322"/>
  <c r="AB4" i="322"/>
  <c r="AA4" i="322"/>
  <c r="Z4" i="322"/>
  <c r="Y4" i="322"/>
  <c r="X4" i="322"/>
  <c r="W4" i="322"/>
  <c r="V4" i="322"/>
  <c r="U4" i="322"/>
  <c r="T4" i="322"/>
  <c r="S4" i="322"/>
  <c r="R4" i="322"/>
  <c r="T20" i="326" s="1"/>
  <c r="X20" i="326" s="1"/>
  <c r="AF5" i="321"/>
  <c r="AF6" i="321" s="1"/>
  <c r="AF7" i="321" s="1"/>
  <c r="AF8" i="321" s="1"/>
  <c r="AF9" i="321" s="1"/>
  <c r="AF10" i="321" s="1"/>
  <c r="AF11" i="321" s="1"/>
  <c r="AF12" i="321" s="1"/>
  <c r="AF13" i="321" s="1"/>
  <c r="AF14" i="321" s="1"/>
  <c r="AF15" i="321" s="1"/>
  <c r="AF16" i="321" s="1"/>
  <c r="AF17" i="321" s="1"/>
  <c r="AF18" i="321" s="1"/>
  <c r="AF19" i="321" s="1"/>
  <c r="AF20" i="321" s="1"/>
  <c r="AF21" i="321" s="1"/>
  <c r="AF22" i="321" s="1"/>
  <c r="AF23" i="321" s="1"/>
  <c r="AF24" i="321" s="1"/>
  <c r="AF25" i="321" s="1"/>
  <c r="AF26" i="321" s="1"/>
  <c r="AF27" i="321" s="1"/>
  <c r="AF28" i="321" s="1"/>
  <c r="AF29" i="321" s="1"/>
  <c r="AF30" i="321" s="1"/>
  <c r="AF31" i="321" s="1"/>
  <c r="AF32" i="321" s="1"/>
  <c r="AF33" i="321" s="1"/>
  <c r="AF34" i="321" s="1"/>
  <c r="AF35" i="321" s="1"/>
  <c r="AF36" i="321" s="1"/>
  <c r="AF37" i="321" s="1"/>
  <c r="AF38" i="321" s="1"/>
  <c r="AF39" i="321" s="1"/>
  <c r="AF40" i="321" s="1"/>
  <c r="AF41" i="321" s="1"/>
  <c r="AF42" i="321" s="1"/>
  <c r="AF43" i="321" s="1"/>
  <c r="AF44" i="321" s="1"/>
  <c r="AF45" i="321" s="1"/>
  <c r="AF46" i="321" s="1"/>
  <c r="AF47" i="321" s="1"/>
  <c r="AF48" i="321" s="1"/>
  <c r="AF49" i="321" s="1"/>
  <c r="AF50" i="321" s="1"/>
  <c r="AF51" i="321" s="1"/>
  <c r="AF52" i="321" s="1"/>
  <c r="AF53" i="321" s="1"/>
  <c r="AF54" i="321" s="1"/>
  <c r="AF55" i="321" s="1"/>
  <c r="AF56" i="321" s="1"/>
  <c r="AF57" i="321" s="1"/>
  <c r="AF58" i="321" s="1"/>
  <c r="AF59" i="321" s="1"/>
  <c r="AF60" i="321" s="1"/>
  <c r="AF61" i="321" s="1"/>
  <c r="AF62" i="321" s="1"/>
  <c r="AF63" i="321" s="1"/>
  <c r="AF64" i="321" s="1"/>
  <c r="AF65" i="321" s="1"/>
  <c r="AF66" i="321" s="1"/>
  <c r="AF67" i="321" s="1"/>
  <c r="AF68" i="321" s="1"/>
  <c r="AF69" i="321" s="1"/>
  <c r="AF70" i="321" s="1"/>
  <c r="AF71" i="321" s="1"/>
  <c r="AF72" i="321" s="1"/>
  <c r="AF73" i="321" s="1"/>
  <c r="AF74" i="321" s="1"/>
  <c r="AF75" i="321" s="1"/>
  <c r="AF76" i="321" s="1"/>
  <c r="AF77" i="321" s="1"/>
  <c r="AF78" i="321" s="1"/>
  <c r="AF79" i="321" s="1"/>
  <c r="AF80" i="321" s="1"/>
  <c r="AF81" i="321" s="1"/>
  <c r="AF82" i="321" s="1"/>
  <c r="AF83" i="321" s="1"/>
  <c r="AF84" i="321" s="1"/>
  <c r="AF85" i="321" s="1"/>
  <c r="AF86" i="321" s="1"/>
  <c r="AF87" i="321" s="1"/>
  <c r="AF88" i="321" s="1"/>
  <c r="AF89" i="321" s="1"/>
  <c r="AF90" i="321" s="1"/>
  <c r="AF91" i="321" s="1"/>
  <c r="AF92" i="321" s="1"/>
  <c r="AF93" i="321" s="1"/>
  <c r="AF94" i="321" s="1"/>
  <c r="AF95" i="321" s="1"/>
  <c r="AF96" i="321" s="1"/>
  <c r="AF97" i="321" s="1"/>
  <c r="AF98" i="321" s="1"/>
  <c r="AF99" i="321" s="1"/>
  <c r="AF100" i="321" s="1"/>
  <c r="AF101" i="321" s="1"/>
  <c r="AF102" i="321" s="1"/>
  <c r="AF103" i="321" s="1"/>
  <c r="AF104" i="321" s="1"/>
  <c r="AE5" i="321"/>
  <c r="AE6" i="321" s="1"/>
  <c r="AE7" i="321" s="1"/>
  <c r="AE8" i="321" s="1"/>
  <c r="AE9" i="321" s="1"/>
  <c r="AE10" i="321" s="1"/>
  <c r="AE11" i="321" s="1"/>
  <c r="AE12" i="321" s="1"/>
  <c r="AE13" i="321" s="1"/>
  <c r="AE14" i="321" s="1"/>
  <c r="AE15" i="321" s="1"/>
  <c r="AE16" i="321" s="1"/>
  <c r="AE17" i="321" s="1"/>
  <c r="AE18" i="321" s="1"/>
  <c r="AE19" i="321" s="1"/>
  <c r="AE20" i="321" s="1"/>
  <c r="AE21" i="321" s="1"/>
  <c r="AE22" i="321" s="1"/>
  <c r="AE23" i="321" s="1"/>
  <c r="AE24" i="321" s="1"/>
  <c r="AE25" i="321" s="1"/>
  <c r="AE26" i="321" s="1"/>
  <c r="AE27" i="321" s="1"/>
  <c r="AE28" i="321" s="1"/>
  <c r="AE29" i="321" s="1"/>
  <c r="AE30" i="321" s="1"/>
  <c r="AE31" i="321" s="1"/>
  <c r="AE32" i="321" s="1"/>
  <c r="AE33" i="321" s="1"/>
  <c r="AE34" i="321" s="1"/>
  <c r="AE35" i="321" s="1"/>
  <c r="AE36" i="321" s="1"/>
  <c r="AE37" i="321" s="1"/>
  <c r="AE38" i="321" s="1"/>
  <c r="AE39" i="321" s="1"/>
  <c r="AE40" i="321" s="1"/>
  <c r="AE41" i="321" s="1"/>
  <c r="AE42" i="321" s="1"/>
  <c r="AE43" i="321" s="1"/>
  <c r="AE44" i="321" s="1"/>
  <c r="AE45" i="321" s="1"/>
  <c r="AE46" i="321" s="1"/>
  <c r="AE47" i="321" s="1"/>
  <c r="AE48" i="321" s="1"/>
  <c r="AE49" i="321" s="1"/>
  <c r="AE50" i="321" s="1"/>
  <c r="AE51" i="321" s="1"/>
  <c r="AE52" i="321" s="1"/>
  <c r="AE53" i="321" s="1"/>
  <c r="AE54" i="321" s="1"/>
  <c r="AE55" i="321" s="1"/>
  <c r="AE56" i="321" s="1"/>
  <c r="AE57" i="321" s="1"/>
  <c r="AE58" i="321" s="1"/>
  <c r="AE59" i="321" s="1"/>
  <c r="AE60" i="321" s="1"/>
  <c r="AE61" i="321" s="1"/>
  <c r="AE62" i="321" s="1"/>
  <c r="AE63" i="321" s="1"/>
  <c r="AE64" i="321" s="1"/>
  <c r="AE65" i="321" s="1"/>
  <c r="AE66" i="321" s="1"/>
  <c r="AE67" i="321" s="1"/>
  <c r="AE68" i="321" s="1"/>
  <c r="AE69" i="321" s="1"/>
  <c r="AE70" i="321" s="1"/>
  <c r="AE71" i="321" s="1"/>
  <c r="AE72" i="321" s="1"/>
  <c r="AE73" i="321" s="1"/>
  <c r="AE74" i="321" s="1"/>
  <c r="AE75" i="321" s="1"/>
  <c r="AE76" i="321" s="1"/>
  <c r="AE77" i="321" s="1"/>
  <c r="AE78" i="321" s="1"/>
  <c r="AE79" i="321" s="1"/>
  <c r="AE80" i="321" s="1"/>
  <c r="AE81" i="321" s="1"/>
  <c r="AE82" i="321" s="1"/>
  <c r="AE83" i="321" s="1"/>
  <c r="AE84" i="321" s="1"/>
  <c r="AE85" i="321" s="1"/>
  <c r="AE86" i="321" s="1"/>
  <c r="AE87" i="321" s="1"/>
  <c r="AE88" i="321" s="1"/>
  <c r="AE89" i="321" s="1"/>
  <c r="AE90" i="321" s="1"/>
  <c r="AE91" i="321" s="1"/>
  <c r="AE92" i="321" s="1"/>
  <c r="AE93" i="321" s="1"/>
  <c r="AE94" i="321" s="1"/>
  <c r="AE95" i="321" s="1"/>
  <c r="AE96" i="321" s="1"/>
  <c r="AE97" i="321" s="1"/>
  <c r="AE98" i="321" s="1"/>
  <c r="AE99" i="321" s="1"/>
  <c r="AE100" i="321" s="1"/>
  <c r="AE101" i="321" s="1"/>
  <c r="AE102" i="321" s="1"/>
  <c r="AE103" i="321" s="1"/>
  <c r="AE104" i="321" s="1"/>
  <c r="AD5" i="321"/>
  <c r="AD6" i="321" s="1"/>
  <c r="AD7" i="321" s="1"/>
  <c r="AD8" i="321" s="1"/>
  <c r="AD9" i="321" s="1"/>
  <c r="AD10" i="321" s="1"/>
  <c r="AD11" i="321" s="1"/>
  <c r="AD12" i="321" s="1"/>
  <c r="AD13" i="321" s="1"/>
  <c r="AD14" i="321" s="1"/>
  <c r="AD15" i="321" s="1"/>
  <c r="AD16" i="321" s="1"/>
  <c r="AD17" i="321" s="1"/>
  <c r="AD18" i="321" s="1"/>
  <c r="AD19" i="321" s="1"/>
  <c r="AD20" i="321" s="1"/>
  <c r="AD21" i="321" s="1"/>
  <c r="AD22" i="321" s="1"/>
  <c r="AD23" i="321" s="1"/>
  <c r="AD24" i="321" s="1"/>
  <c r="AD25" i="321" s="1"/>
  <c r="AD26" i="321" s="1"/>
  <c r="AD27" i="321" s="1"/>
  <c r="AD28" i="321" s="1"/>
  <c r="AD29" i="321" s="1"/>
  <c r="AD30" i="321" s="1"/>
  <c r="AD31" i="321" s="1"/>
  <c r="AD32" i="321" s="1"/>
  <c r="AD33" i="321" s="1"/>
  <c r="AD34" i="321" s="1"/>
  <c r="AD35" i="321" s="1"/>
  <c r="AD36" i="321" s="1"/>
  <c r="AD37" i="321" s="1"/>
  <c r="AD38" i="321" s="1"/>
  <c r="AD39" i="321" s="1"/>
  <c r="AD40" i="321" s="1"/>
  <c r="AD41" i="321" s="1"/>
  <c r="AD42" i="321" s="1"/>
  <c r="AD43" i="321" s="1"/>
  <c r="AD44" i="321" s="1"/>
  <c r="AD45" i="321" s="1"/>
  <c r="AD46" i="321" s="1"/>
  <c r="AD47" i="321" s="1"/>
  <c r="AD48" i="321" s="1"/>
  <c r="AD49" i="321" s="1"/>
  <c r="AD50" i="321" s="1"/>
  <c r="AD51" i="321" s="1"/>
  <c r="AD52" i="321" s="1"/>
  <c r="AD53" i="321" s="1"/>
  <c r="AD54" i="321" s="1"/>
  <c r="AD55" i="321" s="1"/>
  <c r="AD56" i="321" s="1"/>
  <c r="AD57" i="321" s="1"/>
  <c r="AD58" i="321" s="1"/>
  <c r="AD59" i="321" s="1"/>
  <c r="AD60" i="321" s="1"/>
  <c r="AD61" i="321" s="1"/>
  <c r="AD62" i="321" s="1"/>
  <c r="AD63" i="321" s="1"/>
  <c r="AD64" i="321" s="1"/>
  <c r="AD65" i="321" s="1"/>
  <c r="AD66" i="321" s="1"/>
  <c r="AD67" i="321" s="1"/>
  <c r="AD68" i="321" s="1"/>
  <c r="AD69" i="321" s="1"/>
  <c r="AD70" i="321" s="1"/>
  <c r="AD71" i="321" s="1"/>
  <c r="AD72" i="321" s="1"/>
  <c r="AD73" i="321" s="1"/>
  <c r="AD74" i="321" s="1"/>
  <c r="AD75" i="321" s="1"/>
  <c r="AD76" i="321" s="1"/>
  <c r="AD77" i="321" s="1"/>
  <c r="AD78" i="321" s="1"/>
  <c r="AD79" i="321" s="1"/>
  <c r="AD80" i="321" s="1"/>
  <c r="AD81" i="321" s="1"/>
  <c r="AD82" i="321" s="1"/>
  <c r="AD83" i="321" s="1"/>
  <c r="AD84" i="321" s="1"/>
  <c r="AD85" i="321" s="1"/>
  <c r="AD86" i="321" s="1"/>
  <c r="AD87" i="321" s="1"/>
  <c r="AD88" i="321" s="1"/>
  <c r="AD89" i="321" s="1"/>
  <c r="AD90" i="321" s="1"/>
  <c r="AD91" i="321" s="1"/>
  <c r="AD92" i="321" s="1"/>
  <c r="AD93" i="321" s="1"/>
  <c r="AD94" i="321" s="1"/>
  <c r="AD95" i="321" s="1"/>
  <c r="AD96" i="321" s="1"/>
  <c r="AD97" i="321" s="1"/>
  <c r="AD98" i="321" s="1"/>
  <c r="AD99" i="321" s="1"/>
  <c r="AD100" i="321" s="1"/>
  <c r="AD101" i="321" s="1"/>
  <c r="AD102" i="321" s="1"/>
  <c r="AD103" i="321" s="1"/>
  <c r="AD104" i="321" s="1"/>
  <c r="AC5" i="321"/>
  <c r="AC6" i="321" s="1"/>
  <c r="AC7" i="321" s="1"/>
  <c r="AC8" i="321" s="1"/>
  <c r="AC9" i="321" s="1"/>
  <c r="AC10" i="321" s="1"/>
  <c r="AC11" i="321" s="1"/>
  <c r="AC12" i="321" s="1"/>
  <c r="AC13" i="321" s="1"/>
  <c r="AC14" i="321" s="1"/>
  <c r="AC15" i="321" s="1"/>
  <c r="AC16" i="321" s="1"/>
  <c r="AC17" i="321" s="1"/>
  <c r="AC18" i="321" s="1"/>
  <c r="AC19" i="321" s="1"/>
  <c r="AC20" i="321" s="1"/>
  <c r="AC21" i="321" s="1"/>
  <c r="AC22" i="321" s="1"/>
  <c r="AC23" i="321" s="1"/>
  <c r="AC24" i="321" s="1"/>
  <c r="AC25" i="321" s="1"/>
  <c r="AC26" i="321" s="1"/>
  <c r="AC27" i="321" s="1"/>
  <c r="AC28" i="321" s="1"/>
  <c r="AC29" i="321" s="1"/>
  <c r="AC30" i="321" s="1"/>
  <c r="AC31" i="321" s="1"/>
  <c r="AC32" i="321" s="1"/>
  <c r="AC33" i="321" s="1"/>
  <c r="AC34" i="321" s="1"/>
  <c r="AC35" i="321" s="1"/>
  <c r="AC36" i="321" s="1"/>
  <c r="AC37" i="321" s="1"/>
  <c r="AC38" i="321" s="1"/>
  <c r="AC39" i="321" s="1"/>
  <c r="AC40" i="321" s="1"/>
  <c r="AC41" i="321" s="1"/>
  <c r="AC42" i="321" s="1"/>
  <c r="AC43" i="321" s="1"/>
  <c r="AC44" i="321" s="1"/>
  <c r="AC45" i="321" s="1"/>
  <c r="AC46" i="321" s="1"/>
  <c r="AC47" i="321" s="1"/>
  <c r="AC48" i="321" s="1"/>
  <c r="AC49" i="321" s="1"/>
  <c r="AC50" i="321" s="1"/>
  <c r="AC51" i="321" s="1"/>
  <c r="AC52" i="321" s="1"/>
  <c r="AC53" i="321" s="1"/>
  <c r="AC54" i="321" s="1"/>
  <c r="AC55" i="321" s="1"/>
  <c r="AC56" i="321" s="1"/>
  <c r="AC57" i="321" s="1"/>
  <c r="AC58" i="321" s="1"/>
  <c r="AC59" i="321" s="1"/>
  <c r="AC60" i="321" s="1"/>
  <c r="AC61" i="321" s="1"/>
  <c r="AC62" i="321" s="1"/>
  <c r="AC63" i="321" s="1"/>
  <c r="AC64" i="321" s="1"/>
  <c r="AC65" i="321" s="1"/>
  <c r="AC66" i="321" s="1"/>
  <c r="AC67" i="321" s="1"/>
  <c r="AC68" i="321" s="1"/>
  <c r="AC69" i="321" s="1"/>
  <c r="AC70" i="321" s="1"/>
  <c r="AC71" i="321" s="1"/>
  <c r="AC72" i="321" s="1"/>
  <c r="AC73" i="321" s="1"/>
  <c r="AC74" i="321" s="1"/>
  <c r="AC75" i="321" s="1"/>
  <c r="AC76" i="321" s="1"/>
  <c r="AC77" i="321" s="1"/>
  <c r="AC78" i="321" s="1"/>
  <c r="AC79" i="321" s="1"/>
  <c r="AC80" i="321" s="1"/>
  <c r="AC81" i="321" s="1"/>
  <c r="AC82" i="321" s="1"/>
  <c r="AC83" i="321" s="1"/>
  <c r="AC84" i="321" s="1"/>
  <c r="AC85" i="321" s="1"/>
  <c r="AC86" i="321" s="1"/>
  <c r="AC87" i="321" s="1"/>
  <c r="AC88" i="321" s="1"/>
  <c r="AC89" i="321" s="1"/>
  <c r="AC90" i="321" s="1"/>
  <c r="AC91" i="321" s="1"/>
  <c r="AC92" i="321" s="1"/>
  <c r="AC93" i="321" s="1"/>
  <c r="AC94" i="321" s="1"/>
  <c r="AC95" i="321" s="1"/>
  <c r="AC96" i="321" s="1"/>
  <c r="AC97" i="321" s="1"/>
  <c r="AC98" i="321" s="1"/>
  <c r="AC99" i="321" s="1"/>
  <c r="AC100" i="321" s="1"/>
  <c r="AC101" i="321" s="1"/>
  <c r="AC102" i="321" s="1"/>
  <c r="AC103" i="321" s="1"/>
  <c r="AC104" i="321" s="1"/>
  <c r="AB5" i="321"/>
  <c r="AB6" i="321" s="1"/>
  <c r="AB7" i="321" s="1"/>
  <c r="AB8" i="321" s="1"/>
  <c r="AB9" i="321" s="1"/>
  <c r="AB10" i="321" s="1"/>
  <c r="AB11" i="321" s="1"/>
  <c r="AB12" i="321" s="1"/>
  <c r="AB13" i="321" s="1"/>
  <c r="AB14" i="321" s="1"/>
  <c r="AB15" i="321" s="1"/>
  <c r="AB16" i="321" s="1"/>
  <c r="AB17" i="321" s="1"/>
  <c r="AB18" i="321" s="1"/>
  <c r="AB19" i="321" s="1"/>
  <c r="AB20" i="321" s="1"/>
  <c r="AB21" i="321" s="1"/>
  <c r="AB22" i="321" s="1"/>
  <c r="AB23" i="321" s="1"/>
  <c r="AB24" i="321" s="1"/>
  <c r="AB25" i="321" s="1"/>
  <c r="AB26" i="321" s="1"/>
  <c r="AB27" i="321" s="1"/>
  <c r="AB28" i="321" s="1"/>
  <c r="AB29" i="321" s="1"/>
  <c r="AB30" i="321" s="1"/>
  <c r="AB31" i="321" s="1"/>
  <c r="AB32" i="321" s="1"/>
  <c r="AB33" i="321" s="1"/>
  <c r="AB34" i="321" s="1"/>
  <c r="AB35" i="321" s="1"/>
  <c r="AB36" i="321" s="1"/>
  <c r="AB37" i="321" s="1"/>
  <c r="AB38" i="321" s="1"/>
  <c r="AB39" i="321" s="1"/>
  <c r="AB40" i="321" s="1"/>
  <c r="AB41" i="321" s="1"/>
  <c r="AB42" i="321" s="1"/>
  <c r="AB43" i="321" s="1"/>
  <c r="AB44" i="321" s="1"/>
  <c r="AB45" i="321" s="1"/>
  <c r="AB46" i="321" s="1"/>
  <c r="AB47" i="321" s="1"/>
  <c r="AB48" i="321" s="1"/>
  <c r="AB49" i="321" s="1"/>
  <c r="AB50" i="321" s="1"/>
  <c r="AB51" i="321" s="1"/>
  <c r="AB52" i="321" s="1"/>
  <c r="AB53" i="321" s="1"/>
  <c r="AB54" i="321" s="1"/>
  <c r="AB55" i="321" s="1"/>
  <c r="AB56" i="321" s="1"/>
  <c r="AB57" i="321" s="1"/>
  <c r="AB58" i="321" s="1"/>
  <c r="AB59" i="321" s="1"/>
  <c r="AB60" i="321" s="1"/>
  <c r="AB61" i="321" s="1"/>
  <c r="AB62" i="321" s="1"/>
  <c r="AB63" i="321" s="1"/>
  <c r="AB64" i="321" s="1"/>
  <c r="AB65" i="321" s="1"/>
  <c r="AB66" i="321" s="1"/>
  <c r="AB67" i="321" s="1"/>
  <c r="AB68" i="321" s="1"/>
  <c r="AB69" i="321" s="1"/>
  <c r="AB70" i="321" s="1"/>
  <c r="AB71" i="321" s="1"/>
  <c r="AB72" i="321" s="1"/>
  <c r="AB73" i="321" s="1"/>
  <c r="AB74" i="321" s="1"/>
  <c r="AB75" i="321" s="1"/>
  <c r="AB76" i="321" s="1"/>
  <c r="AB77" i="321" s="1"/>
  <c r="AB78" i="321" s="1"/>
  <c r="AB79" i="321" s="1"/>
  <c r="AB80" i="321" s="1"/>
  <c r="AB81" i="321" s="1"/>
  <c r="AB82" i="321" s="1"/>
  <c r="AB83" i="321" s="1"/>
  <c r="AB84" i="321" s="1"/>
  <c r="AB85" i="321" s="1"/>
  <c r="AB86" i="321" s="1"/>
  <c r="AB87" i="321" s="1"/>
  <c r="AB88" i="321" s="1"/>
  <c r="AB89" i="321" s="1"/>
  <c r="AB90" i="321" s="1"/>
  <c r="AB91" i="321" s="1"/>
  <c r="AB92" i="321" s="1"/>
  <c r="AB93" i="321" s="1"/>
  <c r="AB94" i="321" s="1"/>
  <c r="AB95" i="321" s="1"/>
  <c r="AB96" i="321" s="1"/>
  <c r="AB97" i="321" s="1"/>
  <c r="AB98" i="321" s="1"/>
  <c r="AB99" i="321" s="1"/>
  <c r="AB100" i="321" s="1"/>
  <c r="AB101" i="321" s="1"/>
  <c r="AB102" i="321" s="1"/>
  <c r="AB103" i="321" s="1"/>
  <c r="AB104" i="321" s="1"/>
  <c r="AA5" i="321"/>
  <c r="AA6" i="321" s="1"/>
  <c r="AA7" i="321" s="1"/>
  <c r="AA8" i="321" s="1"/>
  <c r="AA9" i="321" s="1"/>
  <c r="AA10" i="321" s="1"/>
  <c r="AA11" i="321" s="1"/>
  <c r="AA12" i="321" s="1"/>
  <c r="AA13" i="321" s="1"/>
  <c r="AA14" i="321" s="1"/>
  <c r="AA15" i="321" s="1"/>
  <c r="AA16" i="321" s="1"/>
  <c r="AA17" i="321" s="1"/>
  <c r="AA18" i="321" s="1"/>
  <c r="AA19" i="321" s="1"/>
  <c r="AA20" i="321" s="1"/>
  <c r="AA21" i="321" s="1"/>
  <c r="AA22" i="321" s="1"/>
  <c r="AA23" i="321" s="1"/>
  <c r="AA24" i="321" s="1"/>
  <c r="AA25" i="321" s="1"/>
  <c r="AA26" i="321" s="1"/>
  <c r="AA27" i="321" s="1"/>
  <c r="AA28" i="321" s="1"/>
  <c r="AA29" i="321" s="1"/>
  <c r="AA30" i="321" s="1"/>
  <c r="AA31" i="321" s="1"/>
  <c r="AA32" i="321" s="1"/>
  <c r="AA33" i="321" s="1"/>
  <c r="AA34" i="321" s="1"/>
  <c r="AA35" i="321" s="1"/>
  <c r="AA36" i="321" s="1"/>
  <c r="AA37" i="321" s="1"/>
  <c r="AA38" i="321" s="1"/>
  <c r="AA39" i="321" s="1"/>
  <c r="AA40" i="321" s="1"/>
  <c r="AA41" i="321" s="1"/>
  <c r="AA42" i="321" s="1"/>
  <c r="AA43" i="321" s="1"/>
  <c r="AA44" i="321" s="1"/>
  <c r="AA45" i="321" s="1"/>
  <c r="AA46" i="321" s="1"/>
  <c r="AA47" i="321" s="1"/>
  <c r="AA48" i="321" s="1"/>
  <c r="AA49" i="321" s="1"/>
  <c r="AA50" i="321" s="1"/>
  <c r="AA51" i="321" s="1"/>
  <c r="AA52" i="321" s="1"/>
  <c r="AA53" i="321" s="1"/>
  <c r="AA54" i="321" s="1"/>
  <c r="AA55" i="321" s="1"/>
  <c r="AA56" i="321" s="1"/>
  <c r="AA57" i="321" s="1"/>
  <c r="AA58" i="321" s="1"/>
  <c r="AA59" i="321" s="1"/>
  <c r="AA60" i="321" s="1"/>
  <c r="AA61" i="321" s="1"/>
  <c r="AA62" i="321" s="1"/>
  <c r="AA63" i="321" s="1"/>
  <c r="AA64" i="321" s="1"/>
  <c r="AA65" i="321" s="1"/>
  <c r="AA66" i="321" s="1"/>
  <c r="AA67" i="321" s="1"/>
  <c r="AA68" i="321" s="1"/>
  <c r="AA69" i="321" s="1"/>
  <c r="AA70" i="321" s="1"/>
  <c r="AA71" i="321" s="1"/>
  <c r="AA72" i="321" s="1"/>
  <c r="AA73" i="321" s="1"/>
  <c r="AA74" i="321" s="1"/>
  <c r="AA75" i="321" s="1"/>
  <c r="AA76" i="321" s="1"/>
  <c r="AA77" i="321" s="1"/>
  <c r="AA78" i="321" s="1"/>
  <c r="AA79" i="321" s="1"/>
  <c r="AA80" i="321" s="1"/>
  <c r="AA81" i="321" s="1"/>
  <c r="AA82" i="321" s="1"/>
  <c r="AA83" i="321" s="1"/>
  <c r="AA84" i="321" s="1"/>
  <c r="AA85" i="321" s="1"/>
  <c r="AA86" i="321" s="1"/>
  <c r="AA87" i="321" s="1"/>
  <c r="AA88" i="321" s="1"/>
  <c r="AA89" i="321" s="1"/>
  <c r="AA90" i="321" s="1"/>
  <c r="AA91" i="321" s="1"/>
  <c r="AA92" i="321" s="1"/>
  <c r="AA93" i="321" s="1"/>
  <c r="AA94" i="321" s="1"/>
  <c r="AA95" i="321" s="1"/>
  <c r="AA96" i="321" s="1"/>
  <c r="AA97" i="321" s="1"/>
  <c r="AA98" i="321" s="1"/>
  <c r="AA99" i="321" s="1"/>
  <c r="AA100" i="321" s="1"/>
  <c r="AA101" i="321" s="1"/>
  <c r="AA102" i="321" s="1"/>
  <c r="AA103" i="321" s="1"/>
  <c r="AA104" i="321" s="1"/>
  <c r="Z5" i="321"/>
  <c r="Z6" i="321" s="1"/>
  <c r="Z7" i="321" s="1"/>
  <c r="Z8" i="321" s="1"/>
  <c r="Z9" i="321" s="1"/>
  <c r="Z10" i="321" s="1"/>
  <c r="Z11" i="321" s="1"/>
  <c r="Z12" i="321" s="1"/>
  <c r="Z13" i="321" s="1"/>
  <c r="Z14" i="321" s="1"/>
  <c r="Z15" i="321" s="1"/>
  <c r="Z16" i="321" s="1"/>
  <c r="Z17" i="321" s="1"/>
  <c r="Z18" i="321" s="1"/>
  <c r="Z19" i="321" s="1"/>
  <c r="Z20" i="321" s="1"/>
  <c r="Z21" i="321" s="1"/>
  <c r="Z22" i="321" s="1"/>
  <c r="Z23" i="321" s="1"/>
  <c r="Z24" i="321" s="1"/>
  <c r="Z25" i="321" s="1"/>
  <c r="Z26" i="321" s="1"/>
  <c r="Z27" i="321" s="1"/>
  <c r="Z28" i="321" s="1"/>
  <c r="Z29" i="321" s="1"/>
  <c r="Z30" i="321" s="1"/>
  <c r="Z31" i="321" s="1"/>
  <c r="Z32" i="321" s="1"/>
  <c r="Z33" i="321" s="1"/>
  <c r="Z34" i="321" s="1"/>
  <c r="Z35" i="321" s="1"/>
  <c r="Z36" i="321" s="1"/>
  <c r="Z37" i="321" s="1"/>
  <c r="Z38" i="321" s="1"/>
  <c r="Z39" i="321" s="1"/>
  <c r="Z40" i="321" s="1"/>
  <c r="Z41" i="321" s="1"/>
  <c r="Z42" i="321" s="1"/>
  <c r="Z43" i="321" s="1"/>
  <c r="Z44" i="321" s="1"/>
  <c r="Z45" i="321" s="1"/>
  <c r="Z46" i="321" s="1"/>
  <c r="Z47" i="321" s="1"/>
  <c r="Z48" i="321" s="1"/>
  <c r="Z49" i="321" s="1"/>
  <c r="Z50" i="321" s="1"/>
  <c r="Z51" i="321" s="1"/>
  <c r="Z52" i="321" s="1"/>
  <c r="Z53" i="321" s="1"/>
  <c r="Z54" i="321" s="1"/>
  <c r="Z55" i="321" s="1"/>
  <c r="Z56" i="321" s="1"/>
  <c r="Z57" i="321" s="1"/>
  <c r="Z58" i="321" s="1"/>
  <c r="Z59" i="321" s="1"/>
  <c r="Z60" i="321" s="1"/>
  <c r="Z61" i="321" s="1"/>
  <c r="Z62" i="321" s="1"/>
  <c r="Z63" i="321" s="1"/>
  <c r="Z64" i="321" s="1"/>
  <c r="Z65" i="321" s="1"/>
  <c r="Z66" i="321" s="1"/>
  <c r="Z67" i="321" s="1"/>
  <c r="Z68" i="321" s="1"/>
  <c r="Z69" i="321" s="1"/>
  <c r="Z70" i="321" s="1"/>
  <c r="Z71" i="321" s="1"/>
  <c r="Z72" i="321" s="1"/>
  <c r="Z73" i="321" s="1"/>
  <c r="Z74" i="321" s="1"/>
  <c r="Z75" i="321" s="1"/>
  <c r="Z76" i="321" s="1"/>
  <c r="Z77" i="321" s="1"/>
  <c r="Z78" i="321" s="1"/>
  <c r="Z79" i="321" s="1"/>
  <c r="Z80" i="321" s="1"/>
  <c r="Z81" i="321" s="1"/>
  <c r="Z82" i="321" s="1"/>
  <c r="Z83" i="321" s="1"/>
  <c r="Z84" i="321" s="1"/>
  <c r="Z85" i="321" s="1"/>
  <c r="Z86" i="321" s="1"/>
  <c r="Z87" i="321" s="1"/>
  <c r="Z88" i="321" s="1"/>
  <c r="Z89" i="321" s="1"/>
  <c r="Z90" i="321" s="1"/>
  <c r="Z91" i="321" s="1"/>
  <c r="Z92" i="321" s="1"/>
  <c r="Z93" i="321" s="1"/>
  <c r="Z94" i="321" s="1"/>
  <c r="Z95" i="321" s="1"/>
  <c r="Z96" i="321" s="1"/>
  <c r="Z97" i="321" s="1"/>
  <c r="Z98" i="321" s="1"/>
  <c r="Z99" i="321" s="1"/>
  <c r="Z100" i="321" s="1"/>
  <c r="Z101" i="321" s="1"/>
  <c r="Z102" i="321" s="1"/>
  <c r="Z103" i="321" s="1"/>
  <c r="Z104" i="321" s="1"/>
  <c r="Y5" i="321"/>
  <c r="Y6" i="321" s="1"/>
  <c r="Y7" i="321" s="1"/>
  <c r="Y8" i="321" s="1"/>
  <c r="Y9" i="321" s="1"/>
  <c r="Y10" i="321" s="1"/>
  <c r="Y11" i="321" s="1"/>
  <c r="Y12" i="321" s="1"/>
  <c r="Y13" i="321" s="1"/>
  <c r="Y14" i="321" s="1"/>
  <c r="Y15" i="321" s="1"/>
  <c r="Y16" i="321" s="1"/>
  <c r="Y17" i="321" s="1"/>
  <c r="Y18" i="321" s="1"/>
  <c r="Y19" i="321" s="1"/>
  <c r="Y20" i="321" s="1"/>
  <c r="Y21" i="321" s="1"/>
  <c r="Y22" i="321" s="1"/>
  <c r="Y23" i="321" s="1"/>
  <c r="Y24" i="321" s="1"/>
  <c r="Y25" i="321" s="1"/>
  <c r="Y26" i="321" s="1"/>
  <c r="Y27" i="321" s="1"/>
  <c r="Y28" i="321" s="1"/>
  <c r="Y29" i="321" s="1"/>
  <c r="Y30" i="321" s="1"/>
  <c r="Y31" i="321" s="1"/>
  <c r="Y32" i="321" s="1"/>
  <c r="Y33" i="321" s="1"/>
  <c r="Y34" i="321" s="1"/>
  <c r="Y35" i="321" s="1"/>
  <c r="Y36" i="321" s="1"/>
  <c r="Y37" i="321" s="1"/>
  <c r="Y38" i="321" s="1"/>
  <c r="Y39" i="321" s="1"/>
  <c r="Y40" i="321" s="1"/>
  <c r="Y41" i="321" s="1"/>
  <c r="Y42" i="321" s="1"/>
  <c r="Y43" i="321" s="1"/>
  <c r="Y44" i="321" s="1"/>
  <c r="Y45" i="321" s="1"/>
  <c r="Y46" i="321" s="1"/>
  <c r="Y47" i="321" s="1"/>
  <c r="Y48" i="321" s="1"/>
  <c r="Y49" i="321" s="1"/>
  <c r="Y50" i="321" s="1"/>
  <c r="Y51" i="321" s="1"/>
  <c r="Y52" i="321" s="1"/>
  <c r="Y53" i="321" s="1"/>
  <c r="Y54" i="321" s="1"/>
  <c r="Y55" i="321" s="1"/>
  <c r="Y56" i="321" s="1"/>
  <c r="Y57" i="321" s="1"/>
  <c r="Y58" i="321" s="1"/>
  <c r="Y59" i="321" s="1"/>
  <c r="Y60" i="321" s="1"/>
  <c r="Y61" i="321" s="1"/>
  <c r="Y62" i="321" s="1"/>
  <c r="Y63" i="321" s="1"/>
  <c r="Y64" i="321" s="1"/>
  <c r="Y65" i="321" s="1"/>
  <c r="Y66" i="321" s="1"/>
  <c r="Y67" i="321" s="1"/>
  <c r="Y68" i="321" s="1"/>
  <c r="Y69" i="321" s="1"/>
  <c r="Y70" i="321" s="1"/>
  <c r="Y71" i="321" s="1"/>
  <c r="Y72" i="321" s="1"/>
  <c r="Y73" i="321" s="1"/>
  <c r="Y74" i="321" s="1"/>
  <c r="Y75" i="321" s="1"/>
  <c r="Y76" i="321" s="1"/>
  <c r="Y77" i="321" s="1"/>
  <c r="Y78" i="321" s="1"/>
  <c r="Y79" i="321" s="1"/>
  <c r="Y80" i="321" s="1"/>
  <c r="Y81" i="321" s="1"/>
  <c r="Y82" i="321" s="1"/>
  <c r="Y83" i="321" s="1"/>
  <c r="Y84" i="321" s="1"/>
  <c r="Y85" i="321" s="1"/>
  <c r="Y86" i="321" s="1"/>
  <c r="Y87" i="321" s="1"/>
  <c r="Y88" i="321" s="1"/>
  <c r="Y89" i="321" s="1"/>
  <c r="Y90" i="321" s="1"/>
  <c r="Y91" i="321" s="1"/>
  <c r="Y92" i="321" s="1"/>
  <c r="Y93" i="321" s="1"/>
  <c r="Y94" i="321" s="1"/>
  <c r="Y95" i="321" s="1"/>
  <c r="Y96" i="321" s="1"/>
  <c r="Y97" i="321" s="1"/>
  <c r="Y98" i="321" s="1"/>
  <c r="Y99" i="321" s="1"/>
  <c r="Y100" i="321" s="1"/>
  <c r="Y101" i="321" s="1"/>
  <c r="Y102" i="321" s="1"/>
  <c r="Y103" i="321" s="1"/>
  <c r="Y104" i="321" s="1"/>
  <c r="X5" i="321"/>
  <c r="X6" i="321" s="1"/>
  <c r="X7" i="321" s="1"/>
  <c r="X8" i="321" s="1"/>
  <c r="X9" i="321" s="1"/>
  <c r="X10" i="321" s="1"/>
  <c r="X11" i="321" s="1"/>
  <c r="X12" i="321" s="1"/>
  <c r="X13" i="321" s="1"/>
  <c r="X14" i="321" s="1"/>
  <c r="X15" i="321" s="1"/>
  <c r="X16" i="321" s="1"/>
  <c r="X17" i="321" s="1"/>
  <c r="X18" i="321" s="1"/>
  <c r="X19" i="321" s="1"/>
  <c r="X20" i="321" s="1"/>
  <c r="X21" i="321" s="1"/>
  <c r="X22" i="321" s="1"/>
  <c r="X23" i="321" s="1"/>
  <c r="X24" i="321" s="1"/>
  <c r="X25" i="321" s="1"/>
  <c r="X26" i="321" s="1"/>
  <c r="X27" i="321" s="1"/>
  <c r="X28" i="321" s="1"/>
  <c r="X29" i="321" s="1"/>
  <c r="X30" i="321" s="1"/>
  <c r="X31" i="321" s="1"/>
  <c r="X32" i="321" s="1"/>
  <c r="X33" i="321" s="1"/>
  <c r="X34" i="321" s="1"/>
  <c r="X35" i="321" s="1"/>
  <c r="X36" i="321" s="1"/>
  <c r="X37" i="321" s="1"/>
  <c r="X38" i="321" s="1"/>
  <c r="X39" i="321" s="1"/>
  <c r="X40" i="321" s="1"/>
  <c r="X41" i="321" s="1"/>
  <c r="X42" i="321" s="1"/>
  <c r="X43" i="321" s="1"/>
  <c r="X44" i="321" s="1"/>
  <c r="X45" i="321" s="1"/>
  <c r="X46" i="321" s="1"/>
  <c r="X47" i="321" s="1"/>
  <c r="X48" i="321" s="1"/>
  <c r="X49" i="321" s="1"/>
  <c r="X50" i="321" s="1"/>
  <c r="X51" i="321" s="1"/>
  <c r="X52" i="321" s="1"/>
  <c r="X53" i="321" s="1"/>
  <c r="X54" i="321" s="1"/>
  <c r="X55" i="321" s="1"/>
  <c r="X56" i="321" s="1"/>
  <c r="X57" i="321" s="1"/>
  <c r="X58" i="321" s="1"/>
  <c r="X59" i="321" s="1"/>
  <c r="X60" i="321" s="1"/>
  <c r="X61" i="321" s="1"/>
  <c r="X62" i="321" s="1"/>
  <c r="X63" i="321" s="1"/>
  <c r="X64" i="321" s="1"/>
  <c r="X65" i="321" s="1"/>
  <c r="X66" i="321" s="1"/>
  <c r="X67" i="321" s="1"/>
  <c r="X68" i="321" s="1"/>
  <c r="X69" i="321" s="1"/>
  <c r="X70" i="321" s="1"/>
  <c r="X71" i="321" s="1"/>
  <c r="X72" i="321" s="1"/>
  <c r="X73" i="321" s="1"/>
  <c r="X74" i="321" s="1"/>
  <c r="X75" i="321" s="1"/>
  <c r="X76" i="321" s="1"/>
  <c r="X77" i="321" s="1"/>
  <c r="X78" i="321" s="1"/>
  <c r="X79" i="321" s="1"/>
  <c r="X80" i="321" s="1"/>
  <c r="X81" i="321" s="1"/>
  <c r="X82" i="321" s="1"/>
  <c r="X83" i="321" s="1"/>
  <c r="X84" i="321" s="1"/>
  <c r="X85" i="321" s="1"/>
  <c r="X86" i="321" s="1"/>
  <c r="X87" i="321" s="1"/>
  <c r="X88" i="321" s="1"/>
  <c r="X89" i="321" s="1"/>
  <c r="X90" i="321" s="1"/>
  <c r="X91" i="321" s="1"/>
  <c r="X92" i="321" s="1"/>
  <c r="X93" i="321" s="1"/>
  <c r="X94" i="321" s="1"/>
  <c r="X95" i="321" s="1"/>
  <c r="X96" i="321" s="1"/>
  <c r="X97" i="321" s="1"/>
  <c r="X98" i="321" s="1"/>
  <c r="X99" i="321" s="1"/>
  <c r="X100" i="321" s="1"/>
  <c r="X101" i="321" s="1"/>
  <c r="X102" i="321" s="1"/>
  <c r="X103" i="321" s="1"/>
  <c r="X104" i="321" s="1"/>
  <c r="W5" i="321"/>
  <c r="W6" i="321" s="1"/>
  <c r="W7" i="321" s="1"/>
  <c r="W8" i="321" s="1"/>
  <c r="W9" i="321" s="1"/>
  <c r="W10" i="321" s="1"/>
  <c r="W11" i="321" s="1"/>
  <c r="W12" i="321" s="1"/>
  <c r="W13" i="321" s="1"/>
  <c r="W14" i="321" s="1"/>
  <c r="W15" i="321" s="1"/>
  <c r="W16" i="321" s="1"/>
  <c r="W17" i="321" s="1"/>
  <c r="W18" i="321" s="1"/>
  <c r="W19" i="321" s="1"/>
  <c r="W20" i="321" s="1"/>
  <c r="W21" i="321" s="1"/>
  <c r="W22" i="321" s="1"/>
  <c r="W23" i="321" s="1"/>
  <c r="W24" i="321" s="1"/>
  <c r="W25" i="321" s="1"/>
  <c r="W26" i="321" s="1"/>
  <c r="W27" i="321" s="1"/>
  <c r="W28" i="321" s="1"/>
  <c r="W29" i="321" s="1"/>
  <c r="W30" i="321" s="1"/>
  <c r="W31" i="321" s="1"/>
  <c r="W32" i="321" s="1"/>
  <c r="W33" i="321" s="1"/>
  <c r="W34" i="321" s="1"/>
  <c r="W35" i="321" s="1"/>
  <c r="W36" i="321" s="1"/>
  <c r="W37" i="321" s="1"/>
  <c r="W38" i="321" s="1"/>
  <c r="W39" i="321" s="1"/>
  <c r="W40" i="321" s="1"/>
  <c r="W41" i="321" s="1"/>
  <c r="W42" i="321" s="1"/>
  <c r="W43" i="321" s="1"/>
  <c r="W44" i="321" s="1"/>
  <c r="W45" i="321" s="1"/>
  <c r="W46" i="321" s="1"/>
  <c r="W47" i="321" s="1"/>
  <c r="W48" i="321" s="1"/>
  <c r="W49" i="321" s="1"/>
  <c r="W50" i="321" s="1"/>
  <c r="W51" i="321" s="1"/>
  <c r="W52" i="321" s="1"/>
  <c r="W53" i="321" s="1"/>
  <c r="W54" i="321" s="1"/>
  <c r="W55" i="321" s="1"/>
  <c r="W56" i="321" s="1"/>
  <c r="W57" i="321" s="1"/>
  <c r="W58" i="321" s="1"/>
  <c r="W59" i="321" s="1"/>
  <c r="W60" i="321" s="1"/>
  <c r="W61" i="321" s="1"/>
  <c r="W62" i="321" s="1"/>
  <c r="W63" i="321" s="1"/>
  <c r="W64" i="321" s="1"/>
  <c r="W65" i="321" s="1"/>
  <c r="W66" i="321" s="1"/>
  <c r="W67" i="321" s="1"/>
  <c r="W68" i="321" s="1"/>
  <c r="W69" i="321" s="1"/>
  <c r="W70" i="321" s="1"/>
  <c r="W71" i="321" s="1"/>
  <c r="W72" i="321" s="1"/>
  <c r="W73" i="321" s="1"/>
  <c r="W74" i="321" s="1"/>
  <c r="W75" i="321" s="1"/>
  <c r="W76" i="321" s="1"/>
  <c r="W77" i="321" s="1"/>
  <c r="W78" i="321" s="1"/>
  <c r="W79" i="321" s="1"/>
  <c r="W80" i="321" s="1"/>
  <c r="W81" i="321" s="1"/>
  <c r="W82" i="321" s="1"/>
  <c r="W83" i="321" s="1"/>
  <c r="W84" i="321" s="1"/>
  <c r="W85" i="321" s="1"/>
  <c r="W86" i="321" s="1"/>
  <c r="W87" i="321" s="1"/>
  <c r="W88" i="321" s="1"/>
  <c r="W89" i="321" s="1"/>
  <c r="W90" i="321" s="1"/>
  <c r="W91" i="321" s="1"/>
  <c r="W92" i="321" s="1"/>
  <c r="W93" i="321" s="1"/>
  <c r="W94" i="321" s="1"/>
  <c r="W95" i="321" s="1"/>
  <c r="W96" i="321" s="1"/>
  <c r="W97" i="321" s="1"/>
  <c r="W98" i="321" s="1"/>
  <c r="W99" i="321" s="1"/>
  <c r="W100" i="321" s="1"/>
  <c r="W101" i="321" s="1"/>
  <c r="W102" i="321" s="1"/>
  <c r="W103" i="321" s="1"/>
  <c r="W104" i="321" s="1"/>
  <c r="V5" i="321"/>
  <c r="V6" i="321" s="1"/>
  <c r="V7" i="321" s="1"/>
  <c r="V8" i="321" s="1"/>
  <c r="V9" i="321" s="1"/>
  <c r="V10" i="321" s="1"/>
  <c r="V11" i="321" s="1"/>
  <c r="V12" i="321" s="1"/>
  <c r="V13" i="321" s="1"/>
  <c r="V14" i="321" s="1"/>
  <c r="V15" i="321" s="1"/>
  <c r="V16" i="321" s="1"/>
  <c r="V17" i="321" s="1"/>
  <c r="V18" i="321" s="1"/>
  <c r="V19" i="321" s="1"/>
  <c r="V20" i="321" s="1"/>
  <c r="V21" i="321" s="1"/>
  <c r="V22" i="321" s="1"/>
  <c r="V23" i="321" s="1"/>
  <c r="V24" i="321" s="1"/>
  <c r="V25" i="321" s="1"/>
  <c r="V26" i="321" s="1"/>
  <c r="V27" i="321" s="1"/>
  <c r="V28" i="321" s="1"/>
  <c r="V29" i="321" s="1"/>
  <c r="V30" i="321" s="1"/>
  <c r="V31" i="321" s="1"/>
  <c r="V32" i="321" s="1"/>
  <c r="V33" i="321" s="1"/>
  <c r="V34" i="321" s="1"/>
  <c r="V35" i="321" s="1"/>
  <c r="V36" i="321" s="1"/>
  <c r="V37" i="321" s="1"/>
  <c r="V38" i="321" s="1"/>
  <c r="V39" i="321" s="1"/>
  <c r="V40" i="321" s="1"/>
  <c r="V41" i="321" s="1"/>
  <c r="V42" i="321" s="1"/>
  <c r="V43" i="321" s="1"/>
  <c r="V44" i="321" s="1"/>
  <c r="V45" i="321" s="1"/>
  <c r="V46" i="321" s="1"/>
  <c r="V47" i="321" s="1"/>
  <c r="V48" i="321" s="1"/>
  <c r="V49" i="321" s="1"/>
  <c r="V50" i="321" s="1"/>
  <c r="V51" i="321" s="1"/>
  <c r="V52" i="321" s="1"/>
  <c r="V53" i="321" s="1"/>
  <c r="V54" i="321" s="1"/>
  <c r="V55" i="321" s="1"/>
  <c r="V56" i="321" s="1"/>
  <c r="V57" i="321" s="1"/>
  <c r="V58" i="321" s="1"/>
  <c r="V59" i="321" s="1"/>
  <c r="V60" i="321" s="1"/>
  <c r="V61" i="321" s="1"/>
  <c r="V62" i="321" s="1"/>
  <c r="V63" i="321" s="1"/>
  <c r="V64" i="321" s="1"/>
  <c r="V65" i="321" s="1"/>
  <c r="V66" i="321" s="1"/>
  <c r="V67" i="321" s="1"/>
  <c r="V68" i="321" s="1"/>
  <c r="V69" i="321" s="1"/>
  <c r="V70" i="321" s="1"/>
  <c r="V71" i="321" s="1"/>
  <c r="V72" i="321" s="1"/>
  <c r="V73" i="321" s="1"/>
  <c r="V74" i="321" s="1"/>
  <c r="V75" i="321" s="1"/>
  <c r="V76" i="321" s="1"/>
  <c r="V77" i="321" s="1"/>
  <c r="V78" i="321" s="1"/>
  <c r="V79" i="321" s="1"/>
  <c r="V80" i="321" s="1"/>
  <c r="V81" i="321" s="1"/>
  <c r="V82" i="321" s="1"/>
  <c r="V83" i="321" s="1"/>
  <c r="V84" i="321" s="1"/>
  <c r="V85" i="321" s="1"/>
  <c r="V86" i="321" s="1"/>
  <c r="V87" i="321" s="1"/>
  <c r="V88" i="321" s="1"/>
  <c r="V89" i="321" s="1"/>
  <c r="V90" i="321" s="1"/>
  <c r="V91" i="321" s="1"/>
  <c r="V92" i="321" s="1"/>
  <c r="V93" i="321" s="1"/>
  <c r="V94" i="321" s="1"/>
  <c r="V95" i="321" s="1"/>
  <c r="V96" i="321" s="1"/>
  <c r="V97" i="321" s="1"/>
  <c r="V98" i="321" s="1"/>
  <c r="V99" i="321" s="1"/>
  <c r="V100" i="321" s="1"/>
  <c r="V101" i="321" s="1"/>
  <c r="V102" i="321" s="1"/>
  <c r="V103" i="321" s="1"/>
  <c r="V104" i="321" s="1"/>
  <c r="U5" i="321"/>
  <c r="U6" i="321" s="1"/>
  <c r="U7" i="321" s="1"/>
  <c r="U8" i="321" s="1"/>
  <c r="U9" i="321" s="1"/>
  <c r="U10" i="321" s="1"/>
  <c r="U11" i="321" s="1"/>
  <c r="U12" i="321" s="1"/>
  <c r="U13" i="321" s="1"/>
  <c r="U14" i="321" s="1"/>
  <c r="U15" i="321" s="1"/>
  <c r="U16" i="321" s="1"/>
  <c r="U17" i="321" s="1"/>
  <c r="U18" i="321" s="1"/>
  <c r="U19" i="321" s="1"/>
  <c r="U20" i="321" s="1"/>
  <c r="U21" i="321" s="1"/>
  <c r="U22" i="321" s="1"/>
  <c r="U23" i="321" s="1"/>
  <c r="U24" i="321" s="1"/>
  <c r="U25" i="321" s="1"/>
  <c r="U26" i="321" s="1"/>
  <c r="U27" i="321" s="1"/>
  <c r="U28" i="321" s="1"/>
  <c r="U29" i="321" s="1"/>
  <c r="U30" i="321" s="1"/>
  <c r="U31" i="321" s="1"/>
  <c r="U32" i="321" s="1"/>
  <c r="U33" i="321" s="1"/>
  <c r="U34" i="321" s="1"/>
  <c r="U35" i="321" s="1"/>
  <c r="U36" i="321" s="1"/>
  <c r="U37" i="321" s="1"/>
  <c r="U38" i="321" s="1"/>
  <c r="U39" i="321" s="1"/>
  <c r="U40" i="321" s="1"/>
  <c r="U41" i="321" s="1"/>
  <c r="U42" i="321" s="1"/>
  <c r="U43" i="321" s="1"/>
  <c r="U44" i="321" s="1"/>
  <c r="U45" i="321" s="1"/>
  <c r="U46" i="321" s="1"/>
  <c r="U47" i="321" s="1"/>
  <c r="U48" i="321" s="1"/>
  <c r="U49" i="321" s="1"/>
  <c r="U50" i="321" s="1"/>
  <c r="U51" i="321" s="1"/>
  <c r="U52" i="321" s="1"/>
  <c r="U53" i="321" s="1"/>
  <c r="U54" i="321" s="1"/>
  <c r="U55" i="321" s="1"/>
  <c r="U56" i="321" s="1"/>
  <c r="U57" i="321" s="1"/>
  <c r="U58" i="321" s="1"/>
  <c r="U59" i="321" s="1"/>
  <c r="U60" i="321" s="1"/>
  <c r="U61" i="321" s="1"/>
  <c r="U62" i="321" s="1"/>
  <c r="U63" i="321" s="1"/>
  <c r="U64" i="321" s="1"/>
  <c r="U65" i="321" s="1"/>
  <c r="U66" i="321" s="1"/>
  <c r="U67" i="321" s="1"/>
  <c r="U68" i="321" s="1"/>
  <c r="U69" i="321" s="1"/>
  <c r="U70" i="321" s="1"/>
  <c r="U71" i="321" s="1"/>
  <c r="U72" i="321" s="1"/>
  <c r="U73" i="321" s="1"/>
  <c r="U74" i="321" s="1"/>
  <c r="U75" i="321" s="1"/>
  <c r="U76" i="321" s="1"/>
  <c r="U77" i="321" s="1"/>
  <c r="U78" i="321" s="1"/>
  <c r="U79" i="321" s="1"/>
  <c r="U80" i="321" s="1"/>
  <c r="U81" i="321" s="1"/>
  <c r="U82" i="321" s="1"/>
  <c r="U83" i="321" s="1"/>
  <c r="U84" i="321" s="1"/>
  <c r="U85" i="321" s="1"/>
  <c r="U86" i="321" s="1"/>
  <c r="U87" i="321" s="1"/>
  <c r="U88" i="321" s="1"/>
  <c r="U89" i="321" s="1"/>
  <c r="U90" i="321" s="1"/>
  <c r="U91" i="321" s="1"/>
  <c r="U92" i="321" s="1"/>
  <c r="U93" i="321" s="1"/>
  <c r="U94" i="321" s="1"/>
  <c r="U95" i="321" s="1"/>
  <c r="U96" i="321" s="1"/>
  <c r="U97" i="321" s="1"/>
  <c r="U98" i="321" s="1"/>
  <c r="U99" i="321" s="1"/>
  <c r="U100" i="321" s="1"/>
  <c r="U101" i="321" s="1"/>
  <c r="U102" i="321" s="1"/>
  <c r="U103" i="321" s="1"/>
  <c r="U104" i="321" s="1"/>
  <c r="T5" i="321"/>
  <c r="T6" i="321" s="1"/>
  <c r="T7" i="321" s="1"/>
  <c r="T8" i="321" s="1"/>
  <c r="T9" i="321" s="1"/>
  <c r="T10" i="321" s="1"/>
  <c r="T11" i="321" s="1"/>
  <c r="T12" i="321" s="1"/>
  <c r="T13" i="321" s="1"/>
  <c r="T14" i="321" s="1"/>
  <c r="T15" i="321" s="1"/>
  <c r="T16" i="321" s="1"/>
  <c r="T17" i="321" s="1"/>
  <c r="T18" i="321" s="1"/>
  <c r="T19" i="321" s="1"/>
  <c r="T20" i="321" s="1"/>
  <c r="T21" i="321" s="1"/>
  <c r="T22" i="321" s="1"/>
  <c r="T23" i="321" s="1"/>
  <c r="T24" i="321" s="1"/>
  <c r="T25" i="321" s="1"/>
  <c r="T26" i="321" s="1"/>
  <c r="T27" i="321" s="1"/>
  <c r="T28" i="321" s="1"/>
  <c r="T29" i="321" s="1"/>
  <c r="T30" i="321" s="1"/>
  <c r="T31" i="321" s="1"/>
  <c r="T32" i="321" s="1"/>
  <c r="T33" i="321" s="1"/>
  <c r="T34" i="321" s="1"/>
  <c r="T35" i="321" s="1"/>
  <c r="T36" i="321" s="1"/>
  <c r="T37" i="321" s="1"/>
  <c r="T38" i="321" s="1"/>
  <c r="T39" i="321" s="1"/>
  <c r="T40" i="321" s="1"/>
  <c r="T41" i="321" s="1"/>
  <c r="T42" i="321" s="1"/>
  <c r="T43" i="321" s="1"/>
  <c r="T44" i="321" s="1"/>
  <c r="T45" i="321" s="1"/>
  <c r="T46" i="321" s="1"/>
  <c r="T47" i="321" s="1"/>
  <c r="T48" i="321" s="1"/>
  <c r="T49" i="321" s="1"/>
  <c r="T50" i="321" s="1"/>
  <c r="T51" i="321" s="1"/>
  <c r="T52" i="321" s="1"/>
  <c r="T53" i="321" s="1"/>
  <c r="T54" i="321" s="1"/>
  <c r="T55" i="321" s="1"/>
  <c r="T56" i="321" s="1"/>
  <c r="T57" i="321" s="1"/>
  <c r="T58" i="321" s="1"/>
  <c r="T59" i="321" s="1"/>
  <c r="T60" i="321" s="1"/>
  <c r="T61" i="321" s="1"/>
  <c r="T62" i="321" s="1"/>
  <c r="T63" i="321" s="1"/>
  <c r="T64" i="321" s="1"/>
  <c r="T65" i="321" s="1"/>
  <c r="T66" i="321" s="1"/>
  <c r="T67" i="321" s="1"/>
  <c r="T68" i="321" s="1"/>
  <c r="T69" i="321" s="1"/>
  <c r="T70" i="321" s="1"/>
  <c r="T71" i="321" s="1"/>
  <c r="T72" i="321" s="1"/>
  <c r="T73" i="321" s="1"/>
  <c r="T74" i="321" s="1"/>
  <c r="T75" i="321" s="1"/>
  <c r="T76" i="321" s="1"/>
  <c r="T77" i="321" s="1"/>
  <c r="T78" i="321" s="1"/>
  <c r="T79" i="321" s="1"/>
  <c r="T80" i="321" s="1"/>
  <c r="T81" i="321" s="1"/>
  <c r="T82" i="321" s="1"/>
  <c r="T83" i="321" s="1"/>
  <c r="T84" i="321" s="1"/>
  <c r="T85" i="321" s="1"/>
  <c r="T86" i="321" s="1"/>
  <c r="T87" i="321" s="1"/>
  <c r="T88" i="321" s="1"/>
  <c r="T89" i="321" s="1"/>
  <c r="T90" i="321" s="1"/>
  <c r="T91" i="321" s="1"/>
  <c r="T92" i="321" s="1"/>
  <c r="T93" i="321" s="1"/>
  <c r="T94" i="321" s="1"/>
  <c r="T95" i="321" s="1"/>
  <c r="T96" i="321" s="1"/>
  <c r="T97" i="321" s="1"/>
  <c r="T98" i="321" s="1"/>
  <c r="T99" i="321" s="1"/>
  <c r="T100" i="321" s="1"/>
  <c r="T101" i="321" s="1"/>
  <c r="T102" i="321" s="1"/>
  <c r="T103" i="321" s="1"/>
  <c r="T104" i="321" s="1"/>
  <c r="S5" i="321"/>
  <c r="S6" i="321" s="1"/>
  <c r="S7" i="321" s="1"/>
  <c r="S8" i="321" s="1"/>
  <c r="S9" i="321" s="1"/>
  <c r="S10" i="321" s="1"/>
  <c r="S11" i="321" s="1"/>
  <c r="S12" i="321" s="1"/>
  <c r="S13" i="321" s="1"/>
  <c r="S14" i="321" s="1"/>
  <c r="S15" i="321" s="1"/>
  <c r="S16" i="321" s="1"/>
  <c r="S17" i="321" s="1"/>
  <c r="S18" i="321" s="1"/>
  <c r="S19" i="321" s="1"/>
  <c r="S20" i="321" s="1"/>
  <c r="S21" i="321" s="1"/>
  <c r="S22" i="321" s="1"/>
  <c r="S23" i="321" s="1"/>
  <c r="S24" i="321" s="1"/>
  <c r="S25" i="321" s="1"/>
  <c r="S26" i="321" s="1"/>
  <c r="S27" i="321" s="1"/>
  <c r="S28" i="321" s="1"/>
  <c r="S29" i="321" s="1"/>
  <c r="S30" i="321" s="1"/>
  <c r="S31" i="321" s="1"/>
  <c r="S32" i="321" s="1"/>
  <c r="S33" i="321" s="1"/>
  <c r="S34" i="321" s="1"/>
  <c r="S35" i="321" s="1"/>
  <c r="S36" i="321" s="1"/>
  <c r="S37" i="321" s="1"/>
  <c r="S38" i="321" s="1"/>
  <c r="S39" i="321" s="1"/>
  <c r="S40" i="321" s="1"/>
  <c r="S41" i="321" s="1"/>
  <c r="S42" i="321" s="1"/>
  <c r="S43" i="321" s="1"/>
  <c r="S44" i="321" s="1"/>
  <c r="S45" i="321" s="1"/>
  <c r="S46" i="321" s="1"/>
  <c r="S47" i="321" s="1"/>
  <c r="S48" i="321" s="1"/>
  <c r="S49" i="321" s="1"/>
  <c r="S50" i="321" s="1"/>
  <c r="S51" i="321" s="1"/>
  <c r="S52" i="321" s="1"/>
  <c r="S53" i="321" s="1"/>
  <c r="S54" i="321" s="1"/>
  <c r="S55" i="321" s="1"/>
  <c r="S56" i="321" s="1"/>
  <c r="S57" i="321" s="1"/>
  <c r="S58" i="321" s="1"/>
  <c r="S59" i="321" s="1"/>
  <c r="S60" i="321" s="1"/>
  <c r="S61" i="321" s="1"/>
  <c r="S62" i="321" s="1"/>
  <c r="S63" i="321" s="1"/>
  <c r="S64" i="321" s="1"/>
  <c r="S65" i="321" s="1"/>
  <c r="S66" i="321" s="1"/>
  <c r="S67" i="321" s="1"/>
  <c r="S68" i="321" s="1"/>
  <c r="S69" i="321" s="1"/>
  <c r="S70" i="321" s="1"/>
  <c r="S71" i="321" s="1"/>
  <c r="S72" i="321" s="1"/>
  <c r="S73" i="321" s="1"/>
  <c r="S74" i="321" s="1"/>
  <c r="S75" i="321" s="1"/>
  <c r="S76" i="321" s="1"/>
  <c r="S77" i="321" s="1"/>
  <c r="S78" i="321" s="1"/>
  <c r="S79" i="321" s="1"/>
  <c r="S80" i="321" s="1"/>
  <c r="S81" i="321" s="1"/>
  <c r="S82" i="321" s="1"/>
  <c r="S83" i="321" s="1"/>
  <c r="S84" i="321" s="1"/>
  <c r="S85" i="321" s="1"/>
  <c r="S86" i="321" s="1"/>
  <c r="S87" i="321" s="1"/>
  <c r="S88" i="321" s="1"/>
  <c r="S89" i="321" s="1"/>
  <c r="S90" i="321" s="1"/>
  <c r="S91" i="321" s="1"/>
  <c r="S92" i="321" s="1"/>
  <c r="S93" i="321" s="1"/>
  <c r="S94" i="321" s="1"/>
  <c r="S95" i="321" s="1"/>
  <c r="S96" i="321" s="1"/>
  <c r="S97" i="321" s="1"/>
  <c r="S98" i="321" s="1"/>
  <c r="S99" i="321" s="1"/>
  <c r="S100" i="321" s="1"/>
  <c r="S101" i="321" s="1"/>
  <c r="S102" i="321" s="1"/>
  <c r="S103" i="321" s="1"/>
  <c r="S104" i="321" s="1"/>
  <c r="R5" i="321"/>
  <c r="R6" i="321" s="1"/>
  <c r="R7" i="321" s="1"/>
  <c r="R8" i="321" s="1"/>
  <c r="R9" i="321" s="1"/>
  <c r="R10" i="321" s="1"/>
  <c r="R11" i="321" s="1"/>
  <c r="R12" i="321" s="1"/>
  <c r="R13" i="321" s="1"/>
  <c r="R14" i="321" s="1"/>
  <c r="R15" i="321" s="1"/>
  <c r="R16" i="321" s="1"/>
  <c r="R17" i="321" s="1"/>
  <c r="R18" i="321" s="1"/>
  <c r="R19" i="321" s="1"/>
  <c r="R20" i="321" s="1"/>
  <c r="R21" i="321" s="1"/>
  <c r="R22" i="321" s="1"/>
  <c r="R23" i="321" s="1"/>
  <c r="R24" i="321" s="1"/>
  <c r="R25" i="321" s="1"/>
  <c r="R26" i="321" s="1"/>
  <c r="R27" i="321" s="1"/>
  <c r="R28" i="321" s="1"/>
  <c r="R29" i="321" s="1"/>
  <c r="R30" i="321" s="1"/>
  <c r="R31" i="321" s="1"/>
  <c r="R32" i="321" s="1"/>
  <c r="R33" i="321" s="1"/>
  <c r="R34" i="321" s="1"/>
  <c r="R35" i="321" s="1"/>
  <c r="R36" i="321" s="1"/>
  <c r="R37" i="321" s="1"/>
  <c r="R38" i="321" s="1"/>
  <c r="R39" i="321" s="1"/>
  <c r="R40" i="321" s="1"/>
  <c r="R41" i="321" s="1"/>
  <c r="R42" i="321" s="1"/>
  <c r="R43" i="321" s="1"/>
  <c r="R44" i="321" s="1"/>
  <c r="R45" i="321" s="1"/>
  <c r="R46" i="321" s="1"/>
  <c r="R47" i="321" s="1"/>
  <c r="R48" i="321" s="1"/>
  <c r="R49" i="321" s="1"/>
  <c r="R50" i="321" s="1"/>
  <c r="R51" i="321" s="1"/>
  <c r="R52" i="321" s="1"/>
  <c r="R53" i="321" s="1"/>
  <c r="R54" i="321" s="1"/>
  <c r="R55" i="321" s="1"/>
  <c r="R56" i="321" s="1"/>
  <c r="R57" i="321" s="1"/>
  <c r="R58" i="321" s="1"/>
  <c r="R59" i="321" s="1"/>
  <c r="R60" i="321" s="1"/>
  <c r="R61" i="321" s="1"/>
  <c r="R62" i="321" s="1"/>
  <c r="R63" i="321" s="1"/>
  <c r="R64" i="321" s="1"/>
  <c r="R65" i="321" s="1"/>
  <c r="R66" i="321" s="1"/>
  <c r="R67" i="321" s="1"/>
  <c r="R68" i="321" s="1"/>
  <c r="R69" i="321" s="1"/>
  <c r="R70" i="321" s="1"/>
  <c r="R71" i="321" s="1"/>
  <c r="R72" i="321" s="1"/>
  <c r="R73" i="321" s="1"/>
  <c r="R74" i="321" s="1"/>
  <c r="R75" i="321" s="1"/>
  <c r="R76" i="321" s="1"/>
  <c r="R77" i="321" s="1"/>
  <c r="R78" i="321" s="1"/>
  <c r="R79" i="321" s="1"/>
  <c r="R80" i="321" s="1"/>
  <c r="R81" i="321" s="1"/>
  <c r="R82" i="321" s="1"/>
  <c r="R83" i="321" s="1"/>
  <c r="R84" i="321" s="1"/>
  <c r="R85" i="321" s="1"/>
  <c r="R86" i="321" s="1"/>
  <c r="R87" i="321" s="1"/>
  <c r="R88" i="321" s="1"/>
  <c r="R89" i="321" s="1"/>
  <c r="R90" i="321" s="1"/>
  <c r="R91" i="321" s="1"/>
  <c r="R92" i="321" s="1"/>
  <c r="R93" i="321" s="1"/>
  <c r="R94" i="321" s="1"/>
  <c r="R95" i="321" s="1"/>
  <c r="R96" i="321" s="1"/>
  <c r="R97" i="321" s="1"/>
  <c r="R98" i="321" s="1"/>
  <c r="R99" i="321" s="1"/>
  <c r="R100" i="321" s="1"/>
  <c r="R101" i="321" s="1"/>
  <c r="R102" i="321" s="1"/>
  <c r="R103" i="321" s="1"/>
  <c r="R104" i="321" s="1"/>
  <c r="AF4" i="321"/>
  <c r="AE4" i="321"/>
  <c r="AD4" i="321"/>
  <c r="AC4" i="321"/>
  <c r="AB4" i="321"/>
  <c r="AA4" i="321"/>
  <c r="Z4" i="321"/>
  <c r="Y4" i="321"/>
  <c r="X4" i="321"/>
  <c r="W4" i="321"/>
  <c r="V4" i="321"/>
  <c r="U4" i="321"/>
  <c r="T4" i="321"/>
  <c r="S4" i="321"/>
  <c r="R4" i="321"/>
  <c r="K44" i="318"/>
  <c r="K45" i="318" s="1"/>
  <c r="J44" i="318"/>
  <c r="J45" i="318" s="1"/>
  <c r="J46" i="318" s="1"/>
  <c r="I44" i="318"/>
  <c r="I45" i="318" s="1"/>
  <c r="H44" i="318"/>
  <c r="H45" i="318" s="1"/>
  <c r="H46" i="318" s="1"/>
  <c r="H48" i="318" s="1"/>
  <c r="H49" i="318" s="1"/>
  <c r="H51" i="318" s="1"/>
  <c r="H53" i="318" s="1"/>
  <c r="G44" i="318"/>
  <c r="G45" i="318" s="1"/>
  <c r="G46" i="318" s="1"/>
  <c r="G48" i="318" s="1"/>
  <c r="G49" i="318" s="1"/>
  <c r="G51" i="318" s="1"/>
  <c r="G53" i="318" s="1"/>
  <c r="F44" i="318"/>
  <c r="F45" i="318" s="1"/>
  <c r="E44" i="318"/>
  <c r="E45" i="318" s="1"/>
  <c r="E46" i="318" s="1"/>
  <c r="D44" i="318"/>
  <c r="D45" i="318" s="1"/>
  <c r="C44" i="318"/>
  <c r="C45" i="318" s="1"/>
  <c r="C46" i="318" s="1"/>
  <c r="C48" i="318" s="1"/>
  <c r="C49" i="318" s="1"/>
  <c r="C51" i="318" s="1"/>
  <c r="C53" i="318" s="1"/>
  <c r="B44" i="318"/>
  <c r="K43" i="318"/>
  <c r="J43" i="318"/>
  <c r="I43" i="318"/>
  <c r="H43" i="318"/>
  <c r="G43" i="318"/>
  <c r="F43" i="318"/>
  <c r="E43" i="318"/>
  <c r="D43" i="318"/>
  <c r="C43" i="318"/>
  <c r="B43" i="318"/>
  <c r="C36" i="318"/>
  <c r="B36" i="318"/>
  <c r="C35" i="318"/>
  <c r="B35" i="318"/>
  <c r="C34" i="318"/>
  <c r="B34" i="318"/>
  <c r="C33" i="318"/>
  <c r="B33" i="318"/>
  <c r="C32" i="318"/>
  <c r="B32" i="318"/>
  <c r="D32" i="318" s="1"/>
  <c r="C31" i="318"/>
  <c r="B31" i="318"/>
  <c r="C30" i="318"/>
  <c r="B30" i="318"/>
  <c r="C29" i="318"/>
  <c r="B29" i="318"/>
  <c r="J17" i="318"/>
  <c r="F17" i="318"/>
  <c r="C17" i="318"/>
  <c r="J16" i="318"/>
  <c r="F16" i="318"/>
  <c r="C16" i="318"/>
  <c r="J15" i="318"/>
  <c r="F15" i="318"/>
  <c r="C7" i="318"/>
  <c r="B7" i="318"/>
  <c r="C6" i="318"/>
  <c r="B6" i="318"/>
  <c r="B10" i="318" s="1"/>
  <c r="U203" i="317"/>
  <c r="T203" i="317"/>
  <c r="S203" i="317"/>
  <c r="R203" i="317"/>
  <c r="Q203" i="317"/>
  <c r="P203" i="317"/>
  <c r="O203" i="317"/>
  <c r="A203" i="317"/>
  <c r="U202" i="317"/>
  <c r="T202" i="317"/>
  <c r="S202" i="317"/>
  <c r="R202" i="317"/>
  <c r="Q202" i="317"/>
  <c r="P202" i="317"/>
  <c r="O202" i="317"/>
  <c r="A202" i="317"/>
  <c r="U201" i="317"/>
  <c r="T201" i="317"/>
  <c r="S201" i="317"/>
  <c r="R201" i="317"/>
  <c r="Q201" i="317"/>
  <c r="P201" i="317"/>
  <c r="O201" i="317"/>
  <c r="A201" i="317"/>
  <c r="U200" i="317"/>
  <c r="T200" i="317"/>
  <c r="S200" i="317"/>
  <c r="R200" i="317"/>
  <c r="Q200" i="317"/>
  <c r="P200" i="317"/>
  <c r="O200" i="317"/>
  <c r="A200" i="317"/>
  <c r="U199" i="317"/>
  <c r="T199" i="317"/>
  <c r="S199" i="317"/>
  <c r="R199" i="317"/>
  <c r="Q199" i="317"/>
  <c r="P199" i="317"/>
  <c r="O199" i="317"/>
  <c r="A199" i="317"/>
  <c r="U198" i="317"/>
  <c r="T198" i="317"/>
  <c r="S198" i="317"/>
  <c r="R198" i="317"/>
  <c r="Q198" i="317"/>
  <c r="P198" i="317"/>
  <c r="O198" i="317"/>
  <c r="A198" i="317"/>
  <c r="U197" i="317"/>
  <c r="T197" i="317"/>
  <c r="S197" i="317"/>
  <c r="R197" i="317"/>
  <c r="Q197" i="317"/>
  <c r="P197" i="317"/>
  <c r="O197" i="317"/>
  <c r="A197" i="317"/>
  <c r="U196" i="317"/>
  <c r="T196" i="317"/>
  <c r="S196" i="317"/>
  <c r="R196" i="317"/>
  <c r="Q196" i="317"/>
  <c r="P196" i="317"/>
  <c r="O196" i="317"/>
  <c r="A196" i="317"/>
  <c r="U195" i="317"/>
  <c r="T195" i="317"/>
  <c r="S195" i="317"/>
  <c r="R195" i="317"/>
  <c r="Q195" i="317"/>
  <c r="P195" i="317"/>
  <c r="O195" i="317"/>
  <c r="A195" i="317"/>
  <c r="U194" i="317"/>
  <c r="T194" i="317"/>
  <c r="S194" i="317"/>
  <c r="R194" i="317"/>
  <c r="Q194" i="317"/>
  <c r="P194" i="317"/>
  <c r="O194" i="317"/>
  <c r="A194" i="317"/>
  <c r="U193" i="317"/>
  <c r="T193" i="317"/>
  <c r="S193" i="317"/>
  <c r="R193" i="317"/>
  <c r="Q193" i="317"/>
  <c r="P193" i="317"/>
  <c r="O193" i="317"/>
  <c r="A193" i="317"/>
  <c r="U192" i="317"/>
  <c r="T192" i="317"/>
  <c r="S192" i="317"/>
  <c r="R192" i="317"/>
  <c r="Q192" i="317"/>
  <c r="P192" i="317"/>
  <c r="O192" i="317"/>
  <c r="A192" i="317"/>
  <c r="U191" i="317"/>
  <c r="T191" i="317"/>
  <c r="S191" i="317"/>
  <c r="R191" i="317"/>
  <c r="Q191" i="317"/>
  <c r="P191" i="317"/>
  <c r="O191" i="317"/>
  <c r="A191" i="317"/>
  <c r="U190" i="317"/>
  <c r="T190" i="317"/>
  <c r="S190" i="317"/>
  <c r="R190" i="317"/>
  <c r="Q190" i="317"/>
  <c r="P190" i="317"/>
  <c r="O190" i="317"/>
  <c r="A190" i="317"/>
  <c r="U189" i="317"/>
  <c r="T189" i="317"/>
  <c r="S189" i="317"/>
  <c r="R189" i="317"/>
  <c r="Q189" i="317"/>
  <c r="P189" i="317"/>
  <c r="O189" i="317"/>
  <c r="A189" i="317"/>
  <c r="U188" i="317"/>
  <c r="T188" i="317"/>
  <c r="S188" i="317"/>
  <c r="R188" i="317"/>
  <c r="Q188" i="317"/>
  <c r="P188" i="317"/>
  <c r="O188" i="317"/>
  <c r="A188" i="317"/>
  <c r="U187" i="317"/>
  <c r="T187" i="317"/>
  <c r="S187" i="317"/>
  <c r="R187" i="317"/>
  <c r="Q187" i="317"/>
  <c r="P187" i="317"/>
  <c r="O187" i="317"/>
  <c r="A187" i="317"/>
  <c r="U186" i="317"/>
  <c r="T186" i="317"/>
  <c r="S186" i="317"/>
  <c r="R186" i="317"/>
  <c r="Q186" i="317"/>
  <c r="P186" i="317"/>
  <c r="O186" i="317"/>
  <c r="A186" i="317"/>
  <c r="U185" i="317"/>
  <c r="T185" i="317"/>
  <c r="S185" i="317"/>
  <c r="R185" i="317"/>
  <c r="Q185" i="317"/>
  <c r="P185" i="317"/>
  <c r="O185" i="317"/>
  <c r="A185" i="317"/>
  <c r="U184" i="317"/>
  <c r="T184" i="317"/>
  <c r="S184" i="317"/>
  <c r="R184" i="317"/>
  <c r="Q184" i="317"/>
  <c r="P184" i="317"/>
  <c r="O184" i="317"/>
  <c r="A184" i="317"/>
  <c r="U183" i="317"/>
  <c r="T183" i="317"/>
  <c r="S183" i="317"/>
  <c r="R183" i="317"/>
  <c r="Q183" i="317"/>
  <c r="P183" i="317"/>
  <c r="O183" i="317"/>
  <c r="A183" i="317"/>
  <c r="U182" i="317"/>
  <c r="T182" i="317"/>
  <c r="S182" i="317"/>
  <c r="R182" i="317"/>
  <c r="Q182" i="317"/>
  <c r="P182" i="317"/>
  <c r="O182" i="317"/>
  <c r="A182" i="317"/>
  <c r="U181" i="317"/>
  <c r="T181" i="317"/>
  <c r="S181" i="317"/>
  <c r="R181" i="317"/>
  <c r="Q181" i="317"/>
  <c r="P181" i="317"/>
  <c r="O181" i="317"/>
  <c r="A181" i="317"/>
  <c r="U180" i="317"/>
  <c r="T180" i="317"/>
  <c r="S180" i="317"/>
  <c r="R180" i="317"/>
  <c r="Q180" i="317"/>
  <c r="P180" i="317"/>
  <c r="O180" i="317"/>
  <c r="A180" i="317"/>
  <c r="U179" i="317"/>
  <c r="T179" i="317"/>
  <c r="S179" i="317"/>
  <c r="R179" i="317"/>
  <c r="Q179" i="317"/>
  <c r="P179" i="317"/>
  <c r="O179" i="317"/>
  <c r="A179" i="317"/>
  <c r="U178" i="317"/>
  <c r="T178" i="317"/>
  <c r="S178" i="317"/>
  <c r="R178" i="317"/>
  <c r="Q178" i="317"/>
  <c r="P178" i="317"/>
  <c r="O178" i="317"/>
  <c r="A178" i="317"/>
  <c r="U177" i="317"/>
  <c r="T177" i="317"/>
  <c r="S177" i="317"/>
  <c r="R177" i="317"/>
  <c r="Q177" i="317"/>
  <c r="P177" i="317"/>
  <c r="O177" i="317"/>
  <c r="A177" i="317"/>
  <c r="U176" i="317"/>
  <c r="T176" i="317"/>
  <c r="S176" i="317"/>
  <c r="R176" i="317"/>
  <c r="Q176" i="317"/>
  <c r="P176" i="317"/>
  <c r="O176" i="317"/>
  <c r="A176" i="317"/>
  <c r="U175" i="317"/>
  <c r="T175" i="317"/>
  <c r="S175" i="317"/>
  <c r="R175" i="317"/>
  <c r="Q175" i="317"/>
  <c r="P175" i="317"/>
  <c r="O175" i="317"/>
  <c r="A175" i="317"/>
  <c r="U174" i="317"/>
  <c r="T174" i="317"/>
  <c r="S174" i="317"/>
  <c r="R174" i="317"/>
  <c r="Q174" i="317"/>
  <c r="P174" i="317"/>
  <c r="O174" i="317"/>
  <c r="A174" i="317"/>
  <c r="U173" i="317"/>
  <c r="T173" i="317"/>
  <c r="S173" i="317"/>
  <c r="R173" i="317"/>
  <c r="Q173" i="317"/>
  <c r="P173" i="317"/>
  <c r="O173" i="317"/>
  <c r="A173" i="317"/>
  <c r="U172" i="317"/>
  <c r="T172" i="317"/>
  <c r="S172" i="317"/>
  <c r="R172" i="317"/>
  <c r="Q172" i="317"/>
  <c r="P172" i="317"/>
  <c r="O172" i="317"/>
  <c r="A172" i="317"/>
  <c r="U171" i="317"/>
  <c r="T171" i="317"/>
  <c r="S171" i="317"/>
  <c r="R171" i="317"/>
  <c r="Q171" i="317"/>
  <c r="P171" i="317"/>
  <c r="O171" i="317"/>
  <c r="A171" i="317"/>
  <c r="U170" i="317"/>
  <c r="T170" i="317"/>
  <c r="S170" i="317"/>
  <c r="R170" i="317"/>
  <c r="Q170" i="317"/>
  <c r="P170" i="317"/>
  <c r="O170" i="317"/>
  <c r="A170" i="317"/>
  <c r="U169" i="317"/>
  <c r="T169" i="317"/>
  <c r="S169" i="317"/>
  <c r="R169" i="317"/>
  <c r="Q169" i="317"/>
  <c r="P169" i="317"/>
  <c r="O169" i="317"/>
  <c r="A169" i="317"/>
  <c r="U168" i="317"/>
  <c r="T168" i="317"/>
  <c r="S168" i="317"/>
  <c r="R168" i="317"/>
  <c r="Q168" i="317"/>
  <c r="P168" i="317"/>
  <c r="O168" i="317"/>
  <c r="A168" i="317"/>
  <c r="U167" i="317"/>
  <c r="T167" i="317"/>
  <c r="S167" i="317"/>
  <c r="R167" i="317"/>
  <c r="Q167" i="317"/>
  <c r="P167" i="317"/>
  <c r="O167" i="317"/>
  <c r="A167" i="317"/>
  <c r="U166" i="317"/>
  <c r="T166" i="317"/>
  <c r="S166" i="317"/>
  <c r="R166" i="317"/>
  <c r="Q166" i="317"/>
  <c r="P166" i="317"/>
  <c r="O166" i="317"/>
  <c r="A166" i="317"/>
  <c r="U165" i="317"/>
  <c r="T165" i="317"/>
  <c r="S165" i="317"/>
  <c r="R165" i="317"/>
  <c r="Q165" i="317"/>
  <c r="P165" i="317"/>
  <c r="O165" i="317"/>
  <c r="A165" i="317"/>
  <c r="U164" i="317"/>
  <c r="T164" i="317"/>
  <c r="S164" i="317"/>
  <c r="R164" i="317"/>
  <c r="Q164" i="317"/>
  <c r="P164" i="317"/>
  <c r="O164" i="317"/>
  <c r="A164" i="317"/>
  <c r="U163" i="317"/>
  <c r="T163" i="317"/>
  <c r="S163" i="317"/>
  <c r="R163" i="317"/>
  <c r="Q163" i="317"/>
  <c r="P163" i="317"/>
  <c r="O163" i="317"/>
  <c r="A163" i="317"/>
  <c r="U162" i="317"/>
  <c r="T162" i="317"/>
  <c r="S162" i="317"/>
  <c r="R162" i="317"/>
  <c r="Q162" i="317"/>
  <c r="P162" i="317"/>
  <c r="O162" i="317"/>
  <c r="A162" i="317"/>
  <c r="U161" i="317"/>
  <c r="T161" i="317"/>
  <c r="S161" i="317"/>
  <c r="R161" i="317"/>
  <c r="Q161" i="317"/>
  <c r="P161" i="317"/>
  <c r="O161" i="317"/>
  <c r="A161" i="317"/>
  <c r="U160" i="317"/>
  <c r="T160" i="317"/>
  <c r="S160" i="317"/>
  <c r="R160" i="317"/>
  <c r="Q160" i="317"/>
  <c r="P160" i="317"/>
  <c r="O160" i="317"/>
  <c r="A160" i="317"/>
  <c r="U159" i="317"/>
  <c r="T159" i="317"/>
  <c r="S159" i="317"/>
  <c r="R159" i="317"/>
  <c r="Q159" i="317"/>
  <c r="P159" i="317"/>
  <c r="O159" i="317"/>
  <c r="A159" i="317"/>
  <c r="U158" i="317"/>
  <c r="T158" i="317"/>
  <c r="S158" i="317"/>
  <c r="R158" i="317"/>
  <c r="Q158" i="317"/>
  <c r="P158" i="317"/>
  <c r="O158" i="317"/>
  <c r="A158" i="317"/>
  <c r="U157" i="317"/>
  <c r="T157" i="317"/>
  <c r="S157" i="317"/>
  <c r="R157" i="317"/>
  <c r="Q157" i="317"/>
  <c r="P157" i="317"/>
  <c r="O157" i="317"/>
  <c r="A157" i="317"/>
  <c r="U156" i="317"/>
  <c r="T156" i="317"/>
  <c r="S156" i="317"/>
  <c r="R156" i="317"/>
  <c r="Q156" i="317"/>
  <c r="P156" i="317"/>
  <c r="O156" i="317"/>
  <c r="A156" i="317"/>
  <c r="U155" i="317"/>
  <c r="T155" i="317"/>
  <c r="S155" i="317"/>
  <c r="R155" i="317"/>
  <c r="Q155" i="317"/>
  <c r="P155" i="317"/>
  <c r="O155" i="317"/>
  <c r="A155" i="317"/>
  <c r="U154" i="317"/>
  <c r="T154" i="317"/>
  <c r="S154" i="317"/>
  <c r="R154" i="317"/>
  <c r="Q154" i="317"/>
  <c r="P154" i="317"/>
  <c r="O154" i="317"/>
  <c r="A154" i="317"/>
  <c r="U153" i="317"/>
  <c r="T153" i="317"/>
  <c r="S153" i="317"/>
  <c r="R153" i="317"/>
  <c r="Q153" i="317"/>
  <c r="P153" i="317"/>
  <c r="O153" i="317"/>
  <c r="A153" i="317"/>
  <c r="U152" i="317"/>
  <c r="T152" i="317"/>
  <c r="S152" i="317"/>
  <c r="R152" i="317"/>
  <c r="Q152" i="317"/>
  <c r="P152" i="317"/>
  <c r="O152" i="317"/>
  <c r="A152" i="317"/>
  <c r="U151" i="317"/>
  <c r="T151" i="317"/>
  <c r="S151" i="317"/>
  <c r="R151" i="317"/>
  <c r="Q151" i="317"/>
  <c r="P151" i="317"/>
  <c r="O151" i="317"/>
  <c r="A151" i="317"/>
  <c r="U150" i="317"/>
  <c r="T150" i="317"/>
  <c r="S150" i="317"/>
  <c r="R150" i="317"/>
  <c r="Q150" i="317"/>
  <c r="P150" i="317"/>
  <c r="O150" i="317"/>
  <c r="A150" i="317"/>
  <c r="U149" i="317"/>
  <c r="T149" i="317"/>
  <c r="S149" i="317"/>
  <c r="R149" i="317"/>
  <c r="Q149" i="317"/>
  <c r="P149" i="317"/>
  <c r="O149" i="317"/>
  <c r="A149" i="317"/>
  <c r="U148" i="317"/>
  <c r="T148" i="317"/>
  <c r="S148" i="317"/>
  <c r="R148" i="317"/>
  <c r="Q148" i="317"/>
  <c r="P148" i="317"/>
  <c r="O148" i="317"/>
  <c r="A148" i="317"/>
  <c r="U147" i="317"/>
  <c r="T147" i="317"/>
  <c r="S147" i="317"/>
  <c r="R147" i="317"/>
  <c r="W147" i="317" s="1"/>
  <c r="Q147" i="317"/>
  <c r="P147" i="317"/>
  <c r="O147" i="317"/>
  <c r="A147" i="317"/>
  <c r="U146" i="317"/>
  <c r="T146" i="317"/>
  <c r="S146" i="317"/>
  <c r="R146" i="317"/>
  <c r="Q146" i="317"/>
  <c r="P146" i="317"/>
  <c r="O146" i="317"/>
  <c r="A146" i="317"/>
  <c r="U145" i="317"/>
  <c r="T145" i="317"/>
  <c r="S145" i="317"/>
  <c r="R145" i="317"/>
  <c r="Q145" i="317"/>
  <c r="P145" i="317"/>
  <c r="O145" i="317"/>
  <c r="A145" i="317"/>
  <c r="U144" i="317"/>
  <c r="T144" i="317"/>
  <c r="S144" i="317"/>
  <c r="R144" i="317"/>
  <c r="Q144" i="317"/>
  <c r="P144" i="317"/>
  <c r="O144" i="317"/>
  <c r="A144" i="317"/>
  <c r="U143" i="317"/>
  <c r="T143" i="317"/>
  <c r="S143" i="317"/>
  <c r="R143" i="317"/>
  <c r="Q143" i="317"/>
  <c r="P143" i="317"/>
  <c r="O143" i="317"/>
  <c r="A143" i="317"/>
  <c r="U142" i="317"/>
  <c r="T142" i="317"/>
  <c r="S142" i="317"/>
  <c r="R142" i="317"/>
  <c r="Q142" i="317"/>
  <c r="P142" i="317"/>
  <c r="O142" i="317"/>
  <c r="A142" i="317"/>
  <c r="U141" i="317"/>
  <c r="T141" i="317"/>
  <c r="S141" i="317"/>
  <c r="R141" i="317"/>
  <c r="Q141" i="317"/>
  <c r="P141" i="317"/>
  <c r="O141" i="317"/>
  <c r="A141" i="317"/>
  <c r="U140" i="317"/>
  <c r="T140" i="317"/>
  <c r="S140" i="317"/>
  <c r="R140" i="317"/>
  <c r="Q140" i="317"/>
  <c r="P140" i="317"/>
  <c r="O140" i="317"/>
  <c r="A140" i="317"/>
  <c r="U139" i="317"/>
  <c r="T139" i="317"/>
  <c r="S139" i="317"/>
  <c r="R139" i="317"/>
  <c r="Q139" i="317"/>
  <c r="P139" i="317"/>
  <c r="O139" i="317"/>
  <c r="A139" i="317"/>
  <c r="U138" i="317"/>
  <c r="T138" i="317"/>
  <c r="S138" i="317"/>
  <c r="R138" i="317"/>
  <c r="Q138" i="317"/>
  <c r="P138" i="317"/>
  <c r="O138" i="317"/>
  <c r="A138" i="317"/>
  <c r="U137" i="317"/>
  <c r="T137" i="317"/>
  <c r="S137" i="317"/>
  <c r="R137" i="317"/>
  <c r="Q137" i="317"/>
  <c r="P137" i="317"/>
  <c r="O137" i="317"/>
  <c r="A137" i="317"/>
  <c r="U136" i="317"/>
  <c r="T136" i="317"/>
  <c r="S136" i="317"/>
  <c r="R136" i="317"/>
  <c r="Q136" i="317"/>
  <c r="P136" i="317"/>
  <c r="O136" i="317"/>
  <c r="A136" i="317"/>
  <c r="U135" i="317"/>
  <c r="T135" i="317"/>
  <c r="S135" i="317"/>
  <c r="R135" i="317"/>
  <c r="Q135" i="317"/>
  <c r="P135" i="317"/>
  <c r="O135" i="317"/>
  <c r="A135" i="317"/>
  <c r="U134" i="317"/>
  <c r="T134" i="317"/>
  <c r="S134" i="317"/>
  <c r="R134" i="317"/>
  <c r="Q134" i="317"/>
  <c r="P134" i="317"/>
  <c r="O134" i="317"/>
  <c r="A134" i="317"/>
  <c r="U133" i="317"/>
  <c r="T133" i="317"/>
  <c r="S133" i="317"/>
  <c r="R133" i="317"/>
  <c r="Q133" i="317"/>
  <c r="P133" i="317"/>
  <c r="O133" i="317"/>
  <c r="A133" i="317"/>
  <c r="U132" i="317"/>
  <c r="T132" i="317"/>
  <c r="S132" i="317"/>
  <c r="R132" i="317"/>
  <c r="Q132" i="317"/>
  <c r="P132" i="317"/>
  <c r="O132" i="317"/>
  <c r="A132" i="317"/>
  <c r="U131" i="317"/>
  <c r="T131" i="317"/>
  <c r="S131" i="317"/>
  <c r="R131" i="317"/>
  <c r="Q131" i="317"/>
  <c r="P131" i="317"/>
  <c r="O131" i="317"/>
  <c r="A131" i="317"/>
  <c r="U130" i="317"/>
  <c r="T130" i="317"/>
  <c r="S130" i="317"/>
  <c r="R130" i="317"/>
  <c r="Q130" i="317"/>
  <c r="P130" i="317"/>
  <c r="O130" i="317"/>
  <c r="A130" i="317"/>
  <c r="U129" i="317"/>
  <c r="T129" i="317"/>
  <c r="S129" i="317"/>
  <c r="R129" i="317"/>
  <c r="Q129" i="317"/>
  <c r="P129" i="317"/>
  <c r="O129" i="317"/>
  <c r="A129" i="317"/>
  <c r="U128" i="317"/>
  <c r="T128" i="317"/>
  <c r="S128" i="317"/>
  <c r="R128" i="317"/>
  <c r="Q128" i="317"/>
  <c r="P128" i="317"/>
  <c r="O128" i="317"/>
  <c r="A128" i="317"/>
  <c r="U127" i="317"/>
  <c r="T127" i="317"/>
  <c r="S127" i="317"/>
  <c r="R127" i="317"/>
  <c r="Q127" i="317"/>
  <c r="P127" i="317"/>
  <c r="O127" i="317"/>
  <c r="A127" i="317"/>
  <c r="U126" i="317"/>
  <c r="T126" i="317"/>
  <c r="S126" i="317"/>
  <c r="R126" i="317"/>
  <c r="Q126" i="317"/>
  <c r="P126" i="317"/>
  <c r="O126" i="317"/>
  <c r="A126" i="317"/>
  <c r="U125" i="317"/>
  <c r="T125" i="317"/>
  <c r="S125" i="317"/>
  <c r="R125" i="317"/>
  <c r="Q125" i="317"/>
  <c r="P125" i="317"/>
  <c r="O125" i="317"/>
  <c r="A125" i="317"/>
  <c r="U124" i="317"/>
  <c r="T124" i="317"/>
  <c r="S124" i="317"/>
  <c r="R124" i="317"/>
  <c r="Q124" i="317"/>
  <c r="P124" i="317"/>
  <c r="O124" i="317"/>
  <c r="A124" i="317"/>
  <c r="U123" i="317"/>
  <c r="T123" i="317"/>
  <c r="S123" i="317"/>
  <c r="R123" i="317"/>
  <c r="Q123" i="317"/>
  <c r="P123" i="317"/>
  <c r="O123" i="317"/>
  <c r="A123" i="317"/>
  <c r="U122" i="317"/>
  <c r="T122" i="317"/>
  <c r="S122" i="317"/>
  <c r="R122" i="317"/>
  <c r="Q122" i="317"/>
  <c r="P122" i="317"/>
  <c r="O122" i="317"/>
  <c r="A122" i="317"/>
  <c r="U121" i="317"/>
  <c r="T121" i="317"/>
  <c r="S121" i="317"/>
  <c r="R121" i="317"/>
  <c r="Q121" i="317"/>
  <c r="P121" i="317"/>
  <c r="O121" i="317"/>
  <c r="A121" i="317"/>
  <c r="U120" i="317"/>
  <c r="T120" i="317"/>
  <c r="S120" i="317"/>
  <c r="R120" i="317"/>
  <c r="Q120" i="317"/>
  <c r="P120" i="317"/>
  <c r="O120" i="317"/>
  <c r="A120" i="317"/>
  <c r="U119" i="317"/>
  <c r="T119" i="317"/>
  <c r="S119" i="317"/>
  <c r="R119" i="317"/>
  <c r="Q119" i="317"/>
  <c r="P119" i="317"/>
  <c r="O119" i="317"/>
  <c r="A119" i="317"/>
  <c r="U118" i="317"/>
  <c r="T118" i="317"/>
  <c r="S118" i="317"/>
  <c r="R118" i="317"/>
  <c r="Q118" i="317"/>
  <c r="P118" i="317"/>
  <c r="O118" i="317"/>
  <c r="A118" i="317"/>
  <c r="U117" i="317"/>
  <c r="T117" i="317"/>
  <c r="S117" i="317"/>
  <c r="R117" i="317"/>
  <c r="Q117" i="317"/>
  <c r="P117" i="317"/>
  <c r="O117" i="317"/>
  <c r="A117" i="317"/>
  <c r="U116" i="317"/>
  <c r="T116" i="317"/>
  <c r="S116" i="317"/>
  <c r="R116" i="317"/>
  <c r="Q116" i="317"/>
  <c r="P116" i="317"/>
  <c r="O116" i="317"/>
  <c r="A116" i="317"/>
  <c r="U115" i="317"/>
  <c r="T115" i="317"/>
  <c r="S115" i="317"/>
  <c r="R115" i="317"/>
  <c r="Q115" i="317"/>
  <c r="P115" i="317"/>
  <c r="O115" i="317"/>
  <c r="A115" i="317"/>
  <c r="U114" i="317"/>
  <c r="T114" i="317"/>
  <c r="S114" i="317"/>
  <c r="R114" i="317"/>
  <c r="Q114" i="317"/>
  <c r="P114" i="317"/>
  <c r="O114" i="317"/>
  <c r="A114" i="317"/>
  <c r="U113" i="317"/>
  <c r="T113" i="317"/>
  <c r="S113" i="317"/>
  <c r="R113" i="317"/>
  <c r="Q113" i="317"/>
  <c r="P113" i="317"/>
  <c r="O113" i="317"/>
  <c r="A113" i="317"/>
  <c r="U112" i="317"/>
  <c r="T112" i="317"/>
  <c r="S112" i="317"/>
  <c r="R112" i="317"/>
  <c r="Q112" i="317"/>
  <c r="P112" i="317"/>
  <c r="O112" i="317"/>
  <c r="A112" i="317"/>
  <c r="U111" i="317"/>
  <c r="T111" i="317"/>
  <c r="S111" i="317"/>
  <c r="R111" i="317"/>
  <c r="Q111" i="317"/>
  <c r="P111" i="317"/>
  <c r="O111" i="317"/>
  <c r="A111" i="317"/>
  <c r="U110" i="317"/>
  <c r="T110" i="317"/>
  <c r="S110" i="317"/>
  <c r="R110" i="317"/>
  <c r="Q110" i="317"/>
  <c r="P110" i="317"/>
  <c r="O110" i="317"/>
  <c r="A110" i="317"/>
  <c r="U109" i="317"/>
  <c r="T109" i="317"/>
  <c r="S109" i="317"/>
  <c r="R109" i="317"/>
  <c r="Q109" i="317"/>
  <c r="P109" i="317"/>
  <c r="O109" i="317"/>
  <c r="A109" i="317"/>
  <c r="U108" i="317"/>
  <c r="T108" i="317"/>
  <c r="S108" i="317"/>
  <c r="R108" i="317"/>
  <c r="Q108" i="317"/>
  <c r="P108" i="317"/>
  <c r="O108" i="317"/>
  <c r="A108" i="317"/>
  <c r="U107" i="317"/>
  <c r="T107" i="317"/>
  <c r="S107" i="317"/>
  <c r="R107" i="317"/>
  <c r="Q107" i="317"/>
  <c r="P107" i="317"/>
  <c r="O107" i="317"/>
  <c r="A107" i="317"/>
  <c r="U106" i="317"/>
  <c r="T106" i="317"/>
  <c r="S106" i="317"/>
  <c r="R106" i="317"/>
  <c r="Q106" i="317"/>
  <c r="P106" i="317"/>
  <c r="O106" i="317"/>
  <c r="A106" i="317"/>
  <c r="U105" i="317"/>
  <c r="T105" i="317"/>
  <c r="S105" i="317"/>
  <c r="R105" i="317"/>
  <c r="Q105" i="317"/>
  <c r="P105" i="317"/>
  <c r="O105" i="317"/>
  <c r="A105" i="317"/>
  <c r="U104" i="317"/>
  <c r="T104" i="317"/>
  <c r="S104" i="317"/>
  <c r="R104" i="317"/>
  <c r="Q104" i="317"/>
  <c r="P104" i="317"/>
  <c r="O104" i="317"/>
  <c r="A104" i="317"/>
  <c r="U103" i="317"/>
  <c r="T103" i="317"/>
  <c r="S103" i="317"/>
  <c r="R103" i="317"/>
  <c r="Q103" i="317"/>
  <c r="P103" i="317"/>
  <c r="O103" i="317"/>
  <c r="A103" i="317"/>
  <c r="U102" i="317"/>
  <c r="T102" i="317"/>
  <c r="S102" i="317"/>
  <c r="R102" i="317"/>
  <c r="Q102" i="317"/>
  <c r="P102" i="317"/>
  <c r="O102" i="317"/>
  <c r="A102" i="317"/>
  <c r="U101" i="317"/>
  <c r="T101" i="317"/>
  <c r="S101" i="317"/>
  <c r="R101" i="317"/>
  <c r="Q101" i="317"/>
  <c r="P101" i="317"/>
  <c r="O101" i="317"/>
  <c r="A101" i="317"/>
  <c r="U100" i="317"/>
  <c r="T100" i="317"/>
  <c r="S100" i="317"/>
  <c r="R100" i="317"/>
  <c r="Q100" i="317"/>
  <c r="P100" i="317"/>
  <c r="O100" i="317"/>
  <c r="A100" i="317"/>
  <c r="U99" i="317"/>
  <c r="T99" i="317"/>
  <c r="S99" i="317"/>
  <c r="R99" i="317"/>
  <c r="Q99" i="317"/>
  <c r="P99" i="317"/>
  <c r="O99" i="317"/>
  <c r="A99" i="317"/>
  <c r="U98" i="317"/>
  <c r="T98" i="317"/>
  <c r="S98" i="317"/>
  <c r="R98" i="317"/>
  <c r="Q98" i="317"/>
  <c r="P98" i="317"/>
  <c r="O98" i="317"/>
  <c r="A98" i="317"/>
  <c r="U97" i="317"/>
  <c r="T97" i="317"/>
  <c r="S97" i="317"/>
  <c r="R97" i="317"/>
  <c r="Q97" i="317"/>
  <c r="P97" i="317"/>
  <c r="O97" i="317"/>
  <c r="A97" i="317"/>
  <c r="U96" i="317"/>
  <c r="T96" i="317"/>
  <c r="S96" i="317"/>
  <c r="R96" i="317"/>
  <c r="Q96" i="317"/>
  <c r="P96" i="317"/>
  <c r="O96" i="317"/>
  <c r="A96" i="317"/>
  <c r="U95" i="317"/>
  <c r="T95" i="317"/>
  <c r="S95" i="317"/>
  <c r="R95" i="317"/>
  <c r="Q95" i="317"/>
  <c r="P95" i="317"/>
  <c r="O95" i="317"/>
  <c r="A95" i="317"/>
  <c r="U94" i="317"/>
  <c r="T94" i="317"/>
  <c r="S94" i="317"/>
  <c r="R94" i="317"/>
  <c r="Q94" i="317"/>
  <c r="P94" i="317"/>
  <c r="O94" i="317"/>
  <c r="A94" i="317"/>
  <c r="U93" i="317"/>
  <c r="T93" i="317"/>
  <c r="S93" i="317"/>
  <c r="R93" i="317"/>
  <c r="Q93" i="317"/>
  <c r="P93" i="317"/>
  <c r="O93" i="317"/>
  <c r="A93" i="317"/>
  <c r="U92" i="317"/>
  <c r="T92" i="317"/>
  <c r="S92" i="317"/>
  <c r="R92" i="317"/>
  <c r="Q92" i="317"/>
  <c r="P92" i="317"/>
  <c r="O92" i="317"/>
  <c r="A92" i="317"/>
  <c r="U91" i="317"/>
  <c r="T91" i="317"/>
  <c r="S91" i="317"/>
  <c r="R91" i="317"/>
  <c r="Q91" i="317"/>
  <c r="P91" i="317"/>
  <c r="O91" i="317"/>
  <c r="A91" i="317"/>
  <c r="U90" i="317"/>
  <c r="T90" i="317"/>
  <c r="S90" i="317"/>
  <c r="R90" i="317"/>
  <c r="W90" i="317" s="1"/>
  <c r="Q90" i="317"/>
  <c r="P90" i="317"/>
  <c r="O90" i="317"/>
  <c r="A90" i="317"/>
  <c r="U89" i="317"/>
  <c r="T89" i="317"/>
  <c r="S89" i="317"/>
  <c r="R89" i="317"/>
  <c r="Q89" i="317"/>
  <c r="P89" i="317"/>
  <c r="O89" i="317"/>
  <c r="A89" i="317"/>
  <c r="U88" i="317"/>
  <c r="T88" i="317"/>
  <c r="S88" i="317"/>
  <c r="R88" i="317"/>
  <c r="Q88" i="317"/>
  <c r="P88" i="317"/>
  <c r="O88" i="317"/>
  <c r="A88" i="317"/>
  <c r="U87" i="317"/>
  <c r="T87" i="317"/>
  <c r="S87" i="317"/>
  <c r="R87" i="317"/>
  <c r="W87" i="317" s="1"/>
  <c r="Q87" i="317"/>
  <c r="P87" i="317"/>
  <c r="O87" i="317"/>
  <c r="A87" i="317"/>
  <c r="U86" i="317"/>
  <c r="T86" i="317"/>
  <c r="S86" i="317"/>
  <c r="R86" i="317"/>
  <c r="Q86" i="317"/>
  <c r="P86" i="317"/>
  <c r="O86" i="317"/>
  <c r="A86" i="317"/>
  <c r="U85" i="317"/>
  <c r="T85" i="317"/>
  <c r="S85" i="317"/>
  <c r="R85" i="317"/>
  <c r="Q85" i="317"/>
  <c r="P85" i="317"/>
  <c r="O85" i="317"/>
  <c r="A85" i="317"/>
  <c r="U84" i="317"/>
  <c r="T84" i="317"/>
  <c r="S84" i="317"/>
  <c r="R84" i="317"/>
  <c r="Q84" i="317"/>
  <c r="P84" i="317"/>
  <c r="O84" i="317"/>
  <c r="A84" i="317"/>
  <c r="U83" i="317"/>
  <c r="T83" i="317"/>
  <c r="S83" i="317"/>
  <c r="R83" i="317"/>
  <c r="Q83" i="317"/>
  <c r="P83" i="317"/>
  <c r="O83" i="317"/>
  <c r="A83" i="317"/>
  <c r="U82" i="317"/>
  <c r="T82" i="317"/>
  <c r="S82" i="317"/>
  <c r="R82" i="317"/>
  <c r="Q82" i="317"/>
  <c r="P82" i="317"/>
  <c r="O82" i="317"/>
  <c r="A82" i="317"/>
  <c r="U81" i="317"/>
  <c r="T81" i="317"/>
  <c r="S81" i="317"/>
  <c r="R81" i="317"/>
  <c r="Q81" i="317"/>
  <c r="P81" i="317"/>
  <c r="O81" i="317"/>
  <c r="A81" i="317"/>
  <c r="U80" i="317"/>
  <c r="T80" i="317"/>
  <c r="S80" i="317"/>
  <c r="R80" i="317"/>
  <c r="Q80" i="317"/>
  <c r="P80" i="317"/>
  <c r="O80" i="317"/>
  <c r="A80" i="317"/>
  <c r="U79" i="317"/>
  <c r="T79" i="317"/>
  <c r="S79" i="317"/>
  <c r="R79" i="317"/>
  <c r="Q79" i="317"/>
  <c r="P79" i="317"/>
  <c r="O79" i="317"/>
  <c r="A79" i="317"/>
  <c r="U78" i="317"/>
  <c r="T78" i="317"/>
  <c r="S78" i="317"/>
  <c r="R78" i="317"/>
  <c r="Q78" i="317"/>
  <c r="P78" i="317"/>
  <c r="O78" i="317"/>
  <c r="A78" i="317"/>
  <c r="U77" i="317"/>
  <c r="T77" i="317"/>
  <c r="S77" i="317"/>
  <c r="R77" i="317"/>
  <c r="Q77" i="317"/>
  <c r="P77" i="317"/>
  <c r="O77" i="317"/>
  <c r="A77" i="317"/>
  <c r="U76" i="317"/>
  <c r="T76" i="317"/>
  <c r="S76" i="317"/>
  <c r="R76" i="317"/>
  <c r="Q76" i="317"/>
  <c r="P76" i="317"/>
  <c r="O76" i="317"/>
  <c r="A76" i="317"/>
  <c r="U75" i="317"/>
  <c r="T75" i="317"/>
  <c r="S75" i="317"/>
  <c r="R75" i="317"/>
  <c r="Q75" i="317"/>
  <c r="P75" i="317"/>
  <c r="O75" i="317"/>
  <c r="A75" i="317"/>
  <c r="U74" i="317"/>
  <c r="T74" i="317"/>
  <c r="S74" i="317"/>
  <c r="R74" i="317"/>
  <c r="Q74" i="317"/>
  <c r="P74" i="317"/>
  <c r="O74" i="317"/>
  <c r="A74" i="317"/>
  <c r="U73" i="317"/>
  <c r="T73" i="317"/>
  <c r="S73" i="317"/>
  <c r="R73" i="317"/>
  <c r="Q73" i="317"/>
  <c r="P73" i="317"/>
  <c r="O73" i="317"/>
  <c r="A73" i="317"/>
  <c r="U72" i="317"/>
  <c r="T72" i="317"/>
  <c r="S72" i="317"/>
  <c r="R72" i="317"/>
  <c r="Q72" i="317"/>
  <c r="P72" i="317"/>
  <c r="O72" i="317"/>
  <c r="A72" i="317"/>
  <c r="U71" i="317"/>
  <c r="T71" i="317"/>
  <c r="S71" i="317"/>
  <c r="R71" i="317"/>
  <c r="Q71" i="317"/>
  <c r="P71" i="317"/>
  <c r="O71" i="317"/>
  <c r="A71" i="317"/>
  <c r="U70" i="317"/>
  <c r="T70" i="317"/>
  <c r="S70" i="317"/>
  <c r="R70" i="317"/>
  <c r="Q70" i="317"/>
  <c r="P70" i="317"/>
  <c r="O70" i="317"/>
  <c r="A70" i="317"/>
  <c r="U69" i="317"/>
  <c r="T69" i="317"/>
  <c r="S69" i="317"/>
  <c r="R69" i="317"/>
  <c r="W69" i="317" s="1"/>
  <c r="Q69" i="317"/>
  <c r="P69" i="317"/>
  <c r="O69" i="317"/>
  <c r="A69" i="317"/>
  <c r="U68" i="317"/>
  <c r="T68" i="317"/>
  <c r="S68" i="317"/>
  <c r="R68" i="317"/>
  <c r="Q68" i="317"/>
  <c r="P68" i="317"/>
  <c r="O68" i="317"/>
  <c r="A68" i="317"/>
  <c r="U67" i="317"/>
  <c r="T67" i="317"/>
  <c r="S67" i="317"/>
  <c r="R67" i="317"/>
  <c r="Q67" i="317"/>
  <c r="P67" i="317"/>
  <c r="O67" i="317"/>
  <c r="A67" i="317"/>
  <c r="U66" i="317"/>
  <c r="T66" i="317"/>
  <c r="S66" i="317"/>
  <c r="R66" i="317"/>
  <c r="Q66" i="317"/>
  <c r="P66" i="317"/>
  <c r="O66" i="317"/>
  <c r="A66" i="317"/>
  <c r="U65" i="317"/>
  <c r="T65" i="317"/>
  <c r="S65" i="317"/>
  <c r="R65" i="317"/>
  <c r="Q65" i="317"/>
  <c r="P65" i="317"/>
  <c r="O65" i="317"/>
  <c r="A65" i="317"/>
  <c r="U64" i="317"/>
  <c r="T64" i="317"/>
  <c r="S64" i="317"/>
  <c r="R64" i="317"/>
  <c r="Q64" i="317"/>
  <c r="P64" i="317"/>
  <c r="O64" i="317"/>
  <c r="A64" i="317"/>
  <c r="U63" i="317"/>
  <c r="T63" i="317"/>
  <c r="S63" i="317"/>
  <c r="R63" i="317"/>
  <c r="Q63" i="317"/>
  <c r="P63" i="317"/>
  <c r="O63" i="317"/>
  <c r="A63" i="317"/>
  <c r="U62" i="317"/>
  <c r="T62" i="317"/>
  <c r="S62" i="317"/>
  <c r="R62" i="317"/>
  <c r="Q62" i="317"/>
  <c r="P62" i="317"/>
  <c r="O62" i="317"/>
  <c r="A62" i="317"/>
  <c r="U61" i="317"/>
  <c r="T61" i="317"/>
  <c r="S61" i="317"/>
  <c r="R61" i="317"/>
  <c r="Q61" i="317"/>
  <c r="P61" i="317"/>
  <c r="O61" i="317"/>
  <c r="A61" i="317"/>
  <c r="U60" i="317"/>
  <c r="T60" i="317"/>
  <c r="S60" i="317"/>
  <c r="R60" i="317"/>
  <c r="Q60" i="317"/>
  <c r="P60" i="317"/>
  <c r="O60" i="317"/>
  <c r="A60" i="317"/>
  <c r="U59" i="317"/>
  <c r="T59" i="317"/>
  <c r="S59" i="317"/>
  <c r="R59" i="317"/>
  <c r="Q59" i="317"/>
  <c r="P59" i="317"/>
  <c r="O59" i="317"/>
  <c r="A59" i="317"/>
  <c r="U58" i="317"/>
  <c r="T58" i="317"/>
  <c r="S58" i="317"/>
  <c r="R58" i="317"/>
  <c r="Q58" i="317"/>
  <c r="P58" i="317"/>
  <c r="O58" i="317"/>
  <c r="A58" i="317"/>
  <c r="U57" i="317"/>
  <c r="T57" i="317"/>
  <c r="S57" i="317"/>
  <c r="R57" i="317"/>
  <c r="Q57" i="317"/>
  <c r="P57" i="317"/>
  <c r="O57" i="317"/>
  <c r="A57" i="317"/>
  <c r="U56" i="317"/>
  <c r="T56" i="317"/>
  <c r="S56" i="317"/>
  <c r="R56" i="317"/>
  <c r="Q56" i="317"/>
  <c r="P56" i="317"/>
  <c r="O56" i="317"/>
  <c r="A56" i="317"/>
  <c r="U55" i="317"/>
  <c r="T55" i="317"/>
  <c r="S55" i="317"/>
  <c r="R55" i="317"/>
  <c r="Q55" i="317"/>
  <c r="P55" i="317"/>
  <c r="O55" i="317"/>
  <c r="A55" i="317"/>
  <c r="U54" i="317"/>
  <c r="T54" i="317"/>
  <c r="S54" i="317"/>
  <c r="R54" i="317"/>
  <c r="Q54" i="317"/>
  <c r="P54" i="317"/>
  <c r="O54" i="317"/>
  <c r="A54" i="317"/>
  <c r="U53" i="317"/>
  <c r="T53" i="317"/>
  <c r="S53" i="317"/>
  <c r="R53" i="317"/>
  <c r="Q53" i="317"/>
  <c r="P53" i="317"/>
  <c r="O53" i="317"/>
  <c r="A53" i="317"/>
  <c r="U52" i="317"/>
  <c r="T52" i="317"/>
  <c r="S52" i="317"/>
  <c r="R52" i="317"/>
  <c r="Q52" i="317"/>
  <c r="P52" i="317"/>
  <c r="O52" i="317"/>
  <c r="A52" i="317"/>
  <c r="U51" i="317"/>
  <c r="T51" i="317"/>
  <c r="S51" i="317"/>
  <c r="R51" i="317"/>
  <c r="Q51" i="317"/>
  <c r="P51" i="317"/>
  <c r="O51" i="317"/>
  <c r="A51" i="317"/>
  <c r="U50" i="317"/>
  <c r="T50" i="317"/>
  <c r="S50" i="317"/>
  <c r="R50" i="317"/>
  <c r="Q50" i="317"/>
  <c r="P50" i="317"/>
  <c r="O50" i="317"/>
  <c r="A50" i="317"/>
  <c r="U49" i="317"/>
  <c r="T49" i="317"/>
  <c r="S49" i="317"/>
  <c r="R49" i="317"/>
  <c r="Q49" i="317"/>
  <c r="P49" i="317"/>
  <c r="O49" i="317"/>
  <c r="A49" i="317"/>
  <c r="U48" i="317"/>
  <c r="T48" i="317"/>
  <c r="S48" i="317"/>
  <c r="R48" i="317"/>
  <c r="Q48" i="317"/>
  <c r="P48" i="317"/>
  <c r="O48" i="317"/>
  <c r="A48" i="317"/>
  <c r="U47" i="317"/>
  <c r="T47" i="317"/>
  <c r="S47" i="317"/>
  <c r="R47" i="317"/>
  <c r="Q47" i="317"/>
  <c r="P47" i="317"/>
  <c r="O47" i="317"/>
  <c r="A47" i="317"/>
  <c r="U46" i="317"/>
  <c r="T46" i="317"/>
  <c r="S46" i="317"/>
  <c r="R46" i="317"/>
  <c r="Q46" i="317"/>
  <c r="P46" i="317"/>
  <c r="O46" i="317"/>
  <c r="A46" i="317"/>
  <c r="U45" i="317"/>
  <c r="T45" i="317"/>
  <c r="S45" i="317"/>
  <c r="R45" i="317"/>
  <c r="Q45" i="317"/>
  <c r="P45" i="317"/>
  <c r="O45" i="317"/>
  <c r="A45" i="317"/>
  <c r="U44" i="317"/>
  <c r="T44" i="317"/>
  <c r="S44" i="317"/>
  <c r="R44" i="317"/>
  <c r="Q44" i="317"/>
  <c r="P44" i="317"/>
  <c r="O44" i="317"/>
  <c r="A44" i="317"/>
  <c r="U43" i="317"/>
  <c r="T43" i="317"/>
  <c r="S43" i="317"/>
  <c r="R43" i="317"/>
  <c r="Q43" i="317"/>
  <c r="P43" i="317"/>
  <c r="O43" i="317"/>
  <c r="A43" i="317"/>
  <c r="U42" i="317"/>
  <c r="T42" i="317"/>
  <c r="S42" i="317"/>
  <c r="R42" i="317"/>
  <c r="Q42" i="317"/>
  <c r="P42" i="317"/>
  <c r="O42" i="317"/>
  <c r="A42" i="317"/>
  <c r="U41" i="317"/>
  <c r="T41" i="317"/>
  <c r="S41" i="317"/>
  <c r="R41" i="317"/>
  <c r="Q41" i="317"/>
  <c r="P41" i="317"/>
  <c r="O41" i="317"/>
  <c r="A41" i="317"/>
  <c r="U40" i="317"/>
  <c r="T40" i="317"/>
  <c r="S40" i="317"/>
  <c r="R40" i="317"/>
  <c r="Q40" i="317"/>
  <c r="P40" i="317"/>
  <c r="O40" i="317"/>
  <c r="A40" i="317"/>
  <c r="U39" i="317"/>
  <c r="T39" i="317"/>
  <c r="S39" i="317"/>
  <c r="R39" i="317"/>
  <c r="Q39" i="317"/>
  <c r="P39" i="317"/>
  <c r="O39" i="317"/>
  <c r="A39" i="317"/>
  <c r="U38" i="317"/>
  <c r="T38" i="317"/>
  <c r="S38" i="317"/>
  <c r="R38" i="317"/>
  <c r="Q38" i="317"/>
  <c r="P38" i="317"/>
  <c r="O38" i="317"/>
  <c r="A38" i="317"/>
  <c r="U37" i="317"/>
  <c r="T37" i="317"/>
  <c r="S37" i="317"/>
  <c r="R37" i="317"/>
  <c r="Q37" i="317"/>
  <c r="P37" i="317"/>
  <c r="O37" i="317"/>
  <c r="A37" i="317"/>
  <c r="U36" i="317"/>
  <c r="T36" i="317"/>
  <c r="S36" i="317"/>
  <c r="R36" i="317"/>
  <c r="Q36" i="317"/>
  <c r="P36" i="317"/>
  <c r="O36" i="317"/>
  <c r="A36" i="317"/>
  <c r="U35" i="317"/>
  <c r="T35" i="317"/>
  <c r="S35" i="317"/>
  <c r="R35" i="317"/>
  <c r="Q35" i="317"/>
  <c r="P35" i="317"/>
  <c r="O35" i="317"/>
  <c r="A35" i="317"/>
  <c r="U34" i="317"/>
  <c r="T34" i="317"/>
  <c r="S34" i="317"/>
  <c r="R34" i="317"/>
  <c r="Q34" i="317"/>
  <c r="P34" i="317"/>
  <c r="O34" i="317"/>
  <c r="A34" i="317"/>
  <c r="U33" i="317"/>
  <c r="T33" i="317"/>
  <c r="S33" i="317"/>
  <c r="R33" i="317"/>
  <c r="Q33" i="317"/>
  <c r="P33" i="317"/>
  <c r="O33" i="317"/>
  <c r="A33" i="317"/>
  <c r="U32" i="317"/>
  <c r="T32" i="317"/>
  <c r="S32" i="317"/>
  <c r="R32" i="317"/>
  <c r="Q32" i="317"/>
  <c r="P32" i="317"/>
  <c r="O32" i="317"/>
  <c r="A32" i="317"/>
  <c r="U31" i="317"/>
  <c r="T31" i="317"/>
  <c r="S31" i="317"/>
  <c r="R31" i="317"/>
  <c r="Q31" i="317"/>
  <c r="P31" i="317"/>
  <c r="O31" i="317"/>
  <c r="A31" i="317"/>
  <c r="U30" i="317"/>
  <c r="T30" i="317"/>
  <c r="S30" i="317"/>
  <c r="R30" i="317"/>
  <c r="Q30" i="317"/>
  <c r="P30" i="317"/>
  <c r="O30" i="317"/>
  <c r="A30" i="317"/>
  <c r="U29" i="317"/>
  <c r="T29" i="317"/>
  <c r="S29" i="317"/>
  <c r="R29" i="317"/>
  <c r="Q29" i="317"/>
  <c r="P29" i="317"/>
  <c r="O29" i="317"/>
  <c r="A29" i="317"/>
  <c r="U28" i="317"/>
  <c r="T28" i="317"/>
  <c r="S28" i="317"/>
  <c r="R28" i="317"/>
  <c r="Q28" i="317"/>
  <c r="P28" i="317"/>
  <c r="O28" i="317"/>
  <c r="A28" i="317"/>
  <c r="U27" i="317"/>
  <c r="T27" i="317"/>
  <c r="S27" i="317"/>
  <c r="R27" i="317"/>
  <c r="Q27" i="317"/>
  <c r="P27" i="317"/>
  <c r="O27" i="317"/>
  <c r="A27" i="317"/>
  <c r="U26" i="317"/>
  <c r="T26" i="317"/>
  <c r="S26" i="317"/>
  <c r="R26" i="317"/>
  <c r="Q26" i="317"/>
  <c r="P26" i="317"/>
  <c r="O26" i="317"/>
  <c r="A26" i="317"/>
  <c r="U25" i="317"/>
  <c r="T25" i="317"/>
  <c r="S25" i="317"/>
  <c r="R25" i="317"/>
  <c r="Q25" i="317"/>
  <c r="P25" i="317"/>
  <c r="O25" i="317"/>
  <c r="A25" i="317"/>
  <c r="U24" i="317"/>
  <c r="T24" i="317"/>
  <c r="S24" i="317"/>
  <c r="R24" i="317"/>
  <c r="Q24" i="317"/>
  <c r="P24" i="317"/>
  <c r="O24" i="317"/>
  <c r="A24" i="317"/>
  <c r="U23" i="317"/>
  <c r="T23" i="317"/>
  <c r="S23" i="317"/>
  <c r="R23" i="317"/>
  <c r="Q23" i="317"/>
  <c r="P23" i="317"/>
  <c r="O23" i="317"/>
  <c r="A23" i="317"/>
  <c r="U22" i="317"/>
  <c r="T22" i="317"/>
  <c r="S22" i="317"/>
  <c r="R22" i="317"/>
  <c r="Q22" i="317"/>
  <c r="P22" i="317"/>
  <c r="O22" i="317"/>
  <c r="A22" i="317"/>
  <c r="U21" i="317"/>
  <c r="T21" i="317"/>
  <c r="S21" i="317"/>
  <c r="R21" i="317"/>
  <c r="Q21" i="317"/>
  <c r="P21" i="317"/>
  <c r="O21" i="317"/>
  <c r="A21" i="317"/>
  <c r="U20" i="317"/>
  <c r="T20" i="317"/>
  <c r="S20" i="317"/>
  <c r="R20" i="317"/>
  <c r="Q20" i="317"/>
  <c r="P20" i="317"/>
  <c r="O20" i="317"/>
  <c r="A20" i="317"/>
  <c r="U19" i="317"/>
  <c r="T19" i="317"/>
  <c r="S19" i="317"/>
  <c r="R19" i="317"/>
  <c r="Q19" i="317"/>
  <c r="P19" i="317"/>
  <c r="O19" i="317"/>
  <c r="A19" i="317"/>
  <c r="U18" i="317"/>
  <c r="T18" i="317"/>
  <c r="S18" i="317"/>
  <c r="R18" i="317"/>
  <c r="Q18" i="317"/>
  <c r="P18" i="317"/>
  <c r="O18" i="317"/>
  <c r="A18" i="317"/>
  <c r="U17" i="317"/>
  <c r="T17" i="317"/>
  <c r="S17" i="317"/>
  <c r="R17" i="317"/>
  <c r="Q17" i="317"/>
  <c r="P17" i="317"/>
  <c r="O17" i="317"/>
  <c r="A17" i="317"/>
  <c r="U16" i="317"/>
  <c r="T16" i="317"/>
  <c r="S16" i="317"/>
  <c r="R16" i="317"/>
  <c r="Q16" i="317"/>
  <c r="P16" i="317"/>
  <c r="O16" i="317"/>
  <c r="A16" i="317"/>
  <c r="U15" i="317"/>
  <c r="T15" i="317"/>
  <c r="S15" i="317"/>
  <c r="R15" i="317"/>
  <c r="Q15" i="317"/>
  <c r="P15" i="317"/>
  <c r="O15" i="317"/>
  <c r="A15" i="317"/>
  <c r="U14" i="317"/>
  <c r="T14" i="317"/>
  <c r="S14" i="317"/>
  <c r="R14" i="317"/>
  <c r="Q14" i="317"/>
  <c r="P14" i="317"/>
  <c r="O14" i="317"/>
  <c r="A14" i="317"/>
  <c r="U13" i="317"/>
  <c r="T13" i="317"/>
  <c r="S13" i="317"/>
  <c r="R13" i="317"/>
  <c r="Q13" i="317"/>
  <c r="P13" i="317"/>
  <c r="O13" i="317"/>
  <c r="A13" i="317"/>
  <c r="U12" i="317"/>
  <c r="T12" i="317"/>
  <c r="S12" i="317"/>
  <c r="R12" i="317"/>
  <c r="Q12" i="317"/>
  <c r="P12" i="317"/>
  <c r="O12" i="317"/>
  <c r="A12" i="317"/>
  <c r="U11" i="317"/>
  <c r="T11" i="317"/>
  <c r="S11" i="317"/>
  <c r="R11" i="317"/>
  <c r="Q11" i="317"/>
  <c r="P11" i="317"/>
  <c r="O11" i="317"/>
  <c r="A11" i="317"/>
  <c r="U10" i="317"/>
  <c r="T10" i="317"/>
  <c r="S10" i="317"/>
  <c r="R10" i="317"/>
  <c r="Q10" i="317"/>
  <c r="P10" i="317"/>
  <c r="O10" i="317"/>
  <c r="A10" i="317"/>
  <c r="U9" i="317"/>
  <c r="T9" i="317"/>
  <c r="S9" i="317"/>
  <c r="R9" i="317"/>
  <c r="Q9" i="317"/>
  <c r="P9" i="317"/>
  <c r="O9" i="317"/>
  <c r="A9" i="317"/>
  <c r="U8" i="317"/>
  <c r="T8" i="317"/>
  <c r="S8" i="317"/>
  <c r="R8" i="317"/>
  <c r="Q8" i="317"/>
  <c r="P8" i="317"/>
  <c r="O8" i="317"/>
  <c r="A8" i="317"/>
  <c r="G14" i="315" s="1"/>
  <c r="U7" i="317"/>
  <c r="T7" i="317"/>
  <c r="S7" i="317"/>
  <c r="R7" i="317"/>
  <c r="Q7" i="317"/>
  <c r="P7" i="317"/>
  <c r="O7" i="317"/>
  <c r="A7" i="317"/>
  <c r="U6" i="317"/>
  <c r="T6" i="317"/>
  <c r="S6" i="317"/>
  <c r="R6" i="317"/>
  <c r="Q6" i="317"/>
  <c r="P6" i="317"/>
  <c r="O6" i="317"/>
  <c r="A6" i="317"/>
  <c r="J69" i="315" s="1"/>
  <c r="U203" i="316"/>
  <c r="T203" i="316"/>
  <c r="S203" i="316"/>
  <c r="R203" i="316"/>
  <c r="Q203" i="316"/>
  <c r="P203" i="316"/>
  <c r="O203" i="316"/>
  <c r="A203" i="316"/>
  <c r="U202" i="316"/>
  <c r="T202" i="316"/>
  <c r="S202" i="316"/>
  <c r="R202" i="316"/>
  <c r="Q202" i="316"/>
  <c r="P202" i="316"/>
  <c r="O202" i="316"/>
  <c r="A202" i="316"/>
  <c r="U201" i="316"/>
  <c r="T201" i="316"/>
  <c r="S201" i="316"/>
  <c r="R201" i="316"/>
  <c r="Q201" i="316"/>
  <c r="P201" i="316"/>
  <c r="O201" i="316"/>
  <c r="A201" i="316"/>
  <c r="U200" i="316"/>
  <c r="T200" i="316"/>
  <c r="S200" i="316"/>
  <c r="R200" i="316"/>
  <c r="Q200" i="316"/>
  <c r="P200" i="316"/>
  <c r="O200" i="316"/>
  <c r="A200" i="316"/>
  <c r="U199" i="316"/>
  <c r="T199" i="316"/>
  <c r="S199" i="316"/>
  <c r="R199" i="316"/>
  <c r="Q199" i="316"/>
  <c r="P199" i="316"/>
  <c r="O199" i="316"/>
  <c r="A199" i="316"/>
  <c r="U198" i="316"/>
  <c r="T198" i="316"/>
  <c r="S198" i="316"/>
  <c r="R198" i="316"/>
  <c r="Q198" i="316"/>
  <c r="P198" i="316"/>
  <c r="O198" i="316"/>
  <c r="A198" i="316"/>
  <c r="U197" i="316"/>
  <c r="T197" i="316"/>
  <c r="S197" i="316"/>
  <c r="R197" i="316"/>
  <c r="Q197" i="316"/>
  <c r="P197" i="316"/>
  <c r="O197" i="316"/>
  <c r="A197" i="316"/>
  <c r="U196" i="316"/>
  <c r="T196" i="316"/>
  <c r="S196" i="316"/>
  <c r="R196" i="316"/>
  <c r="Q196" i="316"/>
  <c r="P196" i="316"/>
  <c r="O196" i="316"/>
  <c r="A196" i="316"/>
  <c r="U195" i="316"/>
  <c r="T195" i="316"/>
  <c r="S195" i="316"/>
  <c r="R195" i="316"/>
  <c r="Q195" i="316"/>
  <c r="P195" i="316"/>
  <c r="O195" i="316"/>
  <c r="A195" i="316"/>
  <c r="U194" i="316"/>
  <c r="T194" i="316"/>
  <c r="S194" i="316"/>
  <c r="R194" i="316"/>
  <c r="Q194" i="316"/>
  <c r="P194" i="316"/>
  <c r="O194" i="316"/>
  <c r="A194" i="316"/>
  <c r="U193" i="316"/>
  <c r="T193" i="316"/>
  <c r="S193" i="316"/>
  <c r="R193" i="316"/>
  <c r="Q193" i="316"/>
  <c r="P193" i="316"/>
  <c r="O193" i="316"/>
  <c r="A193" i="316"/>
  <c r="U192" i="316"/>
  <c r="T192" i="316"/>
  <c r="S192" i="316"/>
  <c r="R192" i="316"/>
  <c r="Q192" i="316"/>
  <c r="P192" i="316"/>
  <c r="O192" i="316"/>
  <c r="A192" i="316"/>
  <c r="U191" i="316"/>
  <c r="T191" i="316"/>
  <c r="S191" i="316"/>
  <c r="R191" i="316"/>
  <c r="Q191" i="316"/>
  <c r="P191" i="316"/>
  <c r="O191" i="316"/>
  <c r="A191" i="316"/>
  <c r="U190" i="316"/>
  <c r="T190" i="316"/>
  <c r="S190" i="316"/>
  <c r="R190" i="316"/>
  <c r="Q190" i="316"/>
  <c r="P190" i="316"/>
  <c r="O190" i="316"/>
  <c r="A190" i="316"/>
  <c r="U189" i="316"/>
  <c r="T189" i="316"/>
  <c r="S189" i="316"/>
  <c r="R189" i="316"/>
  <c r="Q189" i="316"/>
  <c r="P189" i="316"/>
  <c r="O189" i="316"/>
  <c r="A189" i="316"/>
  <c r="U188" i="316"/>
  <c r="T188" i="316"/>
  <c r="S188" i="316"/>
  <c r="R188" i="316"/>
  <c r="Q188" i="316"/>
  <c r="P188" i="316"/>
  <c r="O188" i="316"/>
  <c r="A188" i="316"/>
  <c r="U187" i="316"/>
  <c r="T187" i="316"/>
  <c r="S187" i="316"/>
  <c r="R187" i="316"/>
  <c r="Q187" i="316"/>
  <c r="P187" i="316"/>
  <c r="O187" i="316"/>
  <c r="A187" i="316"/>
  <c r="U186" i="316"/>
  <c r="T186" i="316"/>
  <c r="S186" i="316"/>
  <c r="R186" i="316"/>
  <c r="Q186" i="316"/>
  <c r="P186" i="316"/>
  <c r="O186" i="316"/>
  <c r="A186" i="316"/>
  <c r="U185" i="316"/>
  <c r="T185" i="316"/>
  <c r="S185" i="316"/>
  <c r="R185" i="316"/>
  <c r="Q185" i="316"/>
  <c r="P185" i="316"/>
  <c r="O185" i="316"/>
  <c r="A185" i="316"/>
  <c r="U184" i="316"/>
  <c r="T184" i="316"/>
  <c r="S184" i="316"/>
  <c r="R184" i="316"/>
  <c r="Q184" i="316"/>
  <c r="P184" i="316"/>
  <c r="O184" i="316"/>
  <c r="A184" i="316"/>
  <c r="U183" i="316"/>
  <c r="T183" i="316"/>
  <c r="S183" i="316"/>
  <c r="R183" i="316"/>
  <c r="Q183" i="316"/>
  <c r="P183" i="316"/>
  <c r="O183" i="316"/>
  <c r="A183" i="316"/>
  <c r="U182" i="316"/>
  <c r="T182" i="316"/>
  <c r="S182" i="316"/>
  <c r="R182" i="316"/>
  <c r="Q182" i="316"/>
  <c r="P182" i="316"/>
  <c r="O182" i="316"/>
  <c r="A182" i="316"/>
  <c r="U181" i="316"/>
  <c r="T181" i="316"/>
  <c r="S181" i="316"/>
  <c r="R181" i="316"/>
  <c r="Q181" i="316"/>
  <c r="P181" i="316"/>
  <c r="O181" i="316"/>
  <c r="A181" i="316"/>
  <c r="U180" i="316"/>
  <c r="T180" i="316"/>
  <c r="S180" i="316"/>
  <c r="R180" i="316"/>
  <c r="Q180" i="316"/>
  <c r="P180" i="316"/>
  <c r="O180" i="316"/>
  <c r="A180" i="316"/>
  <c r="U179" i="316"/>
  <c r="T179" i="316"/>
  <c r="S179" i="316"/>
  <c r="R179" i="316"/>
  <c r="Q179" i="316"/>
  <c r="P179" i="316"/>
  <c r="O179" i="316"/>
  <c r="A179" i="316"/>
  <c r="U178" i="316"/>
  <c r="T178" i="316"/>
  <c r="S178" i="316"/>
  <c r="R178" i="316"/>
  <c r="Q178" i="316"/>
  <c r="P178" i="316"/>
  <c r="O178" i="316"/>
  <c r="A178" i="316"/>
  <c r="U177" i="316"/>
  <c r="T177" i="316"/>
  <c r="S177" i="316"/>
  <c r="R177" i="316"/>
  <c r="Q177" i="316"/>
  <c r="P177" i="316"/>
  <c r="O177" i="316"/>
  <c r="A177" i="316"/>
  <c r="U176" i="316"/>
  <c r="T176" i="316"/>
  <c r="S176" i="316"/>
  <c r="R176" i="316"/>
  <c r="Q176" i="316"/>
  <c r="P176" i="316"/>
  <c r="O176" i="316"/>
  <c r="A176" i="316"/>
  <c r="U175" i="316"/>
  <c r="T175" i="316"/>
  <c r="S175" i="316"/>
  <c r="R175" i="316"/>
  <c r="Q175" i="316"/>
  <c r="P175" i="316"/>
  <c r="O175" i="316"/>
  <c r="A175" i="316"/>
  <c r="U174" i="316"/>
  <c r="T174" i="316"/>
  <c r="S174" i="316"/>
  <c r="R174" i="316"/>
  <c r="Q174" i="316"/>
  <c r="P174" i="316"/>
  <c r="O174" i="316"/>
  <c r="A174" i="316"/>
  <c r="U173" i="316"/>
  <c r="T173" i="316"/>
  <c r="S173" i="316"/>
  <c r="R173" i="316"/>
  <c r="Q173" i="316"/>
  <c r="P173" i="316"/>
  <c r="O173" i="316"/>
  <c r="A173" i="316"/>
  <c r="U172" i="316"/>
  <c r="T172" i="316"/>
  <c r="S172" i="316"/>
  <c r="R172" i="316"/>
  <c r="Q172" i="316"/>
  <c r="P172" i="316"/>
  <c r="O172" i="316"/>
  <c r="A172" i="316"/>
  <c r="U171" i="316"/>
  <c r="T171" i="316"/>
  <c r="S171" i="316"/>
  <c r="R171" i="316"/>
  <c r="Q171" i="316"/>
  <c r="P171" i="316"/>
  <c r="O171" i="316"/>
  <c r="A171" i="316"/>
  <c r="U170" i="316"/>
  <c r="T170" i="316"/>
  <c r="S170" i="316"/>
  <c r="R170" i="316"/>
  <c r="Q170" i="316"/>
  <c r="P170" i="316"/>
  <c r="O170" i="316"/>
  <c r="A170" i="316"/>
  <c r="U169" i="316"/>
  <c r="T169" i="316"/>
  <c r="S169" i="316"/>
  <c r="R169" i="316"/>
  <c r="Q169" i="316"/>
  <c r="P169" i="316"/>
  <c r="O169" i="316"/>
  <c r="A169" i="316"/>
  <c r="U168" i="316"/>
  <c r="T168" i="316"/>
  <c r="S168" i="316"/>
  <c r="R168" i="316"/>
  <c r="Q168" i="316"/>
  <c r="P168" i="316"/>
  <c r="O168" i="316"/>
  <c r="A168" i="316"/>
  <c r="U167" i="316"/>
  <c r="T167" i="316"/>
  <c r="S167" i="316"/>
  <c r="R167" i="316"/>
  <c r="Q167" i="316"/>
  <c r="P167" i="316"/>
  <c r="O167" i="316"/>
  <c r="A167" i="316"/>
  <c r="U166" i="316"/>
  <c r="T166" i="316"/>
  <c r="S166" i="316"/>
  <c r="R166" i="316"/>
  <c r="Q166" i="316"/>
  <c r="P166" i="316"/>
  <c r="O166" i="316"/>
  <c r="A166" i="316"/>
  <c r="U165" i="316"/>
  <c r="T165" i="316"/>
  <c r="S165" i="316"/>
  <c r="R165" i="316"/>
  <c r="Q165" i="316"/>
  <c r="P165" i="316"/>
  <c r="O165" i="316"/>
  <c r="A165" i="316"/>
  <c r="U164" i="316"/>
  <c r="T164" i="316"/>
  <c r="S164" i="316"/>
  <c r="R164" i="316"/>
  <c r="Q164" i="316"/>
  <c r="P164" i="316"/>
  <c r="O164" i="316"/>
  <c r="A164" i="316"/>
  <c r="U163" i="316"/>
  <c r="T163" i="316"/>
  <c r="S163" i="316"/>
  <c r="R163" i="316"/>
  <c r="Q163" i="316"/>
  <c r="P163" i="316"/>
  <c r="O163" i="316"/>
  <c r="A163" i="316"/>
  <c r="U162" i="316"/>
  <c r="T162" i="316"/>
  <c r="S162" i="316"/>
  <c r="R162" i="316"/>
  <c r="Q162" i="316"/>
  <c r="P162" i="316"/>
  <c r="O162" i="316"/>
  <c r="A162" i="316"/>
  <c r="U161" i="316"/>
  <c r="T161" i="316"/>
  <c r="S161" i="316"/>
  <c r="R161" i="316"/>
  <c r="Q161" i="316"/>
  <c r="P161" i="316"/>
  <c r="O161" i="316"/>
  <c r="A161" i="316"/>
  <c r="U160" i="316"/>
  <c r="T160" i="316"/>
  <c r="S160" i="316"/>
  <c r="R160" i="316"/>
  <c r="Q160" i="316"/>
  <c r="P160" i="316"/>
  <c r="O160" i="316"/>
  <c r="A160" i="316"/>
  <c r="U159" i="316"/>
  <c r="T159" i="316"/>
  <c r="S159" i="316"/>
  <c r="R159" i="316"/>
  <c r="Q159" i="316"/>
  <c r="P159" i="316"/>
  <c r="O159" i="316"/>
  <c r="A159" i="316"/>
  <c r="U158" i="316"/>
  <c r="T158" i="316"/>
  <c r="S158" i="316"/>
  <c r="R158" i="316"/>
  <c r="Q158" i="316"/>
  <c r="P158" i="316"/>
  <c r="O158" i="316"/>
  <c r="A158" i="316"/>
  <c r="U157" i="316"/>
  <c r="T157" i="316"/>
  <c r="S157" i="316"/>
  <c r="R157" i="316"/>
  <c r="Q157" i="316"/>
  <c r="P157" i="316"/>
  <c r="O157" i="316"/>
  <c r="A157" i="316"/>
  <c r="U156" i="316"/>
  <c r="T156" i="316"/>
  <c r="S156" i="316"/>
  <c r="R156" i="316"/>
  <c r="Q156" i="316"/>
  <c r="P156" i="316"/>
  <c r="O156" i="316"/>
  <c r="A156" i="316"/>
  <c r="U155" i="316"/>
  <c r="T155" i="316"/>
  <c r="S155" i="316"/>
  <c r="R155" i="316"/>
  <c r="Q155" i="316"/>
  <c r="P155" i="316"/>
  <c r="O155" i="316"/>
  <c r="A155" i="316"/>
  <c r="U154" i="316"/>
  <c r="T154" i="316"/>
  <c r="S154" i="316"/>
  <c r="R154" i="316"/>
  <c r="Q154" i="316"/>
  <c r="P154" i="316"/>
  <c r="O154" i="316"/>
  <c r="A154" i="316"/>
  <c r="U153" i="316"/>
  <c r="T153" i="316"/>
  <c r="S153" i="316"/>
  <c r="R153" i="316"/>
  <c r="Q153" i="316"/>
  <c r="P153" i="316"/>
  <c r="O153" i="316"/>
  <c r="A153" i="316"/>
  <c r="U152" i="316"/>
  <c r="T152" i="316"/>
  <c r="S152" i="316"/>
  <c r="R152" i="316"/>
  <c r="Q152" i="316"/>
  <c r="P152" i="316"/>
  <c r="O152" i="316"/>
  <c r="A152" i="316"/>
  <c r="U151" i="316"/>
  <c r="T151" i="316"/>
  <c r="S151" i="316"/>
  <c r="R151" i="316"/>
  <c r="Q151" i="316"/>
  <c r="P151" i="316"/>
  <c r="O151" i="316"/>
  <c r="A151" i="316"/>
  <c r="U150" i="316"/>
  <c r="T150" i="316"/>
  <c r="S150" i="316"/>
  <c r="R150" i="316"/>
  <c r="Q150" i="316"/>
  <c r="P150" i="316"/>
  <c r="O150" i="316"/>
  <c r="A150" i="316"/>
  <c r="U149" i="316"/>
  <c r="T149" i="316"/>
  <c r="S149" i="316"/>
  <c r="R149" i="316"/>
  <c r="Q149" i="316"/>
  <c r="P149" i="316"/>
  <c r="O149" i="316"/>
  <c r="A149" i="316"/>
  <c r="U148" i="316"/>
  <c r="T148" i="316"/>
  <c r="S148" i="316"/>
  <c r="R148" i="316"/>
  <c r="Q148" i="316"/>
  <c r="P148" i="316"/>
  <c r="O148" i="316"/>
  <c r="A148" i="316"/>
  <c r="U147" i="316"/>
  <c r="T147" i="316"/>
  <c r="S147" i="316"/>
  <c r="R147" i="316"/>
  <c r="Q147" i="316"/>
  <c r="P147" i="316"/>
  <c r="O147" i="316"/>
  <c r="A147" i="316"/>
  <c r="U146" i="316"/>
  <c r="T146" i="316"/>
  <c r="S146" i="316"/>
  <c r="R146" i="316"/>
  <c r="Q146" i="316"/>
  <c r="P146" i="316"/>
  <c r="O146" i="316"/>
  <c r="A146" i="316"/>
  <c r="U145" i="316"/>
  <c r="T145" i="316"/>
  <c r="S145" i="316"/>
  <c r="R145" i="316"/>
  <c r="Q145" i="316"/>
  <c r="P145" i="316"/>
  <c r="O145" i="316"/>
  <c r="A145" i="316"/>
  <c r="U144" i="316"/>
  <c r="T144" i="316"/>
  <c r="S144" i="316"/>
  <c r="R144" i="316"/>
  <c r="Q144" i="316"/>
  <c r="P144" i="316"/>
  <c r="O144" i="316"/>
  <c r="A144" i="316"/>
  <c r="U143" i="316"/>
  <c r="T143" i="316"/>
  <c r="S143" i="316"/>
  <c r="R143" i="316"/>
  <c r="Q143" i="316"/>
  <c r="P143" i="316"/>
  <c r="O143" i="316"/>
  <c r="A143" i="316"/>
  <c r="U142" i="316"/>
  <c r="T142" i="316"/>
  <c r="S142" i="316"/>
  <c r="R142" i="316"/>
  <c r="Q142" i="316"/>
  <c r="P142" i="316"/>
  <c r="O142" i="316"/>
  <c r="A142" i="316"/>
  <c r="U141" i="316"/>
  <c r="T141" i="316"/>
  <c r="S141" i="316"/>
  <c r="R141" i="316"/>
  <c r="Q141" i="316"/>
  <c r="P141" i="316"/>
  <c r="O141" i="316"/>
  <c r="A141" i="316"/>
  <c r="U140" i="316"/>
  <c r="T140" i="316"/>
  <c r="S140" i="316"/>
  <c r="R140" i="316"/>
  <c r="Q140" i="316"/>
  <c r="P140" i="316"/>
  <c r="O140" i="316"/>
  <c r="A140" i="316"/>
  <c r="U139" i="316"/>
  <c r="T139" i="316"/>
  <c r="S139" i="316"/>
  <c r="R139" i="316"/>
  <c r="Q139" i="316"/>
  <c r="P139" i="316"/>
  <c r="O139" i="316"/>
  <c r="A139" i="316"/>
  <c r="U138" i="316"/>
  <c r="T138" i="316"/>
  <c r="S138" i="316"/>
  <c r="R138" i="316"/>
  <c r="Q138" i="316"/>
  <c r="P138" i="316"/>
  <c r="O138" i="316"/>
  <c r="A138" i="316"/>
  <c r="U137" i="316"/>
  <c r="T137" i="316"/>
  <c r="S137" i="316"/>
  <c r="R137" i="316"/>
  <c r="Q137" i="316"/>
  <c r="P137" i="316"/>
  <c r="O137" i="316"/>
  <c r="A137" i="316"/>
  <c r="U136" i="316"/>
  <c r="T136" i="316"/>
  <c r="S136" i="316"/>
  <c r="R136" i="316"/>
  <c r="Q136" i="316"/>
  <c r="P136" i="316"/>
  <c r="O136" i="316"/>
  <c r="A136" i="316"/>
  <c r="U135" i="316"/>
  <c r="T135" i="316"/>
  <c r="S135" i="316"/>
  <c r="R135" i="316"/>
  <c r="Q135" i="316"/>
  <c r="P135" i="316"/>
  <c r="O135" i="316"/>
  <c r="A135" i="316"/>
  <c r="U134" i="316"/>
  <c r="T134" i="316"/>
  <c r="S134" i="316"/>
  <c r="R134" i="316"/>
  <c r="Q134" i="316"/>
  <c r="P134" i="316"/>
  <c r="O134" i="316"/>
  <c r="A134" i="316"/>
  <c r="U133" i="316"/>
  <c r="T133" i="316"/>
  <c r="S133" i="316"/>
  <c r="R133" i="316"/>
  <c r="Q133" i="316"/>
  <c r="P133" i="316"/>
  <c r="O133" i="316"/>
  <c r="A133" i="316"/>
  <c r="U132" i="316"/>
  <c r="T132" i="316"/>
  <c r="S132" i="316"/>
  <c r="R132" i="316"/>
  <c r="Q132" i="316"/>
  <c r="P132" i="316"/>
  <c r="O132" i="316"/>
  <c r="A132" i="316"/>
  <c r="U131" i="316"/>
  <c r="T131" i="316"/>
  <c r="S131" i="316"/>
  <c r="R131" i="316"/>
  <c r="Q131" i="316"/>
  <c r="P131" i="316"/>
  <c r="O131" i="316"/>
  <c r="A131" i="316"/>
  <c r="U130" i="316"/>
  <c r="T130" i="316"/>
  <c r="S130" i="316"/>
  <c r="R130" i="316"/>
  <c r="Q130" i="316"/>
  <c r="P130" i="316"/>
  <c r="O130" i="316"/>
  <c r="A130" i="316"/>
  <c r="U129" i="316"/>
  <c r="T129" i="316"/>
  <c r="S129" i="316"/>
  <c r="R129" i="316"/>
  <c r="Q129" i="316"/>
  <c r="P129" i="316"/>
  <c r="O129" i="316"/>
  <c r="A129" i="316"/>
  <c r="U128" i="316"/>
  <c r="T128" i="316"/>
  <c r="S128" i="316"/>
  <c r="R128" i="316"/>
  <c r="Q128" i="316"/>
  <c r="P128" i="316"/>
  <c r="O128" i="316"/>
  <c r="A128" i="316"/>
  <c r="U127" i="316"/>
  <c r="T127" i="316"/>
  <c r="S127" i="316"/>
  <c r="R127" i="316"/>
  <c r="Q127" i="316"/>
  <c r="P127" i="316"/>
  <c r="O127" i="316"/>
  <c r="A127" i="316"/>
  <c r="U126" i="316"/>
  <c r="T126" i="316"/>
  <c r="S126" i="316"/>
  <c r="R126" i="316"/>
  <c r="Q126" i="316"/>
  <c r="P126" i="316"/>
  <c r="O126" i="316"/>
  <c r="A126" i="316"/>
  <c r="U125" i="316"/>
  <c r="T125" i="316"/>
  <c r="S125" i="316"/>
  <c r="R125" i="316"/>
  <c r="Q125" i="316"/>
  <c r="P125" i="316"/>
  <c r="O125" i="316"/>
  <c r="A125" i="316"/>
  <c r="U124" i="316"/>
  <c r="T124" i="316"/>
  <c r="S124" i="316"/>
  <c r="R124" i="316"/>
  <c r="Q124" i="316"/>
  <c r="P124" i="316"/>
  <c r="O124" i="316"/>
  <c r="A124" i="316"/>
  <c r="U123" i="316"/>
  <c r="T123" i="316"/>
  <c r="S123" i="316"/>
  <c r="R123" i="316"/>
  <c r="Q123" i="316"/>
  <c r="P123" i="316"/>
  <c r="O123" i="316"/>
  <c r="A123" i="316"/>
  <c r="U122" i="316"/>
  <c r="T122" i="316"/>
  <c r="S122" i="316"/>
  <c r="R122" i="316"/>
  <c r="Q122" i="316"/>
  <c r="P122" i="316"/>
  <c r="O122" i="316"/>
  <c r="A122" i="316"/>
  <c r="U121" i="316"/>
  <c r="T121" i="316"/>
  <c r="S121" i="316"/>
  <c r="R121" i="316"/>
  <c r="Q121" i="316"/>
  <c r="P121" i="316"/>
  <c r="O121" i="316"/>
  <c r="A121" i="316"/>
  <c r="U120" i="316"/>
  <c r="T120" i="316"/>
  <c r="S120" i="316"/>
  <c r="R120" i="316"/>
  <c r="Q120" i="316"/>
  <c r="P120" i="316"/>
  <c r="O120" i="316"/>
  <c r="A120" i="316"/>
  <c r="U119" i="316"/>
  <c r="T119" i="316"/>
  <c r="S119" i="316"/>
  <c r="R119" i="316"/>
  <c r="Q119" i="316"/>
  <c r="P119" i="316"/>
  <c r="O119" i="316"/>
  <c r="A119" i="316"/>
  <c r="U118" i="316"/>
  <c r="T118" i="316"/>
  <c r="S118" i="316"/>
  <c r="R118" i="316"/>
  <c r="Q118" i="316"/>
  <c r="P118" i="316"/>
  <c r="O118" i="316"/>
  <c r="A118" i="316"/>
  <c r="U117" i="316"/>
  <c r="T117" i="316"/>
  <c r="S117" i="316"/>
  <c r="R117" i="316"/>
  <c r="Q117" i="316"/>
  <c r="P117" i="316"/>
  <c r="O117" i="316"/>
  <c r="A117" i="316"/>
  <c r="U116" i="316"/>
  <c r="T116" i="316"/>
  <c r="S116" i="316"/>
  <c r="R116" i="316"/>
  <c r="Q116" i="316"/>
  <c r="P116" i="316"/>
  <c r="O116" i="316"/>
  <c r="A116" i="316"/>
  <c r="U115" i="316"/>
  <c r="T115" i="316"/>
  <c r="S115" i="316"/>
  <c r="R115" i="316"/>
  <c r="Q115" i="316"/>
  <c r="P115" i="316"/>
  <c r="O115" i="316"/>
  <c r="A115" i="316"/>
  <c r="U114" i="316"/>
  <c r="T114" i="316"/>
  <c r="S114" i="316"/>
  <c r="R114" i="316"/>
  <c r="Q114" i="316"/>
  <c r="P114" i="316"/>
  <c r="O114" i="316"/>
  <c r="A114" i="316"/>
  <c r="U113" i="316"/>
  <c r="T113" i="316"/>
  <c r="S113" i="316"/>
  <c r="R113" i="316"/>
  <c r="Q113" i="316"/>
  <c r="P113" i="316"/>
  <c r="O113" i="316"/>
  <c r="A113" i="316"/>
  <c r="U112" i="316"/>
  <c r="T112" i="316"/>
  <c r="S112" i="316"/>
  <c r="R112" i="316"/>
  <c r="Q112" i="316"/>
  <c r="P112" i="316"/>
  <c r="O112" i="316"/>
  <c r="A112" i="316"/>
  <c r="U111" i="316"/>
  <c r="T111" i="316"/>
  <c r="S111" i="316"/>
  <c r="R111" i="316"/>
  <c r="W111" i="316" s="1"/>
  <c r="Q111" i="316"/>
  <c r="P111" i="316"/>
  <c r="O111" i="316"/>
  <c r="A111" i="316"/>
  <c r="U110" i="316"/>
  <c r="T110" i="316"/>
  <c r="S110" i="316"/>
  <c r="R110" i="316"/>
  <c r="Q110" i="316"/>
  <c r="P110" i="316"/>
  <c r="O110" i="316"/>
  <c r="A110" i="316"/>
  <c r="U109" i="316"/>
  <c r="T109" i="316"/>
  <c r="S109" i="316"/>
  <c r="R109" i="316"/>
  <c r="Q109" i="316"/>
  <c r="P109" i="316"/>
  <c r="O109" i="316"/>
  <c r="A109" i="316"/>
  <c r="U108" i="316"/>
  <c r="T108" i="316"/>
  <c r="S108" i="316"/>
  <c r="R108" i="316"/>
  <c r="Q108" i="316"/>
  <c r="P108" i="316"/>
  <c r="O108" i="316"/>
  <c r="A108" i="316"/>
  <c r="U107" i="316"/>
  <c r="T107" i="316"/>
  <c r="S107" i="316"/>
  <c r="R107" i="316"/>
  <c r="Q107" i="316"/>
  <c r="P107" i="316"/>
  <c r="O107" i="316"/>
  <c r="A107" i="316"/>
  <c r="U106" i="316"/>
  <c r="T106" i="316"/>
  <c r="S106" i="316"/>
  <c r="R106" i="316"/>
  <c r="Q106" i="316"/>
  <c r="P106" i="316"/>
  <c r="O106" i="316"/>
  <c r="A106" i="316"/>
  <c r="U105" i="316"/>
  <c r="T105" i="316"/>
  <c r="S105" i="316"/>
  <c r="R105" i="316"/>
  <c r="Q105" i="316"/>
  <c r="P105" i="316"/>
  <c r="O105" i="316"/>
  <c r="A105" i="316"/>
  <c r="U104" i="316"/>
  <c r="T104" i="316"/>
  <c r="S104" i="316"/>
  <c r="R104" i="316"/>
  <c r="Q104" i="316"/>
  <c r="P104" i="316"/>
  <c r="O104" i="316"/>
  <c r="A104" i="316"/>
  <c r="U103" i="316"/>
  <c r="T103" i="316"/>
  <c r="S103" i="316"/>
  <c r="R103" i="316"/>
  <c r="Q103" i="316"/>
  <c r="P103" i="316"/>
  <c r="O103" i="316"/>
  <c r="A103" i="316"/>
  <c r="U102" i="316"/>
  <c r="T102" i="316"/>
  <c r="S102" i="316"/>
  <c r="R102" i="316"/>
  <c r="Q102" i="316"/>
  <c r="P102" i="316"/>
  <c r="O102" i="316"/>
  <c r="A102" i="316"/>
  <c r="U101" i="316"/>
  <c r="T101" i="316"/>
  <c r="S101" i="316"/>
  <c r="R101" i="316"/>
  <c r="Q101" i="316"/>
  <c r="P101" i="316"/>
  <c r="O101" i="316"/>
  <c r="A101" i="316"/>
  <c r="U100" i="316"/>
  <c r="T100" i="316"/>
  <c r="S100" i="316"/>
  <c r="R100" i="316"/>
  <c r="Q100" i="316"/>
  <c r="P100" i="316"/>
  <c r="O100" i="316"/>
  <c r="A100" i="316"/>
  <c r="U99" i="316"/>
  <c r="T99" i="316"/>
  <c r="S99" i="316"/>
  <c r="R99" i="316"/>
  <c r="Q99" i="316"/>
  <c r="P99" i="316"/>
  <c r="O99" i="316"/>
  <c r="A99" i="316"/>
  <c r="U98" i="316"/>
  <c r="T98" i="316"/>
  <c r="S98" i="316"/>
  <c r="R98" i="316"/>
  <c r="Q98" i="316"/>
  <c r="P98" i="316"/>
  <c r="O98" i="316"/>
  <c r="A98" i="316"/>
  <c r="U97" i="316"/>
  <c r="T97" i="316"/>
  <c r="S97" i="316"/>
  <c r="R97" i="316"/>
  <c r="Q97" i="316"/>
  <c r="P97" i="316"/>
  <c r="O97" i="316"/>
  <c r="A97" i="316"/>
  <c r="U96" i="316"/>
  <c r="T96" i="316"/>
  <c r="S96" i="316"/>
  <c r="R96" i="316"/>
  <c r="Q96" i="316"/>
  <c r="P96" i="316"/>
  <c r="O96" i="316"/>
  <c r="A96" i="316"/>
  <c r="U95" i="316"/>
  <c r="T95" i="316"/>
  <c r="S95" i="316"/>
  <c r="R95" i="316"/>
  <c r="Q95" i="316"/>
  <c r="P95" i="316"/>
  <c r="O95" i="316"/>
  <c r="A95" i="316"/>
  <c r="U94" i="316"/>
  <c r="T94" i="316"/>
  <c r="S94" i="316"/>
  <c r="R94" i="316"/>
  <c r="Q94" i="316"/>
  <c r="P94" i="316"/>
  <c r="O94" i="316"/>
  <c r="A94" i="316"/>
  <c r="U93" i="316"/>
  <c r="T93" i="316"/>
  <c r="S93" i="316"/>
  <c r="R93" i="316"/>
  <c r="Q93" i="316"/>
  <c r="P93" i="316"/>
  <c r="O93" i="316"/>
  <c r="A93" i="316"/>
  <c r="U92" i="316"/>
  <c r="T92" i="316"/>
  <c r="S92" i="316"/>
  <c r="R92" i="316"/>
  <c r="Q92" i="316"/>
  <c r="P92" i="316"/>
  <c r="O92" i="316"/>
  <c r="A92" i="316"/>
  <c r="U91" i="316"/>
  <c r="T91" i="316"/>
  <c r="S91" i="316"/>
  <c r="R91" i="316"/>
  <c r="Q91" i="316"/>
  <c r="P91" i="316"/>
  <c r="O91" i="316"/>
  <c r="A91" i="316"/>
  <c r="U90" i="316"/>
  <c r="T90" i="316"/>
  <c r="S90" i="316"/>
  <c r="R90" i="316"/>
  <c r="Q90" i="316"/>
  <c r="P90" i="316"/>
  <c r="O90" i="316"/>
  <c r="A90" i="316"/>
  <c r="U89" i="316"/>
  <c r="T89" i="316"/>
  <c r="S89" i="316"/>
  <c r="R89" i="316"/>
  <c r="Q89" i="316"/>
  <c r="P89" i="316"/>
  <c r="O89" i="316"/>
  <c r="A89" i="316"/>
  <c r="U88" i="316"/>
  <c r="T88" i="316"/>
  <c r="S88" i="316"/>
  <c r="R88" i="316"/>
  <c r="Q88" i="316"/>
  <c r="P88" i="316"/>
  <c r="O88" i="316"/>
  <c r="A88" i="316"/>
  <c r="U87" i="316"/>
  <c r="T87" i="316"/>
  <c r="S87" i="316"/>
  <c r="R87" i="316"/>
  <c r="Q87" i="316"/>
  <c r="P87" i="316"/>
  <c r="O87" i="316"/>
  <c r="A87" i="316"/>
  <c r="U86" i="316"/>
  <c r="T86" i="316"/>
  <c r="S86" i="316"/>
  <c r="R86" i="316"/>
  <c r="Q86" i="316"/>
  <c r="P86" i="316"/>
  <c r="O86" i="316"/>
  <c r="A86" i="316"/>
  <c r="U85" i="316"/>
  <c r="T85" i="316"/>
  <c r="S85" i="316"/>
  <c r="R85" i="316"/>
  <c r="Q85" i="316"/>
  <c r="P85" i="316"/>
  <c r="O85" i="316"/>
  <c r="A85" i="316"/>
  <c r="U84" i="316"/>
  <c r="T84" i="316"/>
  <c r="S84" i="316"/>
  <c r="R84" i="316"/>
  <c r="Q84" i="316"/>
  <c r="P84" i="316"/>
  <c r="O84" i="316"/>
  <c r="A84" i="316"/>
  <c r="U83" i="316"/>
  <c r="T83" i="316"/>
  <c r="S83" i="316"/>
  <c r="R83" i="316"/>
  <c r="Q83" i="316"/>
  <c r="P83" i="316"/>
  <c r="O83" i="316"/>
  <c r="A83" i="316"/>
  <c r="U82" i="316"/>
  <c r="T82" i="316"/>
  <c r="S82" i="316"/>
  <c r="R82" i="316"/>
  <c r="Q82" i="316"/>
  <c r="P82" i="316"/>
  <c r="O82" i="316"/>
  <c r="A82" i="316"/>
  <c r="U81" i="316"/>
  <c r="T81" i="316"/>
  <c r="S81" i="316"/>
  <c r="R81" i="316"/>
  <c r="Q81" i="316"/>
  <c r="P81" i="316"/>
  <c r="O81" i="316"/>
  <c r="A81" i="316"/>
  <c r="U80" i="316"/>
  <c r="T80" i="316"/>
  <c r="S80" i="316"/>
  <c r="R80" i="316"/>
  <c r="Q80" i="316"/>
  <c r="P80" i="316"/>
  <c r="O80" i="316"/>
  <c r="A80" i="316"/>
  <c r="U79" i="316"/>
  <c r="T79" i="316"/>
  <c r="S79" i="316"/>
  <c r="R79" i="316"/>
  <c r="Q79" i="316"/>
  <c r="P79" i="316"/>
  <c r="O79" i="316"/>
  <c r="A79" i="316"/>
  <c r="U78" i="316"/>
  <c r="T78" i="316"/>
  <c r="S78" i="316"/>
  <c r="R78" i="316"/>
  <c r="Q78" i="316"/>
  <c r="P78" i="316"/>
  <c r="O78" i="316"/>
  <c r="A78" i="316"/>
  <c r="U77" i="316"/>
  <c r="T77" i="316"/>
  <c r="S77" i="316"/>
  <c r="R77" i="316"/>
  <c r="Q77" i="316"/>
  <c r="P77" i="316"/>
  <c r="O77" i="316"/>
  <c r="A77" i="316"/>
  <c r="U76" i="316"/>
  <c r="T76" i="316"/>
  <c r="S76" i="316"/>
  <c r="R76" i="316"/>
  <c r="Q76" i="316"/>
  <c r="P76" i="316"/>
  <c r="O76" i="316"/>
  <c r="A76" i="316"/>
  <c r="U75" i="316"/>
  <c r="T75" i="316"/>
  <c r="S75" i="316"/>
  <c r="R75" i="316"/>
  <c r="Q75" i="316"/>
  <c r="P75" i="316"/>
  <c r="O75" i="316"/>
  <c r="A75" i="316"/>
  <c r="U74" i="316"/>
  <c r="T74" i="316"/>
  <c r="S74" i="316"/>
  <c r="R74" i="316"/>
  <c r="Q74" i="316"/>
  <c r="P74" i="316"/>
  <c r="O74" i="316"/>
  <c r="A74" i="316"/>
  <c r="U73" i="316"/>
  <c r="T73" i="316"/>
  <c r="S73" i="316"/>
  <c r="R73" i="316"/>
  <c r="Q73" i="316"/>
  <c r="P73" i="316"/>
  <c r="O73" i="316"/>
  <c r="A73" i="316"/>
  <c r="U72" i="316"/>
  <c r="T72" i="316"/>
  <c r="S72" i="316"/>
  <c r="R72" i="316"/>
  <c r="Q72" i="316"/>
  <c r="P72" i="316"/>
  <c r="O72" i="316"/>
  <c r="A72" i="316"/>
  <c r="U71" i="316"/>
  <c r="T71" i="316"/>
  <c r="S71" i="316"/>
  <c r="R71" i="316"/>
  <c r="Q71" i="316"/>
  <c r="P71" i="316"/>
  <c r="O71" i="316"/>
  <c r="A71" i="316"/>
  <c r="U70" i="316"/>
  <c r="T70" i="316"/>
  <c r="S70" i="316"/>
  <c r="R70" i="316"/>
  <c r="Q70" i="316"/>
  <c r="P70" i="316"/>
  <c r="O70" i="316"/>
  <c r="A70" i="316"/>
  <c r="U69" i="316"/>
  <c r="T69" i="316"/>
  <c r="S69" i="316"/>
  <c r="R69" i="316"/>
  <c r="Q69" i="316"/>
  <c r="P69" i="316"/>
  <c r="O69" i="316"/>
  <c r="A69" i="316"/>
  <c r="U68" i="316"/>
  <c r="T68" i="316"/>
  <c r="S68" i="316"/>
  <c r="R68" i="316"/>
  <c r="Q68" i="316"/>
  <c r="P68" i="316"/>
  <c r="O68" i="316"/>
  <c r="A68" i="316"/>
  <c r="U67" i="316"/>
  <c r="T67" i="316"/>
  <c r="S67" i="316"/>
  <c r="R67" i="316"/>
  <c r="Q67" i="316"/>
  <c r="P67" i="316"/>
  <c r="O67" i="316"/>
  <c r="A67" i="316"/>
  <c r="U66" i="316"/>
  <c r="T66" i="316"/>
  <c r="S66" i="316"/>
  <c r="R66" i="316"/>
  <c r="Q66" i="316"/>
  <c r="P66" i="316"/>
  <c r="O66" i="316"/>
  <c r="A66" i="316"/>
  <c r="U65" i="316"/>
  <c r="T65" i="316"/>
  <c r="S65" i="316"/>
  <c r="R65" i="316"/>
  <c r="Q65" i="316"/>
  <c r="P65" i="316"/>
  <c r="O65" i="316"/>
  <c r="A65" i="316"/>
  <c r="U64" i="316"/>
  <c r="T64" i="316"/>
  <c r="S64" i="316"/>
  <c r="R64" i="316"/>
  <c r="Q64" i="316"/>
  <c r="P64" i="316"/>
  <c r="O64" i="316"/>
  <c r="A64" i="316"/>
  <c r="U63" i="316"/>
  <c r="T63" i="316"/>
  <c r="S63" i="316"/>
  <c r="R63" i="316"/>
  <c r="Q63" i="316"/>
  <c r="P63" i="316"/>
  <c r="O63" i="316"/>
  <c r="A63" i="316"/>
  <c r="U62" i="316"/>
  <c r="T62" i="316"/>
  <c r="S62" i="316"/>
  <c r="R62" i="316"/>
  <c r="Q62" i="316"/>
  <c r="P62" i="316"/>
  <c r="O62" i="316"/>
  <c r="A62" i="316"/>
  <c r="U61" i="316"/>
  <c r="T61" i="316"/>
  <c r="S61" i="316"/>
  <c r="R61" i="316"/>
  <c r="Q61" i="316"/>
  <c r="P61" i="316"/>
  <c r="O61" i="316"/>
  <c r="A61" i="316"/>
  <c r="U60" i="316"/>
  <c r="T60" i="316"/>
  <c r="S60" i="316"/>
  <c r="R60" i="316"/>
  <c r="Q60" i="316"/>
  <c r="P60" i="316"/>
  <c r="O60" i="316"/>
  <c r="A60" i="316"/>
  <c r="U59" i="316"/>
  <c r="T59" i="316"/>
  <c r="S59" i="316"/>
  <c r="R59" i="316"/>
  <c r="Q59" i="316"/>
  <c r="P59" i="316"/>
  <c r="O59" i="316"/>
  <c r="A59" i="316"/>
  <c r="U58" i="316"/>
  <c r="T58" i="316"/>
  <c r="S58" i="316"/>
  <c r="R58" i="316"/>
  <c r="Q58" i="316"/>
  <c r="P58" i="316"/>
  <c r="O58" i="316"/>
  <c r="A58" i="316"/>
  <c r="U57" i="316"/>
  <c r="T57" i="316"/>
  <c r="S57" i="316"/>
  <c r="R57" i="316"/>
  <c r="Q57" i="316"/>
  <c r="P57" i="316"/>
  <c r="O57" i="316"/>
  <c r="A57" i="316"/>
  <c r="U56" i="316"/>
  <c r="T56" i="316"/>
  <c r="S56" i="316"/>
  <c r="R56" i="316"/>
  <c r="Q56" i="316"/>
  <c r="P56" i="316"/>
  <c r="O56" i="316"/>
  <c r="A56" i="316"/>
  <c r="U55" i="316"/>
  <c r="T55" i="316"/>
  <c r="S55" i="316"/>
  <c r="R55" i="316"/>
  <c r="Q55" i="316"/>
  <c r="P55" i="316"/>
  <c r="O55" i="316"/>
  <c r="A55" i="316"/>
  <c r="U54" i="316"/>
  <c r="T54" i="316"/>
  <c r="S54" i="316"/>
  <c r="R54" i="316"/>
  <c r="Q54" i="316"/>
  <c r="P54" i="316"/>
  <c r="O54" i="316"/>
  <c r="A54" i="316"/>
  <c r="U53" i="316"/>
  <c r="T53" i="316"/>
  <c r="S53" i="316"/>
  <c r="R53" i="316"/>
  <c r="Q53" i="316"/>
  <c r="P53" i="316"/>
  <c r="O53" i="316"/>
  <c r="A53" i="316"/>
  <c r="U52" i="316"/>
  <c r="T52" i="316"/>
  <c r="S52" i="316"/>
  <c r="R52" i="316"/>
  <c r="Q52" i="316"/>
  <c r="P52" i="316"/>
  <c r="O52" i="316"/>
  <c r="A52" i="316"/>
  <c r="U51" i="316"/>
  <c r="T51" i="316"/>
  <c r="S51" i="316"/>
  <c r="R51" i="316"/>
  <c r="Q51" i="316"/>
  <c r="P51" i="316"/>
  <c r="O51" i="316"/>
  <c r="A51" i="316"/>
  <c r="U50" i="316"/>
  <c r="T50" i="316"/>
  <c r="S50" i="316"/>
  <c r="R50" i="316"/>
  <c r="Q50" i="316"/>
  <c r="P50" i="316"/>
  <c r="O50" i="316"/>
  <c r="A50" i="316"/>
  <c r="U49" i="316"/>
  <c r="T49" i="316"/>
  <c r="S49" i="316"/>
  <c r="R49" i="316"/>
  <c r="Q49" i="316"/>
  <c r="P49" i="316"/>
  <c r="O49" i="316"/>
  <c r="A49" i="316"/>
  <c r="U48" i="316"/>
  <c r="T48" i="316"/>
  <c r="S48" i="316"/>
  <c r="R48" i="316"/>
  <c r="Q48" i="316"/>
  <c r="P48" i="316"/>
  <c r="O48" i="316"/>
  <c r="A48" i="316"/>
  <c r="U47" i="316"/>
  <c r="T47" i="316"/>
  <c r="S47" i="316"/>
  <c r="R47" i="316"/>
  <c r="Q47" i="316"/>
  <c r="P47" i="316"/>
  <c r="O47" i="316"/>
  <c r="A47" i="316"/>
  <c r="U46" i="316"/>
  <c r="T46" i="316"/>
  <c r="S46" i="316"/>
  <c r="R46" i="316"/>
  <c r="Q46" i="316"/>
  <c r="P46" i="316"/>
  <c r="O46" i="316"/>
  <c r="A46" i="316"/>
  <c r="U45" i="316"/>
  <c r="T45" i="316"/>
  <c r="S45" i="316"/>
  <c r="R45" i="316"/>
  <c r="Q45" i="316"/>
  <c r="P45" i="316"/>
  <c r="O45" i="316"/>
  <c r="A45" i="316"/>
  <c r="U44" i="316"/>
  <c r="T44" i="316"/>
  <c r="S44" i="316"/>
  <c r="R44" i="316"/>
  <c r="Q44" i="316"/>
  <c r="P44" i="316"/>
  <c r="O44" i="316"/>
  <c r="A44" i="316"/>
  <c r="U43" i="316"/>
  <c r="T43" i="316"/>
  <c r="S43" i="316"/>
  <c r="R43" i="316"/>
  <c r="Q43" i="316"/>
  <c r="P43" i="316"/>
  <c r="O43" i="316"/>
  <c r="A43" i="316"/>
  <c r="U42" i="316"/>
  <c r="T42" i="316"/>
  <c r="S42" i="316"/>
  <c r="R42" i="316"/>
  <c r="Q42" i="316"/>
  <c r="P42" i="316"/>
  <c r="O42" i="316"/>
  <c r="A42" i="316"/>
  <c r="U41" i="316"/>
  <c r="T41" i="316"/>
  <c r="S41" i="316"/>
  <c r="R41" i="316"/>
  <c r="Q41" i="316"/>
  <c r="P41" i="316"/>
  <c r="O41" i="316"/>
  <c r="A41" i="316"/>
  <c r="U40" i="316"/>
  <c r="T40" i="316"/>
  <c r="S40" i="316"/>
  <c r="R40" i="316"/>
  <c r="Q40" i="316"/>
  <c r="P40" i="316"/>
  <c r="O40" i="316"/>
  <c r="A40" i="316"/>
  <c r="U39" i="316"/>
  <c r="T39" i="316"/>
  <c r="S39" i="316"/>
  <c r="R39" i="316"/>
  <c r="Q39" i="316"/>
  <c r="P39" i="316"/>
  <c r="O39" i="316"/>
  <c r="A39" i="316"/>
  <c r="U38" i="316"/>
  <c r="T38" i="316"/>
  <c r="S38" i="316"/>
  <c r="R38" i="316"/>
  <c r="Q38" i="316"/>
  <c r="P38" i="316"/>
  <c r="O38" i="316"/>
  <c r="A38" i="316"/>
  <c r="U37" i="316"/>
  <c r="T37" i="316"/>
  <c r="S37" i="316"/>
  <c r="R37" i="316"/>
  <c r="Q37" i="316"/>
  <c r="P37" i="316"/>
  <c r="O37" i="316"/>
  <c r="A37" i="316"/>
  <c r="U36" i="316"/>
  <c r="T36" i="316"/>
  <c r="S36" i="316"/>
  <c r="R36" i="316"/>
  <c r="Q36" i="316"/>
  <c r="P36" i="316"/>
  <c r="O36" i="316"/>
  <c r="A36" i="316"/>
  <c r="U35" i="316"/>
  <c r="T35" i="316"/>
  <c r="S35" i="316"/>
  <c r="R35" i="316"/>
  <c r="Q35" i="316"/>
  <c r="P35" i="316"/>
  <c r="O35" i="316"/>
  <c r="A35" i="316"/>
  <c r="U34" i="316"/>
  <c r="T34" i="316"/>
  <c r="S34" i="316"/>
  <c r="R34" i="316"/>
  <c r="Q34" i="316"/>
  <c r="P34" i="316"/>
  <c r="O34" i="316"/>
  <c r="A34" i="316"/>
  <c r="U33" i="316"/>
  <c r="T33" i="316"/>
  <c r="S33" i="316"/>
  <c r="R33" i="316"/>
  <c r="Q33" i="316"/>
  <c r="P33" i="316"/>
  <c r="O33" i="316"/>
  <c r="A33" i="316"/>
  <c r="U32" i="316"/>
  <c r="T32" i="316"/>
  <c r="S32" i="316"/>
  <c r="R32" i="316"/>
  <c r="Q32" i="316"/>
  <c r="P32" i="316"/>
  <c r="O32" i="316"/>
  <c r="A32" i="316"/>
  <c r="U31" i="316"/>
  <c r="T31" i="316"/>
  <c r="S31" i="316"/>
  <c r="R31" i="316"/>
  <c r="Q31" i="316"/>
  <c r="P31" i="316"/>
  <c r="O31" i="316"/>
  <c r="A31" i="316"/>
  <c r="U30" i="316"/>
  <c r="T30" i="316"/>
  <c r="S30" i="316"/>
  <c r="R30" i="316"/>
  <c r="Q30" i="316"/>
  <c r="P30" i="316"/>
  <c r="O30" i="316"/>
  <c r="A30" i="316"/>
  <c r="U29" i="316"/>
  <c r="T29" i="316"/>
  <c r="S29" i="316"/>
  <c r="R29" i="316"/>
  <c r="Q29" i="316"/>
  <c r="P29" i="316"/>
  <c r="O29" i="316"/>
  <c r="A29" i="316"/>
  <c r="U28" i="316"/>
  <c r="T28" i="316"/>
  <c r="S28" i="316"/>
  <c r="R28" i="316"/>
  <c r="Q28" i="316"/>
  <c r="P28" i="316"/>
  <c r="O28" i="316"/>
  <c r="A28" i="316"/>
  <c r="U27" i="316"/>
  <c r="T27" i="316"/>
  <c r="S27" i="316"/>
  <c r="R27" i="316"/>
  <c r="Q27" i="316"/>
  <c r="P27" i="316"/>
  <c r="O27" i="316"/>
  <c r="A27" i="316"/>
  <c r="U26" i="316"/>
  <c r="T26" i="316"/>
  <c r="S26" i="316"/>
  <c r="R26" i="316"/>
  <c r="Q26" i="316"/>
  <c r="P26" i="316"/>
  <c r="O26" i="316"/>
  <c r="A26" i="316"/>
  <c r="U25" i="316"/>
  <c r="T25" i="316"/>
  <c r="S25" i="316"/>
  <c r="R25" i="316"/>
  <c r="Q25" i="316"/>
  <c r="P25" i="316"/>
  <c r="O25" i="316"/>
  <c r="A25" i="316"/>
  <c r="U24" i="316"/>
  <c r="T24" i="316"/>
  <c r="S24" i="316"/>
  <c r="R24" i="316"/>
  <c r="Q24" i="316"/>
  <c r="P24" i="316"/>
  <c r="O24" i="316"/>
  <c r="A24" i="316"/>
  <c r="U23" i="316"/>
  <c r="T23" i="316"/>
  <c r="S23" i="316"/>
  <c r="R23" i="316"/>
  <c r="Q23" i="316"/>
  <c r="P23" i="316"/>
  <c r="O23" i="316"/>
  <c r="A23" i="316"/>
  <c r="U22" i="316"/>
  <c r="T22" i="316"/>
  <c r="S22" i="316"/>
  <c r="R22" i="316"/>
  <c r="Q22" i="316"/>
  <c r="P22" i="316"/>
  <c r="O22" i="316"/>
  <c r="A22" i="316"/>
  <c r="U21" i="316"/>
  <c r="T21" i="316"/>
  <c r="S21" i="316"/>
  <c r="R21" i="316"/>
  <c r="Q21" i="316"/>
  <c r="P21" i="316"/>
  <c r="O21" i="316"/>
  <c r="A21" i="316"/>
  <c r="U20" i="316"/>
  <c r="T20" i="316"/>
  <c r="S20" i="316"/>
  <c r="R20" i="316"/>
  <c r="Q20" i="316"/>
  <c r="P20" i="316"/>
  <c r="O20" i="316"/>
  <c r="A20" i="316"/>
  <c r="U19" i="316"/>
  <c r="T19" i="316"/>
  <c r="S19" i="316"/>
  <c r="R19" i="316"/>
  <c r="Q19" i="316"/>
  <c r="P19" i="316"/>
  <c r="O19" i="316"/>
  <c r="A19" i="316"/>
  <c r="U18" i="316"/>
  <c r="T18" i="316"/>
  <c r="S18" i="316"/>
  <c r="R18" i="316"/>
  <c r="Q18" i="316"/>
  <c r="P18" i="316"/>
  <c r="O18" i="316"/>
  <c r="A18" i="316"/>
  <c r="U17" i="316"/>
  <c r="T17" i="316"/>
  <c r="S17" i="316"/>
  <c r="R17" i="316"/>
  <c r="Q17" i="316"/>
  <c r="P17" i="316"/>
  <c r="O17" i="316"/>
  <c r="A17" i="316"/>
  <c r="U16" i="316"/>
  <c r="T16" i="316"/>
  <c r="S16" i="316"/>
  <c r="R16" i="316"/>
  <c r="Q16" i="316"/>
  <c r="P16" i="316"/>
  <c r="O16" i="316"/>
  <c r="A16" i="316"/>
  <c r="U15" i="316"/>
  <c r="T15" i="316"/>
  <c r="S15" i="316"/>
  <c r="R15" i="316"/>
  <c r="Q15" i="316"/>
  <c r="P15" i="316"/>
  <c r="O15" i="316"/>
  <c r="A15" i="316"/>
  <c r="U14" i="316"/>
  <c r="T14" i="316"/>
  <c r="S14" i="316"/>
  <c r="R14" i="316"/>
  <c r="Q14" i="316"/>
  <c r="P14" i="316"/>
  <c r="O14" i="316"/>
  <c r="A14" i="316"/>
  <c r="U13" i="316"/>
  <c r="T13" i="316"/>
  <c r="S13" i="316"/>
  <c r="R13" i="316"/>
  <c r="Q13" i="316"/>
  <c r="P13" i="316"/>
  <c r="O13" i="316"/>
  <c r="A13" i="316"/>
  <c r="U12" i="316"/>
  <c r="T12" i="316"/>
  <c r="S12" i="316"/>
  <c r="R12" i="316"/>
  <c r="Q12" i="316"/>
  <c r="P12" i="316"/>
  <c r="O12" i="316"/>
  <c r="A12" i="316"/>
  <c r="U11" i="316"/>
  <c r="T11" i="316"/>
  <c r="S11" i="316"/>
  <c r="R11" i="316"/>
  <c r="Q11" i="316"/>
  <c r="P11" i="316"/>
  <c r="O11" i="316"/>
  <c r="A11" i="316"/>
  <c r="U10" i="316"/>
  <c r="T10" i="316"/>
  <c r="S10" i="316"/>
  <c r="R10" i="316"/>
  <c r="Q10" i="316"/>
  <c r="P10" i="316"/>
  <c r="O10" i="316"/>
  <c r="A10" i="316"/>
  <c r="U9" i="316"/>
  <c r="T9" i="316"/>
  <c r="S9" i="316"/>
  <c r="R9" i="316"/>
  <c r="Q9" i="316"/>
  <c r="P9" i="316"/>
  <c r="O9" i="316"/>
  <c r="A9" i="316"/>
  <c r="U8" i="316"/>
  <c r="T8" i="316"/>
  <c r="S8" i="316"/>
  <c r="R8" i="316"/>
  <c r="Q8" i="316"/>
  <c r="P8" i="316"/>
  <c r="O8" i="316"/>
  <c r="A8" i="316"/>
  <c r="F13" i="314" s="1"/>
  <c r="U7" i="316"/>
  <c r="T7" i="316"/>
  <c r="S7" i="316"/>
  <c r="R7" i="316"/>
  <c r="Q7" i="316"/>
  <c r="P7" i="316"/>
  <c r="O7" i="316"/>
  <c r="A7" i="316"/>
  <c r="U6" i="316"/>
  <c r="T6" i="316"/>
  <c r="S6" i="316"/>
  <c r="R6" i="316"/>
  <c r="Q6" i="316"/>
  <c r="P6" i="316"/>
  <c r="O6" i="316"/>
  <c r="A6" i="316"/>
  <c r="F54" i="314" s="1"/>
  <c r="D96" i="315"/>
  <c r="E96" i="315" s="1"/>
  <c r="J10" i="312" s="1"/>
  <c r="J12" i="312" s="1"/>
  <c r="J14" i="312" s="1"/>
  <c r="D95" i="315"/>
  <c r="E95" i="315" s="1"/>
  <c r="J7" i="312" s="1"/>
  <c r="J9" i="312" s="1"/>
  <c r="P82" i="315"/>
  <c r="O82" i="315"/>
  <c r="N82" i="315"/>
  <c r="M82" i="315"/>
  <c r="L82" i="315"/>
  <c r="H82" i="315"/>
  <c r="D82" i="315"/>
  <c r="P81" i="315"/>
  <c r="O81" i="315"/>
  <c r="N81" i="315"/>
  <c r="M81" i="315"/>
  <c r="L81" i="315"/>
  <c r="H81" i="315"/>
  <c r="D81" i="315"/>
  <c r="P80" i="315"/>
  <c r="O80" i="315"/>
  <c r="N80" i="315"/>
  <c r="M80" i="315"/>
  <c r="L80" i="315"/>
  <c r="H80" i="315"/>
  <c r="D80" i="315"/>
  <c r="P79" i="315"/>
  <c r="O79" i="315"/>
  <c r="N79" i="315"/>
  <c r="M79" i="315"/>
  <c r="L79" i="315"/>
  <c r="H79" i="315"/>
  <c r="D79" i="315"/>
  <c r="P78" i="315"/>
  <c r="O78" i="315"/>
  <c r="N78" i="315"/>
  <c r="M78" i="315"/>
  <c r="L78" i="315"/>
  <c r="H78" i="315"/>
  <c r="D78" i="315"/>
  <c r="P77" i="315"/>
  <c r="O77" i="315"/>
  <c r="N77" i="315"/>
  <c r="M77" i="315"/>
  <c r="L77" i="315"/>
  <c r="H77" i="315"/>
  <c r="D77" i="315"/>
  <c r="P76" i="315"/>
  <c r="O76" i="315"/>
  <c r="N76" i="315"/>
  <c r="M76" i="315"/>
  <c r="L76" i="315"/>
  <c r="H76" i="315"/>
  <c r="D76" i="315"/>
  <c r="P75" i="315"/>
  <c r="O75" i="315"/>
  <c r="N75" i="315"/>
  <c r="M75" i="315"/>
  <c r="L75" i="315"/>
  <c r="H75" i="315"/>
  <c r="D75" i="315"/>
  <c r="P74" i="315"/>
  <c r="O74" i="315"/>
  <c r="N74" i="315"/>
  <c r="M74" i="315"/>
  <c r="L74" i="315"/>
  <c r="H74" i="315"/>
  <c r="D74" i="315"/>
  <c r="P73" i="315"/>
  <c r="O73" i="315"/>
  <c r="N73" i="315"/>
  <c r="M73" i="315"/>
  <c r="L73" i="315"/>
  <c r="H73" i="315"/>
  <c r="D73" i="315"/>
  <c r="P72" i="315"/>
  <c r="O72" i="315"/>
  <c r="N72" i="315"/>
  <c r="M72" i="315"/>
  <c r="L72" i="315"/>
  <c r="H72" i="315"/>
  <c r="D72" i="315"/>
  <c r="P71" i="315"/>
  <c r="O71" i="315"/>
  <c r="N71" i="315"/>
  <c r="M71" i="315"/>
  <c r="L71" i="315"/>
  <c r="H71" i="315"/>
  <c r="D71" i="315"/>
  <c r="P70" i="315"/>
  <c r="O70" i="315"/>
  <c r="N70" i="315"/>
  <c r="M70" i="315"/>
  <c r="L70" i="315"/>
  <c r="H70" i="315"/>
  <c r="D70" i="315"/>
  <c r="P69" i="315"/>
  <c r="O69" i="315"/>
  <c r="N69" i="315"/>
  <c r="M69" i="315"/>
  <c r="L69" i="315"/>
  <c r="H69" i="315"/>
  <c r="D69" i="315"/>
  <c r="P68" i="315"/>
  <c r="O68" i="315"/>
  <c r="N68" i="315"/>
  <c r="M68" i="315"/>
  <c r="L68" i="315"/>
  <c r="H68" i="315"/>
  <c r="D68" i="315"/>
  <c r="P62" i="315"/>
  <c r="O62" i="315"/>
  <c r="N62" i="315"/>
  <c r="M62" i="315"/>
  <c r="L62" i="315"/>
  <c r="H62" i="315"/>
  <c r="D62" i="315"/>
  <c r="P61" i="315"/>
  <c r="O61" i="315"/>
  <c r="N61" i="315"/>
  <c r="M61" i="315"/>
  <c r="L61" i="315"/>
  <c r="H61" i="315"/>
  <c r="D61" i="315"/>
  <c r="P60" i="315"/>
  <c r="O60" i="315"/>
  <c r="N60" i="315"/>
  <c r="M60" i="315"/>
  <c r="L60" i="315"/>
  <c r="H60" i="315"/>
  <c r="D60" i="315"/>
  <c r="P59" i="315"/>
  <c r="O59" i="315"/>
  <c r="N59" i="315"/>
  <c r="M59" i="315"/>
  <c r="L59" i="315"/>
  <c r="H59" i="315"/>
  <c r="D59" i="315"/>
  <c r="P58" i="315"/>
  <c r="O58" i="315"/>
  <c r="N58" i="315"/>
  <c r="M58" i="315"/>
  <c r="L58" i="315"/>
  <c r="H58" i="315"/>
  <c r="D58" i="315"/>
  <c r="P57" i="315"/>
  <c r="O57" i="315"/>
  <c r="N57" i="315"/>
  <c r="M57" i="315"/>
  <c r="L57" i="315"/>
  <c r="H57" i="315"/>
  <c r="D57" i="315"/>
  <c r="P56" i="315"/>
  <c r="O56" i="315"/>
  <c r="N56" i="315"/>
  <c r="M56" i="315"/>
  <c r="L56" i="315"/>
  <c r="H56" i="315"/>
  <c r="D56" i="315"/>
  <c r="P55" i="315"/>
  <c r="O55" i="315"/>
  <c r="N55" i="315"/>
  <c r="M55" i="315"/>
  <c r="L55" i="315"/>
  <c r="H55" i="315"/>
  <c r="D55" i="315"/>
  <c r="P54" i="315"/>
  <c r="O54" i="315"/>
  <c r="N54" i="315"/>
  <c r="M54" i="315"/>
  <c r="L54" i="315"/>
  <c r="H54" i="315"/>
  <c r="D54" i="315"/>
  <c r="P53" i="315"/>
  <c r="O53" i="315"/>
  <c r="N53" i="315"/>
  <c r="M53" i="315"/>
  <c r="L53" i="315"/>
  <c r="H53" i="315"/>
  <c r="D53" i="315"/>
  <c r="P52" i="315"/>
  <c r="O52" i="315"/>
  <c r="N52" i="315"/>
  <c r="M52" i="315"/>
  <c r="L52" i="315"/>
  <c r="H52" i="315"/>
  <c r="D52" i="315"/>
  <c r="P51" i="315"/>
  <c r="O51" i="315"/>
  <c r="N51" i="315"/>
  <c r="M51" i="315"/>
  <c r="L51" i="315"/>
  <c r="H51" i="315"/>
  <c r="D51" i="315"/>
  <c r="P50" i="315"/>
  <c r="O50" i="315"/>
  <c r="N50" i="315"/>
  <c r="M50" i="315"/>
  <c r="L50" i="315"/>
  <c r="H50" i="315"/>
  <c r="D50" i="315"/>
  <c r="P49" i="315"/>
  <c r="O49" i="315"/>
  <c r="N49" i="315"/>
  <c r="M49" i="315"/>
  <c r="L49" i="315"/>
  <c r="H49" i="315"/>
  <c r="D49" i="315"/>
  <c r="P48" i="315"/>
  <c r="O48" i="315"/>
  <c r="N48" i="315"/>
  <c r="M48" i="315"/>
  <c r="L48" i="315"/>
  <c r="H48" i="315"/>
  <c r="D48" i="315"/>
  <c r="D41" i="315"/>
  <c r="D40" i="315"/>
  <c r="D39" i="315"/>
  <c r="D38" i="315"/>
  <c r="D37" i="315"/>
  <c r="D36" i="315"/>
  <c r="D35" i="315"/>
  <c r="D34" i="315"/>
  <c r="D33" i="315"/>
  <c r="D32" i="315"/>
  <c r="D31" i="315"/>
  <c r="D30" i="315"/>
  <c r="D29" i="315"/>
  <c r="D28" i="315"/>
  <c r="D27" i="315"/>
  <c r="D21" i="315"/>
  <c r="D20" i="315"/>
  <c r="D19" i="315"/>
  <c r="D18" i="315"/>
  <c r="D17" i="315"/>
  <c r="D16" i="315"/>
  <c r="D15" i="315"/>
  <c r="D14" i="315"/>
  <c r="D13" i="315"/>
  <c r="D12" i="315"/>
  <c r="D11" i="315"/>
  <c r="D10" i="315"/>
  <c r="D9" i="315"/>
  <c r="D8" i="315"/>
  <c r="D7" i="315"/>
  <c r="D96" i="314"/>
  <c r="E96" i="314" s="1"/>
  <c r="C10" i="312" s="1"/>
  <c r="C12" i="312" s="1"/>
  <c r="C14" i="312" s="1"/>
  <c r="D95" i="314"/>
  <c r="E95" i="314" s="1"/>
  <c r="C7" i="312" s="1"/>
  <c r="C9" i="312" s="1"/>
  <c r="P82" i="314"/>
  <c r="O82" i="314"/>
  <c r="N82" i="314"/>
  <c r="M82" i="314"/>
  <c r="L82" i="314"/>
  <c r="H82" i="314"/>
  <c r="D82" i="314"/>
  <c r="P81" i="314"/>
  <c r="O81" i="314"/>
  <c r="N81" i="314"/>
  <c r="M81" i="314"/>
  <c r="L81" i="314"/>
  <c r="H81" i="314"/>
  <c r="D81" i="314"/>
  <c r="P80" i="314"/>
  <c r="O80" i="314"/>
  <c r="N80" i="314"/>
  <c r="M80" i="314"/>
  <c r="L80" i="314"/>
  <c r="H80" i="314"/>
  <c r="D80" i="314"/>
  <c r="P79" i="314"/>
  <c r="O79" i="314"/>
  <c r="N79" i="314"/>
  <c r="M79" i="314"/>
  <c r="L79" i="314"/>
  <c r="H79" i="314"/>
  <c r="D79" i="314"/>
  <c r="P78" i="314"/>
  <c r="O78" i="314"/>
  <c r="N78" i="314"/>
  <c r="M78" i="314"/>
  <c r="L78" i="314"/>
  <c r="H78" i="314"/>
  <c r="D78" i="314"/>
  <c r="P77" i="314"/>
  <c r="O77" i="314"/>
  <c r="N77" i="314"/>
  <c r="M77" i="314"/>
  <c r="L77" i="314"/>
  <c r="H77" i="314"/>
  <c r="D77" i="314"/>
  <c r="P76" i="314"/>
  <c r="O76" i="314"/>
  <c r="N76" i="314"/>
  <c r="M76" i="314"/>
  <c r="L76" i="314"/>
  <c r="H76" i="314"/>
  <c r="D76" i="314"/>
  <c r="P75" i="314"/>
  <c r="O75" i="314"/>
  <c r="N75" i="314"/>
  <c r="M75" i="314"/>
  <c r="L75" i="314"/>
  <c r="H75" i="314"/>
  <c r="D75" i="314"/>
  <c r="P74" i="314"/>
  <c r="O74" i="314"/>
  <c r="N74" i="314"/>
  <c r="M74" i="314"/>
  <c r="L74" i="314"/>
  <c r="H74" i="314"/>
  <c r="D74" i="314"/>
  <c r="P73" i="314"/>
  <c r="O73" i="314"/>
  <c r="N73" i="314"/>
  <c r="M73" i="314"/>
  <c r="L73" i="314"/>
  <c r="H73" i="314"/>
  <c r="D73" i="314"/>
  <c r="P72" i="314"/>
  <c r="O72" i="314"/>
  <c r="N72" i="314"/>
  <c r="M72" i="314"/>
  <c r="L72" i="314"/>
  <c r="H72" i="314"/>
  <c r="D72" i="314"/>
  <c r="P71" i="314"/>
  <c r="O71" i="314"/>
  <c r="N71" i="314"/>
  <c r="M71" i="314"/>
  <c r="L71" i="314"/>
  <c r="H71" i="314"/>
  <c r="D71" i="314"/>
  <c r="P70" i="314"/>
  <c r="O70" i="314"/>
  <c r="N70" i="314"/>
  <c r="M70" i="314"/>
  <c r="L70" i="314"/>
  <c r="H70" i="314"/>
  <c r="D70" i="314"/>
  <c r="P69" i="314"/>
  <c r="O69" i="314"/>
  <c r="N69" i="314"/>
  <c r="M69" i="314"/>
  <c r="L69" i="314"/>
  <c r="H69" i="314"/>
  <c r="D69" i="314"/>
  <c r="P68" i="314"/>
  <c r="O68" i="314"/>
  <c r="N68" i="314"/>
  <c r="M68" i="314"/>
  <c r="L68" i="314"/>
  <c r="H68" i="314"/>
  <c r="D68" i="314"/>
  <c r="P62" i="314"/>
  <c r="O62" i="314"/>
  <c r="N62" i="314"/>
  <c r="M62" i="314"/>
  <c r="L62" i="314"/>
  <c r="H62" i="314"/>
  <c r="D62" i="314"/>
  <c r="P61" i="314"/>
  <c r="O61" i="314"/>
  <c r="N61" i="314"/>
  <c r="M61" i="314"/>
  <c r="L61" i="314"/>
  <c r="H61" i="314"/>
  <c r="D61" i="314"/>
  <c r="P60" i="314"/>
  <c r="O60" i="314"/>
  <c r="N60" i="314"/>
  <c r="M60" i="314"/>
  <c r="L60" i="314"/>
  <c r="H60" i="314"/>
  <c r="D60" i="314"/>
  <c r="P59" i="314"/>
  <c r="O59" i="314"/>
  <c r="N59" i="314"/>
  <c r="M59" i="314"/>
  <c r="L59" i="314"/>
  <c r="H59" i="314"/>
  <c r="D59" i="314"/>
  <c r="P58" i="314"/>
  <c r="O58" i="314"/>
  <c r="N58" i="314"/>
  <c r="M58" i="314"/>
  <c r="L58" i="314"/>
  <c r="H58" i="314"/>
  <c r="D58" i="314"/>
  <c r="P57" i="314"/>
  <c r="O57" i="314"/>
  <c r="N57" i="314"/>
  <c r="M57" i="314"/>
  <c r="L57" i="314"/>
  <c r="H57" i="314"/>
  <c r="D57" i="314"/>
  <c r="P56" i="314"/>
  <c r="O56" i="314"/>
  <c r="N56" i="314"/>
  <c r="M56" i="314"/>
  <c r="L56" i="314"/>
  <c r="H56" i="314"/>
  <c r="D56" i="314"/>
  <c r="P55" i="314"/>
  <c r="O55" i="314"/>
  <c r="N55" i="314"/>
  <c r="M55" i="314"/>
  <c r="L55" i="314"/>
  <c r="H55" i="314"/>
  <c r="D55" i="314"/>
  <c r="P54" i="314"/>
  <c r="O54" i="314"/>
  <c r="N54" i="314"/>
  <c r="M54" i="314"/>
  <c r="L54" i="314"/>
  <c r="H54" i="314"/>
  <c r="D54" i="314"/>
  <c r="P53" i="314"/>
  <c r="O53" i="314"/>
  <c r="N53" i="314"/>
  <c r="M53" i="314"/>
  <c r="L53" i="314"/>
  <c r="H53" i="314"/>
  <c r="D53" i="314"/>
  <c r="P52" i="314"/>
  <c r="O52" i="314"/>
  <c r="N52" i="314"/>
  <c r="M52" i="314"/>
  <c r="L52" i="314"/>
  <c r="H52" i="314"/>
  <c r="D52" i="314"/>
  <c r="P51" i="314"/>
  <c r="O51" i="314"/>
  <c r="N51" i="314"/>
  <c r="M51" i="314"/>
  <c r="L51" i="314"/>
  <c r="H51" i="314"/>
  <c r="D51" i="314"/>
  <c r="P50" i="314"/>
  <c r="O50" i="314"/>
  <c r="N50" i="314"/>
  <c r="M50" i="314"/>
  <c r="L50" i="314"/>
  <c r="H50" i="314"/>
  <c r="D50" i="314"/>
  <c r="P49" i="314"/>
  <c r="O49" i="314"/>
  <c r="N49" i="314"/>
  <c r="M49" i="314"/>
  <c r="L49" i="314"/>
  <c r="H49" i="314"/>
  <c r="D49" i="314"/>
  <c r="P48" i="314"/>
  <c r="O48" i="314"/>
  <c r="N48" i="314"/>
  <c r="M48" i="314"/>
  <c r="L48" i="314"/>
  <c r="L63" i="314" s="1"/>
  <c r="H48" i="314"/>
  <c r="D48" i="314"/>
  <c r="D41" i="314"/>
  <c r="D40" i="314"/>
  <c r="D39" i="314"/>
  <c r="D38" i="314"/>
  <c r="D37" i="314"/>
  <c r="D36" i="314"/>
  <c r="D35" i="314"/>
  <c r="D34" i="314"/>
  <c r="D33" i="314"/>
  <c r="D32" i="314"/>
  <c r="D31" i="314"/>
  <c r="D30" i="314"/>
  <c r="D29" i="314"/>
  <c r="D28" i="314"/>
  <c r="D27" i="314"/>
  <c r="D21" i="314"/>
  <c r="D20" i="314"/>
  <c r="D19" i="314"/>
  <c r="D18" i="314"/>
  <c r="D17" i="314"/>
  <c r="D16" i="314"/>
  <c r="D15" i="314"/>
  <c r="D14" i="314"/>
  <c r="D13" i="314"/>
  <c r="D12" i="314"/>
  <c r="D11" i="314"/>
  <c r="D10" i="314"/>
  <c r="D9" i="314"/>
  <c r="D8" i="314"/>
  <c r="D7" i="314"/>
  <c r="B45" i="313"/>
  <c r="E28" i="313"/>
  <c r="D28" i="313"/>
  <c r="C28" i="313"/>
  <c r="E24" i="313"/>
  <c r="D24" i="313"/>
  <c r="C24" i="313"/>
  <c r="E11" i="313"/>
  <c r="C49" i="308" s="1"/>
  <c r="E8" i="313"/>
  <c r="B49" i="308" s="1"/>
  <c r="L12" i="312"/>
  <c r="L14" i="312" s="1"/>
  <c r="L15" i="312" s="1"/>
  <c r="L16" i="312" s="1"/>
  <c r="K12" i="312"/>
  <c r="G12" i="312"/>
  <c r="G14" i="312" s="1"/>
  <c r="F12" i="312"/>
  <c r="F14" i="312" s="1"/>
  <c r="E12" i="312"/>
  <c r="E14" i="312" s="1"/>
  <c r="D12" i="312"/>
  <c r="D14" i="312" s="1"/>
  <c r="D15" i="312" s="1"/>
  <c r="D16" i="312" s="1"/>
  <c r="L9" i="312"/>
  <c r="K9" i="312"/>
  <c r="G9" i="312"/>
  <c r="F9" i="312"/>
  <c r="B42" i="308" s="1"/>
  <c r="D49" i="308"/>
  <c r="D46" i="308"/>
  <c r="D44" i="308"/>
  <c r="D43" i="308"/>
  <c r="D42" i="308"/>
  <c r="D41" i="308"/>
  <c r="D29" i="318"/>
  <c r="D35" i="318"/>
  <c r="D30" i="318"/>
  <c r="X10" i="326"/>
  <c r="V8" i="326"/>
  <c r="V9" i="326"/>
  <c r="Y16" i="326"/>
  <c r="W160" i="317"/>
  <c r="V13" i="317"/>
  <c r="V16" i="326"/>
  <c r="W12" i="326"/>
  <c r="Y21" i="326"/>
  <c r="Y19" i="326"/>
  <c r="Y18" i="326"/>
  <c r="W14" i="326"/>
  <c r="Y17" i="326"/>
  <c r="V61" i="317"/>
  <c r="W178" i="317"/>
  <c r="W190" i="317"/>
  <c r="W136" i="317"/>
  <c r="V20" i="316"/>
  <c r="W15" i="326"/>
  <c r="W166" i="316"/>
  <c r="Y11" i="326"/>
  <c r="W76" i="317"/>
  <c r="W94" i="317"/>
  <c r="V142" i="317"/>
  <c r="W175" i="317"/>
  <c r="W118" i="317"/>
  <c r="W145" i="317"/>
  <c r="V197" i="317"/>
  <c r="W82" i="317"/>
  <c r="W100" i="317"/>
  <c r="V124" i="317"/>
  <c r="W151" i="317"/>
  <c r="W187" i="317"/>
  <c r="V199" i="317"/>
  <c r="V133" i="317"/>
  <c r="V146" i="317"/>
  <c r="W157" i="317"/>
  <c r="V169" i="317"/>
  <c r="W196" i="317"/>
  <c r="W70" i="317"/>
  <c r="W106" i="317"/>
  <c r="W130" i="317"/>
  <c r="W163" i="317"/>
  <c r="W199" i="317"/>
  <c r="W40" i="317"/>
  <c r="W109" i="317"/>
  <c r="W143" i="317"/>
  <c r="W133" i="316"/>
  <c r="W193" i="316"/>
  <c r="V196" i="316"/>
  <c r="W142" i="316"/>
  <c r="W163" i="316"/>
  <c r="V199" i="316"/>
  <c r="W169" i="316"/>
  <c r="V9" i="316"/>
  <c r="V109" i="316"/>
  <c r="V127" i="316"/>
  <c r="V165" i="316"/>
  <c r="V63" i="317"/>
  <c r="V99" i="317"/>
  <c r="V30" i="316"/>
  <c r="V114" i="316"/>
  <c r="V138" i="316"/>
  <c r="V190" i="316"/>
  <c r="C10" i="318"/>
  <c r="C9" i="318"/>
  <c r="I48" i="315"/>
  <c r="V159" i="317"/>
  <c r="V22" i="316"/>
  <c r="V28" i="316"/>
  <c r="V70" i="316"/>
  <c r="V100" i="316"/>
  <c r="V106" i="316"/>
  <c r="V136" i="316"/>
  <c r="V142" i="316"/>
  <c r="V16" i="317"/>
  <c r="W58" i="317"/>
  <c r="V165" i="317"/>
  <c r="W157" i="316"/>
  <c r="W117" i="317"/>
  <c r="V157" i="316"/>
  <c r="V15" i="317"/>
  <c r="V93" i="317"/>
  <c r="B45" i="318"/>
  <c r="B46" i="318" s="1"/>
  <c r="V141" i="317"/>
  <c r="T18" i="326"/>
  <c r="B9" i="318"/>
  <c r="D15" i="318" s="1"/>
  <c r="H15" i="318" s="1"/>
  <c r="W6" i="326"/>
  <c r="F70" i="41"/>
  <c r="F69" i="41"/>
  <c r="H69" i="41" s="1"/>
  <c r="F68" i="41"/>
  <c r="F65" i="41"/>
  <c r="F64" i="41" s="1"/>
  <c r="D84" i="38"/>
  <c r="E31" i="327" s="1"/>
  <c r="D74" i="38"/>
  <c r="E47" i="327" s="1"/>
  <c r="D22" i="38"/>
  <c r="E30" i="327" s="1"/>
  <c r="A30" i="289"/>
  <c r="A31" i="289" s="1"/>
  <c r="F1255" i="55"/>
  <c r="F1254" i="55"/>
  <c r="D66" i="49"/>
  <c r="D67" i="49"/>
  <c r="D68" i="49"/>
  <c r="D64" i="49"/>
  <c r="D65" i="49"/>
  <c r="D69" i="49"/>
  <c r="F1253" i="55"/>
  <c r="F1252" i="55"/>
  <c r="F1251" i="55"/>
  <c r="F1250" i="55"/>
  <c r="F1249" i="55"/>
  <c r="F1248" i="55"/>
  <c r="F1247" i="55"/>
  <c r="F1246" i="55"/>
  <c r="F1245" i="55"/>
  <c r="F1244" i="55"/>
  <c r="F1243" i="55"/>
  <c r="F1242" i="55"/>
  <c r="F1241" i="55"/>
  <c r="F1240" i="55"/>
  <c r="F1239" i="55"/>
  <c r="F1238" i="55"/>
  <c r="F1237" i="55"/>
  <c r="F1236" i="55"/>
  <c r="F1235" i="55"/>
  <c r="F1234" i="55"/>
  <c r="F1233" i="55"/>
  <c r="F1232" i="55"/>
  <c r="F1231" i="55"/>
  <c r="F1230" i="55"/>
  <c r="F1229" i="55"/>
  <c r="F1228" i="55"/>
  <c r="F1227" i="55"/>
  <c r="F1226" i="55"/>
  <c r="F1225" i="55"/>
  <c r="F1224" i="55"/>
  <c r="F1223" i="55"/>
  <c r="F1222" i="55"/>
  <c r="F1221" i="55"/>
  <c r="F1220" i="55"/>
  <c r="F1219" i="55"/>
  <c r="F1218" i="55"/>
  <c r="F822" i="56"/>
  <c r="F821" i="56"/>
  <c r="F820" i="56"/>
  <c r="F819" i="56"/>
  <c r="K4" i="288" a="1"/>
  <c r="K4" i="288" s="1"/>
  <c r="J4" i="288" a="1"/>
  <c r="J4" i="288" s="1"/>
  <c r="I4" i="288" a="1"/>
  <c r="I4" i="288" s="1"/>
  <c r="H4" i="288" a="1"/>
  <c r="H4" i="288" s="1"/>
  <c r="G55" i="293"/>
  <c r="G54" i="293"/>
  <c r="G53" i="293"/>
  <c r="G52" i="293"/>
  <c r="D172" i="39"/>
  <c r="D171" i="39"/>
  <c r="D130" i="39"/>
  <c r="D129" i="39"/>
  <c r="D79" i="39"/>
  <c r="F79" i="39" s="1"/>
  <c r="D78" i="39"/>
  <c r="D76" i="39"/>
  <c r="F76" i="39" s="1"/>
  <c r="D75" i="39"/>
  <c r="F75" i="39" s="1"/>
  <c r="D74" i="39"/>
  <c r="L27" i="55"/>
  <c r="L24" i="55"/>
  <c r="L51" i="55"/>
  <c r="L48" i="55"/>
  <c r="D127" i="38"/>
  <c r="D126" i="38"/>
  <c r="F126" i="38" s="1"/>
  <c r="D67" i="38"/>
  <c r="F67" i="38" s="1"/>
  <c r="D66" i="38"/>
  <c r="F66" i="38" s="1"/>
  <c r="E65" i="293"/>
  <c r="E48" i="293"/>
  <c r="G48" i="293" s="1"/>
  <c r="E45" i="293"/>
  <c r="G45" i="293" s="1"/>
  <c r="E47" i="293"/>
  <c r="G47" i="293" s="1"/>
  <c r="E46" i="293"/>
  <c r="G46" i="293" s="1"/>
  <c r="E44" i="293"/>
  <c r="G44" i="293" s="1"/>
  <c r="E34" i="293"/>
  <c r="G34" i="293" s="1"/>
  <c r="E33" i="293"/>
  <c r="G33" i="293" s="1"/>
  <c r="E26" i="293"/>
  <c r="G26" i="293" s="1"/>
  <c r="E21" i="293"/>
  <c r="G21" i="293" s="1"/>
  <c r="E12" i="293"/>
  <c r="G12" i="293" s="1"/>
  <c r="B12" i="293"/>
  <c r="B13" i="293" s="1"/>
  <c r="B14" i="293" s="1"/>
  <c r="A1" i="293"/>
  <c r="G51" i="293"/>
  <c r="G50" i="293"/>
  <c r="G39" i="293"/>
  <c r="G38" i="293"/>
  <c r="G37" i="293"/>
  <c r="G36" i="293"/>
  <c r="G35" i="293"/>
  <c r="G31" i="293"/>
  <c r="G30" i="293"/>
  <c r="G29" i="293"/>
  <c r="G28" i="293"/>
  <c r="G27" i="293"/>
  <c r="G24" i="293"/>
  <c r="D73" i="49"/>
  <c r="D59" i="49"/>
  <c r="D60" i="49"/>
  <c r="D61" i="49"/>
  <c r="D62" i="49"/>
  <c r="D63" i="49"/>
  <c r="D70" i="49"/>
  <c r="D71" i="49"/>
  <c r="D58" i="49"/>
  <c r="D54" i="49"/>
  <c r="D53" i="49"/>
  <c r="D52" i="49"/>
  <c r="D51" i="49"/>
  <c r="D50" i="49"/>
  <c r="D49" i="49"/>
  <c r="D48" i="49"/>
  <c r="D47" i="49"/>
  <c r="D46" i="49"/>
  <c r="D45" i="49"/>
  <c r="D44" i="49"/>
  <c r="D43" i="49"/>
  <c r="D42" i="49"/>
  <c r="C72" i="49"/>
  <c r="C35" i="49"/>
  <c r="F1217" i="55"/>
  <c r="F1216" i="55"/>
  <c r="F1215" i="55"/>
  <c r="F1214" i="55"/>
  <c r="F1213" i="55"/>
  <c r="F1212" i="55"/>
  <c r="F1211" i="55"/>
  <c r="F1210" i="55"/>
  <c r="F1209" i="55"/>
  <c r="F1208" i="55"/>
  <c r="F1207" i="55"/>
  <c r="F1206" i="55"/>
  <c r="F1205" i="55"/>
  <c r="F1204" i="55"/>
  <c r="F1203" i="55"/>
  <c r="F1202" i="55"/>
  <c r="F1201" i="55"/>
  <c r="F1200" i="55"/>
  <c r="F1199" i="55"/>
  <c r="F1198" i="55"/>
  <c r="F1197" i="55"/>
  <c r="F1196" i="55"/>
  <c r="F1195" i="55"/>
  <c r="F1194" i="55"/>
  <c r="F1193" i="55"/>
  <c r="F1192" i="55"/>
  <c r="F1191" i="55"/>
  <c r="F1190" i="55"/>
  <c r="F1189" i="55"/>
  <c r="F1188" i="55"/>
  <c r="F1187" i="55"/>
  <c r="F1186" i="55"/>
  <c r="F1185" i="55"/>
  <c r="F1184" i="55"/>
  <c r="F1183" i="55"/>
  <c r="F1182" i="55"/>
  <c r="F1181" i="55"/>
  <c r="F1180" i="55"/>
  <c r="F1179" i="55"/>
  <c r="F1178" i="55"/>
  <c r="F1177" i="55"/>
  <c r="F1176" i="55"/>
  <c r="F1175" i="55"/>
  <c r="F1174" i="55"/>
  <c r="F1173" i="55"/>
  <c r="F1172" i="55"/>
  <c r="F1171" i="55"/>
  <c r="F1170" i="55"/>
  <c r="F1169" i="55"/>
  <c r="F1168" i="55"/>
  <c r="F1167" i="55"/>
  <c r="F1166" i="55"/>
  <c r="F1165" i="55"/>
  <c r="F1164" i="55"/>
  <c r="F1163" i="55"/>
  <c r="F1162" i="55"/>
  <c r="F1161" i="55"/>
  <c r="F1160" i="55"/>
  <c r="F1159" i="55"/>
  <c r="F1158" i="55"/>
  <c r="F1157" i="55"/>
  <c r="F1156" i="55"/>
  <c r="F1155" i="55"/>
  <c r="F1154" i="55"/>
  <c r="F1153" i="55"/>
  <c r="F1152" i="55"/>
  <c r="F1151" i="55"/>
  <c r="F1150" i="55"/>
  <c r="F1149" i="55"/>
  <c r="F1148" i="55"/>
  <c r="F1147" i="55"/>
  <c r="F1146" i="55"/>
  <c r="F1145" i="55"/>
  <c r="F1144" i="55"/>
  <c r="F1143" i="55"/>
  <c r="F1142" i="55"/>
  <c r="F1141" i="55"/>
  <c r="F1140" i="55"/>
  <c r="F1139" i="55"/>
  <c r="F1138" i="55"/>
  <c r="F1137" i="55"/>
  <c r="F1136" i="55"/>
  <c r="F1135" i="55"/>
  <c r="F1134" i="55"/>
  <c r="F1133" i="55"/>
  <c r="F1132" i="55"/>
  <c r="F1131" i="55"/>
  <c r="F1130" i="55"/>
  <c r="F1129" i="55"/>
  <c r="F1128" i="55"/>
  <c r="F1127" i="55"/>
  <c r="F1126" i="55"/>
  <c r="F1125" i="55"/>
  <c r="F1124" i="55"/>
  <c r="F1123" i="55"/>
  <c r="F1122" i="55"/>
  <c r="F1121" i="55"/>
  <c r="F1120" i="55"/>
  <c r="F1119" i="55"/>
  <c r="F1118" i="55"/>
  <c r="F1117" i="55"/>
  <c r="F1116" i="55"/>
  <c r="F1115" i="55"/>
  <c r="F1114" i="55"/>
  <c r="F1113" i="55"/>
  <c r="F1112" i="55"/>
  <c r="F1111" i="55"/>
  <c r="F1110" i="55"/>
  <c r="F1109" i="55"/>
  <c r="F1108" i="55"/>
  <c r="F1107" i="55"/>
  <c r="F1106" i="55"/>
  <c r="F1105" i="55"/>
  <c r="F1104" i="55"/>
  <c r="F1103" i="55"/>
  <c r="F1102" i="55"/>
  <c r="F1101" i="55"/>
  <c r="F1100" i="55"/>
  <c r="F1099" i="55"/>
  <c r="F1098" i="55"/>
  <c r="F1097" i="55"/>
  <c r="F1096" i="55"/>
  <c r="F1095" i="55"/>
  <c r="F1094" i="55"/>
  <c r="F1093" i="55"/>
  <c r="F1092" i="55"/>
  <c r="F1091" i="55"/>
  <c r="F1090" i="55"/>
  <c r="F1089" i="55"/>
  <c r="F1088" i="55"/>
  <c r="F1087" i="55"/>
  <c r="F1086" i="55"/>
  <c r="F1085" i="55"/>
  <c r="F1084" i="55"/>
  <c r="F1083" i="55"/>
  <c r="F1082" i="55"/>
  <c r="F1081" i="55"/>
  <c r="F1080" i="55"/>
  <c r="F1079" i="55"/>
  <c r="F1078" i="55"/>
  <c r="F1077" i="55"/>
  <c r="F1076" i="55"/>
  <c r="F1075" i="55"/>
  <c r="F1074" i="55"/>
  <c r="F1073" i="55"/>
  <c r="F1072" i="55"/>
  <c r="F1071" i="55"/>
  <c r="F1070" i="55"/>
  <c r="F1069" i="55"/>
  <c r="F1068" i="55"/>
  <c r="F1067" i="55"/>
  <c r="F1066" i="55"/>
  <c r="F1065" i="55"/>
  <c r="F1064" i="55"/>
  <c r="F1063" i="55"/>
  <c r="F1062" i="55"/>
  <c r="F1061" i="55"/>
  <c r="F1060" i="55"/>
  <c r="F1059" i="55"/>
  <c r="F1058" i="55"/>
  <c r="F1057" i="55"/>
  <c r="F1056" i="55"/>
  <c r="F1055" i="55"/>
  <c r="F1054" i="55"/>
  <c r="F1053" i="55"/>
  <c r="F1052" i="55"/>
  <c r="F1051" i="55"/>
  <c r="F1050" i="55"/>
  <c r="F1049" i="55"/>
  <c r="F1048" i="55"/>
  <c r="F1047" i="55"/>
  <c r="F1046" i="55"/>
  <c r="F1045" i="55"/>
  <c r="F1044" i="55"/>
  <c r="F1043" i="55"/>
  <c r="F1042" i="55"/>
  <c r="F1041" i="55"/>
  <c r="F1040" i="55"/>
  <c r="F1039" i="55"/>
  <c r="F1038" i="55"/>
  <c r="F1037" i="55"/>
  <c r="F1036" i="55"/>
  <c r="F1035" i="55"/>
  <c r="F1034" i="55"/>
  <c r="F1033" i="55"/>
  <c r="F1032" i="55"/>
  <c r="F1031" i="55"/>
  <c r="F1030" i="55"/>
  <c r="F1029" i="55"/>
  <c r="F1028" i="55"/>
  <c r="F1027" i="55"/>
  <c r="F1026" i="55"/>
  <c r="F1025" i="55"/>
  <c r="F1024" i="55"/>
  <c r="F1023" i="55"/>
  <c r="F1022" i="55"/>
  <c r="F1021" i="55"/>
  <c r="F1020" i="55"/>
  <c r="F1019" i="55"/>
  <c r="F1018" i="55"/>
  <c r="F1017" i="55"/>
  <c r="F1016" i="55"/>
  <c r="F1015" i="55"/>
  <c r="F1014" i="55"/>
  <c r="F1013" i="55"/>
  <c r="F1012" i="55"/>
  <c r="F1011" i="55"/>
  <c r="F1010" i="55"/>
  <c r="F1009" i="55"/>
  <c r="F1008" i="55"/>
  <c r="F1007" i="55"/>
  <c r="F1006" i="55"/>
  <c r="F1005" i="55"/>
  <c r="F1004" i="55"/>
  <c r="F1003" i="55"/>
  <c r="F1002" i="55"/>
  <c r="F1001" i="55"/>
  <c r="F1000" i="55"/>
  <c r="F999" i="55"/>
  <c r="F998" i="55"/>
  <c r="F997" i="55"/>
  <c r="F996" i="55"/>
  <c r="F995" i="55"/>
  <c r="F994" i="55"/>
  <c r="F993" i="55"/>
  <c r="F992" i="55"/>
  <c r="F991" i="55"/>
  <c r="F990" i="55"/>
  <c r="F989" i="55"/>
  <c r="F988" i="55"/>
  <c r="F987" i="55"/>
  <c r="F986" i="55"/>
  <c r="F985" i="55"/>
  <c r="F984" i="55"/>
  <c r="F983" i="55"/>
  <c r="F982" i="55"/>
  <c r="F981" i="55"/>
  <c r="F980" i="55"/>
  <c r="F979" i="55"/>
  <c r="F978" i="55"/>
  <c r="F977" i="55"/>
  <c r="F976" i="55"/>
  <c r="F975" i="55"/>
  <c r="F974" i="55"/>
  <c r="F973" i="55"/>
  <c r="F972" i="55"/>
  <c r="F971" i="55"/>
  <c r="F970" i="55"/>
  <c r="F969" i="55"/>
  <c r="F968" i="55"/>
  <c r="F967" i="55"/>
  <c r="F966" i="55"/>
  <c r="F965" i="55"/>
  <c r="F964" i="55"/>
  <c r="F963" i="55"/>
  <c r="F962" i="55"/>
  <c r="F961" i="55"/>
  <c r="F960" i="55"/>
  <c r="F959" i="55"/>
  <c r="F958" i="55"/>
  <c r="F957" i="55"/>
  <c r="F956" i="55"/>
  <c r="F955" i="55"/>
  <c r="F954" i="55"/>
  <c r="F953" i="55"/>
  <c r="F952" i="55"/>
  <c r="F951" i="55"/>
  <c r="F950" i="55"/>
  <c r="F949" i="55"/>
  <c r="F948" i="55"/>
  <c r="F947" i="55"/>
  <c r="F946" i="55"/>
  <c r="F945" i="55"/>
  <c r="F944" i="55"/>
  <c r="F943" i="55"/>
  <c r="F942" i="55"/>
  <c r="F941" i="55"/>
  <c r="F940" i="55"/>
  <c r="F939" i="55"/>
  <c r="F938" i="55"/>
  <c r="F937" i="55"/>
  <c r="F936" i="55"/>
  <c r="F935" i="55"/>
  <c r="F934" i="55"/>
  <c r="F933" i="55"/>
  <c r="F932" i="55"/>
  <c r="F931" i="55"/>
  <c r="F930" i="55"/>
  <c r="F929" i="55"/>
  <c r="F928" i="55"/>
  <c r="F927" i="55"/>
  <c r="F926" i="55"/>
  <c r="F925" i="55"/>
  <c r="F924" i="55"/>
  <c r="F923" i="55"/>
  <c r="F922" i="55"/>
  <c r="F921" i="55"/>
  <c r="F920" i="55"/>
  <c r="F919" i="55"/>
  <c r="F918" i="55"/>
  <c r="F917" i="55"/>
  <c r="F916" i="55"/>
  <c r="F915" i="55"/>
  <c r="F914" i="55"/>
  <c r="F913" i="55"/>
  <c r="F912" i="55"/>
  <c r="F911" i="55"/>
  <c r="F910" i="55"/>
  <c r="F909" i="55"/>
  <c r="F908" i="55"/>
  <c r="F907" i="55"/>
  <c r="F906" i="55"/>
  <c r="F905" i="55"/>
  <c r="F904" i="55"/>
  <c r="F903" i="55"/>
  <c r="F902" i="55"/>
  <c r="F901" i="55"/>
  <c r="F900" i="55"/>
  <c r="F899" i="55"/>
  <c r="F898" i="55"/>
  <c r="F897" i="55"/>
  <c r="F896" i="55"/>
  <c r="F895" i="55"/>
  <c r="F894" i="55"/>
  <c r="F893" i="55"/>
  <c r="F892" i="55"/>
  <c r="F891" i="55"/>
  <c r="F890" i="55"/>
  <c r="F889" i="55"/>
  <c r="F888" i="55"/>
  <c r="F887" i="55"/>
  <c r="F886" i="55"/>
  <c r="F885" i="55"/>
  <c r="F884" i="55"/>
  <c r="F883" i="55"/>
  <c r="F882" i="55"/>
  <c r="F881" i="55"/>
  <c r="F880" i="55"/>
  <c r="F879" i="55"/>
  <c r="F878" i="55"/>
  <c r="F877" i="55"/>
  <c r="F876" i="55"/>
  <c r="F875" i="55"/>
  <c r="F874" i="55"/>
  <c r="F873" i="55"/>
  <c r="F872" i="55"/>
  <c r="F871" i="55"/>
  <c r="F870" i="55"/>
  <c r="F869" i="55"/>
  <c r="F868" i="55"/>
  <c r="F867" i="55"/>
  <c r="F866" i="55"/>
  <c r="F865" i="55"/>
  <c r="F864" i="55"/>
  <c r="F863" i="55"/>
  <c r="F862" i="55"/>
  <c r="F861" i="55"/>
  <c r="F860" i="55"/>
  <c r="F859" i="55"/>
  <c r="F858" i="55"/>
  <c r="F857" i="55"/>
  <c r="F856" i="55"/>
  <c r="F855" i="55"/>
  <c r="F854" i="55"/>
  <c r="F853" i="55"/>
  <c r="F852" i="55"/>
  <c r="F851" i="55"/>
  <c r="F850" i="55"/>
  <c r="F849" i="55"/>
  <c r="F848" i="55"/>
  <c r="F847" i="55"/>
  <c r="F846" i="55"/>
  <c r="F845" i="55"/>
  <c r="F844" i="55"/>
  <c r="F843" i="55"/>
  <c r="F842" i="55"/>
  <c r="F841" i="55"/>
  <c r="F840" i="55"/>
  <c r="F839" i="55"/>
  <c r="F838" i="55"/>
  <c r="F837" i="55"/>
  <c r="F836" i="55"/>
  <c r="F835" i="55"/>
  <c r="F834" i="55"/>
  <c r="F833" i="55"/>
  <c r="F832" i="55"/>
  <c r="F831" i="55"/>
  <c r="F830" i="55"/>
  <c r="F829" i="55"/>
  <c r="F828" i="55"/>
  <c r="F827" i="55"/>
  <c r="F826" i="55"/>
  <c r="F825" i="55"/>
  <c r="F824" i="55"/>
  <c r="F823" i="55"/>
  <c r="F822" i="55"/>
  <c r="F821" i="55"/>
  <c r="F820" i="55"/>
  <c r="F819" i="55"/>
  <c r="F818" i="55"/>
  <c r="F817" i="55"/>
  <c r="F816" i="55"/>
  <c r="F815" i="55"/>
  <c r="F814" i="55"/>
  <c r="F813" i="55"/>
  <c r="F812" i="55"/>
  <c r="F811" i="55"/>
  <c r="F810" i="55"/>
  <c r="F809" i="55"/>
  <c r="F808" i="55"/>
  <c r="F807" i="55"/>
  <c r="F806" i="55"/>
  <c r="F805" i="55"/>
  <c r="F804" i="55"/>
  <c r="F803" i="55"/>
  <c r="F802" i="55"/>
  <c r="F801" i="55"/>
  <c r="F800" i="55"/>
  <c r="F799" i="55"/>
  <c r="F798" i="55"/>
  <c r="F797" i="55"/>
  <c r="F796" i="55"/>
  <c r="F795" i="55"/>
  <c r="F794" i="55"/>
  <c r="F793" i="55"/>
  <c r="F792" i="55"/>
  <c r="F791" i="55"/>
  <c r="F790" i="55"/>
  <c r="F789" i="55"/>
  <c r="F788" i="55"/>
  <c r="F787" i="55"/>
  <c r="F786" i="55"/>
  <c r="F785" i="55"/>
  <c r="F784" i="55"/>
  <c r="F783" i="55"/>
  <c r="F782" i="55"/>
  <c r="F781" i="55"/>
  <c r="F780" i="55"/>
  <c r="F779" i="55"/>
  <c r="F778" i="55"/>
  <c r="F777" i="55"/>
  <c r="F776" i="55"/>
  <c r="F775" i="55"/>
  <c r="F774" i="55"/>
  <c r="F773" i="55"/>
  <c r="F772" i="55"/>
  <c r="F771" i="55"/>
  <c r="F770" i="55"/>
  <c r="F769" i="55"/>
  <c r="F768" i="55"/>
  <c r="F767" i="55"/>
  <c r="F766" i="55"/>
  <c r="F765" i="55"/>
  <c r="F764" i="55"/>
  <c r="F763" i="55"/>
  <c r="F762" i="55"/>
  <c r="F761" i="55"/>
  <c r="F760" i="55"/>
  <c r="F759" i="55"/>
  <c r="F758" i="55"/>
  <c r="F757" i="55"/>
  <c r="F756" i="55"/>
  <c r="F755" i="55"/>
  <c r="F754" i="55"/>
  <c r="F753" i="55"/>
  <c r="F752" i="55"/>
  <c r="F751" i="55"/>
  <c r="F750" i="55"/>
  <c r="F749" i="55"/>
  <c r="F748" i="55"/>
  <c r="F747" i="55"/>
  <c r="F746" i="55"/>
  <c r="F745" i="55"/>
  <c r="F744" i="55"/>
  <c r="F743" i="55"/>
  <c r="F742" i="55"/>
  <c r="F741" i="55"/>
  <c r="F740" i="55"/>
  <c r="F739" i="55"/>
  <c r="F738" i="55"/>
  <c r="F737" i="55"/>
  <c r="F736" i="55"/>
  <c r="F735" i="55"/>
  <c r="F734" i="55"/>
  <c r="F733" i="55"/>
  <c r="F732" i="55"/>
  <c r="F731" i="55"/>
  <c r="F730" i="55"/>
  <c r="F729" i="55"/>
  <c r="F728" i="55"/>
  <c r="F727" i="55"/>
  <c r="F726" i="55"/>
  <c r="F725" i="55"/>
  <c r="F724" i="55"/>
  <c r="F723" i="55"/>
  <c r="F722" i="55"/>
  <c r="F721" i="55"/>
  <c r="F720" i="55"/>
  <c r="F719" i="55"/>
  <c r="F718" i="55"/>
  <c r="F717" i="55"/>
  <c r="F716" i="55"/>
  <c r="F715" i="55"/>
  <c r="F714" i="55"/>
  <c r="F713" i="55"/>
  <c r="F712" i="55"/>
  <c r="F711" i="55"/>
  <c r="F710" i="55"/>
  <c r="F709" i="55"/>
  <c r="F708" i="55"/>
  <c r="F707" i="55"/>
  <c r="F706" i="55"/>
  <c r="F705" i="55"/>
  <c r="F704" i="55"/>
  <c r="F703" i="55"/>
  <c r="F702" i="55"/>
  <c r="F701" i="55"/>
  <c r="F700" i="55"/>
  <c r="F699" i="55"/>
  <c r="F698" i="55"/>
  <c r="F697" i="55"/>
  <c r="F696" i="55"/>
  <c r="F695" i="55"/>
  <c r="F694" i="55"/>
  <c r="F693" i="55"/>
  <c r="F692" i="55"/>
  <c r="F691" i="55"/>
  <c r="F690" i="55"/>
  <c r="F689" i="55"/>
  <c r="F688" i="55"/>
  <c r="F687" i="55"/>
  <c r="F686" i="55"/>
  <c r="F685" i="55"/>
  <c r="F684" i="55"/>
  <c r="F683" i="55"/>
  <c r="F682" i="55"/>
  <c r="F681" i="55"/>
  <c r="F680" i="55"/>
  <c r="F679" i="55"/>
  <c r="F678" i="55"/>
  <c r="F677" i="55"/>
  <c r="F676" i="55"/>
  <c r="F675" i="55"/>
  <c r="F674" i="55"/>
  <c r="F673" i="55"/>
  <c r="F672" i="55"/>
  <c r="F671" i="55"/>
  <c r="F670" i="55"/>
  <c r="F669" i="55"/>
  <c r="F668" i="55"/>
  <c r="F667" i="55"/>
  <c r="F666" i="55"/>
  <c r="F665" i="55"/>
  <c r="F664" i="55"/>
  <c r="F663" i="55"/>
  <c r="F662" i="55"/>
  <c r="F661" i="55"/>
  <c r="F660" i="55"/>
  <c r="F659" i="55"/>
  <c r="F658" i="55"/>
  <c r="F657" i="55"/>
  <c r="F656" i="55"/>
  <c r="F655" i="55"/>
  <c r="F654" i="55"/>
  <c r="F653" i="55"/>
  <c r="F652" i="55"/>
  <c r="F651" i="55"/>
  <c r="F650" i="55"/>
  <c r="F649" i="55"/>
  <c r="F648" i="55"/>
  <c r="F647" i="55"/>
  <c r="F646" i="55"/>
  <c r="F645" i="55"/>
  <c r="F644" i="55"/>
  <c r="F643" i="55"/>
  <c r="F642" i="55"/>
  <c r="F641" i="55"/>
  <c r="F640" i="55"/>
  <c r="F639" i="55"/>
  <c r="F638" i="55"/>
  <c r="F637" i="55"/>
  <c r="F636" i="55"/>
  <c r="F635" i="55"/>
  <c r="F634" i="55"/>
  <c r="F633" i="55"/>
  <c r="F632" i="55"/>
  <c r="F631" i="55"/>
  <c r="F630" i="55"/>
  <c r="F629" i="55"/>
  <c r="F628" i="55"/>
  <c r="F627" i="55"/>
  <c r="F626" i="55"/>
  <c r="F625" i="55"/>
  <c r="F624" i="55"/>
  <c r="F623" i="55"/>
  <c r="F622" i="55"/>
  <c r="F621" i="55"/>
  <c r="F620" i="55"/>
  <c r="F619" i="55"/>
  <c r="F618" i="55"/>
  <c r="F617" i="55"/>
  <c r="F616" i="55"/>
  <c r="F615" i="55"/>
  <c r="F614" i="55"/>
  <c r="F613" i="55"/>
  <c r="F612" i="55"/>
  <c r="F611" i="55"/>
  <c r="F610" i="55"/>
  <c r="F609" i="55"/>
  <c r="F608" i="55"/>
  <c r="F607" i="55"/>
  <c r="F606" i="55"/>
  <c r="F605" i="55"/>
  <c r="F604" i="55"/>
  <c r="F603" i="55"/>
  <c r="F602" i="55"/>
  <c r="F601" i="55"/>
  <c r="F600" i="55"/>
  <c r="F599" i="55"/>
  <c r="F598" i="55"/>
  <c r="F597" i="55"/>
  <c r="F596" i="55"/>
  <c r="F595" i="55"/>
  <c r="F594" i="55"/>
  <c r="F593" i="55"/>
  <c r="F592" i="55"/>
  <c r="F591" i="55"/>
  <c r="F590" i="55"/>
  <c r="F589" i="55"/>
  <c r="F588" i="55"/>
  <c r="F587" i="55"/>
  <c r="F586" i="55"/>
  <c r="F585" i="55"/>
  <c r="F584" i="55"/>
  <c r="F583" i="55"/>
  <c r="F582" i="55"/>
  <c r="F581" i="55"/>
  <c r="F580" i="55"/>
  <c r="F579" i="55"/>
  <c r="F578" i="55"/>
  <c r="F577" i="55"/>
  <c r="F576" i="55"/>
  <c r="F575" i="55"/>
  <c r="F574" i="55"/>
  <c r="F573" i="55"/>
  <c r="F572" i="55"/>
  <c r="F571" i="55"/>
  <c r="F570" i="55"/>
  <c r="F569" i="55"/>
  <c r="F568" i="55"/>
  <c r="F567" i="55"/>
  <c r="F566" i="55"/>
  <c r="F565" i="55"/>
  <c r="F564" i="55"/>
  <c r="F563" i="55"/>
  <c r="F562" i="55"/>
  <c r="F561" i="55"/>
  <c r="F560" i="55"/>
  <c r="F559" i="55"/>
  <c r="F558" i="55"/>
  <c r="F557" i="55"/>
  <c r="F556" i="55"/>
  <c r="F555" i="55"/>
  <c r="F554" i="55"/>
  <c r="F553" i="55"/>
  <c r="F552" i="55"/>
  <c r="F551" i="55"/>
  <c r="F550" i="55"/>
  <c r="F549" i="55"/>
  <c r="F548" i="55"/>
  <c r="F547" i="55"/>
  <c r="F546" i="55"/>
  <c r="F545" i="55"/>
  <c r="F544" i="55"/>
  <c r="F543" i="55"/>
  <c r="F542" i="55"/>
  <c r="F541" i="55"/>
  <c r="F540" i="55"/>
  <c r="F539" i="55"/>
  <c r="F538" i="55"/>
  <c r="F537" i="55"/>
  <c r="F536" i="55"/>
  <c r="F535" i="55"/>
  <c r="F534" i="55"/>
  <c r="F533" i="55"/>
  <c r="F532" i="55"/>
  <c r="F531" i="55"/>
  <c r="F530" i="55"/>
  <c r="F529" i="55"/>
  <c r="F528" i="55"/>
  <c r="F527" i="55"/>
  <c r="F526" i="55"/>
  <c r="F525" i="55"/>
  <c r="F524" i="55"/>
  <c r="F523" i="55"/>
  <c r="F522" i="55"/>
  <c r="F521" i="55"/>
  <c r="F520" i="55"/>
  <c r="F519" i="55"/>
  <c r="F518" i="55"/>
  <c r="F517" i="55"/>
  <c r="F516" i="55"/>
  <c r="F515" i="55"/>
  <c r="F514" i="55"/>
  <c r="F513" i="55"/>
  <c r="F512" i="55"/>
  <c r="F511" i="55"/>
  <c r="F510" i="55"/>
  <c r="F509" i="55"/>
  <c r="F508" i="55"/>
  <c r="F507" i="55"/>
  <c r="F506" i="55"/>
  <c r="F505" i="55"/>
  <c r="F504" i="55"/>
  <c r="F503" i="55"/>
  <c r="F502" i="55"/>
  <c r="F501" i="55"/>
  <c r="F500" i="55"/>
  <c r="F499" i="55"/>
  <c r="F498" i="55"/>
  <c r="F497" i="55"/>
  <c r="F496" i="55"/>
  <c r="F495" i="55"/>
  <c r="F494" i="55"/>
  <c r="F493" i="55"/>
  <c r="F492" i="55"/>
  <c r="F491" i="55"/>
  <c r="F490" i="55"/>
  <c r="F489" i="55"/>
  <c r="F488" i="55"/>
  <c r="F487" i="55"/>
  <c r="F486" i="55"/>
  <c r="F485" i="55"/>
  <c r="F484" i="55"/>
  <c r="F483" i="55"/>
  <c r="F482" i="55"/>
  <c r="F481" i="55"/>
  <c r="F480" i="55"/>
  <c r="F479" i="55"/>
  <c r="F478" i="55"/>
  <c r="F477" i="55"/>
  <c r="F476" i="55"/>
  <c r="F475" i="55"/>
  <c r="F474" i="55"/>
  <c r="F473" i="55"/>
  <c r="F472" i="55"/>
  <c r="F471" i="55"/>
  <c r="F470" i="55"/>
  <c r="F469" i="55"/>
  <c r="F468" i="55"/>
  <c r="F467" i="55"/>
  <c r="F466" i="55"/>
  <c r="F465" i="55"/>
  <c r="F464" i="55"/>
  <c r="F463" i="55"/>
  <c r="F462" i="55"/>
  <c r="F461" i="55"/>
  <c r="F460" i="55"/>
  <c r="F459" i="55"/>
  <c r="F458" i="55"/>
  <c r="F457" i="55"/>
  <c r="F456" i="55"/>
  <c r="F455" i="55"/>
  <c r="F454" i="55"/>
  <c r="F453" i="55"/>
  <c r="F452" i="55"/>
  <c r="F451" i="55"/>
  <c r="F450" i="55"/>
  <c r="F449" i="55"/>
  <c r="F448" i="55"/>
  <c r="F447" i="55"/>
  <c r="F446" i="55"/>
  <c r="F445" i="55"/>
  <c r="F444" i="55"/>
  <c r="F443" i="55"/>
  <c r="F442" i="55"/>
  <c r="F441" i="55"/>
  <c r="F440" i="55"/>
  <c r="F439" i="55"/>
  <c r="F438" i="55"/>
  <c r="F437" i="55"/>
  <c r="F436" i="55"/>
  <c r="F435" i="55"/>
  <c r="F434" i="55"/>
  <c r="F433" i="55"/>
  <c r="F432" i="55"/>
  <c r="F431" i="55"/>
  <c r="F430" i="55"/>
  <c r="F429" i="55"/>
  <c r="F428" i="55"/>
  <c r="F427" i="55"/>
  <c r="F426" i="55"/>
  <c r="F425" i="55"/>
  <c r="F424" i="55"/>
  <c r="F423" i="55"/>
  <c r="F422" i="55"/>
  <c r="F421" i="55"/>
  <c r="F420" i="55"/>
  <c r="F419" i="55"/>
  <c r="F418" i="55"/>
  <c r="F417" i="55"/>
  <c r="F416" i="55"/>
  <c r="F415" i="55"/>
  <c r="F414" i="55"/>
  <c r="F413" i="55"/>
  <c r="F412" i="55"/>
  <c r="F411" i="55"/>
  <c r="F410" i="55"/>
  <c r="F409" i="55"/>
  <c r="F408" i="55"/>
  <c r="F407" i="55"/>
  <c r="F406" i="55"/>
  <c r="F405" i="55"/>
  <c r="F404" i="55"/>
  <c r="F403" i="55"/>
  <c r="F402" i="55"/>
  <c r="F401" i="55"/>
  <c r="F400" i="55"/>
  <c r="F399" i="55"/>
  <c r="F398" i="55"/>
  <c r="F397" i="55"/>
  <c r="F396" i="55"/>
  <c r="F395" i="55"/>
  <c r="F394" i="55"/>
  <c r="F393" i="55"/>
  <c r="F392" i="55"/>
  <c r="F391" i="55"/>
  <c r="F390" i="55"/>
  <c r="F389" i="55"/>
  <c r="F388" i="55"/>
  <c r="F387" i="55"/>
  <c r="F386" i="55"/>
  <c r="F385" i="55"/>
  <c r="F384" i="55"/>
  <c r="F383" i="55"/>
  <c r="F382" i="55"/>
  <c r="F381" i="55"/>
  <c r="F380" i="55"/>
  <c r="F379" i="55"/>
  <c r="F378" i="55"/>
  <c r="F377" i="55"/>
  <c r="F376" i="55"/>
  <c r="F375" i="55"/>
  <c r="F374" i="55"/>
  <c r="F373" i="55"/>
  <c r="F372" i="55"/>
  <c r="F371" i="55"/>
  <c r="F370" i="55"/>
  <c r="F369" i="55"/>
  <c r="F368" i="55"/>
  <c r="F367" i="55"/>
  <c r="F366" i="55"/>
  <c r="F365" i="55"/>
  <c r="F364" i="55"/>
  <c r="F363" i="55"/>
  <c r="F362" i="55"/>
  <c r="F361" i="55"/>
  <c r="F360" i="55"/>
  <c r="F359" i="55"/>
  <c r="F358" i="55"/>
  <c r="F357" i="55"/>
  <c r="F356" i="55"/>
  <c r="F355" i="55"/>
  <c r="F354" i="55"/>
  <c r="F353" i="55"/>
  <c r="F352" i="55"/>
  <c r="F351" i="55"/>
  <c r="F350" i="55"/>
  <c r="F349" i="55"/>
  <c r="F348" i="55"/>
  <c r="F347" i="55"/>
  <c r="F346" i="55"/>
  <c r="F345" i="55"/>
  <c r="F344" i="55"/>
  <c r="F343" i="55"/>
  <c r="F342" i="55"/>
  <c r="F341" i="55"/>
  <c r="F340" i="55"/>
  <c r="F339" i="55"/>
  <c r="F338" i="55"/>
  <c r="F337" i="55"/>
  <c r="F336" i="55"/>
  <c r="F335" i="55"/>
  <c r="F334" i="55"/>
  <c r="F333" i="55"/>
  <c r="F332" i="55"/>
  <c r="F331" i="55"/>
  <c r="F330" i="55"/>
  <c r="F329" i="55"/>
  <c r="F328" i="55"/>
  <c r="F327" i="55"/>
  <c r="F326" i="55"/>
  <c r="F325" i="55"/>
  <c r="F324" i="55"/>
  <c r="F323" i="55"/>
  <c r="F322" i="55"/>
  <c r="F321" i="55"/>
  <c r="F320" i="55"/>
  <c r="F319" i="55"/>
  <c r="F318" i="55"/>
  <c r="F317" i="55"/>
  <c r="F316" i="55"/>
  <c r="F315" i="55"/>
  <c r="F314" i="55"/>
  <c r="F313" i="55"/>
  <c r="F312" i="55"/>
  <c r="F311" i="55"/>
  <c r="F310" i="55"/>
  <c r="F309" i="55"/>
  <c r="F308" i="55"/>
  <c r="F307" i="55"/>
  <c r="F306" i="55"/>
  <c r="F305" i="55"/>
  <c r="F304" i="55"/>
  <c r="F303" i="55"/>
  <c r="F302" i="55"/>
  <c r="F301" i="55"/>
  <c r="F300" i="55"/>
  <c r="F299" i="55"/>
  <c r="F298" i="55"/>
  <c r="F297" i="55"/>
  <c r="F296" i="55"/>
  <c r="F295" i="55"/>
  <c r="F294" i="55"/>
  <c r="F293" i="55"/>
  <c r="F292" i="55"/>
  <c r="F291" i="55"/>
  <c r="F290" i="55"/>
  <c r="F289" i="55"/>
  <c r="F288" i="55"/>
  <c r="F287" i="55"/>
  <c r="F286" i="55"/>
  <c r="F285" i="55"/>
  <c r="F284" i="55"/>
  <c r="F283" i="55"/>
  <c r="F282" i="55"/>
  <c r="F281" i="55"/>
  <c r="F280" i="55"/>
  <c r="F279" i="55"/>
  <c r="F278" i="55"/>
  <c r="F277" i="55"/>
  <c r="F276" i="55"/>
  <c r="F275" i="55"/>
  <c r="F274" i="55"/>
  <c r="F273" i="55"/>
  <c r="F272" i="55"/>
  <c r="F271" i="55"/>
  <c r="F270" i="55"/>
  <c r="F269" i="55"/>
  <c r="F268" i="55"/>
  <c r="F267" i="55"/>
  <c r="F266" i="55"/>
  <c r="F265" i="55"/>
  <c r="F264" i="55"/>
  <c r="F263" i="55"/>
  <c r="F262" i="55"/>
  <c r="F261" i="55"/>
  <c r="F260" i="55"/>
  <c r="F259" i="55"/>
  <c r="F258" i="55"/>
  <c r="F257" i="55"/>
  <c r="F256" i="55"/>
  <c r="F255" i="55"/>
  <c r="F254" i="55"/>
  <c r="F253" i="55"/>
  <c r="F252" i="55"/>
  <c r="F251" i="55"/>
  <c r="F250" i="55"/>
  <c r="F249" i="55"/>
  <c r="F248" i="55"/>
  <c r="F247" i="55"/>
  <c r="F246" i="55"/>
  <c r="F245" i="55"/>
  <c r="F244" i="55"/>
  <c r="F243" i="55"/>
  <c r="F242" i="55"/>
  <c r="F241" i="55"/>
  <c r="F240" i="55"/>
  <c r="F239" i="55"/>
  <c r="F238" i="55"/>
  <c r="F237" i="55"/>
  <c r="F236" i="55"/>
  <c r="F235" i="55"/>
  <c r="F234" i="55"/>
  <c r="F233" i="55"/>
  <c r="F232" i="55"/>
  <c r="F231" i="55"/>
  <c r="F230" i="55"/>
  <c r="F229" i="55"/>
  <c r="F228" i="55"/>
  <c r="F227" i="55"/>
  <c r="F226" i="55"/>
  <c r="F225" i="55"/>
  <c r="F224" i="55"/>
  <c r="F223" i="55"/>
  <c r="F222" i="55"/>
  <c r="F221" i="55"/>
  <c r="F220" i="55"/>
  <c r="F219" i="55"/>
  <c r="F218" i="55"/>
  <c r="F217" i="55"/>
  <c r="F216" i="55"/>
  <c r="F215" i="55"/>
  <c r="F214" i="55"/>
  <c r="F213" i="55"/>
  <c r="F212" i="55"/>
  <c r="F211" i="55"/>
  <c r="F210" i="55"/>
  <c r="F209" i="55"/>
  <c r="F208" i="55"/>
  <c r="F207" i="55"/>
  <c r="F206" i="55"/>
  <c r="F205" i="55"/>
  <c r="F204" i="55"/>
  <c r="F203" i="55"/>
  <c r="F202" i="55"/>
  <c r="F201" i="55"/>
  <c r="F200" i="55"/>
  <c r="F199" i="55"/>
  <c r="F198" i="55"/>
  <c r="F197" i="55"/>
  <c r="F196" i="55"/>
  <c r="F195" i="55"/>
  <c r="F194" i="55"/>
  <c r="F193" i="55"/>
  <c r="F192" i="55"/>
  <c r="F191" i="55"/>
  <c r="F190" i="55"/>
  <c r="F189" i="55"/>
  <c r="F188" i="55"/>
  <c r="F187" i="55"/>
  <c r="F186" i="55"/>
  <c r="F185" i="55"/>
  <c r="F184" i="55"/>
  <c r="F183" i="55"/>
  <c r="F182" i="55"/>
  <c r="F181" i="55"/>
  <c r="F180" i="55"/>
  <c r="F179" i="55"/>
  <c r="F178" i="55"/>
  <c r="F177" i="55"/>
  <c r="F176" i="55"/>
  <c r="F175" i="55"/>
  <c r="F174" i="55"/>
  <c r="F173" i="55"/>
  <c r="F172" i="55"/>
  <c r="F171" i="55"/>
  <c r="F170" i="55"/>
  <c r="F169" i="55"/>
  <c r="F168" i="55"/>
  <c r="F167" i="55"/>
  <c r="F166" i="55"/>
  <c r="F165" i="55"/>
  <c r="F164" i="55"/>
  <c r="F163" i="55"/>
  <c r="F162" i="55"/>
  <c r="F161" i="55"/>
  <c r="F160" i="55"/>
  <c r="F159" i="55"/>
  <c r="F158" i="55"/>
  <c r="F157" i="55"/>
  <c r="F156" i="55"/>
  <c r="F155" i="55"/>
  <c r="F154" i="55"/>
  <c r="F153" i="55"/>
  <c r="F152" i="55"/>
  <c r="F151" i="55"/>
  <c r="F150" i="55"/>
  <c r="F149" i="55"/>
  <c r="F148" i="55"/>
  <c r="F147" i="55"/>
  <c r="F146" i="55"/>
  <c r="F145" i="55"/>
  <c r="F144" i="55"/>
  <c r="F143" i="55"/>
  <c r="F142" i="55"/>
  <c r="F141" i="55"/>
  <c r="F140" i="55"/>
  <c r="F139" i="55"/>
  <c r="F138" i="55"/>
  <c r="F137" i="55"/>
  <c r="F136" i="55"/>
  <c r="F135" i="55"/>
  <c r="F134" i="55"/>
  <c r="F133" i="55"/>
  <c r="F132" i="55"/>
  <c r="F131" i="55"/>
  <c r="F130" i="55"/>
  <c r="F129" i="55"/>
  <c r="F128" i="55"/>
  <c r="F127" i="55"/>
  <c r="F126" i="55"/>
  <c r="F12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818" i="56"/>
  <c r="F817" i="56"/>
  <c r="F816" i="56"/>
  <c r="F815" i="56"/>
  <c r="F814" i="56"/>
  <c r="F813" i="56"/>
  <c r="F812" i="56"/>
  <c r="F811" i="56"/>
  <c r="F810" i="56"/>
  <c r="F809" i="56"/>
  <c r="F808" i="56"/>
  <c r="F807" i="56"/>
  <c r="F806" i="56"/>
  <c r="F805" i="56"/>
  <c r="F804" i="56"/>
  <c r="F803" i="56"/>
  <c r="F802" i="56"/>
  <c r="F801" i="56"/>
  <c r="F800" i="56"/>
  <c r="F799" i="56"/>
  <c r="F798" i="56"/>
  <c r="F797" i="56"/>
  <c r="F796" i="56"/>
  <c r="F795" i="56"/>
  <c r="F794" i="56"/>
  <c r="F793" i="56"/>
  <c r="F792" i="56"/>
  <c r="F791" i="56"/>
  <c r="F790" i="56"/>
  <c r="F789" i="56"/>
  <c r="F788" i="56"/>
  <c r="F787" i="56"/>
  <c r="F786" i="56"/>
  <c r="F785" i="56"/>
  <c r="F784" i="56"/>
  <c r="F783"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7" i="56"/>
  <c r="F746" i="56"/>
  <c r="F745" i="56"/>
  <c r="F744" i="56"/>
  <c r="F743" i="56"/>
  <c r="F742" i="56"/>
  <c r="F741" i="56"/>
  <c r="F740" i="56"/>
  <c r="F739" i="56"/>
  <c r="F738" i="56"/>
  <c r="F737" i="56"/>
  <c r="F736" i="56"/>
  <c r="F735" i="56"/>
  <c r="F734" i="56"/>
  <c r="F733" i="56"/>
  <c r="F732" i="56"/>
  <c r="F731" i="56"/>
  <c r="F730" i="56"/>
  <c r="F729" i="56"/>
  <c r="F728" i="56"/>
  <c r="F727" i="56"/>
  <c r="F726" i="56"/>
  <c r="F725" i="56"/>
  <c r="F724" i="56"/>
  <c r="F723" i="56"/>
  <c r="F722" i="56"/>
  <c r="F721" i="56"/>
  <c r="F720" i="56"/>
  <c r="F719" i="56"/>
  <c r="F718" i="56"/>
  <c r="F717" i="56"/>
  <c r="F716" i="56"/>
  <c r="F715" i="56"/>
  <c r="F714" i="56"/>
  <c r="F713" i="56"/>
  <c r="F712" i="56"/>
  <c r="F711" i="56"/>
  <c r="F710" i="56"/>
  <c r="F709" i="56"/>
  <c r="F708" i="56"/>
  <c r="F707" i="56"/>
  <c r="F706" i="56"/>
  <c r="F705" i="56"/>
  <c r="F704" i="56"/>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3" i="56"/>
  <c r="F672" i="56"/>
  <c r="F671" i="56"/>
  <c r="F670" i="56"/>
  <c r="F669" i="56"/>
  <c r="F668" i="56"/>
  <c r="F667" i="56"/>
  <c r="F666" i="56"/>
  <c r="F665" i="56"/>
  <c r="F664" i="56"/>
  <c r="F663" i="56"/>
  <c r="F662" i="56"/>
  <c r="F661" i="56"/>
  <c r="F660" i="56"/>
  <c r="F659" i="56"/>
  <c r="F658" i="56"/>
  <c r="F657" i="56"/>
  <c r="F656" i="56"/>
  <c r="F655" i="56"/>
  <c r="F654" i="56"/>
  <c r="F653" i="56"/>
  <c r="F652" i="56"/>
  <c r="F651" i="56"/>
  <c r="F650"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22" i="56"/>
  <c r="F621" i="56"/>
  <c r="F620" i="56"/>
  <c r="F619" i="56"/>
  <c r="F618" i="56"/>
  <c r="F617" i="56"/>
  <c r="F616" i="56"/>
  <c r="F615" i="56"/>
  <c r="F614" i="56"/>
  <c r="F613" i="56"/>
  <c r="F612" i="56"/>
  <c r="F611" i="56"/>
  <c r="F610" i="56"/>
  <c r="F609" i="56"/>
  <c r="F608" i="56"/>
  <c r="F607" i="56"/>
  <c r="F606" i="56"/>
  <c r="F605" i="56"/>
  <c r="F604" i="56"/>
  <c r="F603" i="56"/>
  <c r="F602" i="56"/>
  <c r="F601" i="56"/>
  <c r="F600" i="56"/>
  <c r="F599" i="56"/>
  <c r="F598" i="56"/>
  <c r="F597" i="56"/>
  <c r="F596" i="56"/>
  <c r="F595" i="56"/>
  <c r="F594" i="56"/>
  <c r="F593" i="56"/>
  <c r="F592"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F560" i="56"/>
  <c r="F559" i="56"/>
  <c r="F558" i="56"/>
  <c r="F557" i="56"/>
  <c r="F556" i="56"/>
  <c r="F555" i="56"/>
  <c r="F554" i="56"/>
  <c r="F553" i="56"/>
  <c r="F552" i="56"/>
  <c r="F551" i="56"/>
  <c r="F550"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10" i="56"/>
  <c r="F509" i="56"/>
  <c r="F508" i="56"/>
  <c r="F507" i="56"/>
  <c r="F506" i="56"/>
  <c r="F505" i="56"/>
  <c r="F504" i="56"/>
  <c r="F503" i="56"/>
  <c r="F502" i="56"/>
  <c r="F501" i="56"/>
  <c r="F500" i="56"/>
  <c r="F499" i="56"/>
  <c r="F498" i="56"/>
  <c r="F497" i="56"/>
  <c r="F496" i="56"/>
  <c r="F495" i="56"/>
  <c r="F494" i="56"/>
  <c r="F493" i="56"/>
  <c r="F492" i="56"/>
  <c r="F491" i="56"/>
  <c r="F490" i="56"/>
  <c r="F489" i="56"/>
  <c r="F488" i="56"/>
  <c r="F487" i="56"/>
  <c r="F486" i="56"/>
  <c r="F485" i="56"/>
  <c r="F484" i="56"/>
  <c r="F483" i="56"/>
  <c r="F482" i="56"/>
  <c r="F481" i="56"/>
  <c r="F480" i="56"/>
  <c r="F479" i="56"/>
  <c r="F478" i="56"/>
  <c r="F477" i="56"/>
  <c r="F476" i="56"/>
  <c r="F475" i="56"/>
  <c r="F474" i="56"/>
  <c r="F473" i="56"/>
  <c r="F472" i="56"/>
  <c r="F471" i="56"/>
  <c r="F470" i="56"/>
  <c r="F469" i="56"/>
  <c r="F468" i="56"/>
  <c r="F467" i="56"/>
  <c r="F466" i="56"/>
  <c r="F465" i="56"/>
  <c r="F464" i="56"/>
  <c r="F463" i="56"/>
  <c r="F462" i="56"/>
  <c r="F461" i="56"/>
  <c r="F460" i="56"/>
  <c r="F459" i="56"/>
  <c r="F458" i="56"/>
  <c r="F457" i="56"/>
  <c r="F456" i="56"/>
  <c r="F455" i="56"/>
  <c r="F454" i="56"/>
  <c r="F453" i="56"/>
  <c r="F452" i="56"/>
  <c r="F451" i="56"/>
  <c r="F450" i="56"/>
  <c r="F449" i="56"/>
  <c r="F448" i="56"/>
  <c r="F447" i="56"/>
  <c r="F446" i="56"/>
  <c r="F445" i="56"/>
  <c r="F444" i="56"/>
  <c r="F443" i="56"/>
  <c r="F442" i="56"/>
  <c r="F441" i="56"/>
  <c r="F440" i="56"/>
  <c r="F439" i="56"/>
  <c r="F438" i="56"/>
  <c r="F437" i="56"/>
  <c r="F436" i="56"/>
  <c r="F435" i="56"/>
  <c r="F434" i="56"/>
  <c r="F433" i="56"/>
  <c r="F432" i="56"/>
  <c r="F431" i="56"/>
  <c r="F430" i="56"/>
  <c r="F429" i="56"/>
  <c r="F428" i="56"/>
  <c r="F427" i="56"/>
  <c r="F426" i="56"/>
  <c r="F425" i="56"/>
  <c r="F424" i="56"/>
  <c r="F423" i="56"/>
  <c r="F422" i="56"/>
  <c r="F421" i="56"/>
  <c r="F420" i="56"/>
  <c r="F419" i="56"/>
  <c r="F418" i="56"/>
  <c r="F417" i="56"/>
  <c r="F416" i="56"/>
  <c r="F415" i="56"/>
  <c r="F414" i="56"/>
  <c r="F413" i="56"/>
  <c r="F412" i="56"/>
  <c r="F411" i="56"/>
  <c r="F410" i="56"/>
  <c r="F409" i="56"/>
  <c r="F408" i="56"/>
  <c r="F407" i="56"/>
  <c r="F406" i="56"/>
  <c r="F405" i="56"/>
  <c r="F404" i="56"/>
  <c r="F403" i="56"/>
  <c r="F402" i="56"/>
  <c r="F401" i="56"/>
  <c r="F400" i="56"/>
  <c r="F399" i="56"/>
  <c r="F398" i="56"/>
  <c r="F397" i="56"/>
  <c r="F396" i="56"/>
  <c r="F395" i="56"/>
  <c r="F394" i="56"/>
  <c r="F393" i="56"/>
  <c r="F392" i="56"/>
  <c r="F391" i="56"/>
  <c r="F390" i="56"/>
  <c r="F389" i="56"/>
  <c r="F388" i="56"/>
  <c r="F387" i="56"/>
  <c r="F386" i="56"/>
  <c r="F385" i="56"/>
  <c r="F384" i="56"/>
  <c r="F383" i="56"/>
  <c r="F382" i="56"/>
  <c r="F381" i="56"/>
  <c r="F380" i="56"/>
  <c r="F379" i="56"/>
  <c r="F378" i="56"/>
  <c r="F377" i="56"/>
  <c r="F376" i="56"/>
  <c r="F375" i="56"/>
  <c r="F374" i="56"/>
  <c r="F373" i="56"/>
  <c r="F372" i="56"/>
  <c r="F371" i="56"/>
  <c r="F370" i="56"/>
  <c r="F369" i="56"/>
  <c r="F368" i="56"/>
  <c r="F367" i="56"/>
  <c r="F366" i="56"/>
  <c r="F365" i="56"/>
  <c r="F364" i="56"/>
  <c r="F363" i="56"/>
  <c r="F362" i="56"/>
  <c r="F361" i="56"/>
  <c r="F360" i="56"/>
  <c r="F359" i="56"/>
  <c r="F358" i="56"/>
  <c r="F357" i="56"/>
  <c r="F356" i="56"/>
  <c r="F355" i="56"/>
  <c r="F354" i="56"/>
  <c r="F353" i="56"/>
  <c r="F352" i="56"/>
  <c r="F351" i="56"/>
  <c r="F350" i="56"/>
  <c r="F349" i="56"/>
  <c r="F348" i="56"/>
  <c r="F347" i="56"/>
  <c r="F346" i="56"/>
  <c r="F345" i="56"/>
  <c r="F344" i="56"/>
  <c r="F343" i="56"/>
  <c r="F342" i="56"/>
  <c r="F341" i="56"/>
  <c r="F340" i="56"/>
  <c r="F339" i="56"/>
  <c r="F338" i="56"/>
  <c r="F337" i="56"/>
  <c r="F336" i="56"/>
  <c r="F335" i="56"/>
  <c r="F334" i="56"/>
  <c r="F333" i="56"/>
  <c r="F332" i="56"/>
  <c r="F331" i="56"/>
  <c r="F330" i="56"/>
  <c r="F329" i="56"/>
  <c r="F328" i="56"/>
  <c r="F327" i="56"/>
  <c r="F326" i="56"/>
  <c r="F325" i="56"/>
  <c r="F324" i="56"/>
  <c r="F323" i="56"/>
  <c r="F322" i="56"/>
  <c r="F321" i="56"/>
  <c r="F320" i="56"/>
  <c r="F319" i="56"/>
  <c r="F318" i="56"/>
  <c r="F317" i="56"/>
  <c r="F316" i="56"/>
  <c r="F315" i="56"/>
  <c r="F314" i="56"/>
  <c r="F313" i="56"/>
  <c r="F312" i="56"/>
  <c r="F311" i="56"/>
  <c r="F310" i="56"/>
  <c r="F309" i="56"/>
  <c r="F308" i="56"/>
  <c r="F307" i="56"/>
  <c r="F306" i="56"/>
  <c r="F305" i="56"/>
  <c r="F304" i="56"/>
  <c r="F303" i="56"/>
  <c r="F302" i="56"/>
  <c r="F301" i="56"/>
  <c r="F300" i="56"/>
  <c r="F299" i="56"/>
  <c r="F298" i="56"/>
  <c r="F297" i="56"/>
  <c r="F296" i="56"/>
  <c r="F295" i="56"/>
  <c r="F294" i="56"/>
  <c r="F293" i="56"/>
  <c r="F292" i="56"/>
  <c r="F291" i="56"/>
  <c r="F290" i="56"/>
  <c r="F289" i="56"/>
  <c r="F288" i="56"/>
  <c r="F287" i="56"/>
  <c r="F286" i="56"/>
  <c r="F285" i="56"/>
  <c r="F284" i="56"/>
  <c r="F283" i="56"/>
  <c r="F282" i="56"/>
  <c r="F281" i="56"/>
  <c r="F280" i="56"/>
  <c r="F279" i="56"/>
  <c r="F278" i="56"/>
  <c r="F277" i="56"/>
  <c r="F276" i="56"/>
  <c r="F275" i="56"/>
  <c r="F274" i="56"/>
  <c r="F273" i="56"/>
  <c r="F272" i="56"/>
  <c r="F271" i="56"/>
  <c r="F270" i="56"/>
  <c r="F269" i="56"/>
  <c r="F268" i="56"/>
  <c r="F267" i="56"/>
  <c r="F266" i="56"/>
  <c r="F265" i="56"/>
  <c r="F264" i="56"/>
  <c r="F263" i="56"/>
  <c r="F262" i="56"/>
  <c r="F261" i="56"/>
  <c r="F260" i="56"/>
  <c r="F259" i="56"/>
  <c r="F258" i="56"/>
  <c r="F257" i="56"/>
  <c r="F256" i="56"/>
  <c r="F255" i="56"/>
  <c r="F254" i="56"/>
  <c r="F253" i="56"/>
  <c r="F252" i="56"/>
  <c r="F251" i="56"/>
  <c r="F250" i="56"/>
  <c r="F249" i="56"/>
  <c r="F248" i="56"/>
  <c r="F247" i="56"/>
  <c r="F246" i="56"/>
  <c r="F245" i="56"/>
  <c r="F244" i="56"/>
  <c r="F243" i="56"/>
  <c r="F242" i="56"/>
  <c r="F241" i="56"/>
  <c r="F240" i="56"/>
  <c r="F239" i="56"/>
  <c r="F238" i="56"/>
  <c r="F237" i="56"/>
  <c r="F236" i="56"/>
  <c r="F235" i="56"/>
  <c r="F234" i="56"/>
  <c r="F233" i="56"/>
  <c r="F232" i="56"/>
  <c r="F231" i="56"/>
  <c r="F230" i="56"/>
  <c r="F229" i="56"/>
  <c r="F228" i="56"/>
  <c r="F227" i="56"/>
  <c r="F226" i="56"/>
  <c r="F225" i="56"/>
  <c r="F224" i="56"/>
  <c r="F223" i="56"/>
  <c r="F222" i="56"/>
  <c r="F221" i="56"/>
  <c r="F220" i="56"/>
  <c r="F219" i="56"/>
  <c r="F218" i="56"/>
  <c r="F217" i="56"/>
  <c r="F216" i="56"/>
  <c r="F215" i="56"/>
  <c r="F214" i="56"/>
  <c r="F213" i="56"/>
  <c r="F212" i="56"/>
  <c r="F211" i="56"/>
  <c r="F210" i="56"/>
  <c r="F209" i="56"/>
  <c r="F208" i="56"/>
  <c r="F207" i="56"/>
  <c r="F206" i="56"/>
  <c r="F205" i="56"/>
  <c r="F204" i="56"/>
  <c r="F203" i="56"/>
  <c r="F202" i="56"/>
  <c r="F201" i="56"/>
  <c r="F200" i="56"/>
  <c r="F199" i="56"/>
  <c r="F198"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F165" i="56"/>
  <c r="F164" i="56"/>
  <c r="F163" i="56"/>
  <c r="F162" i="56"/>
  <c r="F161" i="56"/>
  <c r="F160" i="56"/>
  <c r="F159" i="56"/>
  <c r="F158" i="56"/>
  <c r="F157" i="56"/>
  <c r="F156" i="56"/>
  <c r="F155" i="56"/>
  <c r="F154" i="56"/>
  <c r="F153" i="56"/>
  <c r="F152" i="56"/>
  <c r="F151" i="56"/>
  <c r="F150" i="56"/>
  <c r="F149" i="56"/>
  <c r="F148" i="56"/>
  <c r="F147" i="56"/>
  <c r="F146" i="56"/>
  <c r="F145" i="56"/>
  <c r="F144" i="56"/>
  <c r="F143" i="56"/>
  <c r="F142" i="56"/>
  <c r="F141" i="56"/>
  <c r="F140" i="56"/>
  <c r="F139" i="56"/>
  <c r="F138" i="56"/>
  <c r="F137" i="56"/>
  <c r="F136" i="56"/>
  <c r="F135" i="56"/>
  <c r="F134" i="56"/>
  <c r="F133" i="56"/>
  <c r="F132" i="56"/>
  <c r="F131" i="56"/>
  <c r="F130" i="56"/>
  <c r="F129" i="56"/>
  <c r="F128" i="56"/>
  <c r="F127" i="56"/>
  <c r="F126" i="56"/>
  <c r="F12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5" i="56"/>
  <c r="C6" i="247"/>
  <c r="F6" i="247" s="1"/>
  <c r="C5" i="247"/>
  <c r="F5" i="247" s="1"/>
  <c r="F4" i="247" s="1"/>
  <c r="D97" i="38"/>
  <c r="E53" i="327" s="1"/>
  <c r="E91" i="38"/>
  <c r="D91" i="38"/>
  <c r="E29" i="38"/>
  <c r="D35" i="38"/>
  <c r="E38" i="327" s="1"/>
  <c r="D29" i="38"/>
  <c r="D150" i="39"/>
  <c r="D107" i="39"/>
  <c r="D45" i="39"/>
  <c r="F45" i="39" s="1"/>
  <c r="D44" i="39"/>
  <c r="F4" i="56"/>
  <c r="F4" i="55"/>
  <c r="D85" i="39"/>
  <c r="F85" i="39" s="1"/>
  <c r="D11" i="233"/>
  <c r="E11" i="233" s="1"/>
  <c r="A1" i="54"/>
  <c r="I16" i="54"/>
  <c r="J16" i="54"/>
  <c r="D174" i="39" s="1"/>
  <c r="K16" i="54"/>
  <c r="A1" i="53"/>
  <c r="F6" i="53"/>
  <c r="F7" i="53"/>
  <c r="F8" i="53"/>
  <c r="F9" i="53"/>
  <c r="F10" i="53"/>
  <c r="F11" i="53"/>
  <c r="F12" i="53"/>
  <c r="F13" i="53"/>
  <c r="F14" i="53"/>
  <c r="F15" i="53"/>
  <c r="F16" i="53"/>
  <c r="F17" i="53"/>
  <c r="F18" i="53"/>
  <c r="F19" i="53"/>
  <c r="F20" i="53"/>
  <c r="F21" i="53"/>
  <c r="F22" i="53"/>
  <c r="F23" i="53"/>
  <c r="D24" i="53"/>
  <c r="A1" i="52"/>
  <c r="A1" i="69"/>
  <c r="F8" i="69"/>
  <c r="C5" i="47" s="1"/>
  <c r="F12" i="69"/>
  <c r="C6" i="47" s="1"/>
  <c r="F16" i="69"/>
  <c r="F17" i="69" s="1"/>
  <c r="F21" i="69"/>
  <c r="C8" i="47" s="1"/>
  <c r="F8" i="47" s="1"/>
  <c r="F25" i="69"/>
  <c r="C9" i="47" s="1"/>
  <c r="F9" i="47" s="1"/>
  <c r="F29" i="69"/>
  <c r="C10" i="47" s="1"/>
  <c r="F10" i="47" s="1"/>
  <c r="F34" i="69"/>
  <c r="F38" i="69"/>
  <c r="C12" i="47" s="1"/>
  <c r="F42" i="69"/>
  <c r="F47" i="69"/>
  <c r="F51" i="69"/>
  <c r="C15" i="47" s="1"/>
  <c r="F55" i="69"/>
  <c r="C16" i="47" s="1"/>
  <c r="F60" i="69"/>
  <c r="C17" i="47" s="1"/>
  <c r="F17" i="47" s="1"/>
  <c r="F64" i="69"/>
  <c r="C18" i="47" s="1"/>
  <c r="F18" i="47" s="1"/>
  <c r="F68" i="69"/>
  <c r="C19" i="47" s="1"/>
  <c r="F19" i="47" s="1"/>
  <c r="F73" i="69"/>
  <c r="C20" i="47" s="1"/>
  <c r="F77" i="69"/>
  <c r="C21" i="47" s="1"/>
  <c r="F81" i="69"/>
  <c r="C22" i="47" s="1"/>
  <c r="F87" i="69"/>
  <c r="C26" i="47" s="1"/>
  <c r="C25" i="47" s="1"/>
  <c r="F91" i="69"/>
  <c r="F95" i="69"/>
  <c r="C28" i="47" s="1"/>
  <c r="F100" i="69"/>
  <c r="C29" i="47" s="1"/>
  <c r="F104" i="69"/>
  <c r="C30" i="47" s="1"/>
  <c r="F108" i="69"/>
  <c r="C31" i="47" s="1"/>
  <c r="A1" i="50"/>
  <c r="C7" i="50"/>
  <c r="E7" i="50" s="1"/>
  <c r="D7" i="50"/>
  <c r="E8" i="50"/>
  <c r="G7" i="50" s="1"/>
  <c r="G11" i="50" s="1"/>
  <c r="G12" i="50" s="1"/>
  <c r="C19" i="50" s="1"/>
  <c r="D20" i="50" s="1"/>
  <c r="E70" i="43" s="1"/>
  <c r="E9" i="50"/>
  <c r="G8" i="50" s="1"/>
  <c r="E10" i="50"/>
  <c r="G9" i="50" s="1"/>
  <c r="A1"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6"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3" i="49"/>
  <c r="A1" i="48"/>
  <c r="C17" i="48"/>
  <c r="C18" i="48"/>
  <c r="C19" i="48"/>
  <c r="C20" i="48"/>
  <c r="C21" i="48"/>
  <c r="A1" i="47"/>
  <c r="E5" i="47"/>
  <c r="E6" i="47"/>
  <c r="E7" i="47"/>
  <c r="E11" i="47"/>
  <c r="E12" i="47"/>
  <c r="E13" i="47"/>
  <c r="E14" i="47"/>
  <c r="E15" i="47"/>
  <c r="F15" i="47" s="1"/>
  <c r="E16" i="47"/>
  <c r="E20" i="47"/>
  <c r="E21" i="47"/>
  <c r="E22" i="47"/>
  <c r="E26" i="47"/>
  <c r="E27" i="47"/>
  <c r="E28" i="47"/>
  <c r="E29" i="47"/>
  <c r="E30" i="47"/>
  <c r="E31" i="47"/>
  <c r="A23" i="290"/>
  <c r="A24" i="290" s="1"/>
  <c r="A25" i="290" s="1"/>
  <c r="A26" i="290" s="1"/>
  <c r="A27" i="290" s="1"/>
  <c r="A28" i="290" s="1"/>
  <c r="A29" i="290" s="1"/>
  <c r="A30" i="290" s="1"/>
  <c r="A31" i="290" s="1"/>
  <c r="A32" i="290" s="1"/>
  <c r="A33" i="290" s="1"/>
  <c r="A34" i="290" s="1"/>
  <c r="A35" i="290" s="1"/>
  <c r="A36" i="290" s="1"/>
  <c r="A37" i="290" s="1"/>
  <c r="J22" i="290" s="1"/>
  <c r="J23" i="290" s="1"/>
  <c r="J24" i="290" s="1"/>
  <c r="J25" i="290" s="1"/>
  <c r="J26" i="290" s="1"/>
  <c r="J27" i="290" s="1"/>
  <c r="J28" i="290" s="1"/>
  <c r="C24" i="290"/>
  <c r="D24" i="290"/>
  <c r="G24" i="290" s="1"/>
  <c r="E24" i="290"/>
  <c r="H24" i="290" s="1"/>
  <c r="C26" i="290"/>
  <c r="D26" i="290"/>
  <c r="E26" i="290"/>
  <c r="C27" i="290"/>
  <c r="D27" i="290"/>
  <c r="E27" i="290"/>
  <c r="C29" i="290"/>
  <c r="F29" i="290" s="1"/>
  <c r="D81" i="38" s="1"/>
  <c r="D29" i="290"/>
  <c r="G29" i="290" s="1"/>
  <c r="E29" i="290"/>
  <c r="H29" i="290" s="1"/>
  <c r="C31" i="290"/>
  <c r="D31" i="290"/>
  <c r="E31" i="290"/>
  <c r="C32" i="290"/>
  <c r="D32" i="290"/>
  <c r="E32" i="290"/>
  <c r="C34" i="290"/>
  <c r="D34" i="290"/>
  <c r="G34" i="290" s="1"/>
  <c r="E34" i="290"/>
  <c r="H34" i="290" s="1"/>
  <c r="C36" i="290"/>
  <c r="D36" i="290"/>
  <c r="E36" i="290"/>
  <c r="C37" i="290"/>
  <c r="D37" i="290"/>
  <c r="E37" i="290"/>
  <c r="H8" i="278"/>
  <c r="E10" i="44" s="1"/>
  <c r="G10" i="44" s="1"/>
  <c r="A1" i="277"/>
  <c r="E7" i="277"/>
  <c r="F7" i="277"/>
  <c r="H7" i="277" s="1"/>
  <c r="G7" i="277"/>
  <c r="E8" i="277"/>
  <c r="F8" i="277"/>
  <c r="G8" i="277"/>
  <c r="I8" i="277" s="1"/>
  <c r="A1" i="250"/>
  <c r="D6" i="250"/>
  <c r="D55" i="39" s="1"/>
  <c r="E6" i="250"/>
  <c r="D7" i="250"/>
  <c r="D59" i="39" s="1"/>
  <c r="E7" i="250"/>
  <c r="D8" i="250"/>
  <c r="D62" i="39" s="1"/>
  <c r="E8" i="250"/>
  <c r="F62" i="39" s="1"/>
  <c r="D9" i="250"/>
  <c r="E9" i="250"/>
  <c r="F116" i="39" s="1"/>
  <c r="D10" i="250"/>
  <c r="D158" i="39" s="1"/>
  <c r="E10" i="250"/>
  <c r="F158" i="39" s="1"/>
  <c r="D11" i="250"/>
  <c r="E11" i="250"/>
  <c r="F42" i="38" s="1"/>
  <c r="D12" i="250"/>
  <c r="E12" i="250"/>
  <c r="D13" i="250"/>
  <c r="E13" i="250"/>
  <c r="D14" i="250"/>
  <c r="E14" i="250"/>
  <c r="F19" i="250"/>
  <c r="H19" i="250"/>
  <c r="F20" i="250"/>
  <c r="H20" i="250"/>
  <c r="F21" i="250"/>
  <c r="H21" i="250"/>
  <c r="F22" i="250"/>
  <c r="H22" i="250"/>
  <c r="F23" i="250"/>
  <c r="H23" i="250"/>
  <c r="F24" i="250"/>
  <c r="H24" i="250"/>
  <c r="F25" i="250"/>
  <c r="H25" i="250"/>
  <c r="F26" i="250"/>
  <c r="H26" i="250"/>
  <c r="F27" i="250"/>
  <c r="H27" i="250"/>
  <c r="F28" i="250"/>
  <c r="H28" i="250"/>
  <c r="F29" i="250"/>
  <c r="H29" i="250"/>
  <c r="F30" i="250"/>
  <c r="H30" i="250"/>
  <c r="F31" i="250"/>
  <c r="H31" i="250"/>
  <c r="F32" i="250"/>
  <c r="H32" i="250"/>
  <c r="F33" i="250"/>
  <c r="H33" i="250"/>
  <c r="F34" i="250"/>
  <c r="I34" i="250" s="1"/>
  <c r="J34" i="250" s="1"/>
  <c r="H34" i="250"/>
  <c r="F35" i="250"/>
  <c r="H35" i="250"/>
  <c r="F36" i="250"/>
  <c r="H36" i="250"/>
  <c r="F37" i="250"/>
  <c r="H37" i="250"/>
  <c r="F38" i="250"/>
  <c r="H38" i="250"/>
  <c r="F39" i="250"/>
  <c r="H39" i="250"/>
  <c r="F40" i="250"/>
  <c r="H40" i="250"/>
  <c r="F41" i="250"/>
  <c r="H41" i="250"/>
  <c r="F42" i="250"/>
  <c r="H42" i="250"/>
  <c r="F43" i="250"/>
  <c r="H43" i="250"/>
  <c r="F44" i="250"/>
  <c r="H44" i="250"/>
  <c r="F45" i="250"/>
  <c r="H45" i="250"/>
  <c r="F46" i="250"/>
  <c r="H46" i="250"/>
  <c r="F47" i="250"/>
  <c r="H47" i="250"/>
  <c r="F48" i="250"/>
  <c r="H48" i="250"/>
  <c r="F49" i="250"/>
  <c r="H49" i="250"/>
  <c r="F50" i="250"/>
  <c r="H50" i="250"/>
  <c r="F51" i="250"/>
  <c r="H51" i="250"/>
  <c r="F52" i="250"/>
  <c r="H52" i="250"/>
  <c r="F53" i="250"/>
  <c r="I53" i="250" s="1"/>
  <c r="J53" i="250" s="1"/>
  <c r="H53" i="250"/>
  <c r="A1" i="233"/>
  <c r="B6" i="233"/>
  <c r="E64" i="293" s="1"/>
  <c r="D12" i="233"/>
  <c r="E12" i="233" s="1"/>
  <c r="D13" i="233"/>
  <c r="D15" i="233"/>
  <c r="D16" i="233"/>
  <c r="E16" i="233" s="1"/>
  <c r="D18" i="233"/>
  <c r="D19" i="233"/>
  <c r="D20" i="233"/>
  <c r="E20" i="233" s="1"/>
  <c r="D21" i="233"/>
  <c r="E21" i="233" s="1"/>
  <c r="D26" i="233"/>
  <c r="D28" i="233" s="1"/>
  <c r="E25" i="293" s="1"/>
  <c r="G25" i="293" s="1"/>
  <c r="A1" i="151"/>
  <c r="A7" i="15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1" i="150"/>
  <c r="A7" i="150"/>
  <c r="A8" i="150" s="1"/>
  <c r="A9" i="150" s="1"/>
  <c r="A10" i="150" s="1"/>
  <c r="A11" i="150" s="1"/>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1" i="247"/>
  <c r="F10" i="247"/>
  <c r="A1" i="44"/>
  <c r="C6" i="44"/>
  <c r="C9" i="44"/>
  <c r="C12" i="44"/>
  <c r="C15" i="44"/>
  <c r="A1" i="285"/>
  <c r="E6" i="285"/>
  <c r="H6" i="285" s="1"/>
  <c r="E7" i="285"/>
  <c r="G7" i="285"/>
  <c r="E9" i="285"/>
  <c r="H9" i="285" s="1"/>
  <c r="E10" i="285"/>
  <c r="A1" i="43"/>
  <c r="C6" i="43"/>
  <c r="C7" i="43"/>
  <c r="F7" i="43"/>
  <c r="C8" i="43"/>
  <c r="F8" i="43" s="1"/>
  <c r="C9" i="43"/>
  <c r="F9" i="43" s="1"/>
  <c r="C10" i="43"/>
  <c r="F10" i="43" s="1"/>
  <c r="C11" i="43"/>
  <c r="F11" i="43" s="1"/>
  <c r="C12" i="43"/>
  <c r="F12" i="43" s="1"/>
  <c r="C13" i="43"/>
  <c r="F13" i="43" s="1"/>
  <c r="C14" i="43"/>
  <c r="F14" i="43" s="1"/>
  <c r="C15" i="43"/>
  <c r="F15" i="43" s="1"/>
  <c r="C16" i="43"/>
  <c r="F16" i="43" s="1"/>
  <c r="C17" i="43"/>
  <c r="F17" i="43" s="1"/>
  <c r="C18" i="43"/>
  <c r="F18" i="43" s="1"/>
  <c r="C19" i="43"/>
  <c r="F19" i="43" s="1"/>
  <c r="C20" i="43"/>
  <c r="F20" i="43" s="1"/>
  <c r="C21" i="43"/>
  <c r="F21" i="43" s="1"/>
  <c r="C22" i="43"/>
  <c r="F22" i="43" s="1"/>
  <c r="C23" i="43"/>
  <c r="F23" i="43" s="1"/>
  <c r="C24" i="43"/>
  <c r="F24" i="43" s="1"/>
  <c r="C25" i="43"/>
  <c r="F25" i="43" s="1"/>
  <c r="C26" i="43"/>
  <c r="F26" i="43" s="1"/>
  <c r="C27" i="43"/>
  <c r="F27" i="43" s="1"/>
  <c r="C28" i="43"/>
  <c r="F28" i="43" s="1"/>
  <c r="C29" i="43"/>
  <c r="F29" i="43" s="1"/>
  <c r="C30" i="43"/>
  <c r="F30" i="43" s="1"/>
  <c r="C31" i="43"/>
  <c r="F31" i="43" s="1"/>
  <c r="C32" i="43"/>
  <c r="F32" i="43" s="1"/>
  <c r="C33" i="43"/>
  <c r="F33" i="43" s="1"/>
  <c r="D39" i="43"/>
  <c r="D70" i="43" s="1"/>
  <c r="C40" i="43"/>
  <c r="C41" i="43"/>
  <c r="C42" i="43"/>
  <c r="F42" i="43" s="1"/>
  <c r="C43" i="43"/>
  <c r="F43" i="43" s="1"/>
  <c r="C44" i="43"/>
  <c r="F44" i="43" s="1"/>
  <c r="C45" i="43"/>
  <c r="F45" i="43" s="1"/>
  <c r="C46" i="43"/>
  <c r="F46" i="43" s="1"/>
  <c r="C47" i="43"/>
  <c r="F47" i="43" s="1"/>
  <c r="C48" i="43"/>
  <c r="F48" i="43" s="1"/>
  <c r="C49" i="43"/>
  <c r="F49" i="43" s="1"/>
  <c r="C50" i="43"/>
  <c r="F50" i="43" s="1"/>
  <c r="C51" i="43"/>
  <c r="F51" i="43" s="1"/>
  <c r="C52" i="43"/>
  <c r="F52" i="43" s="1"/>
  <c r="C53" i="43"/>
  <c r="F53" i="43" s="1"/>
  <c r="C54" i="43"/>
  <c r="F54" i="43" s="1"/>
  <c r="C55" i="43"/>
  <c r="F55" i="43" s="1"/>
  <c r="C56" i="43"/>
  <c r="F56" i="43" s="1"/>
  <c r="C57" i="43"/>
  <c r="F57" i="43" s="1"/>
  <c r="C58" i="43"/>
  <c r="F58" i="43" s="1"/>
  <c r="C59" i="43"/>
  <c r="F59" i="43" s="1"/>
  <c r="C60" i="43"/>
  <c r="F60" i="43" s="1"/>
  <c r="C61" i="43"/>
  <c r="F61" i="43" s="1"/>
  <c r="C62" i="43"/>
  <c r="F62" i="43" s="1"/>
  <c r="C63" i="43"/>
  <c r="C64" i="43"/>
  <c r="F64" i="43" s="1"/>
  <c r="C65" i="43"/>
  <c r="F65" i="43" s="1"/>
  <c r="C66" i="43"/>
  <c r="F66" i="43" s="1"/>
  <c r="C67" i="43"/>
  <c r="F67" i="43" s="1"/>
  <c r="A1" i="276"/>
  <c r="E6" i="276"/>
  <c r="E7" i="276"/>
  <c r="E8" i="276"/>
  <c r="E9" i="276"/>
  <c r="E10" i="276"/>
  <c r="E11" i="276"/>
  <c r="E12" i="276"/>
  <c r="C13" i="276"/>
  <c r="C12" i="42" s="1"/>
  <c r="C26" i="276"/>
  <c r="C27" i="276"/>
  <c r="C28" i="276"/>
  <c r="C29" i="276"/>
  <c r="A1" i="42"/>
  <c r="A1" i="192"/>
  <c r="J6" i="192"/>
  <c r="K6" i="192"/>
  <c r="L6" i="192"/>
  <c r="M6" i="192"/>
  <c r="N6" i="192"/>
  <c r="A7" i="192"/>
  <c r="A8" i="192" s="1"/>
  <c r="A9" i="192" s="1"/>
  <c r="A10" i="192" s="1"/>
  <c r="A11" i="192" s="1"/>
  <c r="A12" i="192" s="1"/>
  <c r="A13" i="192" s="1"/>
  <c r="A14" i="192" s="1"/>
  <c r="A15" i="192" s="1"/>
  <c r="A16" i="192" s="1"/>
  <c r="A17" i="192" s="1"/>
  <c r="A18" i="192" s="1"/>
  <c r="A19" i="192" s="1"/>
  <c r="A20" i="192" s="1"/>
  <c r="A21" i="192" s="1"/>
  <c r="A22" i="192" s="1"/>
  <c r="A23" i="192" s="1"/>
  <c r="A24" i="192" s="1"/>
  <c r="A25" i="192" s="1"/>
  <c r="J7" i="192"/>
  <c r="K7" i="192"/>
  <c r="L7" i="192"/>
  <c r="M7" i="192"/>
  <c r="N7" i="192"/>
  <c r="J8" i="192"/>
  <c r="K8" i="192"/>
  <c r="L8" i="192"/>
  <c r="M8" i="192"/>
  <c r="N8" i="192"/>
  <c r="J9" i="192"/>
  <c r="K9" i="192"/>
  <c r="L9" i="192"/>
  <c r="M9" i="192"/>
  <c r="N9" i="192"/>
  <c r="J10" i="192"/>
  <c r="K10" i="192"/>
  <c r="L10" i="192"/>
  <c r="M10" i="192"/>
  <c r="N10" i="192"/>
  <c r="J11" i="192"/>
  <c r="K11" i="192"/>
  <c r="L11" i="192"/>
  <c r="M11" i="192"/>
  <c r="N11" i="192"/>
  <c r="J12" i="192"/>
  <c r="K12" i="192"/>
  <c r="L12" i="192"/>
  <c r="M12" i="192"/>
  <c r="N12" i="192"/>
  <c r="J13" i="192"/>
  <c r="K13" i="192"/>
  <c r="L13" i="192"/>
  <c r="M13" i="192"/>
  <c r="N13" i="192"/>
  <c r="J14" i="192"/>
  <c r="K14" i="192"/>
  <c r="L14" i="192"/>
  <c r="M14" i="192"/>
  <c r="N14" i="192"/>
  <c r="J15" i="192"/>
  <c r="K15" i="192"/>
  <c r="L15" i="192"/>
  <c r="M15" i="192"/>
  <c r="N15" i="192"/>
  <c r="J16" i="192"/>
  <c r="K16" i="192"/>
  <c r="L16" i="192"/>
  <c r="M16" i="192"/>
  <c r="N16" i="192"/>
  <c r="J17" i="192"/>
  <c r="K17" i="192"/>
  <c r="L17" i="192"/>
  <c r="M17" i="192"/>
  <c r="N17" i="192"/>
  <c r="J18" i="192"/>
  <c r="K18" i="192"/>
  <c r="L18" i="192"/>
  <c r="M18" i="192"/>
  <c r="N18" i="192"/>
  <c r="J19" i="192"/>
  <c r="K19" i="192"/>
  <c r="L19" i="192"/>
  <c r="M19" i="192"/>
  <c r="N19" i="192"/>
  <c r="J20" i="192"/>
  <c r="K20" i="192"/>
  <c r="L20" i="192"/>
  <c r="M20" i="192"/>
  <c r="N20" i="192"/>
  <c r="J21" i="192"/>
  <c r="K21" i="192"/>
  <c r="L21" i="192"/>
  <c r="M21" i="192"/>
  <c r="N21" i="192"/>
  <c r="J22" i="192"/>
  <c r="K22" i="192"/>
  <c r="L22" i="192"/>
  <c r="M22" i="192"/>
  <c r="N22" i="192"/>
  <c r="J23" i="192"/>
  <c r="K23" i="192"/>
  <c r="L23" i="192"/>
  <c r="M23" i="192"/>
  <c r="N23" i="192"/>
  <c r="J24" i="192"/>
  <c r="K24" i="192"/>
  <c r="L24" i="192"/>
  <c r="M24" i="192"/>
  <c r="N24" i="192"/>
  <c r="J25" i="192"/>
  <c r="K25" i="192"/>
  <c r="L25" i="192"/>
  <c r="M25" i="192"/>
  <c r="N25" i="192"/>
  <c r="J26" i="192"/>
  <c r="K26" i="192"/>
  <c r="L26" i="192"/>
  <c r="M26" i="192"/>
  <c r="N26" i="192"/>
  <c r="A27" i="192"/>
  <c r="A28" i="192" s="1"/>
  <c r="A29" i="192" s="1"/>
  <c r="A30" i="192" s="1"/>
  <c r="A31" i="192" s="1"/>
  <c r="A32" i="192" s="1"/>
  <c r="A33" i="192" s="1"/>
  <c r="A34" i="192" s="1"/>
  <c r="A35" i="192" s="1"/>
  <c r="A36" i="192" s="1"/>
  <c r="A37" i="192" s="1"/>
  <c r="A38" i="192" s="1"/>
  <c r="A39" i="192" s="1"/>
  <c r="A40" i="192" s="1"/>
  <c r="A41" i="192" s="1"/>
  <c r="A42" i="192" s="1"/>
  <c r="A43" i="192" s="1"/>
  <c r="A44" i="192" s="1"/>
  <c r="A45" i="192" s="1"/>
  <c r="A46" i="192" s="1"/>
  <c r="A47" i="192" s="1"/>
  <c r="A48" i="192" s="1"/>
  <c r="A49" i="192" s="1"/>
  <c r="A50" i="192" s="1"/>
  <c r="D27" i="192"/>
  <c r="E27" i="192"/>
  <c r="F27" i="192"/>
  <c r="G27" i="192"/>
  <c r="D123" i="39" s="1"/>
  <c r="H27" i="192"/>
  <c r="D165" i="39" s="1"/>
  <c r="J28" i="192"/>
  <c r="K28" i="192"/>
  <c r="L28" i="192"/>
  <c r="M28" i="192"/>
  <c r="N28" i="192"/>
  <c r="J29" i="192"/>
  <c r="K29" i="192"/>
  <c r="L29" i="192"/>
  <c r="M29" i="192"/>
  <c r="N29" i="192"/>
  <c r="J30" i="192"/>
  <c r="K30" i="192"/>
  <c r="L30" i="192"/>
  <c r="M30" i="192"/>
  <c r="N30" i="192"/>
  <c r="J31" i="192"/>
  <c r="K31" i="192"/>
  <c r="L31" i="192"/>
  <c r="M31" i="192"/>
  <c r="N31" i="192"/>
  <c r="J32" i="192"/>
  <c r="K32" i="192"/>
  <c r="L32" i="192"/>
  <c r="M32" i="192"/>
  <c r="N32" i="192"/>
  <c r="J33" i="192"/>
  <c r="K33" i="192"/>
  <c r="L33" i="192"/>
  <c r="M33" i="192"/>
  <c r="N33" i="192"/>
  <c r="J34" i="192"/>
  <c r="K34" i="192"/>
  <c r="L34" i="192"/>
  <c r="M34" i="192"/>
  <c r="N34" i="192"/>
  <c r="J35" i="192"/>
  <c r="K35" i="192"/>
  <c r="L35" i="192"/>
  <c r="M35" i="192"/>
  <c r="N35" i="192"/>
  <c r="J36" i="192"/>
  <c r="K36" i="192"/>
  <c r="L36" i="192"/>
  <c r="M36" i="192"/>
  <c r="N36" i="192"/>
  <c r="J37" i="192"/>
  <c r="K37" i="192"/>
  <c r="L37" i="192"/>
  <c r="M37" i="192"/>
  <c r="N37" i="192"/>
  <c r="J38" i="192"/>
  <c r="K38" i="192"/>
  <c r="L38" i="192"/>
  <c r="M38" i="192"/>
  <c r="N38" i="192"/>
  <c r="J39" i="192"/>
  <c r="K39" i="192"/>
  <c r="L39" i="192"/>
  <c r="M39" i="192"/>
  <c r="N39" i="192"/>
  <c r="J40" i="192"/>
  <c r="K40" i="192"/>
  <c r="L40" i="192"/>
  <c r="M40" i="192"/>
  <c r="N40" i="192"/>
  <c r="J41" i="192"/>
  <c r="K41" i="192"/>
  <c r="L41" i="192"/>
  <c r="M41" i="192"/>
  <c r="N41" i="192"/>
  <c r="J42" i="192"/>
  <c r="K42" i="192"/>
  <c r="L42" i="192"/>
  <c r="M42" i="192"/>
  <c r="N42" i="192"/>
  <c r="J43" i="192"/>
  <c r="K43" i="192"/>
  <c r="L43" i="192"/>
  <c r="M43" i="192"/>
  <c r="N43" i="192"/>
  <c r="J44" i="192"/>
  <c r="K44" i="192"/>
  <c r="L44" i="192"/>
  <c r="M44" i="192"/>
  <c r="N44" i="192"/>
  <c r="J45" i="192"/>
  <c r="K45" i="192"/>
  <c r="L45" i="192"/>
  <c r="M45" i="192"/>
  <c r="N45" i="192"/>
  <c r="J46" i="192"/>
  <c r="K46" i="192"/>
  <c r="L46" i="192"/>
  <c r="M46" i="192"/>
  <c r="N46" i="192"/>
  <c r="J47" i="192"/>
  <c r="K47" i="192"/>
  <c r="L47" i="192"/>
  <c r="M47" i="192"/>
  <c r="N47" i="192"/>
  <c r="J48" i="192"/>
  <c r="K48" i="192"/>
  <c r="L48" i="192"/>
  <c r="M48" i="192"/>
  <c r="N48" i="192"/>
  <c r="D49" i="192"/>
  <c r="D62" i="38" s="1"/>
  <c r="E49" i="192"/>
  <c r="D122" i="38" s="1"/>
  <c r="F49" i="192"/>
  <c r="D84" i="39" s="1"/>
  <c r="G49" i="192"/>
  <c r="H49" i="192"/>
  <c r="D166" i="39" s="1"/>
  <c r="A1" i="41"/>
  <c r="G6" i="41"/>
  <c r="H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G7" i="41"/>
  <c r="H7"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D27" i="41"/>
  <c r="D91" i="39" s="1"/>
  <c r="E27" i="41"/>
  <c r="D134" i="39" s="1"/>
  <c r="G28" i="41"/>
  <c r="H28" i="4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D49" i="41"/>
  <c r="H120" i="41" s="1"/>
  <c r="E49" i="41"/>
  <c r="G64" i="41"/>
  <c r="G65" i="41"/>
  <c r="H65" i="41"/>
  <c r="G66" i="41"/>
  <c r="H66" i="41"/>
  <c r="G67" i="41"/>
  <c r="H67" i="41"/>
  <c r="G68" i="41"/>
  <c r="H68" i="41"/>
  <c r="G70" i="41"/>
  <c r="H70" i="41"/>
  <c r="D71" i="41"/>
  <c r="D93" i="39" s="1"/>
  <c r="E71" i="41"/>
  <c r="G72" i="41"/>
  <c r="H72" i="41"/>
  <c r="G73" i="41"/>
  <c r="H73" i="41"/>
  <c r="G74" i="41"/>
  <c r="H74" i="41"/>
  <c r="G75" i="41"/>
  <c r="H75" i="41"/>
  <c r="G76" i="41"/>
  <c r="H76" i="41"/>
  <c r="G77" i="41"/>
  <c r="H77" i="41"/>
  <c r="G78" i="41"/>
  <c r="H78" i="41"/>
  <c r="G79" i="41"/>
  <c r="H79" i="41"/>
  <c r="G80" i="41"/>
  <c r="H80" i="41"/>
  <c r="G81" i="41"/>
  <c r="H81" i="41"/>
  <c r="G82" i="41"/>
  <c r="H82" i="41"/>
  <c r="G83" i="41"/>
  <c r="H83" i="41"/>
  <c r="G84" i="41"/>
  <c r="H84" i="41"/>
  <c r="G85" i="41"/>
  <c r="H85" i="41"/>
  <c r="G86" i="41"/>
  <c r="H86" i="41"/>
  <c r="G87" i="41"/>
  <c r="H87" i="41"/>
  <c r="G88" i="41"/>
  <c r="H88" i="41"/>
  <c r="G89" i="41"/>
  <c r="H89" i="41"/>
  <c r="G90" i="41"/>
  <c r="H90" i="41"/>
  <c r="G91" i="41"/>
  <c r="H91" i="41"/>
  <c r="G92" i="41"/>
  <c r="H92" i="41"/>
  <c r="D93" i="41"/>
  <c r="D95" i="39"/>
  <c r="E93" i="41"/>
  <c r="G94" i="41"/>
  <c r="H94" i="41"/>
  <c r="G95" i="41"/>
  <c r="H95" i="41"/>
  <c r="G96" i="41"/>
  <c r="H96" i="41"/>
  <c r="G97" i="41"/>
  <c r="H97" i="41"/>
  <c r="G98" i="41"/>
  <c r="H98" i="41"/>
  <c r="G99" i="41"/>
  <c r="H99" i="41"/>
  <c r="G100" i="41"/>
  <c r="H100" i="41"/>
  <c r="G101" i="41"/>
  <c r="H101" i="41"/>
  <c r="G102" i="41"/>
  <c r="H102" i="41"/>
  <c r="G103" i="41"/>
  <c r="H103" i="41"/>
  <c r="G104" i="41"/>
  <c r="H104" i="41"/>
  <c r="G105" i="41"/>
  <c r="H105" i="41"/>
  <c r="G106" i="41"/>
  <c r="H106" i="41"/>
  <c r="G107" i="41"/>
  <c r="H107" i="41"/>
  <c r="G108" i="41"/>
  <c r="H108" i="41"/>
  <c r="G109" i="41"/>
  <c r="H109" i="41"/>
  <c r="G110" i="41"/>
  <c r="H110" i="41"/>
  <c r="G111" i="41"/>
  <c r="H111" i="41"/>
  <c r="G112" i="41"/>
  <c r="H112" i="41"/>
  <c r="G113" i="41"/>
  <c r="H113" i="41"/>
  <c r="G114" i="41"/>
  <c r="H114" i="41"/>
  <c r="D115" i="41"/>
  <c r="E115" i="41"/>
  <c r="H125" i="41" s="1"/>
  <c r="A1" i="282"/>
  <c r="F6" i="282"/>
  <c r="F7" i="282"/>
  <c r="F8" i="282"/>
  <c r="F9" i="282"/>
  <c r="F10" i="282"/>
  <c r="F11" i="282"/>
  <c r="F12" i="282"/>
  <c r="F13" i="282"/>
  <c r="F14" i="282"/>
  <c r="F15" i="282"/>
  <c r="F16" i="282"/>
  <c r="F17" i="282"/>
  <c r="F18" i="282"/>
  <c r="F19" i="282"/>
  <c r="F20" i="282"/>
  <c r="F21" i="282"/>
  <c r="F22" i="282"/>
  <c r="F23" i="282"/>
  <c r="D24" i="282"/>
  <c r="F25" i="282"/>
  <c r="F26" i="282"/>
  <c r="F27" i="282"/>
  <c r="F28" i="282"/>
  <c r="F29" i="282"/>
  <c r="F30" i="282"/>
  <c r="F31" i="282"/>
  <c r="F32" i="282"/>
  <c r="F33" i="282"/>
  <c r="F34" i="282"/>
  <c r="F35" i="282"/>
  <c r="F36" i="282"/>
  <c r="F37" i="282"/>
  <c r="F38" i="282"/>
  <c r="F39" i="282"/>
  <c r="F40" i="282"/>
  <c r="F41" i="282"/>
  <c r="F42" i="282"/>
  <c r="D43" i="282"/>
  <c r="D14" i="39" s="1"/>
  <c r="F45" i="282"/>
  <c r="F46" i="282"/>
  <c r="F47" i="282"/>
  <c r="F48" i="282"/>
  <c r="F49" i="282"/>
  <c r="F50" i="282"/>
  <c r="F51" i="282"/>
  <c r="F52" i="282"/>
  <c r="F53" i="282"/>
  <c r="F54" i="282"/>
  <c r="F55" i="282"/>
  <c r="F56" i="282"/>
  <c r="F57" i="282"/>
  <c r="F58" i="282"/>
  <c r="F59" i="282"/>
  <c r="F60" i="282"/>
  <c r="F61" i="282"/>
  <c r="F62" i="282"/>
  <c r="D63" i="282"/>
  <c r="F127" i="282" s="1"/>
  <c r="F64" i="282"/>
  <c r="F65" i="282"/>
  <c r="F66" i="282"/>
  <c r="F67" i="282"/>
  <c r="F68" i="282"/>
  <c r="F69" i="282"/>
  <c r="F70" i="282"/>
  <c r="F71" i="282"/>
  <c r="F72" i="282"/>
  <c r="F73" i="282"/>
  <c r="F74" i="282"/>
  <c r="F75" i="282"/>
  <c r="F76" i="282"/>
  <c r="F77" i="282"/>
  <c r="F78" i="282"/>
  <c r="F79" i="282"/>
  <c r="F80" i="282"/>
  <c r="F81" i="282"/>
  <c r="D82" i="282"/>
  <c r="F86" i="282"/>
  <c r="F87" i="282"/>
  <c r="F88" i="282"/>
  <c r="F89" i="282"/>
  <c r="F90" i="282"/>
  <c r="F91" i="282"/>
  <c r="F92" i="282"/>
  <c r="F93" i="282"/>
  <c r="F94" i="282"/>
  <c r="F95" i="282"/>
  <c r="F96" i="282"/>
  <c r="F97" i="282"/>
  <c r="F98" i="282"/>
  <c r="F99" i="282"/>
  <c r="F100" i="282"/>
  <c r="F101" i="282"/>
  <c r="D102" i="282"/>
  <c r="F128" i="282" s="1"/>
  <c r="F103" i="282"/>
  <c r="F104" i="282"/>
  <c r="F105" i="282"/>
  <c r="F106" i="282"/>
  <c r="F107" i="282"/>
  <c r="F108" i="282"/>
  <c r="F109" i="282"/>
  <c r="F110" i="282"/>
  <c r="F111" i="282"/>
  <c r="F112" i="282"/>
  <c r="F113" i="282"/>
  <c r="F114" i="282"/>
  <c r="F115" i="282"/>
  <c r="F116" i="282"/>
  <c r="F117" i="282"/>
  <c r="F118" i="282"/>
  <c r="F119" i="282"/>
  <c r="F120" i="282"/>
  <c r="D121" i="282"/>
  <c r="A1" i="39"/>
  <c r="A6" i="39"/>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D6" i="39"/>
  <c r="F6" i="39" s="1"/>
  <c r="D9" i="39"/>
  <c r="F9" i="39" s="1"/>
  <c r="D15" i="39"/>
  <c r="F15" i="39" s="1"/>
  <c r="D19" i="39"/>
  <c r="F19" i="39"/>
  <c r="D20" i="39"/>
  <c r="F20" i="39" s="1"/>
  <c r="D23" i="39"/>
  <c r="F23" i="39" s="1"/>
  <c r="D24" i="39"/>
  <c r="F24" i="39" s="1"/>
  <c r="D25" i="39"/>
  <c r="F25" i="39" s="1"/>
  <c r="D26" i="39"/>
  <c r="F26" i="39" s="1"/>
  <c r="D29" i="39"/>
  <c r="D32" i="39"/>
  <c r="D33" i="39"/>
  <c r="D34" i="39"/>
  <c r="F34" i="39" s="1"/>
  <c r="D41" i="39"/>
  <c r="D42" i="39"/>
  <c r="D43" i="39"/>
  <c r="D47" i="39"/>
  <c r="D48" i="39"/>
  <c r="E48" i="39"/>
  <c r="D49" i="39"/>
  <c r="F49" i="39" s="1"/>
  <c r="D50" i="39"/>
  <c r="F50" i="39" s="1"/>
  <c r="D63" i="39"/>
  <c r="F63" i="39" s="1"/>
  <c r="D66" i="39"/>
  <c r="F66" i="39" s="1"/>
  <c r="D67" i="39"/>
  <c r="F67" i="39"/>
  <c r="D68" i="39"/>
  <c r="D69" i="39"/>
  <c r="F69" i="39" s="1"/>
  <c r="D72" i="39"/>
  <c r="F72" i="39" s="1"/>
  <c r="D81" i="39"/>
  <c r="F81" i="39" s="1"/>
  <c r="D89" i="39"/>
  <c r="F89" i="39" s="1"/>
  <c r="D96" i="39"/>
  <c r="D98" i="39"/>
  <c r="D101" i="39"/>
  <c r="D103" i="39"/>
  <c r="D104" i="39"/>
  <c r="D105" i="39"/>
  <c r="D106" i="39"/>
  <c r="D108" i="39"/>
  <c r="D109" i="39"/>
  <c r="D110" i="39"/>
  <c r="D112" i="39"/>
  <c r="D113" i="39"/>
  <c r="D117" i="39"/>
  <c r="D118" i="39"/>
  <c r="E75" i="327" s="1"/>
  <c r="D119" i="39"/>
  <c r="D120" i="39"/>
  <c r="D121" i="39"/>
  <c r="D126" i="39"/>
  <c r="D127" i="39"/>
  <c r="D132" i="39"/>
  <c r="F132" i="39" s="1"/>
  <c r="D139" i="39"/>
  <c r="D141" i="39"/>
  <c r="D144" i="39"/>
  <c r="D146" i="39"/>
  <c r="D147" i="39"/>
  <c r="D148" i="39"/>
  <c r="D149" i="39"/>
  <c r="D151" i="39"/>
  <c r="D152" i="39"/>
  <c r="D154" i="39"/>
  <c r="D155" i="39"/>
  <c r="D159" i="39"/>
  <c r="D160" i="39"/>
  <c r="E83" i="327" s="1"/>
  <c r="D161" i="39"/>
  <c r="D162" i="39"/>
  <c r="D163" i="39"/>
  <c r="D168" i="39"/>
  <c r="D169" i="39"/>
  <c r="F169" i="39" s="1"/>
  <c r="F177" i="39"/>
  <c r="F176" i="39" s="1"/>
  <c r="A1" i="38"/>
  <c r="A6" i="38"/>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8" i="38" s="1"/>
  <c r="A129" i="38" s="1"/>
  <c r="A130" i="38" s="1"/>
  <c r="D12" i="38"/>
  <c r="F12" i="38" s="1"/>
  <c r="D14" i="38"/>
  <c r="D15" i="38"/>
  <c r="E33" i="327" s="1"/>
  <c r="D17" i="38"/>
  <c r="D25" i="38"/>
  <c r="D26" i="38"/>
  <c r="D27" i="38"/>
  <c r="D28" i="38"/>
  <c r="D31" i="38"/>
  <c r="E34" i="327" s="1"/>
  <c r="D32" i="38"/>
  <c r="E35" i="327" s="1"/>
  <c r="D33" i="38"/>
  <c r="E36" i="327" s="1"/>
  <c r="D34" i="38"/>
  <c r="E37" i="327" s="1"/>
  <c r="D36" i="38"/>
  <c r="E39" i="327" s="1"/>
  <c r="D37" i="38"/>
  <c r="E40" i="327" s="1"/>
  <c r="D38" i="38"/>
  <c r="E41" i="327" s="1"/>
  <c r="D39" i="38"/>
  <c r="E42" i="327" s="1"/>
  <c r="D44" i="38"/>
  <c r="F44" i="38" s="1"/>
  <c r="D45" i="38"/>
  <c r="F45" i="38" s="1"/>
  <c r="D48" i="38"/>
  <c r="D49" i="38"/>
  <c r="F49" i="38" s="1"/>
  <c r="D50" i="38"/>
  <c r="F50" i="38" s="1"/>
  <c r="D52" i="38"/>
  <c r="E43" i="327" s="1"/>
  <c r="D53" i="38"/>
  <c r="E44" i="327" s="1"/>
  <c r="D54" i="38"/>
  <c r="E45" i="327" s="1"/>
  <c r="D56" i="38"/>
  <c r="F56" i="38" s="1"/>
  <c r="D57" i="38"/>
  <c r="E46" i="327" s="1"/>
  <c r="D59" i="38"/>
  <c r="F59" i="38" s="1"/>
  <c r="D64" i="38"/>
  <c r="F64" i="38" s="1"/>
  <c r="D68" i="38"/>
  <c r="F68" i="38"/>
  <c r="D76" i="38"/>
  <c r="D77" i="38"/>
  <c r="E48" i="327" s="1"/>
  <c r="D79" i="38"/>
  <c r="D87" i="38"/>
  <c r="D88" i="38"/>
  <c r="F88" i="38" s="1"/>
  <c r="D89" i="38"/>
  <c r="D90" i="38"/>
  <c r="F90" i="38" s="1"/>
  <c r="D93" i="38"/>
  <c r="E49" i="327" s="1"/>
  <c r="D94" i="38"/>
  <c r="E50" i="327" s="1"/>
  <c r="D95" i="38"/>
  <c r="E51" i="327" s="1"/>
  <c r="D96" i="38"/>
  <c r="E52" i="327" s="1"/>
  <c r="D98" i="38"/>
  <c r="E54" i="327" s="1"/>
  <c r="D99" i="38"/>
  <c r="E55" i="327" s="1"/>
  <c r="D100" i="38"/>
  <c r="E56" i="327" s="1"/>
  <c r="D101" i="38"/>
  <c r="E57" i="327" s="1"/>
  <c r="D105" i="38"/>
  <c r="F105" i="38" s="1"/>
  <c r="D108" i="38"/>
  <c r="D109" i="38"/>
  <c r="F109" i="38" s="1"/>
  <c r="D110" i="38"/>
  <c r="F110" i="38" s="1"/>
  <c r="D112" i="38"/>
  <c r="E58" i="327" s="1"/>
  <c r="D113" i="38"/>
  <c r="E59" i="327" s="1"/>
  <c r="D114" i="38"/>
  <c r="E60" i="327" s="1"/>
  <c r="D116" i="38"/>
  <c r="D117" i="38"/>
  <c r="E61" i="327" s="1"/>
  <c r="D119" i="38"/>
  <c r="F119" i="38" s="1"/>
  <c r="D124" i="38"/>
  <c r="F124" i="38" s="1"/>
  <c r="D128" i="38"/>
  <c r="A1" i="37"/>
  <c r="H14" i="37"/>
  <c r="A1" i="67"/>
  <c r="A1" i="273"/>
  <c r="A1" i="115"/>
  <c r="A1" i="249"/>
  <c r="A1" i="286"/>
  <c r="A1" i="68"/>
  <c r="A1" i="156"/>
  <c r="A1" i="33"/>
  <c r="A1" i="157"/>
  <c r="A1" i="253"/>
  <c r="A1" i="252"/>
  <c r="A1" i="251"/>
  <c r="A1" i="158"/>
  <c r="A1" i="28"/>
  <c r="A1" i="27"/>
  <c r="A1"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E45" i="26"/>
  <c r="A1" i="74"/>
  <c r="N18" i="74"/>
  <c r="G10" i="26" s="1"/>
  <c r="O18" i="74"/>
  <c r="H10" i="26" s="1"/>
  <c r="P18" i="74"/>
  <c r="I10" i="26" s="1"/>
  <c r="R18" i="74"/>
  <c r="N31" i="74"/>
  <c r="J10" i="26" s="1"/>
  <c r="O31" i="74"/>
  <c r="K10" i="26" s="1"/>
  <c r="P31" i="74"/>
  <c r="L10" i="26" s="1"/>
  <c r="R31" i="74"/>
  <c r="N42" i="74"/>
  <c r="G16" i="26" s="1"/>
  <c r="O42" i="74"/>
  <c r="H16" i="26" s="1"/>
  <c r="P42" i="74"/>
  <c r="I16" i="26" s="1"/>
  <c r="R42" i="74"/>
  <c r="N53" i="74"/>
  <c r="J16" i="26" s="1"/>
  <c r="O53" i="74"/>
  <c r="P53" i="74"/>
  <c r="L16" i="26" s="1"/>
  <c r="R53" i="74"/>
  <c r="N64" i="74"/>
  <c r="D30" i="26" s="1"/>
  <c r="O64" i="74"/>
  <c r="E30" i="26" s="1"/>
  <c r="P64" i="74"/>
  <c r="F30" i="26" s="1"/>
  <c r="R64" i="74"/>
  <c r="N75" i="74"/>
  <c r="G30" i="26" s="1"/>
  <c r="O75" i="74"/>
  <c r="H30" i="26" s="1"/>
  <c r="P75" i="74"/>
  <c r="I30" i="26" s="1"/>
  <c r="R75" i="74"/>
  <c r="N86" i="74"/>
  <c r="J30" i="26" s="1"/>
  <c r="O86" i="74"/>
  <c r="K30" i="26" s="1"/>
  <c r="P86" i="74"/>
  <c r="L30" i="26" s="1"/>
  <c r="R86" i="74"/>
  <c r="N93" i="74"/>
  <c r="D37" i="26" s="1"/>
  <c r="O93" i="74"/>
  <c r="E37" i="26" s="1"/>
  <c r="P93" i="74"/>
  <c r="R93" i="74"/>
  <c r="N100" i="74"/>
  <c r="G37" i="26" s="1"/>
  <c r="O100" i="74"/>
  <c r="H37" i="26" s="1"/>
  <c r="P100" i="74"/>
  <c r="I37" i="26" s="1"/>
  <c r="R100" i="74"/>
  <c r="N107" i="74"/>
  <c r="J37" i="26" s="1"/>
  <c r="O107" i="74"/>
  <c r="K37" i="26" s="1"/>
  <c r="P107" i="74"/>
  <c r="L37" i="26" s="1"/>
  <c r="R107" i="74"/>
  <c r="N115" i="74"/>
  <c r="G9" i="27" s="1"/>
  <c r="O115" i="74"/>
  <c r="H9" i="27" s="1"/>
  <c r="P115" i="74"/>
  <c r="R115" i="74"/>
  <c r="N122" i="74"/>
  <c r="J9" i="27" s="1"/>
  <c r="O122" i="74"/>
  <c r="P122" i="74"/>
  <c r="L9" i="27" s="1"/>
  <c r="R122" i="74"/>
  <c r="N129" i="74"/>
  <c r="O129" i="74"/>
  <c r="E14" i="27" s="1"/>
  <c r="P129" i="74"/>
  <c r="R129" i="74"/>
  <c r="N136" i="74"/>
  <c r="G14" i="27" s="1"/>
  <c r="O136" i="74"/>
  <c r="H14" i="27" s="1"/>
  <c r="P136" i="74"/>
  <c r="I14" i="27" s="1"/>
  <c r="R136" i="74"/>
  <c r="N143" i="74"/>
  <c r="J14" i="27" s="1"/>
  <c r="O143" i="74"/>
  <c r="P143" i="74"/>
  <c r="L14" i="27" s="1"/>
  <c r="R143" i="74"/>
  <c r="N150" i="74"/>
  <c r="D19" i="27" s="1"/>
  <c r="O150" i="74"/>
  <c r="E19" i="27" s="1"/>
  <c r="P150" i="74"/>
  <c r="R150" i="74"/>
  <c r="N157" i="74"/>
  <c r="G19" i="27" s="1"/>
  <c r="O157" i="74"/>
  <c r="H19" i="27" s="1"/>
  <c r="P157" i="74"/>
  <c r="I19" i="27" s="1"/>
  <c r="R157" i="74"/>
  <c r="N164" i="74"/>
  <c r="J19" i="27" s="1"/>
  <c r="O164" i="74"/>
  <c r="K19" i="27" s="1"/>
  <c r="P164" i="74"/>
  <c r="L19" i="27" s="1"/>
  <c r="R164" i="74"/>
  <c r="N172" i="74"/>
  <c r="G8" i="28" s="1"/>
  <c r="G9" i="28" s="1"/>
  <c r="O172" i="74"/>
  <c r="H8" i="28" s="1"/>
  <c r="P172" i="74"/>
  <c r="I8" i="28" s="1"/>
  <c r="R172" i="74"/>
  <c r="N179" i="74"/>
  <c r="O179" i="74"/>
  <c r="P179" i="74"/>
  <c r="R179" i="74"/>
  <c r="N186" i="74"/>
  <c r="D12" i="28" s="1"/>
  <c r="O186" i="74"/>
  <c r="E12" i="28" s="1"/>
  <c r="P186" i="74"/>
  <c r="F12" i="28" s="1"/>
  <c r="R186" i="74"/>
  <c r="N193" i="74"/>
  <c r="G12" i="28" s="1"/>
  <c r="O193" i="74"/>
  <c r="H12" i="28" s="1"/>
  <c r="P193" i="74"/>
  <c r="I12" i="28" s="1"/>
  <c r="R193" i="74"/>
  <c r="N200" i="74"/>
  <c r="J12" i="28" s="1"/>
  <c r="O200" i="74"/>
  <c r="K12" i="28" s="1"/>
  <c r="P200" i="74"/>
  <c r="L12" i="28" s="1"/>
  <c r="R200" i="74"/>
  <c r="N207" i="74"/>
  <c r="D16" i="28" s="1"/>
  <c r="O207" i="74"/>
  <c r="E16" i="28" s="1"/>
  <c r="P207" i="74"/>
  <c r="F16" i="28" s="1"/>
  <c r="R207" i="74"/>
  <c r="N214" i="74"/>
  <c r="G16" i="28" s="1"/>
  <c r="O214" i="74"/>
  <c r="H16" i="28" s="1"/>
  <c r="P214" i="74"/>
  <c r="I16" i="28" s="1"/>
  <c r="R214" i="74"/>
  <c r="N221" i="74"/>
  <c r="J16" i="28" s="1"/>
  <c r="O221" i="74"/>
  <c r="K16" i="28" s="1"/>
  <c r="P221" i="74"/>
  <c r="L16" i="28" s="1"/>
  <c r="R221" i="74"/>
  <c r="A1" i="73"/>
  <c r="M18" i="73"/>
  <c r="N18" i="73"/>
  <c r="G9" i="26" s="1"/>
  <c r="O18" i="73"/>
  <c r="H9" i="26" s="1"/>
  <c r="P18" i="73"/>
  <c r="I9" i="26" s="1"/>
  <c r="R18" i="73"/>
  <c r="T18" i="73"/>
  <c r="U18" i="73"/>
  <c r="V18" i="73"/>
  <c r="W18" i="73"/>
  <c r="M31" i="73"/>
  <c r="N31" i="73"/>
  <c r="J9" i="26" s="1"/>
  <c r="O31" i="73"/>
  <c r="K9" i="26" s="1"/>
  <c r="P31" i="73"/>
  <c r="L9" i="26" s="1"/>
  <c r="R31" i="73"/>
  <c r="T31" i="73"/>
  <c r="U31" i="73"/>
  <c r="V31" i="73"/>
  <c r="W31" i="73"/>
  <c r="M42" i="73"/>
  <c r="N42" i="73"/>
  <c r="G15" i="26" s="1"/>
  <c r="O42" i="73"/>
  <c r="H15" i="26" s="1"/>
  <c r="P42" i="73"/>
  <c r="I15" i="26"/>
  <c r="R42" i="73"/>
  <c r="T42" i="73"/>
  <c r="U42" i="73"/>
  <c r="V42" i="73"/>
  <c r="W42" i="73"/>
  <c r="M53" i="73"/>
  <c r="N53" i="73"/>
  <c r="J15" i="26" s="1"/>
  <c r="O53" i="73"/>
  <c r="K15" i="26" s="1"/>
  <c r="P53" i="73"/>
  <c r="L15" i="26" s="1"/>
  <c r="R53" i="73"/>
  <c r="T53" i="73"/>
  <c r="U53" i="73"/>
  <c r="V53" i="73"/>
  <c r="W53" i="73"/>
  <c r="M64" i="73"/>
  <c r="N64" i="73"/>
  <c r="D29" i="26" s="1"/>
  <c r="O64" i="73"/>
  <c r="E29" i="26" s="1"/>
  <c r="P64" i="73"/>
  <c r="F29" i="26" s="1"/>
  <c r="R64" i="73"/>
  <c r="T64" i="73"/>
  <c r="U64" i="73"/>
  <c r="V64" i="73"/>
  <c r="W64" i="73"/>
  <c r="M75" i="73"/>
  <c r="N75" i="73"/>
  <c r="G29" i="26" s="1"/>
  <c r="O75" i="73"/>
  <c r="H29" i="26" s="1"/>
  <c r="P75" i="73"/>
  <c r="I29" i="26" s="1"/>
  <c r="R75" i="73"/>
  <c r="T75" i="73"/>
  <c r="U75" i="73"/>
  <c r="V75" i="73"/>
  <c r="W75" i="73"/>
  <c r="M86" i="73"/>
  <c r="N86" i="73"/>
  <c r="J29" i="26" s="1"/>
  <c r="O86" i="73"/>
  <c r="K29" i="26" s="1"/>
  <c r="P86" i="73"/>
  <c r="L29" i="26" s="1"/>
  <c r="R86" i="73"/>
  <c r="T86" i="73"/>
  <c r="U86" i="73"/>
  <c r="V86" i="73"/>
  <c r="W86" i="73"/>
  <c r="M93" i="73"/>
  <c r="N93" i="73"/>
  <c r="D36" i="26" s="1"/>
  <c r="O93" i="73"/>
  <c r="E36" i="26" s="1"/>
  <c r="P93" i="73"/>
  <c r="F36" i="26" s="1"/>
  <c r="R93" i="73"/>
  <c r="T93" i="73"/>
  <c r="U93" i="73"/>
  <c r="V93" i="73"/>
  <c r="W93" i="73"/>
  <c r="M100" i="73"/>
  <c r="N100" i="73"/>
  <c r="G36" i="26" s="1"/>
  <c r="O100" i="73"/>
  <c r="H36" i="26" s="1"/>
  <c r="P100" i="73"/>
  <c r="R100" i="73"/>
  <c r="T100" i="73"/>
  <c r="U100" i="73"/>
  <c r="V100" i="73"/>
  <c r="W100" i="73"/>
  <c r="M107" i="73"/>
  <c r="N107" i="73"/>
  <c r="O107" i="73"/>
  <c r="P107" i="73"/>
  <c r="L36" i="26" s="1"/>
  <c r="R107" i="73"/>
  <c r="T107" i="73"/>
  <c r="U107" i="73"/>
  <c r="V107" i="73"/>
  <c r="W107" i="73"/>
  <c r="M115" i="73"/>
  <c r="N115" i="73"/>
  <c r="O115" i="73"/>
  <c r="H7" i="28" s="1"/>
  <c r="P115" i="73"/>
  <c r="I7" i="28" s="1"/>
  <c r="R115" i="73"/>
  <c r="T115" i="73"/>
  <c r="U115" i="73"/>
  <c r="V115" i="73"/>
  <c r="W115" i="73"/>
  <c r="M122" i="73"/>
  <c r="N122" i="73"/>
  <c r="J7" i="28" s="1"/>
  <c r="O122" i="73"/>
  <c r="K7" i="28" s="1"/>
  <c r="P122" i="73"/>
  <c r="L7" i="28" s="1"/>
  <c r="R122" i="73"/>
  <c r="T122" i="73"/>
  <c r="U122" i="73"/>
  <c r="V122" i="73"/>
  <c r="W122" i="73"/>
  <c r="M129" i="73"/>
  <c r="N129" i="73"/>
  <c r="O129" i="73"/>
  <c r="E11" i="28" s="1"/>
  <c r="P129" i="73"/>
  <c r="F11" i="28" s="1"/>
  <c r="R129" i="73"/>
  <c r="T129" i="73"/>
  <c r="U129" i="73"/>
  <c r="V129" i="73"/>
  <c r="W129" i="73"/>
  <c r="M136" i="73"/>
  <c r="N136" i="73"/>
  <c r="G11" i="28" s="1"/>
  <c r="O136" i="73"/>
  <c r="H11" i="28" s="1"/>
  <c r="P136" i="73"/>
  <c r="R136" i="73"/>
  <c r="T136" i="73"/>
  <c r="U136" i="73"/>
  <c r="V136" i="73"/>
  <c r="W136" i="73"/>
  <c r="M143" i="73"/>
  <c r="N143" i="73"/>
  <c r="J11" i="28" s="1"/>
  <c r="O143" i="73"/>
  <c r="K11" i="28" s="1"/>
  <c r="P143" i="73"/>
  <c r="L11" i="28" s="1"/>
  <c r="R143" i="73"/>
  <c r="T143" i="73"/>
  <c r="U143" i="73"/>
  <c r="V143" i="73"/>
  <c r="W143" i="73"/>
  <c r="M150" i="73"/>
  <c r="N150" i="73"/>
  <c r="D15" i="28" s="1"/>
  <c r="O150" i="73"/>
  <c r="E15" i="28" s="1"/>
  <c r="P150" i="73"/>
  <c r="F15" i="28" s="1"/>
  <c r="R150" i="73"/>
  <c r="T150" i="73"/>
  <c r="U150" i="73"/>
  <c r="V150" i="73"/>
  <c r="W150" i="73"/>
  <c r="M157" i="73"/>
  <c r="N157" i="73"/>
  <c r="G15" i="28" s="1"/>
  <c r="O157" i="73"/>
  <c r="H15" i="28" s="1"/>
  <c r="P157" i="73"/>
  <c r="I15" i="28" s="1"/>
  <c r="R157" i="73"/>
  <c r="T157" i="73"/>
  <c r="U157" i="73"/>
  <c r="V157" i="73"/>
  <c r="W157" i="73"/>
  <c r="M164" i="73"/>
  <c r="N164" i="73"/>
  <c r="J15" i="28" s="1"/>
  <c r="O164" i="73"/>
  <c r="K15" i="28" s="1"/>
  <c r="P164" i="73"/>
  <c r="L15" i="28" s="1"/>
  <c r="R164" i="73"/>
  <c r="T164" i="73"/>
  <c r="U164" i="73"/>
  <c r="V164" i="73"/>
  <c r="W164" i="73"/>
  <c r="A1" i="72"/>
  <c r="M18" i="72"/>
  <c r="N18" i="72"/>
  <c r="G8" i="26" s="1"/>
  <c r="O18" i="72"/>
  <c r="H8" i="26" s="1"/>
  <c r="P18" i="72"/>
  <c r="I8" i="26"/>
  <c r="R18" i="72"/>
  <c r="T18" i="72"/>
  <c r="U18" i="72"/>
  <c r="V18" i="72"/>
  <c r="W18" i="72"/>
  <c r="M31" i="72"/>
  <c r="N31" i="72"/>
  <c r="J8" i="26" s="1"/>
  <c r="O31" i="72"/>
  <c r="K8" i="26" s="1"/>
  <c r="P31" i="72"/>
  <c r="L8" i="26" s="1"/>
  <c r="R31" i="72"/>
  <c r="T31" i="72"/>
  <c r="U31" i="72"/>
  <c r="V31" i="72"/>
  <c r="W31" i="72"/>
  <c r="M42" i="72"/>
  <c r="N42" i="72"/>
  <c r="G14" i="26" s="1"/>
  <c r="O42" i="72"/>
  <c r="H14" i="26" s="1"/>
  <c r="P42" i="72"/>
  <c r="I14" i="26" s="1"/>
  <c r="R42" i="72"/>
  <c r="T42" i="72"/>
  <c r="U42" i="72"/>
  <c r="V42" i="72"/>
  <c r="W42" i="72"/>
  <c r="M53" i="72"/>
  <c r="N53" i="72"/>
  <c r="J14" i="26" s="1"/>
  <c r="O53" i="72"/>
  <c r="K14" i="26" s="1"/>
  <c r="P53" i="72"/>
  <c r="L14" i="26" s="1"/>
  <c r="R53" i="72"/>
  <c r="T53" i="72"/>
  <c r="U53" i="72"/>
  <c r="V53" i="72"/>
  <c r="W53" i="72"/>
  <c r="M64" i="72"/>
  <c r="N64" i="72"/>
  <c r="D20" i="26" s="1"/>
  <c r="O64" i="72"/>
  <c r="E20" i="26" s="1"/>
  <c r="P64" i="72"/>
  <c r="F20" i="26" s="1"/>
  <c r="R64" i="72"/>
  <c r="T64" i="72"/>
  <c r="U64" i="72"/>
  <c r="V64" i="72"/>
  <c r="W64" i="72"/>
  <c r="M75" i="72"/>
  <c r="N75" i="72"/>
  <c r="D23" i="26" s="1"/>
  <c r="O75" i="72"/>
  <c r="E23" i="26" s="1"/>
  <c r="P75" i="72"/>
  <c r="F23" i="26" s="1"/>
  <c r="R75" i="72"/>
  <c r="T75" i="72"/>
  <c r="U75" i="72"/>
  <c r="V75" i="72"/>
  <c r="W75" i="72"/>
  <c r="M86" i="72"/>
  <c r="N86" i="72"/>
  <c r="O86" i="72"/>
  <c r="E28" i="26" s="1"/>
  <c r="P86" i="72"/>
  <c r="F28" i="26" s="1"/>
  <c r="R86" i="72"/>
  <c r="T86" i="72"/>
  <c r="U86" i="72"/>
  <c r="V86" i="72"/>
  <c r="W86" i="72"/>
  <c r="M97" i="72"/>
  <c r="N97" i="72"/>
  <c r="G28" i="26" s="1"/>
  <c r="O97" i="72"/>
  <c r="H28" i="26" s="1"/>
  <c r="P97" i="72"/>
  <c r="I28" i="26" s="1"/>
  <c r="R97" i="72"/>
  <c r="T97" i="72"/>
  <c r="U97" i="72"/>
  <c r="V97" i="72"/>
  <c r="W97" i="72"/>
  <c r="M108" i="72"/>
  <c r="N108" i="72"/>
  <c r="J28" i="26" s="1"/>
  <c r="O108" i="72"/>
  <c r="K28" i="26" s="1"/>
  <c r="P108" i="72"/>
  <c r="L28" i="26" s="1"/>
  <c r="R108" i="72"/>
  <c r="T108" i="72"/>
  <c r="U108" i="72"/>
  <c r="V108" i="72"/>
  <c r="W108" i="72"/>
  <c r="M115" i="72"/>
  <c r="N115" i="72"/>
  <c r="D35" i="26" s="1"/>
  <c r="O115" i="72"/>
  <c r="E35" i="26" s="1"/>
  <c r="P115" i="72"/>
  <c r="F35" i="26" s="1"/>
  <c r="R115" i="72"/>
  <c r="T115" i="72"/>
  <c r="U115" i="72"/>
  <c r="V115" i="72"/>
  <c r="W115" i="72"/>
  <c r="M122" i="72"/>
  <c r="N122" i="72"/>
  <c r="G35" i="26" s="1"/>
  <c r="O122" i="72"/>
  <c r="H35" i="26" s="1"/>
  <c r="P122" i="72"/>
  <c r="I35" i="26" s="1"/>
  <c r="R122" i="72"/>
  <c r="T122" i="72"/>
  <c r="U122" i="72"/>
  <c r="V122" i="72"/>
  <c r="W122" i="72"/>
  <c r="M129" i="72"/>
  <c r="N129" i="72"/>
  <c r="J35" i="26" s="1"/>
  <c r="O129" i="72"/>
  <c r="K35" i="26" s="1"/>
  <c r="P129" i="72"/>
  <c r="R129" i="72"/>
  <c r="T129" i="72"/>
  <c r="U129" i="72"/>
  <c r="V129" i="72"/>
  <c r="W129" i="72"/>
  <c r="M137" i="72"/>
  <c r="N137" i="72"/>
  <c r="O137" i="72"/>
  <c r="H8" i="27" s="1"/>
  <c r="P137" i="72"/>
  <c r="I8" i="27" s="1"/>
  <c r="R137" i="72"/>
  <c r="T137" i="72"/>
  <c r="U137" i="72"/>
  <c r="V137" i="72"/>
  <c r="W137" i="72"/>
  <c r="M144" i="72"/>
  <c r="N144" i="72"/>
  <c r="J8" i="27" s="1"/>
  <c r="O144" i="72"/>
  <c r="K8" i="27" s="1"/>
  <c r="P144" i="72"/>
  <c r="L8" i="27" s="1"/>
  <c r="R144" i="72"/>
  <c r="T144" i="72"/>
  <c r="U144" i="72"/>
  <c r="V144" i="72"/>
  <c r="W144" i="72"/>
  <c r="M151" i="72"/>
  <c r="N151" i="72"/>
  <c r="D13" i="27" s="1"/>
  <c r="O151" i="72"/>
  <c r="E13" i="27" s="1"/>
  <c r="P151" i="72"/>
  <c r="F13" i="27" s="1"/>
  <c r="R151" i="72"/>
  <c r="T151" i="72"/>
  <c r="U151" i="72"/>
  <c r="V151" i="72"/>
  <c r="W151" i="72"/>
  <c r="M158" i="72"/>
  <c r="N158" i="72"/>
  <c r="G13" i="27" s="1"/>
  <c r="O158" i="72"/>
  <c r="H13" i="27" s="1"/>
  <c r="P158" i="72"/>
  <c r="I13" i="27" s="1"/>
  <c r="R158" i="72"/>
  <c r="T158" i="72"/>
  <c r="U158" i="72"/>
  <c r="V158" i="72"/>
  <c r="W158" i="72"/>
  <c r="M165" i="72"/>
  <c r="N165" i="72"/>
  <c r="J13" i="27" s="1"/>
  <c r="O165" i="72"/>
  <c r="K13" i="27" s="1"/>
  <c r="P165" i="72"/>
  <c r="L13" i="27" s="1"/>
  <c r="R165" i="72"/>
  <c r="T165" i="72"/>
  <c r="U165" i="72"/>
  <c r="V165" i="72"/>
  <c r="W165" i="72"/>
  <c r="M172" i="72"/>
  <c r="N172" i="72"/>
  <c r="D18" i="27" s="1"/>
  <c r="O172" i="72"/>
  <c r="E18" i="27" s="1"/>
  <c r="P172" i="72"/>
  <c r="F18" i="27" s="1"/>
  <c r="R172" i="72"/>
  <c r="T172" i="72"/>
  <c r="U172" i="72"/>
  <c r="V172" i="72"/>
  <c r="W172" i="72"/>
  <c r="M179" i="72"/>
  <c r="N179" i="72"/>
  <c r="G18" i="27" s="1"/>
  <c r="O179" i="72"/>
  <c r="H18" i="27" s="1"/>
  <c r="P179" i="72"/>
  <c r="I18" i="27" s="1"/>
  <c r="R179" i="72"/>
  <c r="T179" i="72"/>
  <c r="U179" i="72"/>
  <c r="V179" i="72"/>
  <c r="W179" i="72"/>
  <c r="M186" i="72"/>
  <c r="N186" i="72"/>
  <c r="J18" i="27" s="1"/>
  <c r="O186" i="72"/>
  <c r="K18" i="27" s="1"/>
  <c r="P186" i="72"/>
  <c r="L18" i="27" s="1"/>
  <c r="R186" i="72"/>
  <c r="T186" i="72"/>
  <c r="U186" i="72"/>
  <c r="V186" i="72"/>
  <c r="W186" i="72"/>
  <c r="A1" i="71"/>
  <c r="M18" i="71"/>
  <c r="G7" i="26" s="1"/>
  <c r="N18" i="71"/>
  <c r="I7" i="26" s="1"/>
  <c r="S18" i="71"/>
  <c r="M31" i="71"/>
  <c r="J7" i="26" s="1"/>
  <c r="N31" i="71"/>
  <c r="L7" i="26" s="1"/>
  <c r="S31" i="71"/>
  <c r="M42" i="71"/>
  <c r="G13" i="26" s="1"/>
  <c r="N42" i="71"/>
  <c r="S42" i="71"/>
  <c r="M53" i="71"/>
  <c r="J13" i="26" s="1"/>
  <c r="N53" i="71"/>
  <c r="L13" i="26" s="1"/>
  <c r="S53" i="71"/>
  <c r="M64" i="71"/>
  <c r="N64" i="71"/>
  <c r="F27" i="26" s="1"/>
  <c r="S64" i="71"/>
  <c r="M75" i="71"/>
  <c r="G27" i="26" s="1"/>
  <c r="N75" i="71"/>
  <c r="I27" i="26" s="1"/>
  <c r="S75" i="71"/>
  <c r="M86" i="71"/>
  <c r="J27" i="26" s="1"/>
  <c r="N86" i="71"/>
  <c r="L27" i="26" s="1"/>
  <c r="S86" i="71"/>
  <c r="M93" i="71"/>
  <c r="N93" i="71"/>
  <c r="F34" i="26" s="1"/>
  <c r="S93" i="71"/>
  <c r="M100" i="71"/>
  <c r="G34" i="26" s="1"/>
  <c r="N100" i="71"/>
  <c r="I34" i="26" s="1"/>
  <c r="S100" i="71"/>
  <c r="M107" i="71"/>
  <c r="J34" i="26" s="1"/>
  <c r="N107" i="71"/>
  <c r="L34" i="26" s="1"/>
  <c r="S107" i="71"/>
  <c r="M115" i="71"/>
  <c r="N115" i="71"/>
  <c r="I7" i="27" s="1"/>
  <c r="S115" i="71"/>
  <c r="M122" i="71"/>
  <c r="N122" i="71"/>
  <c r="L7" i="27" s="1"/>
  <c r="S122" i="71"/>
  <c r="M129" i="71"/>
  <c r="D12" i="27" s="1"/>
  <c r="N129" i="71"/>
  <c r="F12" i="27" s="1"/>
  <c r="S129" i="71"/>
  <c r="M136" i="71"/>
  <c r="G12" i="27" s="1"/>
  <c r="N136" i="71"/>
  <c r="I12" i="27" s="1"/>
  <c r="S136" i="71"/>
  <c r="M143" i="71"/>
  <c r="J12" i="27" s="1"/>
  <c r="N143" i="71"/>
  <c r="L12" i="27" s="1"/>
  <c r="S143" i="71"/>
  <c r="M150" i="71"/>
  <c r="D17" i="27" s="1"/>
  <c r="N150" i="71"/>
  <c r="F17" i="27" s="1"/>
  <c r="S150" i="71"/>
  <c r="M157" i="71"/>
  <c r="G17" i="27" s="1"/>
  <c r="N157" i="71"/>
  <c r="S157" i="71"/>
  <c r="M164" i="71"/>
  <c r="J17" i="27" s="1"/>
  <c r="N164" i="71"/>
  <c r="L17" i="27" s="1"/>
  <c r="S164" i="71"/>
  <c r="A1" i="70"/>
  <c r="N18" i="70"/>
  <c r="G6" i="26" s="1"/>
  <c r="O18" i="70"/>
  <c r="H6" i="26" s="1"/>
  <c r="P18" i="70"/>
  <c r="I6" i="26" s="1"/>
  <c r="R18" i="70"/>
  <c r="N31" i="70"/>
  <c r="J6" i="26" s="1"/>
  <c r="O31" i="70"/>
  <c r="K6" i="26" s="1"/>
  <c r="P31" i="70"/>
  <c r="L6" i="26" s="1"/>
  <c r="L11" i="26" s="1"/>
  <c r="R31" i="70"/>
  <c r="N42" i="70"/>
  <c r="G12" i="26" s="1"/>
  <c r="O42" i="70"/>
  <c r="H12" i="26" s="1"/>
  <c r="P42" i="70"/>
  <c r="I12" i="26" s="1"/>
  <c r="R42" i="70"/>
  <c r="N53" i="70"/>
  <c r="J12" i="26" s="1"/>
  <c r="O53" i="70"/>
  <c r="K12" i="26" s="1"/>
  <c r="P53" i="70"/>
  <c r="L12" i="26"/>
  <c r="R53" i="70"/>
  <c r="N64" i="70"/>
  <c r="D19" i="26" s="1"/>
  <c r="O64" i="70"/>
  <c r="E19" i="26" s="1"/>
  <c r="P64" i="70"/>
  <c r="F19" i="26" s="1"/>
  <c r="F21" i="26" s="1"/>
  <c r="R64" i="70"/>
  <c r="N75" i="70"/>
  <c r="D22" i="26" s="1"/>
  <c r="O75" i="70"/>
  <c r="E22" i="26" s="1"/>
  <c r="P75" i="70"/>
  <c r="R75" i="70"/>
  <c r="N86" i="70"/>
  <c r="D26" i="26" s="1"/>
  <c r="O86" i="70"/>
  <c r="E26" i="26"/>
  <c r="P86" i="70"/>
  <c r="R86" i="70"/>
  <c r="N97" i="70"/>
  <c r="G26" i="26" s="1"/>
  <c r="O97" i="70"/>
  <c r="H26" i="26" s="1"/>
  <c r="P97" i="70"/>
  <c r="I26" i="26" s="1"/>
  <c r="R97" i="70"/>
  <c r="N108" i="70"/>
  <c r="J26" i="26" s="1"/>
  <c r="O108" i="70"/>
  <c r="K26" i="26" s="1"/>
  <c r="P108" i="70"/>
  <c r="L26" i="26" s="1"/>
  <c r="R108" i="70"/>
  <c r="N115" i="70"/>
  <c r="D33" i="26" s="1"/>
  <c r="O115" i="70"/>
  <c r="E33" i="26" s="1"/>
  <c r="P115" i="70"/>
  <c r="F33" i="26" s="1"/>
  <c r="R115" i="70"/>
  <c r="N122" i="70"/>
  <c r="G33" i="26" s="1"/>
  <c r="O122" i="70"/>
  <c r="H33" i="26" s="1"/>
  <c r="P122" i="70"/>
  <c r="I33" i="26" s="1"/>
  <c r="R122" i="70"/>
  <c r="N129" i="70"/>
  <c r="O129" i="70"/>
  <c r="P129" i="70"/>
  <c r="R129" i="70"/>
  <c r="N137" i="70"/>
  <c r="O137" i="70"/>
  <c r="P137" i="70"/>
  <c r="I6" i="27" s="1"/>
  <c r="R137" i="70"/>
  <c r="N144" i="70"/>
  <c r="O144" i="70"/>
  <c r="K6" i="27" s="1"/>
  <c r="P144" i="70"/>
  <c r="L6" i="27" s="1"/>
  <c r="R144" i="70"/>
  <c r="N151" i="70"/>
  <c r="D11" i="27" s="1"/>
  <c r="O151" i="70"/>
  <c r="E11" i="27" s="1"/>
  <c r="P151" i="70"/>
  <c r="R151" i="70"/>
  <c r="N158" i="70"/>
  <c r="G11" i="27" s="1"/>
  <c r="O158" i="70"/>
  <c r="H11" i="27" s="1"/>
  <c r="P158" i="70"/>
  <c r="I11" i="27" s="1"/>
  <c r="R158" i="70"/>
  <c r="N165" i="70"/>
  <c r="J11" i="27" s="1"/>
  <c r="O165" i="70"/>
  <c r="K11" i="27" s="1"/>
  <c r="P165" i="70"/>
  <c r="L11" i="27" s="1"/>
  <c r="R165" i="70"/>
  <c r="N172" i="70"/>
  <c r="O172" i="70"/>
  <c r="E16" i="27" s="1"/>
  <c r="P172" i="70"/>
  <c r="F16" i="27" s="1"/>
  <c r="R172" i="70"/>
  <c r="N179" i="70"/>
  <c r="G16" i="27" s="1"/>
  <c r="O179" i="70"/>
  <c r="H16" i="27" s="1"/>
  <c r="P179" i="70"/>
  <c r="I16" i="27" s="1"/>
  <c r="R179" i="70"/>
  <c r="N186" i="70"/>
  <c r="J16" i="27" s="1"/>
  <c r="J20" i="27" s="1"/>
  <c r="O186" i="70"/>
  <c r="K16" i="27" s="1"/>
  <c r="P186" i="70"/>
  <c r="L16" i="27" s="1"/>
  <c r="R186" i="70"/>
  <c r="N194" i="70"/>
  <c r="G6" i="28" s="1"/>
  <c r="O194" i="70"/>
  <c r="H6" i="28" s="1"/>
  <c r="P194" i="70"/>
  <c r="I6" i="28" s="1"/>
  <c r="R194" i="70"/>
  <c r="R244" i="70" s="1"/>
  <c r="N201" i="70"/>
  <c r="J6" i="28" s="1"/>
  <c r="O201" i="70"/>
  <c r="K6" i="28" s="1"/>
  <c r="P201" i="70"/>
  <c r="L6" i="28"/>
  <c r="R201" i="70"/>
  <c r="N208" i="70"/>
  <c r="D10" i="28" s="1"/>
  <c r="O208" i="70"/>
  <c r="E10" i="28" s="1"/>
  <c r="P208" i="70"/>
  <c r="F10" i="28" s="1"/>
  <c r="R208" i="70"/>
  <c r="N215" i="70"/>
  <c r="O215" i="70"/>
  <c r="H10" i="28" s="1"/>
  <c r="P215" i="70"/>
  <c r="I10" i="28" s="1"/>
  <c r="R215" i="70"/>
  <c r="N222" i="70"/>
  <c r="J10" i="28" s="1"/>
  <c r="O222" i="70"/>
  <c r="K10" i="28" s="1"/>
  <c r="P222" i="70"/>
  <c r="L10" i="28" s="1"/>
  <c r="R222" i="70"/>
  <c r="N229" i="70"/>
  <c r="D14" i="28" s="1"/>
  <c r="O229" i="70"/>
  <c r="E14" i="28" s="1"/>
  <c r="P229" i="70"/>
  <c r="F14" i="28" s="1"/>
  <c r="R229" i="70"/>
  <c r="N236" i="70"/>
  <c r="G14" i="28" s="1"/>
  <c r="O236" i="70"/>
  <c r="H14" i="28" s="1"/>
  <c r="P236" i="70"/>
  <c r="I14" i="28" s="1"/>
  <c r="R236" i="70"/>
  <c r="N243" i="70"/>
  <c r="J14" i="28" s="1"/>
  <c r="O243" i="70"/>
  <c r="K14" i="28" s="1"/>
  <c r="P243" i="70"/>
  <c r="L14" i="28" s="1"/>
  <c r="R243" i="70"/>
  <c r="A1" i="284"/>
  <c r="A1" i="17"/>
  <c r="A1" i="280"/>
  <c r="T6" i="280"/>
  <c r="U6" i="280"/>
  <c r="A1" i="281"/>
  <c r="A25" i="281"/>
  <c r="A26" i="281" s="1"/>
  <c r="A31" i="281"/>
  <c r="A32" i="281" s="1"/>
  <c r="A33" i="281" s="1"/>
  <c r="A1" i="275"/>
  <c r="T16" i="275"/>
  <c r="U16" i="275"/>
  <c r="F10" i="277" s="1"/>
  <c r="Z16" i="275"/>
  <c r="E10" i="277" s="1"/>
  <c r="AA16" i="275"/>
  <c r="G10" i="277" s="1"/>
  <c r="I10" i="277" s="1"/>
  <c r="T17" i="275"/>
  <c r="U17" i="275"/>
  <c r="F11" i="277" s="1"/>
  <c r="Z17" i="275"/>
  <c r="E11" i="277" s="1"/>
  <c r="AA17" i="275"/>
  <c r="G11" i="277" s="1"/>
  <c r="A1" i="95"/>
  <c r="A7" i="95"/>
  <c r="A8" i="95" s="1"/>
  <c r="A9" i="95" s="1"/>
  <c r="A10" i="95" s="1"/>
  <c r="A11" i="95" s="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7" i="95" s="1"/>
  <c r="A48" i="95" s="1"/>
  <c r="L32" i="95"/>
  <c r="L28" i="95" s="1"/>
  <c r="A1" i="12"/>
  <c r="A1" i="11"/>
  <c r="A6" i="11"/>
  <c r="A7" i="11" s="1"/>
  <c r="A8" i="11" s="1"/>
  <c r="A9" i="11" s="1"/>
  <c r="A10" i="11" s="1"/>
  <c r="A11" i="11" s="1"/>
  <c r="A12" i="11" s="1"/>
  <c r="A13" i="11" s="1"/>
  <c r="A14" i="11" s="1"/>
  <c r="A15" i="11" s="1"/>
  <c r="A16" i="11" s="1"/>
  <c r="A17" i="11" s="1"/>
  <c r="A18" i="11" s="1"/>
  <c r="A19" i="11" s="1"/>
  <c r="A20"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G6" i="11"/>
  <c r="G9" i="11"/>
  <c r="G15" i="11"/>
  <c r="G13" i="11" s="1"/>
  <c r="G25" i="11"/>
  <c r="G28" i="11"/>
  <c r="G34" i="11"/>
  <c r="G32" i="11" s="1"/>
  <c r="G37" i="11"/>
  <c r="G47" i="11"/>
  <c r="G45" i="11" s="1"/>
  <c r="G42" i="11" s="1"/>
  <c r="G55" i="11"/>
  <c r="G53" i="11" s="1"/>
  <c r="G50" i="11" s="1"/>
  <c r="A1" i="64"/>
  <c r="A7" i="64"/>
  <c r="A8" i="64" s="1"/>
  <c r="A9" i="64" s="1"/>
  <c r="A10" i="64" s="1"/>
  <c r="A11" i="64" s="1"/>
  <c r="A12" i="64" s="1"/>
  <c r="A13" i="64" s="1"/>
  <c r="A14" i="64" s="1"/>
  <c r="A15" i="64" s="1"/>
  <c r="A16" i="64" s="1"/>
  <c r="A17" i="64" s="1"/>
  <c r="A18" i="64" s="1"/>
  <c r="A19" i="64" s="1"/>
  <c r="A20" i="64" s="1"/>
  <c r="A21" i="64" s="1"/>
  <c r="A22" i="64" s="1"/>
  <c r="A23" i="64" s="1"/>
  <c r="A24" i="64" s="1"/>
  <c r="A25" i="64" s="1"/>
  <c r="A29" i="64" s="1"/>
  <c r="A30" i="64" s="1"/>
  <c r="A31" i="64" s="1"/>
  <c r="A32" i="64" s="1"/>
  <c r="A33" i="64" s="1"/>
  <c r="A34" i="64" s="1"/>
  <c r="A35" i="64" s="1"/>
  <c r="A36" i="64" s="1"/>
  <c r="A37" i="64" s="1"/>
  <c r="A39" i="64" s="1"/>
  <c r="A40" i="64" s="1"/>
  <c r="A41" i="64" s="1"/>
  <c r="A42" i="64" s="1"/>
  <c r="A43" i="64" s="1"/>
  <c r="A44" i="64" s="1"/>
  <c r="A45" i="64" s="1"/>
  <c r="A46" i="64" s="1"/>
  <c r="H8" i="64"/>
  <c r="I8" i="64"/>
  <c r="I7" i="64" s="1"/>
  <c r="H12" i="64"/>
  <c r="H18" i="64"/>
  <c r="I18" i="64"/>
  <c r="I17" i="64" s="1"/>
  <c r="H22" i="64"/>
  <c r="H35" i="64"/>
  <c r="I35" i="64"/>
  <c r="I34" i="64" s="1"/>
  <c r="H42" i="64"/>
  <c r="I42" i="64"/>
  <c r="A1" i="270"/>
  <c r="A7" i="270"/>
  <c r="A8" i="270" s="1"/>
  <c r="A9" i="270" s="1"/>
  <c r="A10" i="270" s="1"/>
  <c r="A11" i="270" s="1"/>
  <c r="A12" i="270" s="1"/>
  <c r="A13" i="270" s="1"/>
  <c r="A14" i="270" s="1"/>
  <c r="A15" i="270" s="1"/>
  <c r="A16" i="270" s="1"/>
  <c r="A17" i="270" s="1"/>
  <c r="A18" i="270" s="1"/>
  <c r="A19" i="270" s="1"/>
  <c r="A20" i="270" s="1"/>
  <c r="A21" i="270" s="1"/>
  <c r="A22" i="270" s="1"/>
  <c r="A23" i="270" s="1"/>
  <c r="A24" i="270" s="1"/>
  <c r="A25" i="270" s="1"/>
  <c r="A26" i="270" s="1"/>
  <c r="A27" i="270" s="1"/>
  <c r="A28" i="270" s="1"/>
  <c r="A29" i="270" s="1"/>
  <c r="A30" i="270" s="1"/>
  <c r="A31" i="270" s="1"/>
  <c r="A32" i="270" s="1"/>
  <c r="A33" i="270" s="1"/>
  <c r="A34" i="270" s="1"/>
  <c r="A35" i="270" s="1"/>
  <c r="A36" i="270" s="1"/>
  <c r="A37" i="270" s="1"/>
  <c r="A38" i="270" s="1"/>
  <c r="A39" i="270" s="1"/>
  <c r="A1" i="93"/>
  <c r="W6" i="93"/>
  <c r="X6" i="93"/>
  <c r="W7" i="93"/>
  <c r="X7" i="93"/>
  <c r="W8" i="93"/>
  <c r="X8" i="93"/>
  <c r="E22" i="277" s="1"/>
  <c r="W9" i="93"/>
  <c r="X9" i="93"/>
  <c r="W10" i="93"/>
  <c r="X10" i="93"/>
  <c r="W11" i="93"/>
  <c r="X11" i="93"/>
  <c r="W12" i="93"/>
  <c r="X12" i="93"/>
  <c r="W13" i="93"/>
  <c r="X13" i="93"/>
  <c r="W14" i="93"/>
  <c r="X14" i="93"/>
  <c r="W15" i="93"/>
  <c r="X15" i="93"/>
  <c r="A1" i="289"/>
  <c r="A1" i="274"/>
  <c r="W16" i="274"/>
  <c r="X16" i="274"/>
  <c r="Y16" i="274"/>
  <c r="F9" i="277" s="1"/>
  <c r="AD16" i="274"/>
  <c r="E9" i="277" s="1"/>
  <c r="I9" i="277" s="1"/>
  <c r="AE16" i="274"/>
  <c r="G9" i="277" s="1"/>
  <c r="A1" i="287"/>
  <c r="Y6" i="287"/>
  <c r="AC6" i="287" s="1"/>
  <c r="AL6" i="287"/>
  <c r="Y7" i="287"/>
  <c r="AC7" i="287" s="1"/>
  <c r="AL7" i="287"/>
  <c r="Y8" i="287"/>
  <c r="AC8" i="287" s="1"/>
  <c r="AL8" i="287"/>
  <c r="Y9" i="287"/>
  <c r="AC9" i="287" s="1"/>
  <c r="AL9" i="287"/>
  <c r="E10" i="287"/>
  <c r="F10" i="287"/>
  <c r="G10" i="287"/>
  <c r="H10" i="287"/>
  <c r="I10" i="287"/>
  <c r="J10" i="287"/>
  <c r="K10" i="287"/>
  <c r="L10" i="287"/>
  <c r="M10" i="287"/>
  <c r="N10" i="287"/>
  <c r="O10" i="287"/>
  <c r="P10" i="287"/>
  <c r="Q10" i="287"/>
  <c r="R10" i="287"/>
  <c r="S10" i="287"/>
  <c r="T10" i="287"/>
  <c r="U10" i="287"/>
  <c r="V10" i="287"/>
  <c r="W10" i="287"/>
  <c r="X10" i="287"/>
  <c r="AL10" i="287"/>
  <c r="Y11" i="287"/>
  <c r="AC11" i="287" s="1"/>
  <c r="AL11" i="287"/>
  <c r="Y12" i="287"/>
  <c r="AC12" i="287" s="1"/>
  <c r="AL12" i="287"/>
  <c r="Y13" i="287"/>
  <c r="AC13" i="287" s="1"/>
  <c r="AL13" i="287"/>
  <c r="Y14" i="287"/>
  <c r="AC14" i="287" s="1"/>
  <c r="AL14" i="287"/>
  <c r="Y15" i="287"/>
  <c r="AC15" i="287" s="1"/>
  <c r="AL15" i="287"/>
  <c r="E16" i="287"/>
  <c r="F16" i="287"/>
  <c r="G16" i="287"/>
  <c r="H16" i="287"/>
  <c r="I16" i="287"/>
  <c r="J16" i="287"/>
  <c r="K16" i="287"/>
  <c r="L16" i="287"/>
  <c r="M16" i="287"/>
  <c r="N16" i="287"/>
  <c r="O16" i="287"/>
  <c r="P16" i="287"/>
  <c r="Q16" i="287"/>
  <c r="R16" i="287"/>
  <c r="S16" i="287"/>
  <c r="T16" i="287"/>
  <c r="U16" i="287"/>
  <c r="V16" i="287"/>
  <c r="W16" i="287"/>
  <c r="X16" i="287"/>
  <c r="AL16" i="287"/>
  <c r="Y17" i="287"/>
  <c r="AC17" i="287" s="1"/>
  <c r="AL17" i="287"/>
  <c r="Y18" i="287"/>
  <c r="AC18" i="287" s="1"/>
  <c r="AL18" i="287"/>
  <c r="Y19" i="287"/>
  <c r="AC19" i="287" s="1"/>
  <c r="AL19" i="287"/>
  <c r="E20" i="287"/>
  <c r="F20" i="287"/>
  <c r="G20" i="287"/>
  <c r="H20" i="287"/>
  <c r="I20" i="287"/>
  <c r="J20" i="287"/>
  <c r="K20" i="287"/>
  <c r="L20" i="287"/>
  <c r="M20" i="287"/>
  <c r="N20" i="287"/>
  <c r="O20" i="287"/>
  <c r="P20" i="287"/>
  <c r="Q20" i="287"/>
  <c r="R20" i="287"/>
  <c r="S20" i="287"/>
  <c r="T20" i="287"/>
  <c r="U20" i="287"/>
  <c r="V20" i="287"/>
  <c r="W20" i="287"/>
  <c r="X20" i="287"/>
  <c r="AL20" i="287"/>
  <c r="Y21" i="287"/>
  <c r="AC21" i="287" s="1"/>
  <c r="AL21" i="287"/>
  <c r="Y22" i="287"/>
  <c r="AC22" i="287" s="1"/>
  <c r="AL22" i="287"/>
  <c r="E23" i="287"/>
  <c r="F23" i="287"/>
  <c r="G23" i="287"/>
  <c r="H23" i="287"/>
  <c r="I23" i="287"/>
  <c r="J23" i="287"/>
  <c r="K23" i="287"/>
  <c r="L23" i="287"/>
  <c r="M23" i="287"/>
  <c r="N23" i="287"/>
  <c r="O23" i="287"/>
  <c r="P23" i="287"/>
  <c r="Q23" i="287"/>
  <c r="R23" i="287"/>
  <c r="S23" i="287"/>
  <c r="T23" i="287"/>
  <c r="U23" i="287"/>
  <c r="V23" i="287"/>
  <c r="W23" i="287"/>
  <c r="X23" i="287"/>
  <c r="AL23" i="287"/>
  <c r="Y24" i="287"/>
  <c r="AC24" i="287" s="1"/>
  <c r="AL24" i="287"/>
  <c r="AL25" i="287"/>
  <c r="Y26" i="287"/>
  <c r="AC26" i="287" s="1"/>
  <c r="AL26" i="287"/>
  <c r="Y27" i="287"/>
  <c r="AC27" i="287" s="1"/>
  <c r="AL27" i="287"/>
  <c r="Y28" i="287"/>
  <c r="AC28" i="287" s="1"/>
  <c r="AL28" i="287"/>
  <c r="Y29" i="287"/>
  <c r="AC29" i="287" s="1"/>
  <c r="AL29" i="287"/>
  <c r="E30" i="287"/>
  <c r="F30" i="287"/>
  <c r="G30" i="287"/>
  <c r="H30" i="287"/>
  <c r="I30" i="287"/>
  <c r="J30" i="287"/>
  <c r="K30" i="287"/>
  <c r="L30" i="287"/>
  <c r="M30" i="287"/>
  <c r="N30" i="287"/>
  <c r="O30" i="287"/>
  <c r="P30" i="287"/>
  <c r="Q30" i="287"/>
  <c r="R30" i="287"/>
  <c r="S30" i="287"/>
  <c r="T30" i="287"/>
  <c r="U30" i="287"/>
  <c r="U45" i="287" s="1"/>
  <c r="V30" i="287"/>
  <c r="W30" i="287"/>
  <c r="X30" i="287"/>
  <c r="AL30" i="287"/>
  <c r="Y31" i="287"/>
  <c r="AC31" i="287" s="1"/>
  <c r="AL31" i="287"/>
  <c r="Y32" i="287"/>
  <c r="AC32" i="287" s="1"/>
  <c r="AL32" i="287"/>
  <c r="Y33" i="287"/>
  <c r="AC33" i="287" s="1"/>
  <c r="AL33" i="287"/>
  <c r="Y34" i="287"/>
  <c r="AC34" i="287" s="1"/>
  <c r="AL34" i="287"/>
  <c r="Y35" i="287"/>
  <c r="AC35" i="287" s="1"/>
  <c r="AL35" i="287"/>
  <c r="E36" i="287"/>
  <c r="F36" i="287"/>
  <c r="G36" i="287"/>
  <c r="H36" i="287"/>
  <c r="I36" i="287"/>
  <c r="J36" i="287"/>
  <c r="K36" i="287"/>
  <c r="L36" i="287"/>
  <c r="M36" i="287"/>
  <c r="N36" i="287"/>
  <c r="O36" i="287"/>
  <c r="P36" i="287"/>
  <c r="Q36" i="287"/>
  <c r="R36" i="287"/>
  <c r="S36" i="287"/>
  <c r="T36" i="287"/>
  <c r="U36" i="287"/>
  <c r="V36" i="287"/>
  <c r="W36" i="287"/>
  <c r="X36" i="287"/>
  <c r="AL36" i="287"/>
  <c r="Y37" i="287"/>
  <c r="AC37" i="287" s="1"/>
  <c r="AL37" i="287"/>
  <c r="Y38" i="287"/>
  <c r="AC38" i="287" s="1"/>
  <c r="AL38" i="287"/>
  <c r="Y39" i="287"/>
  <c r="AC39" i="287" s="1"/>
  <c r="AL39" i="287"/>
  <c r="E40" i="287"/>
  <c r="F40" i="287"/>
  <c r="G40" i="287"/>
  <c r="H40" i="287"/>
  <c r="I40" i="287"/>
  <c r="J40" i="287"/>
  <c r="K40" i="287"/>
  <c r="L40" i="287"/>
  <c r="M40" i="287"/>
  <c r="N40" i="287"/>
  <c r="O40" i="287"/>
  <c r="P40" i="287"/>
  <c r="Q40" i="287"/>
  <c r="R40" i="287"/>
  <c r="S40" i="287"/>
  <c r="T40" i="287"/>
  <c r="U40" i="287"/>
  <c r="V40" i="287"/>
  <c r="W40" i="287"/>
  <c r="X40" i="287"/>
  <c r="AL40" i="287"/>
  <c r="Y41" i="287"/>
  <c r="AC41" i="287" s="1"/>
  <c r="AL41" i="287"/>
  <c r="Y42" i="287"/>
  <c r="AC42" i="287" s="1"/>
  <c r="AL42" i="287"/>
  <c r="E43" i="287"/>
  <c r="F43" i="287"/>
  <c r="G43" i="287"/>
  <c r="H43" i="287"/>
  <c r="I43" i="287"/>
  <c r="J43" i="287"/>
  <c r="K43" i="287"/>
  <c r="L43" i="287"/>
  <c r="M43" i="287"/>
  <c r="N43" i="287"/>
  <c r="O43" i="287"/>
  <c r="P43" i="287"/>
  <c r="Q43" i="287"/>
  <c r="R43" i="287"/>
  <c r="S43" i="287"/>
  <c r="T43" i="287"/>
  <c r="U43" i="287"/>
  <c r="V43" i="287"/>
  <c r="W43" i="287"/>
  <c r="X43" i="287"/>
  <c r="AL43" i="287"/>
  <c r="Y44" i="287"/>
  <c r="AC44" i="287" s="1"/>
  <c r="AL44" i="287"/>
  <c r="AL45" i="287"/>
  <c r="AL46" i="287"/>
  <c r="Y47" i="287"/>
  <c r="AC47" i="287" s="1"/>
  <c r="AL47" i="287"/>
  <c r="Y48" i="287"/>
  <c r="AC48" i="287" s="1"/>
  <c r="AL48" i="287"/>
  <c r="Y49" i="287"/>
  <c r="AC49" i="287" s="1"/>
  <c r="AL49" i="287"/>
  <c r="E50" i="287"/>
  <c r="F50" i="287"/>
  <c r="G50" i="287"/>
  <c r="H50" i="287"/>
  <c r="I50" i="287"/>
  <c r="J50" i="287"/>
  <c r="K50" i="287"/>
  <c r="L50" i="287"/>
  <c r="M50" i="287"/>
  <c r="N50" i="287"/>
  <c r="O50" i="287"/>
  <c r="P50" i="287"/>
  <c r="Q50" i="287"/>
  <c r="R50" i="287"/>
  <c r="S50" i="287"/>
  <c r="T50" i="287"/>
  <c r="U50" i="287"/>
  <c r="V50" i="287"/>
  <c r="W50" i="287"/>
  <c r="X50" i="287"/>
  <c r="AL50" i="287"/>
  <c r="AL51" i="287"/>
  <c r="A1"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9" i="3" s="1"/>
  <c r="A210" i="3" s="1"/>
  <c r="A211" i="3" s="1"/>
  <c r="A212" i="3" s="1"/>
  <c r="A213" i="3" s="1"/>
  <c r="A214" i="3" s="1"/>
  <c r="A215" i="3" s="1"/>
  <c r="A218" i="3" s="1"/>
  <c r="A219" i="3" s="1"/>
  <c r="A220" i="3" s="1"/>
  <c r="A221" i="3" s="1"/>
  <c r="A222" i="3" s="1"/>
  <c r="A223" i="3" s="1"/>
  <c r="A227" i="3" s="1"/>
  <c r="A228" i="3" s="1"/>
  <c r="A229" i="3" s="1"/>
  <c r="A230" i="3" s="1"/>
  <c r="A231" i="3" s="1"/>
  <c r="A232" i="3" s="1"/>
  <c r="A235"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1" i="1"/>
  <c r="E6" i="1"/>
  <c r="F6" i="1"/>
  <c r="Q6" i="1"/>
  <c r="R6" i="1" s="1"/>
  <c r="A7" i="1"/>
  <c r="A8" i="1" s="1"/>
  <c r="A9" i="1" s="1"/>
  <c r="A10" i="1" s="1"/>
  <c r="A11" i="1" s="1"/>
  <c r="A12" i="1" s="1"/>
  <c r="A13" i="1" s="1"/>
  <c r="A14" i="1" s="1"/>
  <c r="O7" i="1"/>
  <c r="P7" i="1"/>
  <c r="E8" i="1"/>
  <c r="L8" i="1" s="1"/>
  <c r="M8" i="1" s="1"/>
  <c r="F8" i="1"/>
  <c r="Q8" i="1"/>
  <c r="R8" i="1"/>
  <c r="C9" i="1"/>
  <c r="D9" i="1"/>
  <c r="D7" i="1" s="1"/>
  <c r="G9" i="1"/>
  <c r="G7" i="1" s="1"/>
  <c r="Q9" i="1"/>
  <c r="R9" i="1" s="1"/>
  <c r="E10" i="1"/>
  <c r="L10" i="1" s="1"/>
  <c r="F10" i="1"/>
  <c r="Q10" i="1"/>
  <c r="R10" i="1" s="1"/>
  <c r="E11" i="1"/>
  <c r="F11" i="1"/>
  <c r="Q11" i="1"/>
  <c r="R11" i="1" s="1"/>
  <c r="E12" i="1"/>
  <c r="F12" i="1"/>
  <c r="Q12" i="1"/>
  <c r="R12" i="1" s="1"/>
  <c r="E13" i="1"/>
  <c r="H13" i="1" s="1"/>
  <c r="C4" i="42" s="1"/>
  <c r="F4" i="42" s="1"/>
  <c r="F13" i="1"/>
  <c r="Q13" i="1"/>
  <c r="R13" i="1" s="1"/>
  <c r="E14" i="1"/>
  <c r="F14" i="1"/>
  <c r="Q14" i="1"/>
  <c r="R14" i="1" s="1"/>
  <c r="E15" i="1"/>
  <c r="L15" i="1" s="1"/>
  <c r="F15" i="1"/>
  <c r="Q15" i="1"/>
  <c r="R1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E16" i="1"/>
  <c r="L16" i="1" s="1"/>
  <c r="M16" i="1" s="1"/>
  <c r="F16" i="1"/>
  <c r="Q16" i="1"/>
  <c r="R16" i="1" s="1"/>
  <c r="E17" i="1"/>
  <c r="F17" i="1"/>
  <c r="E18" i="1"/>
  <c r="H18" i="1" s="1"/>
  <c r="F18" i="1"/>
  <c r="Q18" i="1"/>
  <c r="R18" i="1" s="1"/>
  <c r="E19" i="1"/>
  <c r="F19" i="1"/>
  <c r="Q19" i="1"/>
  <c r="R19" i="1" s="1"/>
  <c r="E20" i="1"/>
  <c r="L20" i="1" s="1"/>
  <c r="M20" i="1" s="1"/>
  <c r="F20" i="1"/>
  <c r="Q20" i="1"/>
  <c r="R20" i="1" s="1"/>
  <c r="E21" i="1"/>
  <c r="F21" i="1"/>
  <c r="Q21" i="1"/>
  <c r="R21" i="1" s="1"/>
  <c r="C22" i="1"/>
  <c r="F22" i="1" s="1"/>
  <c r="D22" i="1"/>
  <c r="G22" i="1"/>
  <c r="Q22" i="1"/>
  <c r="R22" i="1" s="1"/>
  <c r="E23" i="1"/>
  <c r="H23" i="1" s="1"/>
  <c r="L23" i="1"/>
  <c r="M23" i="1" s="1"/>
  <c r="F23" i="1"/>
  <c r="E24" i="1"/>
  <c r="F24" i="1"/>
  <c r="O24" i="1"/>
  <c r="P24" i="1"/>
  <c r="E25" i="1"/>
  <c r="H25" i="1" s="1"/>
  <c r="F25" i="1"/>
  <c r="O25" i="1"/>
  <c r="P25" i="1"/>
  <c r="E26" i="1"/>
  <c r="L26" i="1" s="1"/>
  <c r="M26" i="1" s="1"/>
  <c r="F26" i="1"/>
  <c r="Q26" i="1"/>
  <c r="R26" i="1" s="1"/>
  <c r="E27" i="1"/>
  <c r="F27" i="1"/>
  <c r="Q27" i="1"/>
  <c r="R27" i="1" s="1"/>
  <c r="E28" i="1"/>
  <c r="H28" i="1" s="1"/>
  <c r="F28" i="1"/>
  <c r="Q28" i="1"/>
  <c r="R28" i="1" s="1"/>
  <c r="E29" i="1"/>
  <c r="F29" i="1"/>
  <c r="Q29" i="1"/>
  <c r="R29" i="1" s="1"/>
  <c r="E30" i="1"/>
  <c r="F30" i="1"/>
  <c r="Q30" i="1"/>
  <c r="R30" i="1" s="1"/>
  <c r="E31" i="1"/>
  <c r="F31" i="1"/>
  <c r="Q31" i="1"/>
  <c r="R31" i="1" s="1"/>
  <c r="E32" i="1"/>
  <c r="L32" i="1" s="1"/>
  <c r="F32" i="1"/>
  <c r="Q32" i="1"/>
  <c r="R32" i="1" s="1"/>
  <c r="C33" i="1"/>
  <c r="F33" i="1" s="1"/>
  <c r="D33" i="1"/>
  <c r="G33" i="1"/>
  <c r="Q33" i="1"/>
  <c r="R33" i="1" s="1"/>
  <c r="E34" i="1"/>
  <c r="L34" i="1" s="1"/>
  <c r="M34" i="1" s="1"/>
  <c r="F34" i="1"/>
  <c r="E35" i="1"/>
  <c r="L35" i="1" s="1"/>
  <c r="M35" i="1" s="1"/>
  <c r="F35" i="1"/>
  <c r="Q35" i="1"/>
  <c r="R35" i="1" s="1"/>
  <c r="E36" i="1"/>
  <c r="H36" i="1" s="1"/>
  <c r="F36" i="1"/>
  <c r="Q36" i="1"/>
  <c r="R36" i="1" s="1"/>
  <c r="E37" i="1"/>
  <c r="F37" i="1"/>
  <c r="O37" i="1"/>
  <c r="P37" i="1"/>
  <c r="Q37" i="1" s="1"/>
  <c r="R37" i="1" s="1"/>
  <c r="E38" i="1"/>
  <c r="L38" i="1" s="1"/>
  <c r="F38" i="1"/>
  <c r="Q38" i="1"/>
  <c r="R38" i="1" s="1"/>
  <c r="E39" i="1"/>
  <c r="H39" i="1" s="1"/>
  <c r="F39" i="1"/>
  <c r="Q39" i="1"/>
  <c r="R39" i="1" s="1"/>
  <c r="E40" i="1"/>
  <c r="F40" i="1"/>
  <c r="Q40" i="1"/>
  <c r="R40" i="1" s="1"/>
  <c r="E41" i="1"/>
  <c r="L41" i="1" s="1"/>
  <c r="F41" i="1"/>
  <c r="E42" i="1"/>
  <c r="F42" i="1"/>
  <c r="O42" i="1"/>
  <c r="P42" i="1"/>
  <c r="Q42" i="1" s="1"/>
  <c r="R42" i="1" s="1"/>
  <c r="C43" i="1"/>
  <c r="F43" i="1" s="1"/>
  <c r="D43" i="1"/>
  <c r="G43" i="1"/>
  <c r="Q43" i="1"/>
  <c r="R43" i="1" s="1"/>
  <c r="E44" i="1"/>
  <c r="F44" i="1"/>
  <c r="O44" i="1"/>
  <c r="P44" i="1"/>
  <c r="E45" i="1"/>
  <c r="L45" i="1" s="1"/>
  <c r="M45" i="1" s="1"/>
  <c r="F45" i="1"/>
  <c r="Q45" i="1"/>
  <c r="R45" i="1" s="1"/>
  <c r="E46" i="1"/>
  <c r="F46" i="1"/>
  <c r="Q46" i="1"/>
  <c r="R46" i="1" s="1"/>
  <c r="E47" i="1"/>
  <c r="F47" i="1"/>
  <c r="Q47" i="1"/>
  <c r="R47" i="1" s="1"/>
  <c r="E49" i="1"/>
  <c r="F49" i="1"/>
  <c r="O49" i="1"/>
  <c r="P49" i="1"/>
  <c r="E50" i="1"/>
  <c r="L50" i="1" s="1"/>
  <c r="M50" i="1" s="1"/>
  <c r="F50" i="1"/>
  <c r="Q50" i="1"/>
  <c r="R50" i="1" s="1"/>
  <c r="E51" i="1"/>
  <c r="F51" i="1"/>
  <c r="Q51" i="1"/>
  <c r="R51" i="1"/>
  <c r="E52" i="1"/>
  <c r="F52" i="1"/>
  <c r="Q52" i="1"/>
  <c r="R52" i="1" s="1"/>
  <c r="E53" i="1"/>
  <c r="F53" i="1"/>
  <c r="Q53" i="1"/>
  <c r="R53" i="1" s="1"/>
  <c r="E54" i="1"/>
  <c r="H54" i="1" s="1"/>
  <c r="F54" i="1"/>
  <c r="Q54" i="1"/>
  <c r="R54" i="1" s="1"/>
  <c r="E55" i="1"/>
  <c r="H55" i="1" s="1"/>
  <c r="F55" i="1"/>
  <c r="Q55" i="1"/>
  <c r="R55" i="1" s="1"/>
  <c r="E56" i="1"/>
  <c r="H56" i="1" s="1"/>
  <c r="F56" i="1"/>
  <c r="Q56" i="1"/>
  <c r="R56" i="1" s="1"/>
  <c r="E57" i="1"/>
  <c r="F57" i="1"/>
  <c r="Q57" i="1"/>
  <c r="R57" i="1" s="1"/>
  <c r="C58" i="1"/>
  <c r="D58" i="1"/>
  <c r="G58" i="1"/>
  <c r="E59" i="1"/>
  <c r="L59" i="1" s="1"/>
  <c r="M59" i="1" s="1"/>
  <c r="F59" i="1"/>
  <c r="O59" i="1"/>
  <c r="P59" i="1"/>
  <c r="E60" i="1"/>
  <c r="H60" i="1" s="1"/>
  <c r="F60" i="1"/>
  <c r="Q60" i="1"/>
  <c r="R60" i="1" s="1"/>
  <c r="E61" i="1"/>
  <c r="H61" i="1" s="1"/>
  <c r="F61" i="1"/>
  <c r="Q61" i="1"/>
  <c r="R61" i="1" s="1"/>
  <c r="E62" i="1"/>
  <c r="F62" i="1"/>
  <c r="C63" i="1"/>
  <c r="D63" i="1"/>
  <c r="G63" i="1"/>
  <c r="E64" i="1"/>
  <c r="F64" i="1"/>
  <c r="E65" i="1"/>
  <c r="H65" i="1" s="1"/>
  <c r="C9" i="42" s="1"/>
  <c r="F9" i="42" s="1"/>
  <c r="F65" i="1"/>
  <c r="E66" i="1"/>
  <c r="H66" i="1" s="1"/>
  <c r="F66" i="1"/>
  <c r="O66" i="1"/>
  <c r="P66" i="1"/>
  <c r="E67" i="1"/>
  <c r="H67" i="1" s="1"/>
  <c r="F67" i="1"/>
  <c r="Q67" i="1"/>
  <c r="R67" i="1" s="1"/>
  <c r="E68" i="1"/>
  <c r="L68" i="1" s="1"/>
  <c r="F68" i="1"/>
  <c r="Q68" i="1"/>
  <c r="R68" i="1" s="1"/>
  <c r="E69" i="1"/>
  <c r="L69" i="1" s="1"/>
  <c r="F69" i="1"/>
  <c r="Q69" i="1"/>
  <c r="R69" i="1" s="1"/>
  <c r="E70" i="1"/>
  <c r="L70" i="1" s="1"/>
  <c r="F70" i="1"/>
  <c r="Q70" i="1"/>
  <c r="R70" i="1" s="1"/>
  <c r="E71" i="1"/>
  <c r="H71" i="1" s="1"/>
  <c r="F71" i="1"/>
  <c r="E72" i="1"/>
  <c r="H72" i="1" s="1"/>
  <c r="F72" i="1"/>
  <c r="O72" i="1"/>
  <c r="Q72" i="1" s="1"/>
  <c r="P72" i="1"/>
  <c r="C73" i="1"/>
  <c r="F73" i="1" s="1"/>
  <c r="D73" i="1"/>
  <c r="G73" i="1"/>
  <c r="Q73" i="1"/>
  <c r="R73" i="1" s="1"/>
  <c r="E74" i="1"/>
  <c r="H74" i="1" s="1"/>
  <c r="F74" i="1"/>
  <c r="Q74" i="1"/>
  <c r="R74" i="1" s="1"/>
  <c r="E75" i="1"/>
  <c r="F75" i="1"/>
  <c r="Q75" i="1"/>
  <c r="R75" i="1" s="1"/>
  <c r="E76" i="1"/>
  <c r="L76" i="1" s="1"/>
  <c r="M76" i="1" s="1"/>
  <c r="F76" i="1"/>
  <c r="Q76" i="1"/>
  <c r="R76" i="1" s="1"/>
  <c r="E77" i="1"/>
  <c r="F77" i="1"/>
  <c r="Q77" i="1"/>
  <c r="R77" i="1" s="1"/>
  <c r="E78" i="1"/>
  <c r="H78" i="1" s="1"/>
  <c r="F78" i="1"/>
  <c r="Q78" i="1"/>
  <c r="R78" i="1" s="1"/>
  <c r="E79" i="1"/>
  <c r="F79" i="1"/>
  <c r="E80" i="1"/>
  <c r="H80" i="1" s="1"/>
  <c r="F80" i="1"/>
  <c r="C81" i="1"/>
  <c r="F81" i="1" s="1"/>
  <c r="D81" i="1"/>
  <c r="G81" i="1"/>
  <c r="O81" i="1"/>
  <c r="P81" i="1"/>
  <c r="E82" i="1"/>
  <c r="L82" i="1" s="1"/>
  <c r="F82" i="1"/>
  <c r="Q82" i="1"/>
  <c r="R82" i="1" s="1"/>
  <c r="E83" i="1"/>
  <c r="F83" i="1"/>
  <c r="Q83" i="1"/>
  <c r="R83" i="1" s="1"/>
  <c r="E84" i="1"/>
  <c r="H84" i="1" s="1"/>
  <c r="F84" i="1"/>
  <c r="Q84" i="1"/>
  <c r="R84" i="1" s="1"/>
  <c r="E85" i="1"/>
  <c r="F85" i="1"/>
  <c r="E86" i="1"/>
  <c r="F86" i="1"/>
  <c r="O86" i="1"/>
  <c r="P86" i="1"/>
  <c r="C87" i="1"/>
  <c r="D87" i="1"/>
  <c r="G87" i="1"/>
  <c r="Q87" i="1"/>
  <c r="R87" i="1" s="1"/>
  <c r="E88" i="1"/>
  <c r="H88" i="1" s="1"/>
  <c r="F88" i="1"/>
  <c r="Q88" i="1"/>
  <c r="R88" i="1" s="1"/>
  <c r="E89" i="1"/>
  <c r="F89" i="1"/>
  <c r="Q89" i="1"/>
  <c r="R89" i="1" s="1"/>
  <c r="E90" i="1"/>
  <c r="H90" i="1" s="1"/>
  <c r="F90" i="1"/>
  <c r="Q90" i="1"/>
  <c r="R90" i="1" s="1"/>
  <c r="E91" i="1"/>
  <c r="L91" i="1" s="1"/>
  <c r="M91" i="1" s="1"/>
  <c r="F91" i="1"/>
  <c r="Q91" i="1"/>
  <c r="R91" i="1" s="1"/>
  <c r="E92" i="1"/>
  <c r="L92" i="1" s="1"/>
  <c r="M92" i="1" s="1"/>
  <c r="F92" i="1"/>
  <c r="Q92" i="1"/>
  <c r="R92" i="1" s="1"/>
  <c r="E93" i="1"/>
  <c r="F93" i="1"/>
  <c r="Q93" i="1"/>
  <c r="R93" i="1" s="1"/>
  <c r="E94" i="1"/>
  <c r="F94" i="1"/>
  <c r="Q94" i="1"/>
  <c r="R94" i="1" s="1"/>
  <c r="E95" i="1"/>
  <c r="H95" i="1" s="1"/>
  <c r="F95" i="1"/>
  <c r="Q95" i="1"/>
  <c r="R95" i="1" s="1"/>
  <c r="E96" i="1"/>
  <c r="L96" i="1" s="1"/>
  <c r="M96" i="1" s="1"/>
  <c r="F96" i="1"/>
  <c r="E97" i="1"/>
  <c r="F97" i="1"/>
  <c r="Q97" i="1"/>
  <c r="R97" i="1" s="1"/>
  <c r="C98" i="1"/>
  <c r="F98" i="1" s="1"/>
  <c r="D98" i="1"/>
  <c r="G98" i="1"/>
  <c r="E99" i="1"/>
  <c r="H99" i="1" s="1"/>
  <c r="F99" i="1"/>
  <c r="Q99" i="1"/>
  <c r="R99" i="1" s="1"/>
  <c r="E100" i="1"/>
  <c r="L100" i="1" s="1"/>
  <c r="F100" i="1"/>
  <c r="Q100" i="1"/>
  <c r="R100" i="1" s="1"/>
  <c r="A1" i="75"/>
  <c r="L33" i="26"/>
  <c r="F41" i="43"/>
  <c r="D124" i="39"/>
  <c r="C14" i="47"/>
  <c r="F14" i="47" s="1"/>
  <c r="G10" i="28"/>
  <c r="I20" i="250"/>
  <c r="J20" i="250" s="1"/>
  <c r="I45" i="250"/>
  <c r="J45" i="250" s="1"/>
  <c r="I52" i="250"/>
  <c r="J52" i="250" s="1"/>
  <c r="L83" i="1"/>
  <c r="G6" i="27"/>
  <c r="C27" i="47"/>
  <c r="F63" i="43"/>
  <c r="I46" i="250"/>
  <c r="J46" i="250" s="1"/>
  <c r="F87" i="1"/>
  <c r="F128" i="38"/>
  <c r="L99" i="1"/>
  <c r="M99" i="1" s="1"/>
  <c r="L80" i="1"/>
  <c r="M80" i="1" s="1"/>
  <c r="F14" i="27"/>
  <c r="D14" i="27"/>
  <c r="F24" i="290"/>
  <c r="D19" i="38" s="1"/>
  <c r="C13" i="47"/>
  <c r="D34" i="26"/>
  <c r="F59" i="39"/>
  <c r="E13" i="44"/>
  <c r="G13" i="44" s="1"/>
  <c r="E18" i="233"/>
  <c r="K9" i="27"/>
  <c r="E15" i="233"/>
  <c r="F30" i="47"/>
  <c r="F19" i="27"/>
  <c r="F22" i="26"/>
  <c r="G40" i="293"/>
  <c r="F11" i="27"/>
  <c r="H6" i="27"/>
  <c r="E19" i="293"/>
  <c r="G19" i="293" s="1"/>
  <c r="D16" i="27"/>
  <c r="L28" i="1"/>
  <c r="M28" i="1" s="1"/>
  <c r="H92" i="1"/>
  <c r="K16" i="26"/>
  <c r="I36" i="26"/>
  <c r="L71" i="1"/>
  <c r="M71" i="1" s="1"/>
  <c r="D54" i="39"/>
  <c r="F54" i="39" s="1"/>
  <c r="L11" i="1"/>
  <c r="M11" i="1" s="1"/>
  <c r="H11" i="1"/>
  <c r="D106" i="38" s="1"/>
  <c r="F106" i="38" s="1"/>
  <c r="J33" i="26"/>
  <c r="G7" i="28"/>
  <c r="H41" i="1"/>
  <c r="H68" i="1"/>
  <c r="J7" i="27"/>
  <c r="D7" i="292"/>
  <c r="H17" i="64"/>
  <c r="F74" i="39"/>
  <c r="L78" i="1"/>
  <c r="M78" i="1" s="1"/>
  <c r="E22" i="1"/>
  <c r="L22" i="1" s="1"/>
  <c r="M69" i="1"/>
  <c r="I50" i="250"/>
  <c r="J50" i="250" s="1"/>
  <c r="H5" i="288"/>
  <c r="K5" i="288"/>
  <c r="I5" i="288"/>
  <c r="J5" i="288"/>
  <c r="G11" i="26" l="1"/>
  <c r="L31" i="1"/>
  <c r="M31" i="1" s="1"/>
  <c r="H31" i="1"/>
  <c r="L27" i="1"/>
  <c r="M27" i="1" s="1"/>
  <c r="C4" i="247"/>
  <c r="C11" i="47"/>
  <c r="F43" i="69"/>
  <c r="I77" i="315"/>
  <c r="H83" i="315"/>
  <c r="F35" i="314"/>
  <c r="F52" i="314"/>
  <c r="F10" i="314"/>
  <c r="F73" i="314"/>
  <c r="J62" i="314"/>
  <c r="F68" i="314"/>
  <c r="F70" i="314"/>
  <c r="J54" i="314"/>
  <c r="J48" i="315"/>
  <c r="J50" i="315"/>
  <c r="J75" i="315"/>
  <c r="J80" i="315"/>
  <c r="F50" i="315"/>
  <c r="F19" i="315"/>
  <c r="J82" i="315"/>
  <c r="I60" i="315"/>
  <c r="H63" i="314"/>
  <c r="X7" i="316"/>
  <c r="Y7" i="316"/>
  <c r="V10" i="316"/>
  <c r="X10" i="316"/>
  <c r="Y10" i="316"/>
  <c r="X13" i="316"/>
  <c r="Y13" i="316"/>
  <c r="X16" i="316"/>
  <c r="Y16" i="316"/>
  <c r="W19" i="316"/>
  <c r="X19" i="316"/>
  <c r="Y19" i="316"/>
  <c r="X22" i="316"/>
  <c r="Y22" i="316"/>
  <c r="X25" i="316"/>
  <c r="Y25" i="316"/>
  <c r="X28" i="316"/>
  <c r="Y28" i="316"/>
  <c r="W31" i="316"/>
  <c r="X31" i="316"/>
  <c r="Y31" i="316"/>
  <c r="V34" i="316"/>
  <c r="X34" i="316"/>
  <c r="Y34" i="316"/>
  <c r="X37" i="316"/>
  <c r="Y37" i="316"/>
  <c r="X40" i="316"/>
  <c r="Y40" i="316"/>
  <c r="X43" i="316"/>
  <c r="Y43" i="316"/>
  <c r="V46" i="316"/>
  <c r="X46" i="316"/>
  <c r="Y46" i="316"/>
  <c r="X49" i="316"/>
  <c r="Y49" i="316"/>
  <c r="V52" i="316"/>
  <c r="X52" i="316"/>
  <c r="Y52" i="316"/>
  <c r="X55" i="316"/>
  <c r="Y55" i="316"/>
  <c r="X58" i="316"/>
  <c r="Y58" i="316"/>
  <c r="X61" i="316"/>
  <c r="Y61" i="316"/>
  <c r="X64" i="316"/>
  <c r="Y64" i="316"/>
  <c r="X67" i="316"/>
  <c r="Y67" i="316"/>
  <c r="X70" i="316"/>
  <c r="Y70" i="316"/>
  <c r="X73" i="316"/>
  <c r="Y73" i="316"/>
  <c r="X76" i="316"/>
  <c r="Y76" i="316"/>
  <c r="X79" i="316"/>
  <c r="Y79" i="316"/>
  <c r="V82" i="316"/>
  <c r="X82" i="316"/>
  <c r="Y82" i="316"/>
  <c r="W85" i="316"/>
  <c r="X85" i="316"/>
  <c r="Y85" i="316"/>
  <c r="V88" i="316"/>
  <c r="X88" i="316"/>
  <c r="Y88" i="316"/>
  <c r="V91" i="316"/>
  <c r="X91" i="316"/>
  <c r="Y91" i="316"/>
  <c r="V94" i="316"/>
  <c r="X94" i="316"/>
  <c r="Y94" i="316"/>
  <c r="X97" i="316"/>
  <c r="Y97" i="316"/>
  <c r="X100" i="316"/>
  <c r="Y100" i="316"/>
  <c r="X103" i="316"/>
  <c r="Y103" i="316"/>
  <c r="X106" i="316"/>
  <c r="Y106" i="316"/>
  <c r="X109" i="316"/>
  <c r="Y109" i="316"/>
  <c r="X112" i="316"/>
  <c r="Y112" i="316"/>
  <c r="X115" i="316"/>
  <c r="Y115" i="316"/>
  <c r="X118" i="316"/>
  <c r="Y118" i="316"/>
  <c r="X121" i="316"/>
  <c r="Y121" i="316"/>
  <c r="X124" i="316"/>
  <c r="Y124" i="316"/>
  <c r="X127" i="316"/>
  <c r="Y127" i="316"/>
  <c r="X130" i="316"/>
  <c r="Y130" i="316"/>
  <c r="X133" i="316"/>
  <c r="Y133" i="316"/>
  <c r="X136" i="316"/>
  <c r="Y136" i="316"/>
  <c r="X139" i="316"/>
  <c r="Y139" i="316"/>
  <c r="X142" i="316"/>
  <c r="Y142" i="316"/>
  <c r="V145" i="316"/>
  <c r="X145" i="316"/>
  <c r="Y145" i="316"/>
  <c r="X148" i="316"/>
  <c r="Y148" i="316"/>
  <c r="X151" i="316"/>
  <c r="Y151" i="316"/>
  <c r="X154" i="316"/>
  <c r="Y154" i="316"/>
  <c r="X157" i="316"/>
  <c r="Y157" i="316"/>
  <c r="X160" i="316"/>
  <c r="Y160" i="316"/>
  <c r="X163" i="316"/>
  <c r="Y163" i="316"/>
  <c r="V166" i="316"/>
  <c r="X166" i="316"/>
  <c r="Y166" i="316"/>
  <c r="V169" i="316"/>
  <c r="X169" i="316"/>
  <c r="Y169" i="316"/>
  <c r="X172" i="316"/>
  <c r="Y172" i="316"/>
  <c r="X175" i="316"/>
  <c r="Y175" i="316"/>
  <c r="X178" i="316"/>
  <c r="Y178" i="316"/>
  <c r="X181" i="316"/>
  <c r="Y181" i="316"/>
  <c r="X184" i="316"/>
  <c r="Y184" i="316"/>
  <c r="X187" i="316"/>
  <c r="Y187" i="316"/>
  <c r="X190" i="316"/>
  <c r="Y190" i="316"/>
  <c r="X193" i="316"/>
  <c r="Y193" i="316"/>
  <c r="X196" i="316"/>
  <c r="Y196" i="316"/>
  <c r="X199" i="316"/>
  <c r="Y199" i="316"/>
  <c r="X202" i="316"/>
  <c r="Y202" i="316"/>
  <c r="X7" i="317"/>
  <c r="Y7" i="317"/>
  <c r="X10" i="317"/>
  <c r="Y10" i="317"/>
  <c r="X13" i="317"/>
  <c r="Y13" i="317"/>
  <c r="X16" i="317"/>
  <c r="Y16" i="317"/>
  <c r="X19" i="317"/>
  <c r="Y19" i="317"/>
  <c r="X22" i="317"/>
  <c r="Y22" i="317"/>
  <c r="X25" i="317"/>
  <c r="Y25" i="317"/>
  <c r="X28" i="317"/>
  <c r="Y28" i="317"/>
  <c r="X31" i="317"/>
  <c r="Y31" i="317"/>
  <c r="W34" i="317"/>
  <c r="X34" i="317"/>
  <c r="Y34" i="317"/>
  <c r="X37" i="317"/>
  <c r="Y37" i="317"/>
  <c r="X40" i="317"/>
  <c r="Y40" i="317"/>
  <c r="W43" i="317"/>
  <c r="X43" i="317"/>
  <c r="Y43" i="317"/>
  <c r="W46" i="317"/>
  <c r="X46" i="317"/>
  <c r="Y46" i="317"/>
  <c r="V49" i="317"/>
  <c r="X49" i="317"/>
  <c r="Y49" i="317"/>
  <c r="X52" i="317"/>
  <c r="Y52" i="317"/>
  <c r="V55" i="317"/>
  <c r="X55" i="317"/>
  <c r="Y55" i="317"/>
  <c r="X58" i="317"/>
  <c r="Y58" i="317"/>
  <c r="W61" i="317"/>
  <c r="X61" i="317"/>
  <c r="Y61" i="317"/>
  <c r="X64" i="317"/>
  <c r="Y64" i="317"/>
  <c r="X67" i="317"/>
  <c r="Y67" i="317"/>
  <c r="X70" i="317"/>
  <c r="Y70" i="317"/>
  <c r="X73" i="317"/>
  <c r="Y73" i="317"/>
  <c r="X76" i="317"/>
  <c r="Y76" i="317"/>
  <c r="X79" i="317"/>
  <c r="Y79" i="317"/>
  <c r="X82" i="317"/>
  <c r="Y82" i="317"/>
  <c r="X85" i="317"/>
  <c r="Y85" i="317"/>
  <c r="W88" i="317"/>
  <c r="X88" i="317"/>
  <c r="Y88" i="317"/>
  <c r="X91" i="317"/>
  <c r="Y91" i="317"/>
  <c r="X94" i="317"/>
  <c r="Y94" i="317"/>
  <c r="X97" i="317"/>
  <c r="Y97" i="317"/>
  <c r="V100" i="317"/>
  <c r="X100" i="317"/>
  <c r="Y100" i="317"/>
  <c r="X103" i="317"/>
  <c r="Y103" i="317"/>
  <c r="V106" i="317"/>
  <c r="X106" i="317"/>
  <c r="Y106" i="317"/>
  <c r="V109" i="317"/>
  <c r="X109" i="317"/>
  <c r="Y109" i="317"/>
  <c r="X112" i="317"/>
  <c r="Y112" i="317"/>
  <c r="X115" i="317"/>
  <c r="Y115" i="317"/>
  <c r="X118" i="317"/>
  <c r="Y118" i="317"/>
  <c r="V121" i="317"/>
  <c r="X121" i="317"/>
  <c r="Y121" i="317"/>
  <c r="X124" i="317"/>
  <c r="Y124" i="317"/>
  <c r="V127" i="317"/>
  <c r="X127" i="317"/>
  <c r="Y127" i="317"/>
  <c r="X130" i="317"/>
  <c r="Y130" i="317"/>
  <c r="W133" i="317"/>
  <c r="X133" i="317"/>
  <c r="Y133" i="317"/>
  <c r="X136" i="317"/>
  <c r="Y136" i="317"/>
  <c r="W139" i="317"/>
  <c r="X139" i="317"/>
  <c r="Y139" i="317"/>
  <c r="W142" i="317"/>
  <c r="X142" i="317"/>
  <c r="Y142" i="317"/>
  <c r="X145" i="317"/>
  <c r="Y145" i="317"/>
  <c r="X148" i="317"/>
  <c r="Y148" i="317"/>
  <c r="X151" i="317"/>
  <c r="Y151" i="317"/>
  <c r="W154" i="317"/>
  <c r="X154" i="317"/>
  <c r="Y154" i="317"/>
  <c r="X157" i="317"/>
  <c r="Y157" i="317"/>
  <c r="X160" i="317"/>
  <c r="Y160" i="317"/>
  <c r="X163" i="317"/>
  <c r="Y163" i="317"/>
  <c r="X166" i="317"/>
  <c r="Y166" i="317"/>
  <c r="X169" i="317"/>
  <c r="Y169" i="317"/>
  <c r="X172" i="317"/>
  <c r="Y172" i="317"/>
  <c r="X175" i="317"/>
  <c r="Y175" i="317"/>
  <c r="X178" i="317"/>
  <c r="Y178" i="317"/>
  <c r="X181" i="317"/>
  <c r="Y181" i="317"/>
  <c r="X184" i="317"/>
  <c r="Y184" i="317"/>
  <c r="X187" i="317"/>
  <c r="Y187" i="317"/>
  <c r="X190" i="317"/>
  <c r="Y190" i="317"/>
  <c r="X193" i="317"/>
  <c r="Y193" i="317"/>
  <c r="X196" i="317"/>
  <c r="Y196" i="317"/>
  <c r="X199" i="317"/>
  <c r="Y199" i="317"/>
  <c r="W202" i="317"/>
  <c r="X202" i="317"/>
  <c r="Y202" i="317"/>
  <c r="J70" i="314"/>
  <c r="F33" i="314"/>
  <c r="J60" i="314"/>
  <c r="J75" i="314"/>
  <c r="F72" i="314"/>
  <c r="F71" i="314"/>
  <c r="J78" i="314"/>
  <c r="F80" i="314"/>
  <c r="J51" i="315"/>
  <c r="F73" i="315"/>
  <c r="F39" i="315"/>
  <c r="J53" i="315"/>
  <c r="J52" i="315"/>
  <c r="F27" i="315"/>
  <c r="J70" i="315"/>
  <c r="J17" i="28"/>
  <c r="D74" i="49"/>
  <c r="B19" i="293"/>
  <c r="B20" i="293" s="1"/>
  <c r="B21" i="293" s="1"/>
  <c r="B22" i="293" s="1"/>
  <c r="B23" i="293" s="1"/>
  <c r="B24" i="293" s="1"/>
  <c r="B25" i="293" s="1"/>
  <c r="B26" i="293" s="1"/>
  <c r="B27" i="293" s="1"/>
  <c r="B28" i="293" s="1"/>
  <c r="B29" i="293" s="1"/>
  <c r="B30" i="293" s="1"/>
  <c r="B31" i="293" s="1"/>
  <c r="B32" i="293" s="1"/>
  <c r="B33" i="293" s="1"/>
  <c r="B34" i="293" s="1"/>
  <c r="B35" i="293" s="1"/>
  <c r="B15" i="293"/>
  <c r="B16" i="293" s="1"/>
  <c r="B17" i="293" s="1"/>
  <c r="B18" i="293" s="1"/>
  <c r="F51" i="314"/>
  <c r="F61" i="314"/>
  <c r="J74" i="314"/>
  <c r="F18" i="314"/>
  <c r="J76" i="314"/>
  <c r="J77" i="314"/>
  <c r="F15" i="314"/>
  <c r="J68" i="314"/>
  <c r="F74" i="315"/>
  <c r="J76" i="315"/>
  <c r="F62" i="315"/>
  <c r="F37" i="315"/>
  <c r="F20" i="315"/>
  <c r="F30" i="315"/>
  <c r="F18" i="315"/>
  <c r="L61" i="1"/>
  <c r="M61" i="1" s="1"/>
  <c r="E45" i="287"/>
  <c r="G58" i="11"/>
  <c r="C30" i="290"/>
  <c r="F21" i="47"/>
  <c r="C74" i="49"/>
  <c r="C7" i="47"/>
  <c r="D17" i="318"/>
  <c r="H17" i="318" s="1"/>
  <c r="T13" i="326"/>
  <c r="X13" i="326" s="1"/>
  <c r="H63" i="315"/>
  <c r="F62" i="314"/>
  <c r="F49" i="314"/>
  <c r="F19" i="314"/>
  <c r="F41" i="314"/>
  <c r="F17" i="314"/>
  <c r="F16" i="314"/>
  <c r="F38" i="314"/>
  <c r="J80" i="314"/>
  <c r="J77" i="315"/>
  <c r="F51" i="315"/>
  <c r="F49" i="315"/>
  <c r="F21" i="315"/>
  <c r="F8" i="315"/>
  <c r="F54" i="315"/>
  <c r="F41" i="315"/>
  <c r="P187" i="70"/>
  <c r="F50" i="314"/>
  <c r="J59" i="314"/>
  <c r="F27" i="314"/>
  <c r="F29" i="314"/>
  <c r="F40" i="314"/>
  <c r="F39" i="314"/>
  <c r="F55" i="314"/>
  <c r="F16" i="315"/>
  <c r="F76" i="315"/>
  <c r="F7" i="315"/>
  <c r="F9" i="315"/>
  <c r="F31" i="315"/>
  <c r="J57" i="315"/>
  <c r="F17" i="315"/>
  <c r="I40" i="250"/>
  <c r="J40" i="250" s="1"/>
  <c r="F6" i="47"/>
  <c r="G32" i="315"/>
  <c r="V6" i="316"/>
  <c r="X6" i="316"/>
  <c r="Y6" i="316"/>
  <c r="X9" i="316"/>
  <c r="Y9" i="316"/>
  <c r="Y12" i="316"/>
  <c r="X12" i="316"/>
  <c r="X15" i="316"/>
  <c r="Y15" i="316"/>
  <c r="V18" i="316"/>
  <c r="Y18" i="316"/>
  <c r="X18" i="316"/>
  <c r="X21" i="316"/>
  <c r="Y21" i="316"/>
  <c r="Y24" i="316"/>
  <c r="X24" i="316"/>
  <c r="X27" i="316"/>
  <c r="Y27" i="316"/>
  <c r="Y30" i="316"/>
  <c r="X30" i="316"/>
  <c r="X33" i="316"/>
  <c r="Y33" i="316"/>
  <c r="Y36" i="316"/>
  <c r="X36" i="316"/>
  <c r="X39" i="316"/>
  <c r="Y39" i="316"/>
  <c r="Y42" i="316"/>
  <c r="X42" i="316"/>
  <c r="X45" i="316"/>
  <c r="Y45" i="316"/>
  <c r="V48" i="316"/>
  <c r="Y48" i="316"/>
  <c r="X48" i="316"/>
  <c r="V51" i="316"/>
  <c r="X51" i="316"/>
  <c r="Y51" i="316"/>
  <c r="V54" i="316"/>
  <c r="Y54" i="316"/>
  <c r="X54" i="316"/>
  <c r="X57" i="316"/>
  <c r="Y57" i="316"/>
  <c r="Y60" i="316"/>
  <c r="X60" i="316"/>
  <c r="X63" i="316"/>
  <c r="Y63" i="316"/>
  <c r="Y66" i="316"/>
  <c r="X66" i="316"/>
  <c r="X69" i="316"/>
  <c r="Y69" i="316"/>
  <c r="Y72" i="316"/>
  <c r="X72" i="316"/>
  <c r="X75" i="316"/>
  <c r="Y75" i="316"/>
  <c r="Y78" i="316"/>
  <c r="X78" i="316"/>
  <c r="X81" i="316"/>
  <c r="Y81" i="316"/>
  <c r="Y84" i="316"/>
  <c r="X84" i="316"/>
  <c r="X87" i="316"/>
  <c r="Y87" i="316"/>
  <c r="Y90" i="316"/>
  <c r="X90" i="316"/>
  <c r="X93" i="316"/>
  <c r="Y93" i="316"/>
  <c r="Y96" i="316"/>
  <c r="X96" i="316"/>
  <c r="X99" i="316"/>
  <c r="Y99" i="316"/>
  <c r="Y102" i="316"/>
  <c r="X102" i="316"/>
  <c r="X105" i="316"/>
  <c r="Y105" i="316"/>
  <c r="Y108" i="316"/>
  <c r="X108" i="316"/>
  <c r="X111" i="316"/>
  <c r="Y111" i="316"/>
  <c r="Y114" i="316"/>
  <c r="X114" i="316"/>
  <c r="X117" i="316"/>
  <c r="Y117" i="316"/>
  <c r="Y120" i="316"/>
  <c r="X120" i="316"/>
  <c r="X123" i="316"/>
  <c r="Y123" i="316"/>
  <c r="Y126" i="316"/>
  <c r="X126" i="316"/>
  <c r="X129" i="316"/>
  <c r="Y129" i="316"/>
  <c r="Y132" i="316"/>
  <c r="X132" i="316"/>
  <c r="X135" i="316"/>
  <c r="Y135" i="316"/>
  <c r="Y138" i="316"/>
  <c r="X138" i="316"/>
  <c r="X141" i="316"/>
  <c r="Y141" i="316"/>
  <c r="Y144" i="316"/>
  <c r="X144" i="316"/>
  <c r="X147" i="316"/>
  <c r="Y147" i="316"/>
  <c r="Y150" i="316"/>
  <c r="X150" i="316"/>
  <c r="X153" i="316"/>
  <c r="Y153" i="316"/>
  <c r="Y156" i="316"/>
  <c r="X156" i="316"/>
  <c r="X159" i="316"/>
  <c r="Y159" i="316"/>
  <c r="Y162" i="316"/>
  <c r="X162" i="316"/>
  <c r="X165" i="316"/>
  <c r="Y165" i="316"/>
  <c r="Y168" i="316"/>
  <c r="X168" i="316"/>
  <c r="X171" i="316"/>
  <c r="Y171" i="316"/>
  <c r="Y174" i="316"/>
  <c r="X174" i="316"/>
  <c r="X177" i="316"/>
  <c r="Y177" i="316"/>
  <c r="Y180" i="316"/>
  <c r="X180" i="316"/>
  <c r="X183" i="316"/>
  <c r="Y183" i="316"/>
  <c r="Y186" i="316"/>
  <c r="X186" i="316"/>
  <c r="X189" i="316"/>
  <c r="Y189" i="316"/>
  <c r="Y192" i="316"/>
  <c r="X192" i="316"/>
  <c r="X195" i="316"/>
  <c r="Y195" i="316"/>
  <c r="Y198" i="316"/>
  <c r="X198" i="316"/>
  <c r="X201" i="316"/>
  <c r="Y201" i="316"/>
  <c r="Y6" i="317"/>
  <c r="X6" i="317"/>
  <c r="X9" i="317"/>
  <c r="Y9" i="317"/>
  <c r="Y12" i="317"/>
  <c r="X12" i="317"/>
  <c r="X15" i="317"/>
  <c r="Y15" i="317"/>
  <c r="Y18" i="317"/>
  <c r="X18" i="317"/>
  <c r="X21" i="317"/>
  <c r="Y21" i="317"/>
  <c r="X24" i="317"/>
  <c r="Y24" i="317"/>
  <c r="X27" i="317"/>
  <c r="Y27" i="317"/>
  <c r="Y30" i="317"/>
  <c r="X30" i="317"/>
  <c r="X33" i="317"/>
  <c r="Y33" i="317"/>
  <c r="W36" i="317"/>
  <c r="Y36" i="317"/>
  <c r="X36" i="317"/>
  <c r="X39" i="317"/>
  <c r="Y39" i="317"/>
  <c r="Y42" i="317"/>
  <c r="X42" i="317"/>
  <c r="X45" i="317"/>
  <c r="Y45" i="317"/>
  <c r="W48" i="317"/>
  <c r="X48" i="317"/>
  <c r="Y48" i="317"/>
  <c r="X51" i="317"/>
  <c r="Y51" i="317"/>
  <c r="Y54" i="317"/>
  <c r="X54" i="317"/>
  <c r="X57" i="317"/>
  <c r="Y57" i="317"/>
  <c r="Y60" i="317"/>
  <c r="X60" i="317"/>
  <c r="X63" i="317"/>
  <c r="Y63" i="317"/>
  <c r="Y66" i="317"/>
  <c r="X66" i="317"/>
  <c r="X69" i="317"/>
  <c r="Y69" i="317"/>
  <c r="Y72" i="317"/>
  <c r="X72" i="317"/>
  <c r="X75" i="317"/>
  <c r="Y75" i="317"/>
  <c r="X78" i="317"/>
  <c r="Y78" i="317"/>
  <c r="X81" i="317"/>
  <c r="Y81" i="317"/>
  <c r="Y84" i="317"/>
  <c r="X84" i="317"/>
  <c r="X87" i="317"/>
  <c r="Y87" i="317"/>
  <c r="X90" i="317"/>
  <c r="Y90" i="317"/>
  <c r="X93" i="317"/>
  <c r="Y93" i="317"/>
  <c r="X96" i="317"/>
  <c r="Y96" i="317"/>
  <c r="X99" i="317"/>
  <c r="Y99" i="317"/>
  <c r="X102" i="317"/>
  <c r="Y102" i="317"/>
  <c r="X105" i="317"/>
  <c r="Y105" i="317"/>
  <c r="X108" i="317"/>
  <c r="Y108" i="317"/>
  <c r="X111" i="317"/>
  <c r="Y111" i="317"/>
  <c r="X114" i="317"/>
  <c r="Y114" i="317"/>
  <c r="X117" i="317"/>
  <c r="Y117" i="317"/>
  <c r="X120" i="317"/>
  <c r="Y120" i="317"/>
  <c r="X123" i="317"/>
  <c r="Y123" i="317"/>
  <c r="X126" i="317"/>
  <c r="Y126" i="317"/>
  <c r="X129" i="317"/>
  <c r="Y129" i="317"/>
  <c r="X132" i="317"/>
  <c r="Y132" i="317"/>
  <c r="X135" i="317"/>
  <c r="Y135" i="317"/>
  <c r="X138" i="317"/>
  <c r="Y138" i="317"/>
  <c r="X141" i="317"/>
  <c r="Y141" i="317"/>
  <c r="X144" i="317"/>
  <c r="Y144" i="317"/>
  <c r="X147" i="317"/>
  <c r="Y147" i="317"/>
  <c r="X150" i="317"/>
  <c r="Y150" i="317"/>
  <c r="X153" i="317"/>
  <c r="Y153" i="317"/>
  <c r="X156" i="317"/>
  <c r="Y156" i="317"/>
  <c r="X159" i="317"/>
  <c r="Y159" i="317"/>
  <c r="X162" i="317"/>
  <c r="Y162" i="317"/>
  <c r="X165" i="317"/>
  <c r="Y165" i="317"/>
  <c r="X168" i="317"/>
  <c r="Y168" i="317"/>
  <c r="X171" i="317"/>
  <c r="Y171" i="317"/>
  <c r="X174" i="317"/>
  <c r="Y174" i="317"/>
  <c r="X177" i="317"/>
  <c r="Y177" i="317"/>
  <c r="X180" i="317"/>
  <c r="Y180" i="317"/>
  <c r="X183" i="317"/>
  <c r="Y183" i="317"/>
  <c r="X186" i="317"/>
  <c r="Y186" i="317"/>
  <c r="X189" i="317"/>
  <c r="Y189" i="317"/>
  <c r="X192" i="317"/>
  <c r="Y192" i="317"/>
  <c r="X195" i="317"/>
  <c r="Y195" i="317"/>
  <c r="X198" i="317"/>
  <c r="Y198" i="317"/>
  <c r="X201" i="317"/>
  <c r="Y201" i="317"/>
  <c r="J58" i="314"/>
  <c r="F75" i="314"/>
  <c r="F30" i="314"/>
  <c r="F12" i="314"/>
  <c r="F28" i="314"/>
  <c r="F79" i="314"/>
  <c r="J53" i="314"/>
  <c r="F36" i="314"/>
  <c r="F15" i="315"/>
  <c r="F61" i="315"/>
  <c r="F10" i="315"/>
  <c r="F32" i="315"/>
  <c r="F55" i="315"/>
  <c r="F80" i="315"/>
  <c r="F40" i="315"/>
  <c r="D16" i="318"/>
  <c r="H16" i="318" s="1"/>
  <c r="L60" i="1"/>
  <c r="M60" i="1" s="1"/>
  <c r="T17" i="326"/>
  <c r="V17" i="326" s="1"/>
  <c r="K60" i="315"/>
  <c r="K57" i="315"/>
  <c r="E80" i="314"/>
  <c r="I59" i="315"/>
  <c r="F76" i="314"/>
  <c r="J73" i="314"/>
  <c r="J55" i="314"/>
  <c r="F34" i="314"/>
  <c r="J69" i="314"/>
  <c r="F78" i="314"/>
  <c r="F81" i="314"/>
  <c r="J54" i="315"/>
  <c r="J79" i="315"/>
  <c r="F11" i="315"/>
  <c r="F33" i="315"/>
  <c r="F56" i="315"/>
  <c r="J58" i="315"/>
  <c r="J68" i="315"/>
  <c r="J83" i="315" s="1"/>
  <c r="F28" i="315"/>
  <c r="D43" i="38"/>
  <c r="H13" i="28"/>
  <c r="E31" i="26"/>
  <c r="D16" i="39"/>
  <c r="H11" i="277"/>
  <c r="K53" i="315"/>
  <c r="J72" i="314"/>
  <c r="F20" i="314"/>
  <c r="J56" i="314"/>
  <c r="J57" i="314"/>
  <c r="J82" i="314"/>
  <c r="F48" i="314"/>
  <c r="F69" i="314"/>
  <c r="F14" i="315"/>
  <c r="F75" i="315"/>
  <c r="F34" i="315"/>
  <c r="F57" i="315"/>
  <c r="J59" i="315"/>
  <c r="F81" i="315"/>
  <c r="J71" i="315"/>
  <c r="F52" i="315"/>
  <c r="H59" i="1"/>
  <c r="H15" i="27"/>
  <c r="H115" i="41"/>
  <c r="F21" i="314"/>
  <c r="F8" i="314"/>
  <c r="J71" i="314"/>
  <c r="F60" i="314"/>
  <c r="F7" i="314"/>
  <c r="F77" i="314"/>
  <c r="J79" i="314"/>
  <c r="J78" i="315"/>
  <c r="F12" i="315"/>
  <c r="F58" i="315"/>
  <c r="J60" i="315"/>
  <c r="F82" i="315"/>
  <c r="F69" i="315"/>
  <c r="F29" i="315"/>
  <c r="J55" i="315"/>
  <c r="E30" i="290"/>
  <c r="P244" i="70"/>
  <c r="H20" i="27"/>
  <c r="B5" i="48"/>
  <c r="D38" i="39"/>
  <c r="P45" i="287"/>
  <c r="K45" i="287"/>
  <c r="G25" i="287"/>
  <c r="H7" i="64"/>
  <c r="E13" i="28"/>
  <c r="J11" i="26"/>
  <c r="H8" i="277"/>
  <c r="G9" i="315"/>
  <c r="V8" i="316"/>
  <c r="X8" i="316"/>
  <c r="Y8" i="316"/>
  <c r="V11" i="316"/>
  <c r="X11" i="316"/>
  <c r="Y11" i="316"/>
  <c r="V14" i="316"/>
  <c r="X14" i="316"/>
  <c r="Y14" i="316"/>
  <c r="V17" i="316"/>
  <c r="X17" i="316"/>
  <c r="Y17" i="316"/>
  <c r="X20" i="316"/>
  <c r="Y20" i="316"/>
  <c r="V23" i="316"/>
  <c r="X23" i="316"/>
  <c r="Y23" i="316"/>
  <c r="V26" i="316"/>
  <c r="X26" i="316"/>
  <c r="Y26" i="316"/>
  <c r="X29" i="316"/>
  <c r="Y29" i="316"/>
  <c r="X32" i="316"/>
  <c r="Y32" i="316"/>
  <c r="X35" i="316"/>
  <c r="Y35" i="316"/>
  <c r="V38" i="316"/>
  <c r="X38" i="316"/>
  <c r="Y38" i="316"/>
  <c r="X41" i="316"/>
  <c r="Y41" i="316"/>
  <c r="V44" i="316"/>
  <c r="X44" i="316"/>
  <c r="Y44" i="316"/>
  <c r="X47" i="316"/>
  <c r="Y47" i="316"/>
  <c r="X50" i="316"/>
  <c r="Y50" i="316"/>
  <c r="X53" i="316"/>
  <c r="Y53" i="316"/>
  <c r="X56" i="316"/>
  <c r="Y56" i="316"/>
  <c r="X59" i="316"/>
  <c r="Y59" i="316"/>
  <c r="V62" i="316"/>
  <c r="X62" i="316"/>
  <c r="Y62" i="316"/>
  <c r="X65" i="316"/>
  <c r="Y65" i="316"/>
  <c r="X68" i="316"/>
  <c r="Y68" i="316"/>
  <c r="X71" i="316"/>
  <c r="Y71" i="316"/>
  <c r="X74" i="316"/>
  <c r="Y74" i="316"/>
  <c r="X77" i="316"/>
  <c r="Y77" i="316"/>
  <c r="X80" i="316"/>
  <c r="Y80" i="316"/>
  <c r="X83" i="316"/>
  <c r="Y83" i="316"/>
  <c r="X86" i="316"/>
  <c r="Y86" i="316"/>
  <c r="X89" i="316"/>
  <c r="Y89" i="316"/>
  <c r="X92" i="316"/>
  <c r="Y92" i="316"/>
  <c r="X95" i="316"/>
  <c r="Y95" i="316"/>
  <c r="X98" i="316"/>
  <c r="Y98" i="316"/>
  <c r="X101" i="316"/>
  <c r="Y101" i="316"/>
  <c r="X104" i="316"/>
  <c r="Y104" i="316"/>
  <c r="X107" i="316"/>
  <c r="Y107" i="316"/>
  <c r="X110" i="316"/>
  <c r="Y110" i="316"/>
  <c r="X113" i="316"/>
  <c r="Y113" i="316"/>
  <c r="X116" i="316"/>
  <c r="Y116" i="316"/>
  <c r="X119" i="316"/>
  <c r="Y119" i="316"/>
  <c r="X122" i="316"/>
  <c r="Y122" i="316"/>
  <c r="X125" i="316"/>
  <c r="Y125" i="316"/>
  <c r="X128" i="316"/>
  <c r="Y128" i="316"/>
  <c r="X131" i="316"/>
  <c r="Y131" i="316"/>
  <c r="X134" i="316"/>
  <c r="Y134" i="316"/>
  <c r="X137" i="316"/>
  <c r="Y137" i="316"/>
  <c r="X140" i="316"/>
  <c r="Y140" i="316"/>
  <c r="X143" i="316"/>
  <c r="Y143" i="316"/>
  <c r="X146" i="316"/>
  <c r="Y146" i="316"/>
  <c r="X149" i="316"/>
  <c r="Y149" i="316"/>
  <c r="X152" i="316"/>
  <c r="Y152" i="316"/>
  <c r="X155" i="316"/>
  <c r="Y155" i="316"/>
  <c r="X158" i="316"/>
  <c r="Y158" i="316"/>
  <c r="X161" i="316"/>
  <c r="Y161" i="316"/>
  <c r="X164" i="316"/>
  <c r="Y164" i="316"/>
  <c r="X167" i="316"/>
  <c r="Y167" i="316"/>
  <c r="X170" i="316"/>
  <c r="Y170" i="316"/>
  <c r="X173" i="316"/>
  <c r="Y173" i="316"/>
  <c r="X176" i="316"/>
  <c r="Y176" i="316"/>
  <c r="X179" i="316"/>
  <c r="Y179" i="316"/>
  <c r="X182" i="316"/>
  <c r="Y182" i="316"/>
  <c r="X185" i="316"/>
  <c r="Y185" i="316"/>
  <c r="X188" i="316"/>
  <c r="Y188" i="316"/>
  <c r="X191" i="316"/>
  <c r="Y191" i="316"/>
  <c r="X194" i="316"/>
  <c r="Y194" i="316"/>
  <c r="X197" i="316"/>
  <c r="Y197" i="316"/>
  <c r="X200" i="316"/>
  <c r="Y200" i="316"/>
  <c r="X203" i="316"/>
  <c r="Y203" i="316"/>
  <c r="V8" i="317"/>
  <c r="X8" i="317"/>
  <c r="Y8" i="317"/>
  <c r="X11" i="317"/>
  <c r="Y11" i="317"/>
  <c r="X14" i="317"/>
  <c r="Y14" i="317"/>
  <c r="W17" i="317"/>
  <c r="X17" i="317"/>
  <c r="Y17" i="317"/>
  <c r="W20" i="317"/>
  <c r="X20" i="317"/>
  <c r="Y20" i="317"/>
  <c r="X23" i="317"/>
  <c r="Y23" i="317"/>
  <c r="X26" i="317"/>
  <c r="Y26" i="317"/>
  <c r="X29" i="317"/>
  <c r="Y29" i="317"/>
  <c r="V32" i="317"/>
  <c r="X32" i="317"/>
  <c r="Y32" i="317"/>
  <c r="X35" i="317"/>
  <c r="Y35" i="317"/>
  <c r="V38" i="317"/>
  <c r="X38" i="317"/>
  <c r="Y38" i="317"/>
  <c r="X41" i="317"/>
  <c r="Y41" i="317"/>
  <c r="W44" i="317"/>
  <c r="X44" i="317"/>
  <c r="Y44" i="317"/>
  <c r="X47" i="317"/>
  <c r="Y47" i="317"/>
  <c r="X50" i="317"/>
  <c r="Y50" i="317"/>
  <c r="X53" i="317"/>
  <c r="Y53" i="317"/>
  <c r="X56" i="317"/>
  <c r="Y56" i="317"/>
  <c r="X59" i="317"/>
  <c r="Y59" i="317"/>
  <c r="X62" i="317"/>
  <c r="Y62" i="317"/>
  <c r="X65" i="317"/>
  <c r="Y65" i="317"/>
  <c r="X68" i="317"/>
  <c r="Y68" i="317"/>
  <c r="X71" i="317"/>
  <c r="Y71" i="317"/>
  <c r="X74" i="317"/>
  <c r="Y74" i="317"/>
  <c r="X77" i="317"/>
  <c r="Y77" i="317"/>
  <c r="X80" i="317"/>
  <c r="Y80" i="317"/>
  <c r="X83" i="317"/>
  <c r="Y83" i="317"/>
  <c r="X86" i="317"/>
  <c r="Y86" i="317"/>
  <c r="X89" i="317"/>
  <c r="Y89" i="317"/>
  <c r="V92" i="317"/>
  <c r="X92" i="317"/>
  <c r="Y92" i="317"/>
  <c r="X95" i="317"/>
  <c r="Y95" i="317"/>
  <c r="V98" i="317"/>
  <c r="X98" i="317"/>
  <c r="Y98" i="317"/>
  <c r="X101" i="317"/>
  <c r="Y101" i="317"/>
  <c r="X104" i="317"/>
  <c r="Y104" i="317"/>
  <c r="X107" i="317"/>
  <c r="Y107" i="317"/>
  <c r="X110" i="317"/>
  <c r="Y110" i="317"/>
  <c r="W113" i="317"/>
  <c r="X113" i="317"/>
  <c r="Y113" i="317"/>
  <c r="W116" i="317"/>
  <c r="X116" i="317"/>
  <c r="Y116" i="317"/>
  <c r="W119" i="317"/>
  <c r="X119" i="317"/>
  <c r="Y119" i="317"/>
  <c r="X122" i="317"/>
  <c r="Y122" i="317"/>
  <c r="W125" i="317"/>
  <c r="X125" i="317"/>
  <c r="Y125" i="317"/>
  <c r="V128" i="317"/>
  <c r="X128" i="317"/>
  <c r="Y128" i="317"/>
  <c r="X131" i="317"/>
  <c r="Y131" i="317"/>
  <c r="X134" i="317"/>
  <c r="Y134" i="317"/>
  <c r="W137" i="317"/>
  <c r="X137" i="317"/>
  <c r="Y137" i="317"/>
  <c r="X140" i="317"/>
  <c r="Y140" i="317"/>
  <c r="X143" i="317"/>
  <c r="Y143" i="317"/>
  <c r="X146" i="317"/>
  <c r="Y146" i="317"/>
  <c r="W149" i="317"/>
  <c r="X149" i="317"/>
  <c r="Y149" i="317"/>
  <c r="X152" i="317"/>
  <c r="Y152" i="317"/>
  <c r="X155" i="317"/>
  <c r="Y155" i="317"/>
  <c r="X158" i="317"/>
  <c r="Y158" i="317"/>
  <c r="X161" i="317"/>
  <c r="Y161" i="317"/>
  <c r="X164" i="317"/>
  <c r="Y164" i="317"/>
  <c r="W167" i="317"/>
  <c r="X167" i="317"/>
  <c r="Y167" i="317"/>
  <c r="X170" i="317"/>
  <c r="Y170" i="317"/>
  <c r="X173" i="317"/>
  <c r="Y173" i="317"/>
  <c r="X176" i="317"/>
  <c r="Y176" i="317"/>
  <c r="W179" i="317"/>
  <c r="X179" i="317"/>
  <c r="Y179" i="317"/>
  <c r="X182" i="317"/>
  <c r="Y182" i="317"/>
  <c r="W185" i="317"/>
  <c r="X185" i="317"/>
  <c r="Y185" i="317"/>
  <c r="W188" i="317"/>
  <c r="X188" i="317"/>
  <c r="Y188" i="317"/>
  <c r="X191" i="317"/>
  <c r="Y191" i="317"/>
  <c r="W194" i="317"/>
  <c r="X194" i="317"/>
  <c r="Y194" i="317"/>
  <c r="W197" i="317"/>
  <c r="X197" i="317"/>
  <c r="Y197" i="317"/>
  <c r="X200" i="317"/>
  <c r="Y200" i="317"/>
  <c r="X203" i="317"/>
  <c r="Y203" i="317"/>
  <c r="F9" i="314"/>
  <c r="F31" i="314"/>
  <c r="F59" i="314"/>
  <c r="J48" i="314"/>
  <c r="F74" i="314"/>
  <c r="F56" i="314"/>
  <c r="F14" i="314"/>
  <c r="F13" i="315"/>
  <c r="F35" i="315"/>
  <c r="J61" i="315"/>
  <c r="F68" i="315"/>
  <c r="F70" i="315"/>
  <c r="J72" i="315"/>
  <c r="F53" i="315"/>
  <c r="F78" i="315"/>
  <c r="H49" i="41"/>
  <c r="R108" i="74"/>
  <c r="H100" i="1"/>
  <c r="M38" i="1"/>
  <c r="L45" i="287"/>
  <c r="S25" i="287"/>
  <c r="D17" i="28"/>
  <c r="K20" i="27"/>
  <c r="G17" i="315"/>
  <c r="E13" i="315"/>
  <c r="H83" i="314"/>
  <c r="F32" i="314"/>
  <c r="J81" i="314"/>
  <c r="J49" i="314"/>
  <c r="F58" i="314"/>
  <c r="F57" i="314"/>
  <c r="J52" i="314"/>
  <c r="F37" i="314"/>
  <c r="F36" i="315"/>
  <c r="F59" i="315"/>
  <c r="J49" i="315"/>
  <c r="F71" i="315"/>
  <c r="J73" i="315"/>
  <c r="F48" i="315"/>
  <c r="J56" i="315"/>
  <c r="J81" i="315"/>
  <c r="L83" i="314"/>
  <c r="D83" i="315"/>
  <c r="F53" i="314"/>
  <c r="F11" i="314"/>
  <c r="J61" i="314"/>
  <c r="J50" i="314"/>
  <c r="J51" i="314"/>
  <c r="F82" i="314"/>
  <c r="F60" i="315"/>
  <c r="J62" i="315"/>
  <c r="F72" i="315"/>
  <c r="J74" i="315"/>
  <c r="F77" i="315"/>
  <c r="F38" i="315"/>
  <c r="F79" i="315"/>
  <c r="E78" i="327"/>
  <c r="F29" i="38"/>
  <c r="E77" i="327"/>
  <c r="E82" i="327"/>
  <c r="E76" i="327"/>
  <c r="E84" i="327"/>
  <c r="E86" i="327"/>
  <c r="E74" i="327"/>
  <c r="E85" i="327"/>
  <c r="F82" i="282"/>
  <c r="F18" i="39" s="1"/>
  <c r="F17" i="39" s="1"/>
  <c r="F121" i="282"/>
  <c r="D32" i="293"/>
  <c r="E47" i="49"/>
  <c r="F47" i="49" s="1"/>
  <c r="E53" i="49"/>
  <c r="F53" i="49" s="1"/>
  <c r="E44" i="49"/>
  <c r="F44" i="49" s="1"/>
  <c r="E52" i="49"/>
  <c r="F52" i="49" s="1"/>
  <c r="E64" i="49"/>
  <c r="F64" i="49" s="1"/>
  <c r="E60" i="49"/>
  <c r="F60" i="49" s="1"/>
  <c r="E71" i="49"/>
  <c r="F71" i="49" s="1"/>
  <c r="E63" i="49"/>
  <c r="F63" i="49" s="1"/>
  <c r="E55" i="49"/>
  <c r="F55" i="49" s="1"/>
  <c r="E72" i="49"/>
  <c r="F72" i="49" s="1"/>
  <c r="E48" i="49"/>
  <c r="F48" i="49" s="1"/>
  <c r="E56" i="49"/>
  <c r="F56" i="49" s="1"/>
  <c r="E67" i="49"/>
  <c r="F67" i="49" s="1"/>
  <c r="E62" i="49"/>
  <c r="F62" i="49" s="1"/>
  <c r="E61" i="49"/>
  <c r="F61" i="49" s="1"/>
  <c r="E43" i="49"/>
  <c r="F43" i="49" s="1"/>
  <c r="E46" i="49"/>
  <c r="F46" i="49" s="1"/>
  <c r="E57" i="49"/>
  <c r="F57" i="49" s="1"/>
  <c r="E51" i="49"/>
  <c r="F51" i="49" s="1"/>
  <c r="E65" i="49"/>
  <c r="F65" i="49" s="1"/>
  <c r="E70" i="49"/>
  <c r="F70" i="49" s="1"/>
  <c r="E45" i="49"/>
  <c r="F45" i="49" s="1"/>
  <c r="E69" i="49"/>
  <c r="F69" i="49" s="1"/>
  <c r="H13" i="50"/>
  <c r="E36" i="43" s="1"/>
  <c r="H119" i="41"/>
  <c r="E5" i="44"/>
  <c r="G5" i="44" s="1"/>
  <c r="D122" i="39"/>
  <c r="E68" i="327" s="1"/>
  <c r="W187" i="72"/>
  <c r="R165" i="73"/>
  <c r="L72" i="1"/>
  <c r="M72" i="1" s="1"/>
  <c r="H38" i="1"/>
  <c r="E11" i="44"/>
  <c r="G11" i="44" s="1"/>
  <c r="G9" i="44" s="1"/>
  <c r="H76" i="1"/>
  <c r="H26" i="1"/>
  <c r="Q81" i="1"/>
  <c r="R81" i="1" s="1"/>
  <c r="S165" i="71"/>
  <c r="S166" i="71" s="1"/>
  <c r="S108" i="71"/>
  <c r="I15" i="27"/>
  <c r="T12" i="326"/>
  <c r="T19" i="326"/>
  <c r="W138" i="316"/>
  <c r="V12" i="316"/>
  <c r="W18" i="316"/>
  <c r="V33" i="316"/>
  <c r="V36" i="316"/>
  <c r="W42" i="316"/>
  <c r="V57" i="316"/>
  <c r="V87" i="316"/>
  <c r="V90" i="316"/>
  <c r="V93" i="316"/>
  <c r="V102" i="316"/>
  <c r="V111" i="316"/>
  <c r="V126" i="316"/>
  <c r="V129" i="316"/>
  <c r="V132" i="316"/>
  <c r="V141" i="316"/>
  <c r="V144" i="316"/>
  <c r="V147" i="316"/>
  <c r="V159" i="316"/>
  <c r="V171" i="316"/>
  <c r="V174" i="316"/>
  <c r="V186" i="316"/>
  <c r="V198" i="316"/>
  <c r="V12" i="317"/>
  <c r="V21" i="317"/>
  <c r="V66" i="317"/>
  <c r="V69" i="317"/>
  <c r="V84" i="317"/>
  <c r="V87" i="317"/>
  <c r="V90" i="317"/>
  <c r="V102" i="317"/>
  <c r="V117" i="317"/>
  <c r="V123" i="317"/>
  <c r="V135" i="317"/>
  <c r="V147" i="317"/>
  <c r="V150" i="317"/>
  <c r="V153" i="317"/>
  <c r="V168" i="317"/>
  <c r="V174" i="317"/>
  <c r="V180" i="317"/>
  <c r="V186" i="317"/>
  <c r="V192" i="317"/>
  <c r="W89" i="316"/>
  <c r="W107" i="316"/>
  <c r="W125" i="316"/>
  <c r="W143" i="316"/>
  <c r="W185" i="316"/>
  <c r="W200" i="316"/>
  <c r="L13" i="1"/>
  <c r="M13" i="1" s="1"/>
  <c r="F22" i="39"/>
  <c r="F16" i="47"/>
  <c r="H34" i="1"/>
  <c r="D92" i="39"/>
  <c r="L65" i="1"/>
  <c r="M65" i="1" s="1"/>
  <c r="F109" i="69"/>
  <c r="E14" i="44"/>
  <c r="G14" i="44" s="1"/>
  <c r="W45" i="287"/>
  <c r="F25" i="287"/>
  <c r="K17" i="28"/>
  <c r="W165" i="73"/>
  <c r="M108" i="73"/>
  <c r="T108" i="73"/>
  <c r="I27" i="250"/>
  <c r="J27" i="250" s="1"/>
  <c r="H38" i="26"/>
  <c r="F26" i="38"/>
  <c r="H35" i="1"/>
  <c r="D13" i="39"/>
  <c r="D12" i="39" s="1"/>
  <c r="D143" i="39"/>
  <c r="D142" i="39" s="1"/>
  <c r="H50" i="192"/>
  <c r="E7" i="44"/>
  <c r="G7" i="44" s="1"/>
  <c r="G6" i="44" s="1"/>
  <c r="F82" i="69"/>
  <c r="F19" i="277"/>
  <c r="J13" i="28"/>
  <c r="K27" i="192"/>
  <c r="F121" i="38" s="1"/>
  <c r="F31" i="47"/>
  <c r="H31" i="26"/>
  <c r="H32" i="26" s="1"/>
  <c r="F48" i="39"/>
  <c r="F22" i="277"/>
  <c r="D65" i="38"/>
  <c r="D63" i="38" s="1"/>
  <c r="D73" i="39"/>
  <c r="D22" i="39"/>
  <c r="E4" i="44"/>
  <c r="G4" i="44" s="1"/>
  <c r="F22" i="47"/>
  <c r="L39" i="1"/>
  <c r="M39" i="1" s="1"/>
  <c r="I44" i="250"/>
  <c r="J44" i="250" s="1"/>
  <c r="I32" i="250"/>
  <c r="J32" i="250" s="1"/>
  <c r="I26" i="250"/>
  <c r="J26" i="250" s="1"/>
  <c r="F12" i="47"/>
  <c r="T11" i="326"/>
  <c r="J45" i="287"/>
  <c r="K17" i="26"/>
  <c r="D20" i="27"/>
  <c r="E8" i="44"/>
  <c r="G8" i="44" s="1"/>
  <c r="G50" i="192"/>
  <c r="L25" i="1"/>
  <c r="M187" i="72"/>
  <c r="H7" i="285"/>
  <c r="H5" i="285" s="1"/>
  <c r="D36" i="39"/>
  <c r="E25" i="290"/>
  <c r="E23" i="290" s="1"/>
  <c r="W162" i="316"/>
  <c r="W16" i="316"/>
  <c r="W22" i="316"/>
  <c r="W28" i="316"/>
  <c r="W40" i="316"/>
  <c r="W46" i="316"/>
  <c r="W49" i="316"/>
  <c r="W55" i="316"/>
  <c r="W58" i="316"/>
  <c r="W64" i="316"/>
  <c r="W70" i="316"/>
  <c r="W73" i="316"/>
  <c r="W82" i="316"/>
  <c r="W103" i="316"/>
  <c r="W109" i="316"/>
  <c r="W121" i="316"/>
  <c r="W124" i="316"/>
  <c r="W130" i="316"/>
  <c r="W136" i="316"/>
  <c r="W139" i="316"/>
  <c r="W148" i="316"/>
  <c r="W154" i="316"/>
  <c r="W160" i="316"/>
  <c r="W175" i="316"/>
  <c r="W184" i="316"/>
  <c r="W196" i="316"/>
  <c r="W202" i="316"/>
  <c r="W10" i="317"/>
  <c r="D31" i="318"/>
  <c r="F69" i="69"/>
  <c r="L31" i="26"/>
  <c r="L32" i="26" s="1"/>
  <c r="D15" i="250"/>
  <c r="H96" i="1"/>
  <c r="M68" i="1"/>
  <c r="N244" i="70"/>
  <c r="O187" i="70"/>
  <c r="Y10" i="287"/>
  <c r="AC10" i="287" s="1"/>
  <c r="I31" i="64"/>
  <c r="V187" i="72"/>
  <c r="F17" i="28"/>
  <c r="D31" i="39"/>
  <c r="I30" i="250"/>
  <c r="J30" i="250" s="1"/>
  <c r="F855" i="56"/>
  <c r="G161" i="56" s="1"/>
  <c r="D115" i="38"/>
  <c r="F1334" i="55"/>
  <c r="D128" i="39"/>
  <c r="D125" i="39" s="1"/>
  <c r="E79" i="327" s="1"/>
  <c r="F116" i="38"/>
  <c r="I11" i="28"/>
  <c r="I13" i="28" s="1"/>
  <c r="P165" i="73"/>
  <c r="E58" i="49"/>
  <c r="F58" i="49" s="1"/>
  <c r="E68" i="49"/>
  <c r="F68" i="49" s="1"/>
  <c r="D53" i="39"/>
  <c r="E73" i="49"/>
  <c r="F73" i="49" s="1"/>
  <c r="E49" i="49"/>
  <c r="F49" i="49" s="1"/>
  <c r="E59" i="49"/>
  <c r="F59" i="49" s="1"/>
  <c r="E54" i="49"/>
  <c r="F54" i="49" s="1"/>
  <c r="E50" i="49"/>
  <c r="F50" i="49" s="1"/>
  <c r="E66" i="49"/>
  <c r="F66" i="49" s="1"/>
  <c r="I31" i="26"/>
  <c r="I32" i="26" s="1"/>
  <c r="N130" i="70"/>
  <c r="F17" i="277"/>
  <c r="O108" i="74"/>
  <c r="G38" i="26"/>
  <c r="D61" i="38"/>
  <c r="D60" i="38" s="1"/>
  <c r="D58" i="38" s="1"/>
  <c r="D50" i="192"/>
  <c r="T187" i="72"/>
  <c r="F126" i="282"/>
  <c r="D18" i="39"/>
  <c r="D17" i="39" s="1"/>
  <c r="G7" i="27"/>
  <c r="M165" i="71"/>
  <c r="J31" i="26"/>
  <c r="J32" i="26" s="1"/>
  <c r="G20" i="27"/>
  <c r="L90" i="1"/>
  <c r="L27" i="192"/>
  <c r="F83" i="39" s="1"/>
  <c r="P108" i="73"/>
  <c r="N165" i="74"/>
  <c r="H22" i="1"/>
  <c r="I38" i="26"/>
  <c r="H10" i="1"/>
  <c r="D46" i="38" s="1"/>
  <c r="F46" i="38" s="1"/>
  <c r="H17" i="26"/>
  <c r="L35" i="26"/>
  <c r="P130" i="72"/>
  <c r="F43" i="282"/>
  <c r="F14" i="39" s="1"/>
  <c r="H10" i="27"/>
  <c r="H21" i="27" s="1"/>
  <c r="D115" i="39"/>
  <c r="E17" i="233"/>
  <c r="F63" i="1"/>
  <c r="E63" i="1"/>
  <c r="H63" i="1" s="1"/>
  <c r="L44" i="1"/>
  <c r="M44" i="1" s="1"/>
  <c r="H44" i="1"/>
  <c r="G15" i="27"/>
  <c r="D153" i="39"/>
  <c r="E70" i="327" s="1"/>
  <c r="F68" i="39"/>
  <c r="F65" i="39" s="1"/>
  <c r="F64" i="39" s="1"/>
  <c r="D65" i="39"/>
  <c r="D64" i="39" s="1"/>
  <c r="F56" i="69"/>
  <c r="J6" i="27"/>
  <c r="N187" i="70"/>
  <c r="J8" i="277"/>
  <c r="L21" i="1"/>
  <c r="M21" i="1" s="1"/>
  <c r="H21" i="1"/>
  <c r="M90" i="1"/>
  <c r="Y43" i="287"/>
  <c r="AC43" i="287" s="1"/>
  <c r="G19" i="277"/>
  <c r="H47" i="1"/>
  <c r="L47" i="1"/>
  <c r="M47" i="1" s="1"/>
  <c r="L40" i="1"/>
  <c r="M40" i="1" s="1"/>
  <c r="H40" i="1"/>
  <c r="I45" i="64"/>
  <c r="I46" i="64" s="1"/>
  <c r="L8" i="28"/>
  <c r="L9" i="28" s="1"/>
  <c r="P222" i="74"/>
  <c r="I49" i="250"/>
  <c r="J49" i="250" s="1"/>
  <c r="I37" i="250"/>
  <c r="J37" i="250" s="1"/>
  <c r="I31" i="250"/>
  <c r="J31" i="250" s="1"/>
  <c r="I25" i="250"/>
  <c r="J25" i="250" s="1"/>
  <c r="D116" i="39"/>
  <c r="F26" i="47"/>
  <c r="L67" i="1"/>
  <c r="M67" i="1" s="1"/>
  <c r="L18" i="1"/>
  <c r="M18" i="1" s="1"/>
  <c r="H34" i="64"/>
  <c r="H45" i="64" s="1"/>
  <c r="D10" i="38"/>
  <c r="E32" i="327" s="1"/>
  <c r="K8" i="28"/>
  <c r="K9" i="28" s="1"/>
  <c r="O222" i="74"/>
  <c r="F37" i="26"/>
  <c r="F38" i="26" s="1"/>
  <c r="P108" i="74"/>
  <c r="L93" i="1"/>
  <c r="M93" i="1" s="1"/>
  <c r="H93" i="1"/>
  <c r="D11" i="28"/>
  <c r="D13" i="28" s="1"/>
  <c r="D18" i="28" s="1"/>
  <c r="N165" i="73"/>
  <c r="J8" i="28"/>
  <c r="J9" i="28" s="1"/>
  <c r="J18" i="28" s="1"/>
  <c r="N222" i="74"/>
  <c r="F13" i="47"/>
  <c r="I28" i="250"/>
  <c r="J28" i="250" s="1"/>
  <c r="D42" i="38"/>
  <c r="W56" i="316"/>
  <c r="Q44" i="1"/>
  <c r="L20" i="27"/>
  <c r="D145" i="39"/>
  <c r="E81" i="327" s="1"/>
  <c r="I39" i="250"/>
  <c r="J39" i="250" s="1"/>
  <c r="I33" i="250"/>
  <c r="J33" i="250" s="1"/>
  <c r="D30" i="290"/>
  <c r="D28" i="290" s="1"/>
  <c r="F24" i="53"/>
  <c r="E72" i="314"/>
  <c r="O63" i="1"/>
  <c r="O64" i="1" s="1"/>
  <c r="F13" i="28"/>
  <c r="G17" i="28"/>
  <c r="V103" i="316"/>
  <c r="W174" i="317"/>
  <c r="Y15" i="326"/>
  <c r="Y20" i="287"/>
  <c r="AC20" i="287" s="1"/>
  <c r="T130" i="72"/>
  <c r="G115" i="41"/>
  <c r="G49" i="41"/>
  <c r="K49" i="192"/>
  <c r="F122" i="38" s="1"/>
  <c r="F120" i="38" s="1"/>
  <c r="J49" i="192"/>
  <c r="F62" i="38" s="1"/>
  <c r="E39" i="314"/>
  <c r="V202" i="317"/>
  <c r="W8" i="317"/>
  <c r="V160" i="316"/>
  <c r="V85" i="316"/>
  <c r="V91" i="317"/>
  <c r="V82" i="317"/>
  <c r="V7" i="317"/>
  <c r="V7" i="316"/>
  <c r="V19" i="316"/>
  <c r="V37" i="316"/>
  <c r="V61" i="316"/>
  <c r="V67" i="316"/>
  <c r="V76" i="316"/>
  <c r="G9" i="314"/>
  <c r="V64" i="316"/>
  <c r="V49" i="316"/>
  <c r="V88" i="317"/>
  <c r="V67" i="317"/>
  <c r="V31" i="316"/>
  <c r="V73" i="317"/>
  <c r="V64" i="317"/>
  <c r="V178" i="317"/>
  <c r="V187" i="316"/>
  <c r="X9" i="326"/>
  <c r="G73" i="314"/>
  <c r="V70" i="317"/>
  <c r="V154" i="317"/>
  <c r="I48" i="250"/>
  <c r="J48" i="250" s="1"/>
  <c r="I42" i="250"/>
  <c r="J42" i="250" s="1"/>
  <c r="I36" i="250"/>
  <c r="J36" i="250" s="1"/>
  <c r="I24" i="250"/>
  <c r="J24" i="250" s="1"/>
  <c r="V148" i="316"/>
  <c r="V40" i="316"/>
  <c r="V178" i="316"/>
  <c r="V56" i="316"/>
  <c r="V196" i="317"/>
  <c r="V184" i="317"/>
  <c r="V175" i="316"/>
  <c r="V85" i="317"/>
  <c r="W60" i="316"/>
  <c r="W63" i="316"/>
  <c r="W66" i="316"/>
  <c r="W69" i="316"/>
  <c r="W72" i="316"/>
  <c r="W75" i="316"/>
  <c r="W78" i="316"/>
  <c r="W81" i="316"/>
  <c r="W84" i="316"/>
  <c r="W96" i="316"/>
  <c r="W99" i="316"/>
  <c r="W105" i="316"/>
  <c r="W108" i="316"/>
  <c r="W114" i="316"/>
  <c r="W117" i="316"/>
  <c r="W120" i="316"/>
  <c r="W123" i="316"/>
  <c r="W126" i="316"/>
  <c r="W135" i="316"/>
  <c r="W150" i="316"/>
  <c r="W153" i="316"/>
  <c r="W156" i="316"/>
  <c r="W168" i="316"/>
  <c r="W177" i="316"/>
  <c r="W180" i="316"/>
  <c r="W183" i="316"/>
  <c r="W189" i="316"/>
  <c r="W192" i="316"/>
  <c r="W195" i="316"/>
  <c r="W201" i="316"/>
  <c r="W6" i="317"/>
  <c r="W9" i="317"/>
  <c r="W33" i="317"/>
  <c r="W39" i="317"/>
  <c r="W42" i="317"/>
  <c r="W45" i="317"/>
  <c r="W51" i="317"/>
  <c r="W54" i="317"/>
  <c r="W57" i="317"/>
  <c r="W60" i="317"/>
  <c r="W63" i="317"/>
  <c r="W75" i="317"/>
  <c r="W78" i="317"/>
  <c r="W81" i="317"/>
  <c r="W93" i="317"/>
  <c r="W99" i="317"/>
  <c r="W105" i="317"/>
  <c r="W108" i="317"/>
  <c r="W111" i="317"/>
  <c r="W114" i="317"/>
  <c r="W120" i="317"/>
  <c r="W123" i="317"/>
  <c r="W129" i="317"/>
  <c r="W153" i="317"/>
  <c r="W156" i="317"/>
  <c r="W159" i="317"/>
  <c r="W162" i="317"/>
  <c r="W165" i="317"/>
  <c r="W171" i="317"/>
  <c r="W177" i="317"/>
  <c r="W183" i="317"/>
  <c r="W189" i="317"/>
  <c r="W195" i="317"/>
  <c r="W198" i="317"/>
  <c r="W201" i="317"/>
  <c r="N45" i="287"/>
  <c r="U25" i="287"/>
  <c r="I25" i="287"/>
  <c r="G24" i="11"/>
  <c r="G18" i="11" s="1"/>
  <c r="G40" i="11" s="1"/>
  <c r="D33" i="318"/>
  <c r="I9" i="28"/>
  <c r="F24" i="26"/>
  <c r="I29" i="250"/>
  <c r="J29" i="250" s="1"/>
  <c r="G39" i="314"/>
  <c r="V42" i="316"/>
  <c r="W121" i="317"/>
  <c r="H8" i="1"/>
  <c r="C6" i="42" s="1"/>
  <c r="F6" i="42" s="1"/>
  <c r="F11" i="47"/>
  <c r="K53" i="314"/>
  <c r="V133" i="316"/>
  <c r="V112" i="317"/>
  <c r="V103" i="317"/>
  <c r="D46" i="39"/>
  <c r="D55" i="38"/>
  <c r="E35" i="290"/>
  <c r="M22" i="290"/>
  <c r="M27" i="290" s="1"/>
  <c r="E22" i="293" s="1"/>
  <c r="G22" i="293" s="1"/>
  <c r="D35" i="290"/>
  <c r="D33" i="290" s="1"/>
  <c r="D25" i="290"/>
  <c r="D23" i="290" s="1"/>
  <c r="D22" i="290" s="1"/>
  <c r="C28" i="290"/>
  <c r="L29" i="1"/>
  <c r="M29" i="1" s="1"/>
  <c r="D136" i="39"/>
  <c r="H122" i="41"/>
  <c r="I13" i="26"/>
  <c r="N108" i="71"/>
  <c r="D13" i="38"/>
  <c r="D11" i="38" s="1"/>
  <c r="F14" i="38"/>
  <c r="H86" i="1"/>
  <c r="L86" i="1"/>
  <c r="M86" i="1"/>
  <c r="D30" i="38"/>
  <c r="D24" i="38" s="1"/>
  <c r="G27" i="41"/>
  <c r="D121" i="38"/>
  <c r="D120" i="38" s="1"/>
  <c r="E50" i="192"/>
  <c r="F15" i="27"/>
  <c r="J10" i="27"/>
  <c r="H19" i="1"/>
  <c r="L19" i="1"/>
  <c r="M19" i="1" s="1"/>
  <c r="Y50" i="287"/>
  <c r="AC50" i="287" s="1"/>
  <c r="D140" i="39"/>
  <c r="E80" i="327" s="1"/>
  <c r="L36" i="1"/>
  <c r="M36" i="1" s="1"/>
  <c r="H14" i="1"/>
  <c r="L14" i="1"/>
  <c r="M14" i="1" s="1"/>
  <c r="P25" i="287"/>
  <c r="P46" i="287" s="1"/>
  <c r="P51" i="287" s="1"/>
  <c r="L85" i="1"/>
  <c r="H85" i="1"/>
  <c r="H77" i="1"/>
  <c r="L77" i="1"/>
  <c r="D111" i="38"/>
  <c r="D107" i="38" s="1"/>
  <c r="M25" i="290"/>
  <c r="M28" i="290" s="1"/>
  <c r="E23" i="293" s="1"/>
  <c r="G23" i="293" s="1"/>
  <c r="C25" i="290"/>
  <c r="C23" i="290" s="1"/>
  <c r="H50" i="1"/>
  <c r="H6" i="1"/>
  <c r="L6" i="1"/>
  <c r="M6" i="1" s="1"/>
  <c r="U46" i="287"/>
  <c r="U51" i="287" s="1"/>
  <c r="T25" i="287"/>
  <c r="I17" i="27"/>
  <c r="I20" i="27" s="1"/>
  <c r="N165" i="71"/>
  <c r="H45" i="1"/>
  <c r="H24" i="1"/>
  <c r="L24" i="1"/>
  <c r="M24" i="1" s="1"/>
  <c r="P130" i="70"/>
  <c r="F26" i="26"/>
  <c r="F31" i="26" s="1"/>
  <c r="L64" i="1"/>
  <c r="M64" i="1" s="1"/>
  <c r="H64" i="1"/>
  <c r="H57" i="1"/>
  <c r="H53" i="1"/>
  <c r="L53" i="1"/>
  <c r="M53" i="1" s="1"/>
  <c r="C7" i="1"/>
  <c r="F7" i="1" s="1"/>
  <c r="E9" i="1"/>
  <c r="L9" i="1" s="1"/>
  <c r="F9" i="1"/>
  <c r="H124" i="41"/>
  <c r="D100" i="39"/>
  <c r="D99" i="39" s="1"/>
  <c r="D97" i="39" s="1"/>
  <c r="E72" i="327" s="1"/>
  <c r="H93" i="41"/>
  <c r="L57" i="1"/>
  <c r="M57" i="1" s="1"/>
  <c r="L12" i="1"/>
  <c r="M12" i="1" s="1"/>
  <c r="H12" i="1"/>
  <c r="C8" i="42" s="1"/>
  <c r="F6" i="43"/>
  <c r="F5" i="43" s="1"/>
  <c r="F4" i="43" s="1"/>
  <c r="C5" i="43"/>
  <c r="E42" i="49"/>
  <c r="F42" i="49" s="1"/>
  <c r="M83" i="1"/>
  <c r="H83" i="1"/>
  <c r="L75" i="1"/>
  <c r="M75" i="1" s="1"/>
  <c r="H75" i="1"/>
  <c r="H89" i="1"/>
  <c r="L89" i="1"/>
  <c r="M89" i="1" s="1"/>
  <c r="L10" i="27"/>
  <c r="M130" i="72"/>
  <c r="G93" i="41"/>
  <c r="I19" i="250"/>
  <c r="J19" i="250" s="1"/>
  <c r="C35" i="290"/>
  <c r="C33" i="290" s="1"/>
  <c r="M24" i="290"/>
  <c r="F29" i="47"/>
  <c r="V165" i="73"/>
  <c r="K36" i="26"/>
  <c r="O108" i="73"/>
  <c r="D51" i="38"/>
  <c r="D47" i="38" s="1"/>
  <c r="X45" i="287"/>
  <c r="E19" i="277"/>
  <c r="G22" i="277"/>
  <c r="N108" i="73"/>
  <c r="J36" i="26"/>
  <c r="J38" i="26" s="1"/>
  <c r="C23" i="47"/>
  <c r="H51" i="1"/>
  <c r="L51" i="1"/>
  <c r="M51" i="1" s="1"/>
  <c r="R187" i="72"/>
  <c r="F76" i="38"/>
  <c r="D75" i="38"/>
  <c r="D111" i="39"/>
  <c r="E67" i="327" s="1"/>
  <c r="D103" i="38"/>
  <c r="F103" i="38" s="1"/>
  <c r="E21" i="26"/>
  <c r="G8" i="27"/>
  <c r="N187" i="72"/>
  <c r="M27" i="192"/>
  <c r="E87" i="1"/>
  <c r="H87" i="1" s="1"/>
  <c r="E38" i="26"/>
  <c r="U165" i="73"/>
  <c r="D92" i="38"/>
  <c r="D86" i="38" s="1"/>
  <c r="D83" i="39"/>
  <c r="D82" i="39" s="1"/>
  <c r="D80" i="39" s="1"/>
  <c r="F50" i="192"/>
  <c r="F15" i="312"/>
  <c r="F16" i="312" s="1"/>
  <c r="E17" i="28"/>
  <c r="E18" i="28" s="1"/>
  <c r="H121" i="41"/>
  <c r="D135" i="39"/>
  <c r="J27" i="192"/>
  <c r="F61" i="38" s="1"/>
  <c r="F60" i="38" s="1"/>
  <c r="Q86" i="1"/>
  <c r="Q49" i="1"/>
  <c r="L25" i="287"/>
  <c r="L46" i="287" s="1"/>
  <c r="L51" i="287" s="1"/>
  <c r="H10" i="277"/>
  <c r="J10" i="277" s="1"/>
  <c r="O130" i="70"/>
  <c r="K33" i="26"/>
  <c r="F40" i="43"/>
  <c r="C68" i="43" s="1"/>
  <c r="F68" i="43" s="1"/>
  <c r="C69" i="43" s="1"/>
  <c r="C39" i="43"/>
  <c r="C70" i="43" s="1"/>
  <c r="F70" i="43" s="1"/>
  <c r="H10" i="285"/>
  <c r="H8" i="285" s="1"/>
  <c r="H11" i="285" s="1"/>
  <c r="B22" i="37" s="1"/>
  <c r="E8" i="285"/>
  <c r="L74" i="1"/>
  <c r="M74" i="1" s="1"/>
  <c r="W25" i="287"/>
  <c r="W46" i="287" s="1"/>
  <c r="W51" i="287" s="1"/>
  <c r="K25" i="287"/>
  <c r="K46" i="287" s="1"/>
  <c r="K51" i="287" s="1"/>
  <c r="O244" i="70"/>
  <c r="L49" i="192"/>
  <c r="F84" i="39" s="1"/>
  <c r="D14" i="233"/>
  <c r="E13" i="233"/>
  <c r="D61" i="39" s="1"/>
  <c r="O25" i="287"/>
  <c r="J25" i="287"/>
  <c r="J46" i="287" s="1"/>
  <c r="J51" i="287" s="1"/>
  <c r="I17" i="28"/>
  <c r="H27" i="41"/>
  <c r="F27" i="47"/>
  <c r="E81" i="1"/>
  <c r="L66" i="1"/>
  <c r="L55" i="1"/>
  <c r="M55" i="1" s="1"/>
  <c r="D24" i="26"/>
  <c r="C45" i="26" s="1"/>
  <c r="I78" i="314"/>
  <c r="V39" i="317"/>
  <c r="G21" i="314"/>
  <c r="V108" i="316"/>
  <c r="V83" i="316"/>
  <c r="V80" i="317"/>
  <c r="V44" i="317"/>
  <c r="W93" i="316"/>
  <c r="V101" i="317"/>
  <c r="V77" i="317"/>
  <c r="W19" i="326"/>
  <c r="I70" i="314"/>
  <c r="E48" i="314"/>
  <c r="V33" i="317"/>
  <c r="G8" i="314"/>
  <c r="V65" i="316"/>
  <c r="V161" i="316"/>
  <c r="V155" i="317"/>
  <c r="V158" i="317"/>
  <c r="V20" i="317"/>
  <c r="E28" i="290"/>
  <c r="E22" i="290" s="1"/>
  <c r="O96" i="1"/>
  <c r="M26" i="290" s="1"/>
  <c r="Q25" i="1"/>
  <c r="R25" i="1" s="1"/>
  <c r="O45" i="287"/>
  <c r="E25" i="287"/>
  <c r="E46" i="287" s="1"/>
  <c r="E51" i="287" s="1"/>
  <c r="H9" i="28"/>
  <c r="U130" i="72"/>
  <c r="D17" i="233"/>
  <c r="I51" i="250"/>
  <c r="J51" i="250" s="1"/>
  <c r="F20" i="47"/>
  <c r="V45" i="317"/>
  <c r="W171" i="316"/>
  <c r="G59" i="314"/>
  <c r="V96" i="316"/>
  <c r="G82" i="315"/>
  <c r="V75" i="316"/>
  <c r="W203" i="316"/>
  <c r="V86" i="316"/>
  <c r="V59" i="317"/>
  <c r="W80" i="317"/>
  <c r="V167" i="317"/>
  <c r="W191" i="317"/>
  <c r="V125" i="317"/>
  <c r="W182" i="316"/>
  <c r="V152" i="317"/>
  <c r="W168" i="317"/>
  <c r="V194" i="317"/>
  <c r="W158" i="317"/>
  <c r="F49" i="308"/>
  <c r="B30" i="308" s="1"/>
  <c r="W32" i="316"/>
  <c r="W35" i="316"/>
  <c r="W44" i="316"/>
  <c r="W47" i="316"/>
  <c r="V50" i="316"/>
  <c r="F65" i="38"/>
  <c r="V75" i="317"/>
  <c r="V153" i="316"/>
  <c r="W12" i="317"/>
  <c r="G37" i="314"/>
  <c r="V51" i="317"/>
  <c r="K78" i="314"/>
  <c r="G70" i="315"/>
  <c r="E71" i="315"/>
  <c r="W159" i="316"/>
  <c r="W77" i="316"/>
  <c r="W14" i="317"/>
  <c r="W203" i="317"/>
  <c r="V116" i="317"/>
  <c r="V83" i="317"/>
  <c r="W128" i="317"/>
  <c r="W167" i="316"/>
  <c r="W134" i="317"/>
  <c r="V188" i="317"/>
  <c r="W38" i="317"/>
  <c r="W152" i="317"/>
  <c r="E59" i="314"/>
  <c r="W62" i="316"/>
  <c r="W86" i="316"/>
  <c r="V89" i="316"/>
  <c r="W98" i="316"/>
  <c r="V101" i="316"/>
  <c r="V104" i="316"/>
  <c r="V107" i="316"/>
  <c r="V113" i="316"/>
  <c r="W116" i="316"/>
  <c r="V119" i="316"/>
  <c r="W122" i="316"/>
  <c r="V125" i="316"/>
  <c r="W128" i="316"/>
  <c r="W131" i="316"/>
  <c r="W134" i="316"/>
  <c r="W137" i="316"/>
  <c r="W140" i="316"/>
  <c r="V149" i="316"/>
  <c r="V152" i="316"/>
  <c r="W155" i="316"/>
  <c r="V158" i="316"/>
  <c r="V164" i="316"/>
  <c r="V167" i="316"/>
  <c r="V170" i="316"/>
  <c r="W179" i="316"/>
  <c r="W11" i="317"/>
  <c r="V17" i="317"/>
  <c r="V23" i="317"/>
  <c r="V26" i="317"/>
  <c r="W29" i="317"/>
  <c r="W35" i="317"/>
  <c r="W47" i="317"/>
  <c r="V53" i="317"/>
  <c r="W68" i="317"/>
  <c r="V71" i="317"/>
  <c r="W74" i="317"/>
  <c r="W89" i="317"/>
  <c r="V95" i="317"/>
  <c r="V119" i="317"/>
  <c r="W122" i="317"/>
  <c r="V131" i="317"/>
  <c r="V140" i="317"/>
  <c r="V149" i="317"/>
  <c r="V161" i="317"/>
  <c r="V170" i="317"/>
  <c r="V173" i="317"/>
  <c r="V179" i="317"/>
  <c r="W7" i="326"/>
  <c r="V171" i="317"/>
  <c r="G19" i="315"/>
  <c r="V129" i="317"/>
  <c r="K77" i="314"/>
  <c r="W186" i="316"/>
  <c r="V84" i="316"/>
  <c r="G69" i="315"/>
  <c r="E70" i="315"/>
  <c r="W132" i="316"/>
  <c r="W59" i="316"/>
  <c r="W62" i="317"/>
  <c r="V89" i="317"/>
  <c r="W92" i="317"/>
  <c r="V65" i="317"/>
  <c r="V135" i="316"/>
  <c r="W131" i="317"/>
  <c r="W150" i="317"/>
  <c r="V176" i="317"/>
  <c r="W146" i="317"/>
  <c r="F91" i="38"/>
  <c r="V177" i="317"/>
  <c r="V57" i="317"/>
  <c r="G10" i="315"/>
  <c r="I61" i="314"/>
  <c r="V150" i="316"/>
  <c r="V78" i="316"/>
  <c r="G52" i="315"/>
  <c r="E51" i="315"/>
  <c r="V182" i="317"/>
  <c r="W56" i="317"/>
  <c r="W155" i="317"/>
  <c r="V47" i="317"/>
  <c r="W86" i="317"/>
  <c r="V56" i="317"/>
  <c r="W170" i="317"/>
  <c r="W32" i="317"/>
  <c r="W140" i="317"/>
  <c r="G35" i="314"/>
  <c r="I60" i="314"/>
  <c r="G51" i="315"/>
  <c r="E50" i="315"/>
  <c r="W170" i="316"/>
  <c r="V137" i="316"/>
  <c r="W173" i="317"/>
  <c r="V41" i="317"/>
  <c r="W26" i="317"/>
  <c r="V35" i="317"/>
  <c r="V81" i="316"/>
  <c r="W50" i="317"/>
  <c r="W200" i="317"/>
  <c r="W110" i="317"/>
  <c r="W43" i="316"/>
  <c r="G13" i="314"/>
  <c r="E37" i="314"/>
  <c r="E34" i="314"/>
  <c r="V110" i="316"/>
  <c r="V98" i="316"/>
  <c r="V79" i="316"/>
  <c r="W118" i="316"/>
  <c r="W172" i="316"/>
  <c r="W178" i="316"/>
  <c r="W181" i="316"/>
  <c r="V193" i="316"/>
  <c r="V202" i="316"/>
  <c r="W13" i="317"/>
  <c r="W16" i="317"/>
  <c r="W22" i="317"/>
  <c r="V25" i="317"/>
  <c r="W28" i="317"/>
  <c r="V31" i="317"/>
  <c r="W52" i="317"/>
  <c r="W55" i="317"/>
  <c r="V58" i="317"/>
  <c r="W64" i="317"/>
  <c r="W67" i="317"/>
  <c r="W73" i="317"/>
  <c r="V76" i="317"/>
  <c r="V79" i="317"/>
  <c r="W85" i="317"/>
  <c r="W103" i="317"/>
  <c r="W112" i="317"/>
  <c r="V118" i="317"/>
  <c r="W127" i="317"/>
  <c r="V130" i="317"/>
  <c r="V139" i="317"/>
  <c r="V145" i="317"/>
  <c r="V151" i="317"/>
  <c r="V157" i="317"/>
  <c r="V160" i="317"/>
  <c r="W181" i="317"/>
  <c r="W184" i="317"/>
  <c r="V187" i="317"/>
  <c r="V190" i="317"/>
  <c r="W193" i="317"/>
  <c r="E18" i="314"/>
  <c r="I76" i="315"/>
  <c r="I82" i="314"/>
  <c r="W194" i="316"/>
  <c r="V143" i="316"/>
  <c r="V200" i="317"/>
  <c r="V146" i="316"/>
  <c r="V50" i="317"/>
  <c r="W95" i="317"/>
  <c r="E9" i="315"/>
  <c r="H9" i="315" s="1"/>
  <c r="Y20" i="326"/>
  <c r="D42" i="315"/>
  <c r="F73" i="39"/>
  <c r="V6" i="280"/>
  <c r="I41" i="250"/>
  <c r="J41" i="250" s="1"/>
  <c r="I35" i="250"/>
  <c r="J35" i="250" s="1"/>
  <c r="F104" i="38"/>
  <c r="F28" i="47"/>
  <c r="G49" i="314"/>
  <c r="G36" i="314"/>
  <c r="K69" i="315"/>
  <c r="G38" i="315"/>
  <c r="E32" i="315"/>
  <c r="H32" i="315" s="1"/>
  <c r="V189" i="317"/>
  <c r="V120" i="316"/>
  <c r="V134" i="317"/>
  <c r="V86" i="317"/>
  <c r="W176" i="317"/>
  <c r="C44" i="308"/>
  <c r="F44" i="308" s="1"/>
  <c r="B14" i="308" s="1"/>
  <c r="D14" i="308" s="1"/>
  <c r="W6" i="316"/>
  <c r="W12" i="316"/>
  <c r="W21" i="316"/>
  <c r="W30" i="316"/>
  <c r="W36" i="316"/>
  <c r="W45" i="316"/>
  <c r="W48" i="316"/>
  <c r="V195" i="317"/>
  <c r="V183" i="317"/>
  <c r="V47" i="316"/>
  <c r="V105" i="316"/>
  <c r="V68" i="317"/>
  <c r="V81" i="317"/>
  <c r="V198" i="317"/>
  <c r="V43" i="316"/>
  <c r="V181" i="317"/>
  <c r="V74" i="317"/>
  <c r="V45" i="316"/>
  <c r="W20" i="326"/>
  <c r="V35" i="316"/>
  <c r="V201" i="317"/>
  <c r="W186" i="317"/>
  <c r="W192" i="317"/>
  <c r="V12" i="326"/>
  <c r="X12" i="326"/>
  <c r="X19" i="326"/>
  <c r="V19" i="326"/>
  <c r="Y12" i="326"/>
  <c r="X15" i="326"/>
  <c r="X7" i="326"/>
  <c r="X14" i="326"/>
  <c r="Y6" i="326"/>
  <c r="X21" i="326"/>
  <c r="V15" i="326"/>
  <c r="V20" i="326"/>
  <c r="B37" i="318"/>
  <c r="D34" i="318"/>
  <c r="D37" i="318" s="1"/>
  <c r="C9" i="313" s="1"/>
  <c r="C6" i="313" s="1"/>
  <c r="D36" i="318"/>
  <c r="B31" i="308"/>
  <c r="D31" i="308" s="1"/>
  <c r="D42" i="314"/>
  <c r="M63" i="314"/>
  <c r="P63" i="314"/>
  <c r="O83" i="314"/>
  <c r="M83" i="314"/>
  <c r="P83" i="314"/>
  <c r="O63" i="314"/>
  <c r="D22" i="315"/>
  <c r="M63" i="315"/>
  <c r="L63" i="315"/>
  <c r="D63" i="315"/>
  <c r="O83" i="315"/>
  <c r="M83" i="315"/>
  <c r="P63" i="315"/>
  <c r="P83" i="315"/>
  <c r="H31" i="64"/>
  <c r="H16" i="1"/>
  <c r="C10" i="42" s="1"/>
  <c r="F10" i="42" s="1"/>
  <c r="F25" i="26"/>
  <c r="G13" i="28"/>
  <c r="H91" i="1"/>
  <c r="L84" i="1"/>
  <c r="M84" i="1" s="1"/>
  <c r="H42" i="1"/>
  <c r="L42" i="1"/>
  <c r="M42" i="1" s="1"/>
  <c r="S45" i="287"/>
  <c r="S46" i="287" s="1"/>
  <c r="S51" i="287" s="1"/>
  <c r="G45" i="287"/>
  <c r="G46" i="287" s="1"/>
  <c r="G51" i="287" s="1"/>
  <c r="H17" i="28"/>
  <c r="H18" i="28" s="1"/>
  <c r="D15" i="27"/>
  <c r="N49" i="192"/>
  <c r="H49" i="1"/>
  <c r="L49" i="1"/>
  <c r="M49" i="1" s="1"/>
  <c r="L17" i="1"/>
  <c r="M17" i="1" s="1"/>
  <c r="H17" i="1"/>
  <c r="C11" i="42" s="1"/>
  <c r="F11" i="42" s="1"/>
  <c r="L52" i="1"/>
  <c r="H52" i="1"/>
  <c r="R45" i="287"/>
  <c r="M108" i="71"/>
  <c r="M166" i="71" s="1"/>
  <c r="N130" i="72"/>
  <c r="D28" i="26"/>
  <c r="E19" i="233"/>
  <c r="D22" i="233"/>
  <c r="F34" i="290"/>
  <c r="D11" i="39" s="1"/>
  <c r="F125" i="282" s="1"/>
  <c r="U187" i="72"/>
  <c r="L37" i="1"/>
  <c r="M37" i="1" s="1"/>
  <c r="F20" i="27"/>
  <c r="F21" i="27" s="1"/>
  <c r="L63" i="1"/>
  <c r="M63" i="1" s="1"/>
  <c r="L97" i="1"/>
  <c r="H97" i="1"/>
  <c r="E58" i="1"/>
  <c r="F58" i="1"/>
  <c r="O187" i="72"/>
  <c r="N27" i="192"/>
  <c r="M45" i="287"/>
  <c r="O46" i="287"/>
  <c r="O51" i="287" s="1"/>
  <c r="L17" i="28"/>
  <c r="T165" i="73"/>
  <c r="T166" i="73" s="1"/>
  <c r="R72" i="1"/>
  <c r="M9" i="1"/>
  <c r="H9" i="1"/>
  <c r="H82" i="1"/>
  <c r="M82" i="1"/>
  <c r="G59" i="11"/>
  <c r="D102" i="39"/>
  <c r="E73" i="327" s="1"/>
  <c r="F55" i="39"/>
  <c r="F53" i="39" s="1"/>
  <c r="E15" i="250"/>
  <c r="C32" i="47"/>
  <c r="R130" i="70"/>
  <c r="L17" i="26"/>
  <c r="L18" i="26" s="1"/>
  <c r="H20" i="1"/>
  <c r="H37" i="1"/>
  <c r="H69" i="1"/>
  <c r="M32" i="1"/>
  <c r="H32" i="1"/>
  <c r="H25" i="287"/>
  <c r="F78" i="39"/>
  <c r="F77" i="39" s="1"/>
  <c r="D77" i="39"/>
  <c r="D125" i="38"/>
  <c r="D123" i="38" s="1"/>
  <c r="F127" i="38"/>
  <c r="F125" i="38" s="1"/>
  <c r="F123" i="38" s="1"/>
  <c r="F118" i="38" s="1"/>
  <c r="G104" i="1"/>
  <c r="O98" i="1" s="1"/>
  <c r="Q98" i="1" s="1"/>
  <c r="R98" i="1" s="1"/>
  <c r="L95" i="1"/>
  <c r="M95" i="1" s="1"/>
  <c r="L88" i="1"/>
  <c r="M88" i="1" s="1"/>
  <c r="P96" i="1"/>
  <c r="Q66" i="1"/>
  <c r="R66" i="1" s="1"/>
  <c r="Q59" i="1"/>
  <c r="R59" i="1"/>
  <c r="Q25" i="287"/>
  <c r="Y23" i="287"/>
  <c r="AC23" i="287" s="1"/>
  <c r="J15" i="27"/>
  <c r="F102" i="282"/>
  <c r="F38" i="39" s="1"/>
  <c r="F63" i="282"/>
  <c r="F16" i="39" s="1"/>
  <c r="C37" i="49"/>
  <c r="F44" i="39"/>
  <c r="R25" i="287"/>
  <c r="K13" i="28"/>
  <c r="K18" i="28" s="1"/>
  <c r="R222" i="74"/>
  <c r="R108" i="73"/>
  <c r="R166" i="73" s="1"/>
  <c r="M25" i="1"/>
  <c r="Q7" i="1"/>
  <c r="R7" i="1" s="1"/>
  <c r="X25" i="287"/>
  <c r="H9" i="277"/>
  <c r="J9" i="277" s="1"/>
  <c r="J17" i="26"/>
  <c r="L38" i="26"/>
  <c r="E5" i="285"/>
  <c r="D157" i="39"/>
  <c r="I23" i="250"/>
  <c r="J23" i="250" s="1"/>
  <c r="D104" i="38"/>
  <c r="Q24" i="1"/>
  <c r="R24" i="1" s="1"/>
  <c r="Q45" i="287"/>
  <c r="R187" i="70"/>
  <c r="I22" i="250"/>
  <c r="J22" i="250" s="1"/>
  <c r="E33" i="1"/>
  <c r="F45" i="287"/>
  <c r="V45" i="287"/>
  <c r="G31" i="26"/>
  <c r="G32" i="26" s="1"/>
  <c r="G17" i="26"/>
  <c r="G18" i="26" s="1"/>
  <c r="W130" i="72"/>
  <c r="W188" i="72" s="1"/>
  <c r="I38" i="250"/>
  <c r="J38" i="250" s="1"/>
  <c r="E15" i="318"/>
  <c r="G15" i="318" s="1"/>
  <c r="E17" i="318"/>
  <c r="E16" i="318"/>
  <c r="I16" i="318" s="1"/>
  <c r="K16" i="318" s="1"/>
  <c r="M25" i="287"/>
  <c r="E20" i="27"/>
  <c r="K10" i="27"/>
  <c r="E73" i="1"/>
  <c r="P63" i="1"/>
  <c r="T45" i="287"/>
  <c r="T46" i="287" s="1"/>
  <c r="T51" i="287" s="1"/>
  <c r="I11" i="277"/>
  <c r="J11" i="277" s="1"/>
  <c r="F5" i="47"/>
  <c r="X18" i="326"/>
  <c r="V18" i="326"/>
  <c r="E98" i="1"/>
  <c r="K11" i="26"/>
  <c r="V130" i="72"/>
  <c r="V188" i="72" s="1"/>
  <c r="D40" i="39"/>
  <c r="E13" i="276"/>
  <c r="F12" i="42" s="1"/>
  <c r="G15" i="314"/>
  <c r="G74" i="314"/>
  <c r="W14" i="316"/>
  <c r="W18" i="317"/>
  <c r="W31" i="317"/>
  <c r="V108" i="317"/>
  <c r="W138" i="317"/>
  <c r="V188" i="316"/>
  <c r="V54" i="317"/>
  <c r="G11" i="315"/>
  <c r="E40" i="314"/>
  <c r="E39" i="315"/>
  <c r="G33" i="314"/>
  <c r="E38" i="314"/>
  <c r="E36" i="314"/>
  <c r="K56" i="315"/>
  <c r="G58" i="314"/>
  <c r="K80" i="315"/>
  <c r="K57" i="314"/>
  <c r="V130" i="316"/>
  <c r="V58" i="316"/>
  <c r="G29" i="315"/>
  <c r="K49" i="315"/>
  <c r="G12" i="314"/>
  <c r="V189" i="316"/>
  <c r="G38" i="314"/>
  <c r="I75" i="315"/>
  <c r="I58" i="315"/>
  <c r="K62" i="314"/>
  <c r="E9" i="314"/>
  <c r="H9" i="314" s="1"/>
  <c r="K76" i="314"/>
  <c r="I59" i="314"/>
  <c r="V72" i="316"/>
  <c r="G81" i="315"/>
  <c r="G68" i="315"/>
  <c r="G83" i="315" s="1"/>
  <c r="G50" i="315"/>
  <c r="I81" i="314"/>
  <c r="E68" i="315"/>
  <c r="E48" i="315"/>
  <c r="V121" i="316"/>
  <c r="G70" i="314"/>
  <c r="W52" i="316"/>
  <c r="V117" i="316"/>
  <c r="V27" i="316"/>
  <c r="V134" i="316"/>
  <c r="W26" i="316"/>
  <c r="W29" i="316"/>
  <c r="V29" i="316"/>
  <c r="W51" i="316"/>
  <c r="W100" i="316"/>
  <c r="W188" i="316"/>
  <c r="V94" i="317"/>
  <c r="G8" i="315"/>
  <c r="E36" i="315"/>
  <c r="G30" i="314"/>
  <c r="E10" i="314"/>
  <c r="E33" i="314"/>
  <c r="K51" i="315"/>
  <c r="G48" i="314"/>
  <c r="K78" i="315"/>
  <c r="K51" i="314"/>
  <c r="V124" i="316"/>
  <c r="G16" i="315"/>
  <c r="E35" i="315"/>
  <c r="E50" i="314"/>
  <c r="G7" i="314"/>
  <c r="I74" i="315"/>
  <c r="I57" i="315"/>
  <c r="K61" i="314"/>
  <c r="K75" i="314"/>
  <c r="I58" i="314"/>
  <c r="V66" i="316"/>
  <c r="G80" i="315"/>
  <c r="G62" i="315"/>
  <c r="G49" i="315"/>
  <c r="I75" i="314"/>
  <c r="E82" i="315"/>
  <c r="E62" i="315"/>
  <c r="E40" i="315"/>
  <c r="V115" i="316"/>
  <c r="G69" i="314"/>
  <c r="E79" i="314"/>
  <c r="E68" i="314"/>
  <c r="V194" i="316"/>
  <c r="E78" i="314"/>
  <c r="W119" i="316"/>
  <c r="W113" i="316"/>
  <c r="E76" i="314"/>
  <c r="V28" i="317"/>
  <c r="W104" i="317"/>
  <c r="W23" i="316"/>
  <c r="W54" i="316"/>
  <c r="V97" i="317"/>
  <c r="W98" i="317"/>
  <c r="W101" i="317"/>
  <c r="W144" i="317"/>
  <c r="W141" i="317"/>
  <c r="E7" i="315"/>
  <c r="E33" i="315"/>
  <c r="G27" i="314"/>
  <c r="I48" i="314"/>
  <c r="E30" i="314"/>
  <c r="E41" i="315"/>
  <c r="E54" i="314"/>
  <c r="K74" i="315"/>
  <c r="E35" i="314"/>
  <c r="V118" i="316"/>
  <c r="G13" i="315"/>
  <c r="H13" i="315" s="1"/>
  <c r="E16" i="315"/>
  <c r="E15" i="314"/>
  <c r="K82" i="315"/>
  <c r="K56" i="314"/>
  <c r="W198" i="316"/>
  <c r="I73" i="315"/>
  <c r="I56" i="315"/>
  <c r="K54" i="314"/>
  <c r="K74" i="314"/>
  <c r="I57" i="314"/>
  <c r="V60" i="316"/>
  <c r="G79" i="315"/>
  <c r="G61" i="315"/>
  <c r="G48" i="315"/>
  <c r="I71" i="314"/>
  <c r="E80" i="315"/>
  <c r="E60" i="315"/>
  <c r="E37" i="315"/>
  <c r="E62" i="314"/>
  <c r="W67" i="316"/>
  <c r="V192" i="316"/>
  <c r="W174" i="316"/>
  <c r="W112" i="316"/>
  <c r="V6" i="317"/>
  <c r="V122" i="316"/>
  <c r="V114" i="317"/>
  <c r="W10" i="316"/>
  <c r="W38" i="316"/>
  <c r="W115" i="316"/>
  <c r="V173" i="316"/>
  <c r="W24" i="317"/>
  <c r="V30" i="317"/>
  <c r="W97" i="317"/>
  <c r="F63" i="38"/>
  <c r="F96" i="69"/>
  <c r="V183" i="316"/>
  <c r="G19" i="314"/>
  <c r="E30" i="315"/>
  <c r="G20" i="314"/>
  <c r="I73" i="314"/>
  <c r="E27" i="314"/>
  <c r="E29" i="315"/>
  <c r="H29" i="315" s="1"/>
  <c r="E31" i="314"/>
  <c r="K71" i="315"/>
  <c r="E7" i="314"/>
  <c r="H7" i="314" s="1"/>
  <c r="V112" i="316"/>
  <c r="G7" i="315"/>
  <c r="G41" i="314"/>
  <c r="D63" i="314"/>
  <c r="K77" i="315"/>
  <c r="K49" i="314"/>
  <c r="I72" i="315"/>
  <c r="I55" i="315"/>
  <c r="E41" i="314"/>
  <c r="W21" i="317"/>
  <c r="K73" i="314"/>
  <c r="I56" i="314"/>
  <c r="G78" i="315"/>
  <c r="G60" i="315"/>
  <c r="G40" i="315"/>
  <c r="E53" i="314"/>
  <c r="E79" i="315"/>
  <c r="E59" i="315"/>
  <c r="E34" i="315"/>
  <c r="V13" i="316"/>
  <c r="E61" i="314"/>
  <c r="V176" i="316"/>
  <c r="V110" i="317"/>
  <c r="V128" i="316"/>
  <c r="V116" i="316"/>
  <c r="D22" i="314"/>
  <c r="V74" i="316"/>
  <c r="W151" i="316"/>
  <c r="V151" i="316"/>
  <c r="V181" i="316"/>
  <c r="V11" i="317"/>
  <c r="V62" i="317"/>
  <c r="W84" i="317"/>
  <c r="D170" i="39"/>
  <c r="D167" i="39" s="1"/>
  <c r="E87" i="327" s="1"/>
  <c r="K59" i="314"/>
  <c r="E27" i="315"/>
  <c r="G17" i="314"/>
  <c r="G62" i="314"/>
  <c r="W135" i="317"/>
  <c r="E20" i="314"/>
  <c r="G32" i="314"/>
  <c r="V201" i="316"/>
  <c r="K68" i="315"/>
  <c r="I79" i="314"/>
  <c r="K81" i="315"/>
  <c r="G16" i="314"/>
  <c r="K72" i="315"/>
  <c r="E29" i="314"/>
  <c r="I71" i="315"/>
  <c r="I54" i="315"/>
  <c r="E13" i="314"/>
  <c r="V177" i="316"/>
  <c r="K72" i="314"/>
  <c r="I55" i="314"/>
  <c r="G77" i="315"/>
  <c r="G59" i="315"/>
  <c r="G37" i="315"/>
  <c r="E28" i="314"/>
  <c r="E77" i="315"/>
  <c r="E58" i="315"/>
  <c r="E31" i="315"/>
  <c r="V22" i="317"/>
  <c r="G82" i="314"/>
  <c r="E58" i="314"/>
  <c r="E73" i="314"/>
  <c r="V52" i="317"/>
  <c r="W107" i="317"/>
  <c r="W25" i="316"/>
  <c r="V25" i="316"/>
  <c r="E49" i="315"/>
  <c r="E61" i="315"/>
  <c r="E78" i="315"/>
  <c r="G21" i="315"/>
  <c r="E15" i="315"/>
  <c r="E52" i="315"/>
  <c r="E69" i="315"/>
  <c r="E81" i="315"/>
  <c r="G34" i="315"/>
  <c r="G57" i="315"/>
  <c r="G74" i="315"/>
  <c r="W65" i="317"/>
  <c r="W182" i="317"/>
  <c r="D8" i="38"/>
  <c r="F7" i="47"/>
  <c r="G36" i="315"/>
  <c r="K50" i="314"/>
  <c r="E20" i="315"/>
  <c r="G14" i="314"/>
  <c r="G53" i="314"/>
  <c r="V111" i="317"/>
  <c r="E17" i="314"/>
  <c r="G10" i="314"/>
  <c r="K59" i="315"/>
  <c r="I69" i="314"/>
  <c r="K79" i="315"/>
  <c r="K58" i="314"/>
  <c r="K62" i="315"/>
  <c r="I82" i="315"/>
  <c r="I70" i="315"/>
  <c r="I53" i="315"/>
  <c r="I52" i="314"/>
  <c r="K71" i="314"/>
  <c r="I49" i="314"/>
  <c r="G76" i="315"/>
  <c r="G58" i="315"/>
  <c r="G31" i="315"/>
  <c r="E76" i="315"/>
  <c r="E57" i="315"/>
  <c r="E28" i="315"/>
  <c r="V195" i="316"/>
  <c r="G81" i="314"/>
  <c r="E57" i="314"/>
  <c r="V15" i="316"/>
  <c r="V191" i="316"/>
  <c r="W76" i="316"/>
  <c r="G39" i="315"/>
  <c r="V123" i="316"/>
  <c r="W34" i="316"/>
  <c r="W53" i="316"/>
  <c r="V53" i="316"/>
  <c r="V172" i="316"/>
  <c r="V14" i="317"/>
  <c r="W72" i="317"/>
  <c r="V72" i="317"/>
  <c r="V163" i="317"/>
  <c r="I17" i="26"/>
  <c r="M165" i="73"/>
  <c r="M166" i="73" s="1"/>
  <c r="U108" i="73"/>
  <c r="U166" i="73" s="1"/>
  <c r="F43" i="38"/>
  <c r="I43" i="250"/>
  <c r="J43" i="250" s="1"/>
  <c r="I21" i="250"/>
  <c r="J21" i="250" s="1"/>
  <c r="I7" i="277"/>
  <c r="Y7" i="326"/>
  <c r="G33" i="315"/>
  <c r="E19" i="314"/>
  <c r="E17" i="315"/>
  <c r="H17" i="315" s="1"/>
  <c r="G11" i="314"/>
  <c r="G31" i="314"/>
  <c r="E14" i="314"/>
  <c r="K55" i="314"/>
  <c r="K54" i="315"/>
  <c r="G55" i="314"/>
  <c r="K76" i="315"/>
  <c r="K52" i="314"/>
  <c r="V105" i="317"/>
  <c r="K58" i="315"/>
  <c r="I54" i="314"/>
  <c r="I81" i="315"/>
  <c r="I69" i="315"/>
  <c r="I52" i="315"/>
  <c r="I80" i="314"/>
  <c r="K82" i="314"/>
  <c r="K70" i="314"/>
  <c r="I74" i="314"/>
  <c r="G75" i="315"/>
  <c r="G56" i="315"/>
  <c r="G28" i="315"/>
  <c r="E75" i="315"/>
  <c r="E56" i="315"/>
  <c r="E21" i="315"/>
  <c r="V73" i="316"/>
  <c r="G80" i="314"/>
  <c r="E56" i="314"/>
  <c r="E70" i="314"/>
  <c r="V69" i="316"/>
  <c r="W132" i="317"/>
  <c r="W173" i="316"/>
  <c r="N63" i="315"/>
  <c r="O63" i="315"/>
  <c r="L83" i="315"/>
  <c r="W164" i="317"/>
  <c r="V164" i="317"/>
  <c r="R130" i="72"/>
  <c r="R188" i="72" s="1"/>
  <c r="V108" i="73"/>
  <c r="V166" i="73" s="1"/>
  <c r="R165" i="74"/>
  <c r="R223" i="74" s="1"/>
  <c r="I11" i="26"/>
  <c r="I18" i="26" s="1"/>
  <c r="I39" i="26" s="1"/>
  <c r="D164" i="39"/>
  <c r="E71" i="327" s="1"/>
  <c r="G30" i="315"/>
  <c r="I53" i="314"/>
  <c r="E14" i="315"/>
  <c r="H14" i="315" s="1"/>
  <c r="E10" i="315"/>
  <c r="E49" i="314"/>
  <c r="V27" i="317"/>
  <c r="E11" i="314"/>
  <c r="K48" i="314"/>
  <c r="K50" i="315"/>
  <c r="G50" i="314"/>
  <c r="V16" i="316"/>
  <c r="K73" i="315"/>
  <c r="E32" i="314"/>
  <c r="K55" i="315"/>
  <c r="I76" i="314"/>
  <c r="I80" i="315"/>
  <c r="I68" i="315"/>
  <c r="I83" i="315" s="1"/>
  <c r="I51" i="315"/>
  <c r="I68" i="314"/>
  <c r="K81" i="314"/>
  <c r="K69" i="314"/>
  <c r="G61" i="314"/>
  <c r="V9" i="317"/>
  <c r="G73" i="315"/>
  <c r="G55" i="315"/>
  <c r="G18" i="315"/>
  <c r="E74" i="315"/>
  <c r="E55" i="315"/>
  <c r="E18" i="315"/>
  <c r="G79" i="314"/>
  <c r="E55" i="314"/>
  <c r="W41" i="316"/>
  <c r="V107" i="317"/>
  <c r="W158" i="316"/>
  <c r="E81" i="314"/>
  <c r="G68" i="314"/>
  <c r="G51" i="314"/>
  <c r="E82" i="314"/>
  <c r="G72" i="314"/>
  <c r="G57" i="314"/>
  <c r="W65" i="316"/>
  <c r="V80" i="316"/>
  <c r="W80" i="316"/>
  <c r="V140" i="316"/>
  <c r="W144" i="316"/>
  <c r="W165" i="316"/>
  <c r="V184" i="316"/>
  <c r="W199" i="316"/>
  <c r="W7" i="317"/>
  <c r="V10" i="317"/>
  <c r="V37" i="317"/>
  <c r="V43" i="317"/>
  <c r="V115" i="317"/>
  <c r="W115" i="317"/>
  <c r="W166" i="317"/>
  <c r="W169" i="317"/>
  <c r="V185" i="317"/>
  <c r="G27" i="315"/>
  <c r="I77" i="314"/>
  <c r="E11" i="315"/>
  <c r="G29" i="314"/>
  <c r="E12" i="314"/>
  <c r="W27" i="317"/>
  <c r="E8" i="314"/>
  <c r="H8" i="314" s="1"/>
  <c r="E16" i="314"/>
  <c r="E38" i="315"/>
  <c r="H38" i="315" s="1"/>
  <c r="G28" i="314"/>
  <c r="K70" i="315"/>
  <c r="I51" i="314"/>
  <c r="K52" i="315"/>
  <c r="I79" i="315"/>
  <c r="I62" i="315"/>
  <c r="I50" i="315"/>
  <c r="G54" i="314"/>
  <c r="K80" i="314"/>
  <c r="K68" i="314"/>
  <c r="G52" i="314"/>
  <c r="G72" i="315"/>
  <c r="G54" i="315"/>
  <c r="G15" i="315"/>
  <c r="E73" i="315"/>
  <c r="E54" i="315"/>
  <c r="E12" i="315"/>
  <c r="G78" i="314"/>
  <c r="E21" i="314"/>
  <c r="H21" i="314" s="1"/>
  <c r="E77" i="314"/>
  <c r="W149" i="316"/>
  <c r="E69" i="314"/>
  <c r="W164" i="316"/>
  <c r="V185" i="316"/>
  <c r="V104" i="317"/>
  <c r="V163" i="316"/>
  <c r="B44" i="308"/>
  <c r="N83" i="315"/>
  <c r="W17" i="316"/>
  <c r="W24" i="316"/>
  <c r="V24" i="316"/>
  <c r="W92" i="316"/>
  <c r="V92" i="316"/>
  <c r="V95" i="316"/>
  <c r="W95" i="316"/>
  <c r="V97" i="316"/>
  <c r="W101" i="316"/>
  <c r="W104" i="316"/>
  <c r="W37" i="317"/>
  <c r="W49" i="317"/>
  <c r="G20" i="315"/>
  <c r="G60" i="314"/>
  <c r="W15" i="317"/>
  <c r="E8" i="315"/>
  <c r="K60" i="314"/>
  <c r="K75" i="315"/>
  <c r="I50" i="314"/>
  <c r="G35" i="315"/>
  <c r="E19" i="315"/>
  <c r="E51" i="314"/>
  <c r="G41" i="315"/>
  <c r="K61" i="315"/>
  <c r="I72" i="314"/>
  <c r="K48" i="315"/>
  <c r="I78" i="315"/>
  <c r="I61" i="315"/>
  <c r="I49" i="315"/>
  <c r="I63" i="315" s="1"/>
  <c r="G34" i="314"/>
  <c r="H34" i="314" s="1"/>
  <c r="K79" i="314"/>
  <c r="I62" i="314"/>
  <c r="G18" i="314"/>
  <c r="H18" i="314" s="1"/>
  <c r="G71" i="315"/>
  <c r="G53" i="315"/>
  <c r="G12" i="315"/>
  <c r="E72" i="315"/>
  <c r="E53" i="315"/>
  <c r="V139" i="316"/>
  <c r="V55" i="316"/>
  <c r="G75" i="314"/>
  <c r="W176" i="316"/>
  <c r="V179" i="316"/>
  <c r="V113" i="317"/>
  <c r="W30" i="317"/>
  <c r="W19" i="317"/>
  <c r="V19" i="317"/>
  <c r="V148" i="317"/>
  <c r="W148" i="317"/>
  <c r="W87" i="316"/>
  <c r="W90" i="316"/>
  <c r="W190" i="316"/>
  <c r="Z20" i="326"/>
  <c r="W39" i="316"/>
  <c r="W68" i="316"/>
  <c r="V71" i="316"/>
  <c r="W74" i="316"/>
  <c r="W102" i="316"/>
  <c r="W146" i="316"/>
  <c r="W83" i="317"/>
  <c r="I46" i="318"/>
  <c r="I48" i="318" s="1"/>
  <c r="W23" i="317"/>
  <c r="V96" i="317"/>
  <c r="V10" i="326"/>
  <c r="V122" i="317"/>
  <c r="W161" i="317"/>
  <c r="W71" i="316"/>
  <c r="W96" i="317"/>
  <c r="W10" i="326"/>
  <c r="C42" i="308"/>
  <c r="F42" i="308" s="1"/>
  <c r="B8" i="308" s="1"/>
  <c r="D8" i="308" s="1"/>
  <c r="W8" i="316"/>
  <c r="W88" i="316"/>
  <c r="W91" i="316"/>
  <c r="W94" i="316"/>
  <c r="W191" i="316"/>
  <c r="V197" i="316"/>
  <c r="V200" i="316"/>
  <c r="V18" i="317"/>
  <c r="V40" i="317"/>
  <c r="W91" i="317"/>
  <c r="V120" i="317"/>
  <c r="V126" i="317"/>
  <c r="W21" i="326"/>
  <c r="V78" i="317"/>
  <c r="V166" i="317"/>
  <c r="V191" i="317"/>
  <c r="U8" i="326"/>
  <c r="Y8" i="326" s="1"/>
  <c r="X16" i="326"/>
  <c r="V132" i="317"/>
  <c r="V203" i="317"/>
  <c r="W13" i="326"/>
  <c r="V39" i="316"/>
  <c r="V68" i="316"/>
  <c r="Y9" i="326"/>
  <c r="W180" i="317"/>
  <c r="V29" i="317"/>
  <c r="V7" i="326"/>
  <c r="N63" i="314"/>
  <c r="D83" i="314"/>
  <c r="N83" i="314"/>
  <c r="V59" i="316"/>
  <c r="V156" i="317"/>
  <c r="V162" i="317"/>
  <c r="V175" i="317"/>
  <c r="J48" i="318"/>
  <c r="J49" i="318" s="1"/>
  <c r="J51" i="318" s="1"/>
  <c r="J53" i="318" s="1"/>
  <c r="I6" i="288"/>
  <c r="H6" i="288"/>
  <c r="J6" i="288"/>
  <c r="K6" i="288"/>
  <c r="B36" i="293"/>
  <c r="B37" i="293" s="1"/>
  <c r="B38" i="293" s="1"/>
  <c r="B39" i="293" s="1"/>
  <c r="B40" i="293" s="1"/>
  <c r="D72" i="38"/>
  <c r="L73" i="1"/>
  <c r="M73" i="1" s="1"/>
  <c r="H73" i="1"/>
  <c r="C4" i="43"/>
  <c r="C36" i="43"/>
  <c r="I18" i="28"/>
  <c r="H45" i="287"/>
  <c r="Y36" i="287"/>
  <c r="AC36" i="287" s="1"/>
  <c r="V25" i="287"/>
  <c r="V46" i="287" s="1"/>
  <c r="V51" i="287" s="1"/>
  <c r="Y16" i="287"/>
  <c r="AC16" i="287" s="1"/>
  <c r="E18" i="277"/>
  <c r="G21" i="277"/>
  <c r="G17" i="277"/>
  <c r="F18" i="277"/>
  <c r="E17" i="277"/>
  <c r="G20" i="277"/>
  <c r="I17" i="277"/>
  <c r="E20" i="277"/>
  <c r="F21" i="277"/>
  <c r="E21" i="277"/>
  <c r="G18" i="277"/>
  <c r="F20" i="277"/>
  <c r="I20" i="277"/>
  <c r="H17" i="277"/>
  <c r="R86" i="1"/>
  <c r="M70" i="1"/>
  <c r="H70" i="1"/>
  <c r="H46" i="1"/>
  <c r="L46" i="1"/>
  <c r="M46" i="1" s="1"/>
  <c r="Q46" i="287"/>
  <c r="Q51" i="287" s="1"/>
  <c r="L13" i="28"/>
  <c r="W108" i="73"/>
  <c r="W166" i="73" s="1"/>
  <c r="O165" i="73"/>
  <c r="O166" i="73" s="1"/>
  <c r="R49" i="1"/>
  <c r="E43" i="1"/>
  <c r="H30" i="1"/>
  <c r="L30" i="1"/>
  <c r="M30" i="1" s="1"/>
  <c r="M15" i="1"/>
  <c r="H15" i="1"/>
  <c r="C5" i="42" s="1"/>
  <c r="E15" i="27"/>
  <c r="C71" i="43"/>
  <c r="M22" i="1"/>
  <c r="C38" i="43"/>
  <c r="O130" i="72"/>
  <c r="O188" i="72" s="1"/>
  <c r="L87" i="1"/>
  <c r="M87" i="1" s="1"/>
  <c r="H79" i="1"/>
  <c r="L79" i="1"/>
  <c r="M79" i="1" s="1"/>
  <c r="D38" i="26"/>
  <c r="D21" i="26"/>
  <c r="L15" i="27"/>
  <c r="F79" i="38"/>
  <c r="N108" i="74"/>
  <c r="N223" i="74" s="1"/>
  <c r="H62" i="1"/>
  <c r="L62" i="1"/>
  <c r="M62" i="1" s="1"/>
  <c r="Y40" i="287"/>
  <c r="AC40" i="287" s="1"/>
  <c r="H94" i="1"/>
  <c r="L94" i="1"/>
  <c r="M94" i="1" s="1"/>
  <c r="M66" i="1"/>
  <c r="R44" i="1"/>
  <c r="H29" i="1"/>
  <c r="N25" i="287"/>
  <c r="N46" i="287" s="1"/>
  <c r="N51" i="287" s="1"/>
  <c r="F24" i="282"/>
  <c r="F13" i="39" s="1"/>
  <c r="F12" i="39" s="1"/>
  <c r="F10" i="39" s="1"/>
  <c r="H123" i="41"/>
  <c r="D138" i="39"/>
  <c r="D137" i="39" s="1"/>
  <c r="F39" i="43"/>
  <c r="G470" i="56"/>
  <c r="K31" i="26"/>
  <c r="K32" i="26" s="1"/>
  <c r="I9" i="27"/>
  <c r="I10" i="27" s="1"/>
  <c r="P165" i="74"/>
  <c r="P223" i="74" s="1"/>
  <c r="P187" i="72"/>
  <c r="P188" i="72" s="1"/>
  <c r="M41" i="1"/>
  <c r="Y30" i="287"/>
  <c r="AC30" i="287" s="1"/>
  <c r="H20" i="277"/>
  <c r="E24" i="26"/>
  <c r="L54" i="1"/>
  <c r="M54" i="1" s="1"/>
  <c r="I45" i="287"/>
  <c r="I46" i="287" s="1"/>
  <c r="I51" i="287" s="1"/>
  <c r="M46" i="287"/>
  <c r="M51" i="287" s="1"/>
  <c r="H11" i="26"/>
  <c r="H18" i="26" s="1"/>
  <c r="H39" i="26" s="1"/>
  <c r="K14" i="27"/>
  <c r="K15" i="27" s="1"/>
  <c r="O165" i="74"/>
  <c r="O223" i="74" s="1"/>
  <c r="M77" i="1"/>
  <c r="D27" i="26"/>
  <c r="D31" i="26" s="1"/>
  <c r="M100" i="1"/>
  <c r="M52" i="1"/>
  <c r="H27" i="1"/>
  <c r="M10" i="1"/>
  <c r="D30" i="308"/>
  <c r="B32" i="308"/>
  <c r="C15" i="312"/>
  <c r="C16" i="312" s="1"/>
  <c r="D58" i="39"/>
  <c r="J15" i="312"/>
  <c r="J16" i="312" s="1"/>
  <c r="E48" i="318"/>
  <c r="E49" i="318" s="1"/>
  <c r="E51" i="318" s="1"/>
  <c r="E53" i="318" s="1"/>
  <c r="D94" i="39"/>
  <c r="D90" i="39" s="1"/>
  <c r="E66" i="327" s="1"/>
  <c r="G69" i="41"/>
  <c r="M49" i="192"/>
  <c r="E33" i="290"/>
  <c r="M97" i="1"/>
  <c r="M85" i="1"/>
  <c r="E15" i="312"/>
  <c r="E16" i="312" s="1"/>
  <c r="D104" i="1"/>
  <c r="F30" i="69"/>
  <c r="I15" i="318"/>
  <c r="K15" i="318" s="1"/>
  <c r="I47" i="250"/>
  <c r="J47" i="250" s="1"/>
  <c r="F63" i="41"/>
  <c r="H64" i="41"/>
  <c r="X11" i="326"/>
  <c r="V11" i="326"/>
  <c r="B48" i="318"/>
  <c r="B49" i="318" s="1"/>
  <c r="B51" i="318" s="1"/>
  <c r="G15" i="312"/>
  <c r="G16" i="312" s="1"/>
  <c r="B10" i="308"/>
  <c r="D10" i="308" s="1"/>
  <c r="W124" i="317"/>
  <c r="V193" i="317"/>
  <c r="W152" i="316"/>
  <c r="W197" i="316"/>
  <c r="E75" i="314"/>
  <c r="G40" i="314"/>
  <c r="G71" i="314"/>
  <c r="E52" i="314"/>
  <c r="E71" i="314"/>
  <c r="W7" i="316"/>
  <c r="W11" i="316"/>
  <c r="W15" i="316"/>
  <c r="W33" i="316"/>
  <c r="W37" i="316"/>
  <c r="V41" i="316"/>
  <c r="V63" i="316"/>
  <c r="W97" i="316"/>
  <c r="W127" i="316"/>
  <c r="V131" i="316"/>
  <c r="W145" i="316"/>
  <c r="V156" i="316"/>
  <c r="V180" i="316"/>
  <c r="W187" i="316"/>
  <c r="W25" i="317"/>
  <c r="V36" i="317"/>
  <c r="V46" i="317"/>
  <c r="W71" i="317"/>
  <c r="W79" i="317"/>
  <c r="V138" i="317"/>
  <c r="V172" i="317"/>
  <c r="F46" i="318"/>
  <c r="K46" i="318"/>
  <c r="X17" i="326"/>
  <c r="K14" i="312"/>
  <c r="W66" i="317"/>
  <c r="W102" i="317"/>
  <c r="W126" i="317"/>
  <c r="W172" i="317"/>
  <c r="V21" i="316"/>
  <c r="V77" i="316"/>
  <c r="W141" i="316"/>
  <c r="V155" i="316"/>
  <c r="V162" i="316"/>
  <c r="V24" i="317"/>
  <c r="V42" i="317"/>
  <c r="W53" i="317"/>
  <c r="V60" i="317"/>
  <c r="V137" i="317"/>
  <c r="V144" i="317"/>
  <c r="E13" i="313"/>
  <c r="W77" i="317"/>
  <c r="G77" i="314"/>
  <c r="E60" i="314"/>
  <c r="E74" i="314"/>
  <c r="W9" i="316"/>
  <c r="W13" i="316"/>
  <c r="W20" i="316"/>
  <c r="W50" i="316"/>
  <c r="W61" i="316"/>
  <c r="V99" i="316"/>
  <c r="W129" i="316"/>
  <c r="W147" i="316"/>
  <c r="V154" i="316"/>
  <c r="W161" i="316"/>
  <c r="V168" i="316"/>
  <c r="V182" i="316"/>
  <c r="V203" i="316"/>
  <c r="V34" i="317"/>
  <c r="W41" i="317"/>
  <c r="V48" i="317"/>
  <c r="W59" i="317"/>
  <c r="V136" i="317"/>
  <c r="V143" i="317"/>
  <c r="D46" i="318"/>
  <c r="G56" i="314"/>
  <c r="G76" i="314"/>
  <c r="V32" i="316"/>
  <c r="W27" i="316"/>
  <c r="W57" i="316"/>
  <c r="W79" i="316"/>
  <c r="W83" i="316"/>
  <c r="W106" i="316"/>
  <c r="W110" i="316"/>
  <c r="Z11" i="326"/>
  <c r="W11" i="326"/>
  <c r="V6" i="326"/>
  <c r="Y14" i="326"/>
  <c r="AA14" i="326"/>
  <c r="Y13" i="326"/>
  <c r="AA13" i="326"/>
  <c r="Y10" i="326"/>
  <c r="W17" i="326"/>
  <c r="Z17" i="326"/>
  <c r="W18" i="326"/>
  <c r="W9" i="326"/>
  <c r="X8" i="326"/>
  <c r="J63" i="314" l="1"/>
  <c r="G154" i="56"/>
  <c r="G42" i="56"/>
  <c r="K83" i="314"/>
  <c r="J18" i="26"/>
  <c r="G18" i="28"/>
  <c r="G10" i="27"/>
  <c r="T188" i="72"/>
  <c r="F46" i="287"/>
  <c r="F51" i="287" s="1"/>
  <c r="G855" i="56"/>
  <c r="G177" i="56"/>
  <c r="J21" i="27"/>
  <c r="D180" i="39" s="1"/>
  <c r="P245" i="70"/>
  <c r="F18" i="28"/>
  <c r="J63" i="315"/>
  <c r="G457" i="56"/>
  <c r="G15" i="44"/>
  <c r="B24" i="37" s="1"/>
  <c r="F74" i="49"/>
  <c r="F75" i="49" s="1"/>
  <c r="E69" i="43" s="1"/>
  <c r="G240" i="56"/>
  <c r="D71" i="39"/>
  <c r="D70" i="39" s="1"/>
  <c r="F42" i="314"/>
  <c r="G444" i="56"/>
  <c r="Q76" i="314"/>
  <c r="Q48" i="315"/>
  <c r="K63" i="315"/>
  <c r="H30" i="314"/>
  <c r="D21" i="27"/>
  <c r="G12" i="37"/>
  <c r="F83" i="315"/>
  <c r="I63" i="314"/>
  <c r="K38" i="26"/>
  <c r="F22" i="314"/>
  <c r="F83" i="314"/>
  <c r="E83" i="314"/>
  <c r="O101" i="1"/>
  <c r="G688" i="56"/>
  <c r="L21" i="27"/>
  <c r="L18" i="28"/>
  <c r="G194" i="56"/>
  <c r="V13" i="326"/>
  <c r="E14" i="233"/>
  <c r="N188" i="72"/>
  <c r="G63" i="314"/>
  <c r="G632" i="56"/>
  <c r="F28" i="38"/>
  <c r="F63" i="315"/>
  <c r="J83" i="314"/>
  <c r="F83" i="69"/>
  <c r="K21" i="27"/>
  <c r="G207" i="56"/>
  <c r="K63" i="314"/>
  <c r="G63" i="315"/>
  <c r="E83" i="315"/>
  <c r="R46" i="287"/>
  <c r="R51" i="287" s="1"/>
  <c r="F63" i="314"/>
  <c r="F22" i="315"/>
  <c r="F42" i="315"/>
  <c r="I21" i="27"/>
  <c r="I83" i="314"/>
  <c r="F36" i="43"/>
  <c r="F69" i="43"/>
  <c r="F71" i="43" s="1"/>
  <c r="B21" i="37" s="1"/>
  <c r="H36" i="314"/>
  <c r="H39" i="314"/>
  <c r="D16" i="327"/>
  <c r="F82" i="39"/>
  <c r="F80" i="39" s="1"/>
  <c r="G12" i="44"/>
  <c r="F110" i="69"/>
  <c r="K18" i="26"/>
  <c r="B10" i="48"/>
  <c r="M188" i="72"/>
  <c r="H29" i="314"/>
  <c r="E25" i="26"/>
  <c r="E32" i="26" s="1"/>
  <c r="E39" i="26" s="1"/>
  <c r="F71" i="39"/>
  <c r="F70" i="39" s="1"/>
  <c r="H19" i="315"/>
  <c r="U188" i="72"/>
  <c r="H41" i="314"/>
  <c r="D102" i="38"/>
  <c r="J17" i="277"/>
  <c r="H37" i="314"/>
  <c r="E11" i="285"/>
  <c r="H46" i="64"/>
  <c r="Q63" i="1"/>
  <c r="R63" i="1" s="1"/>
  <c r="O103" i="1"/>
  <c r="N245" i="70"/>
  <c r="H15" i="314"/>
  <c r="G21" i="27"/>
  <c r="G216" i="56"/>
  <c r="G823" i="56"/>
  <c r="G841" i="56"/>
  <c r="G824" i="56"/>
  <c r="G830" i="56"/>
  <c r="G836" i="56"/>
  <c r="G842" i="56"/>
  <c r="G848" i="56"/>
  <c r="G826" i="56"/>
  <c r="G832" i="56"/>
  <c r="G838" i="56"/>
  <c r="G844" i="56"/>
  <c r="G839" i="56"/>
  <c r="G847" i="56"/>
  <c r="G825" i="56"/>
  <c r="G831" i="56"/>
  <c r="G837" i="56"/>
  <c r="G843" i="56"/>
  <c r="G849" i="56"/>
  <c r="G845" i="56"/>
  <c r="G833" i="56"/>
  <c r="G827" i="56"/>
  <c r="G828" i="56"/>
  <c r="G834" i="56"/>
  <c r="G840" i="56"/>
  <c r="G846" i="56"/>
  <c r="G829" i="56"/>
  <c r="G835" i="56"/>
  <c r="G483" i="56"/>
  <c r="G668" i="56"/>
  <c r="G384" i="56"/>
  <c r="G379" i="56"/>
  <c r="G486" i="56"/>
  <c r="G656" i="56"/>
  <c r="G60" i="56"/>
  <c r="G304" i="56"/>
  <c r="G63" i="56"/>
  <c r="G743" i="56"/>
  <c r="G517" i="56"/>
  <c r="G223" i="56"/>
  <c r="G214" i="56"/>
  <c r="G767" i="56"/>
  <c r="G36" i="56"/>
  <c r="G204" i="56"/>
  <c r="G313" i="56"/>
  <c r="G97" i="56"/>
  <c r="G170" i="56"/>
  <c r="G352" i="56"/>
  <c r="G649" i="56"/>
  <c r="G653" i="56"/>
  <c r="G295" i="56"/>
  <c r="G293" i="56"/>
  <c r="G524" i="56"/>
  <c r="G13" i="56"/>
  <c r="G574" i="56"/>
  <c r="G7" i="56"/>
  <c r="G565" i="56"/>
  <c r="G266" i="56"/>
  <c r="G249" i="56"/>
  <c r="G584" i="56"/>
  <c r="G556" i="56"/>
  <c r="G528" i="56"/>
  <c r="G243" i="56"/>
  <c r="G193" i="56"/>
  <c r="G742" i="56"/>
  <c r="G191" i="56"/>
  <c r="G187" i="56"/>
  <c r="G173" i="56"/>
  <c r="G549" i="56"/>
  <c r="G716" i="56"/>
  <c r="G744" i="56"/>
  <c r="G292" i="56"/>
  <c r="G711" i="56"/>
  <c r="G127" i="56"/>
  <c r="G72" i="56"/>
  <c r="G432" i="56"/>
  <c r="G363" i="56"/>
  <c r="G55" i="56"/>
  <c r="G575" i="56"/>
  <c r="G431" i="56"/>
  <c r="G327" i="56"/>
  <c r="G676" i="56"/>
  <c r="G678" i="56"/>
  <c r="G286" i="56"/>
  <c r="G271" i="56"/>
  <c r="G740" i="56"/>
  <c r="G461" i="56"/>
  <c r="G442" i="56"/>
  <c r="G189" i="56"/>
  <c r="G289" i="56"/>
  <c r="G621" i="56"/>
  <c r="G525" i="56"/>
  <c r="G174" i="56"/>
  <c r="G368" i="56"/>
  <c r="G75" i="56"/>
  <c r="G598" i="56"/>
  <c r="G466" i="56"/>
  <c r="G367" i="56"/>
  <c r="G693" i="56"/>
  <c r="G386" i="56"/>
  <c r="G54" i="56"/>
  <c r="G59" i="56"/>
  <c r="G710" i="56"/>
  <c r="G764" i="56"/>
  <c r="G576" i="56"/>
  <c r="G555" i="56"/>
  <c r="G785" i="56"/>
  <c r="G719" i="56"/>
  <c r="G623" i="56"/>
  <c r="G783" i="56"/>
  <c r="G341" i="56"/>
  <c r="G604" i="56"/>
  <c r="G810" i="56"/>
  <c r="G126" i="56"/>
  <c r="G458" i="56"/>
  <c r="G129" i="56"/>
  <c r="G220" i="56"/>
  <c r="G456" i="56"/>
  <c r="G29" i="56"/>
  <c r="G559" i="56"/>
  <c r="G645" i="56"/>
  <c r="G48" i="56"/>
  <c r="G463" i="56"/>
  <c r="G622" i="56"/>
  <c r="G448" i="56"/>
  <c r="G520" i="56"/>
  <c r="G38" i="56"/>
  <c r="G349" i="56"/>
  <c r="G401" i="56"/>
  <c r="G311" i="56"/>
  <c r="G221" i="56"/>
  <c r="G790" i="56"/>
  <c r="G294" i="56"/>
  <c r="G468" i="56"/>
  <c r="G460" i="56"/>
  <c r="G787" i="56"/>
  <c r="G201" i="56"/>
  <c r="G270" i="56"/>
  <c r="G674" i="56"/>
  <c r="G258" i="56"/>
  <c r="G180" i="56"/>
  <c r="G288" i="56"/>
  <c r="G561" i="56"/>
  <c r="G765" i="56"/>
  <c r="G435" i="56"/>
  <c r="G86" i="56"/>
  <c r="G596" i="56"/>
  <c r="G512" i="56"/>
  <c r="G423" i="56"/>
  <c r="G426" i="56"/>
  <c r="G634" i="56"/>
  <c r="G684" i="56"/>
  <c r="G503" i="56"/>
  <c r="G136" i="56"/>
  <c r="G812" i="56"/>
  <c r="G482" i="56"/>
  <c r="G31" i="56"/>
  <c r="G385" i="56"/>
  <c r="G25" i="56"/>
  <c r="G427" i="56"/>
  <c r="G152" i="56"/>
  <c r="G439" i="56"/>
  <c r="G389" i="56"/>
  <c r="G726" i="56"/>
  <c r="G94" i="56"/>
  <c r="G532" i="56"/>
  <c r="G283" i="56"/>
  <c r="G434" i="56"/>
  <c r="G114" i="56"/>
  <c r="G588" i="56"/>
  <c r="G501" i="56"/>
  <c r="G698" i="56"/>
  <c r="G73" i="56"/>
  <c r="G760" i="56"/>
  <c r="G650" i="56"/>
  <c r="G754" i="56"/>
  <c r="G342" i="56"/>
  <c r="G43" i="56"/>
  <c r="G17" i="56"/>
  <c r="G33" i="56"/>
  <c r="G816" i="56"/>
  <c r="G451" i="56"/>
  <c r="G235" i="56"/>
  <c r="G732" i="56"/>
  <c r="G19" i="56"/>
  <c r="G395" i="56"/>
  <c r="G438" i="56"/>
  <c r="G365" i="56"/>
  <c r="G8" i="56"/>
  <c r="G626" i="56"/>
  <c r="G102" i="56"/>
  <c r="G727" i="56"/>
  <c r="G113" i="56"/>
  <c r="G348" i="56"/>
  <c r="G607" i="56"/>
  <c r="G796" i="56"/>
  <c r="G268" i="56"/>
  <c r="G539" i="56"/>
  <c r="G66" i="56"/>
  <c r="G485" i="56"/>
  <c r="G663" i="56"/>
  <c r="G682" i="56"/>
  <c r="G192" i="56"/>
  <c r="G474" i="56"/>
  <c r="G712" i="56"/>
  <c r="G498" i="56"/>
  <c r="G640" i="56"/>
  <c r="G819" i="56"/>
  <c r="G122" i="56"/>
  <c r="G420" i="56"/>
  <c r="G387" i="56"/>
  <c r="G285" i="56"/>
  <c r="G537" i="56"/>
  <c r="G696" i="56"/>
  <c r="G200" i="56"/>
  <c r="G467" i="56"/>
  <c r="G521" i="56"/>
  <c r="G330" i="56"/>
  <c r="G353" i="56"/>
  <c r="G252" i="56"/>
  <c r="G505" i="56"/>
  <c r="G308" i="56"/>
  <c r="G630" i="56"/>
  <c r="G163" i="56"/>
  <c r="G418" i="56"/>
  <c r="G23" i="56"/>
  <c r="G366" i="56"/>
  <c r="G500" i="56"/>
  <c r="G109" i="56"/>
  <c r="G251" i="56"/>
  <c r="G375" i="56"/>
  <c r="G665" i="56"/>
  <c r="G34" i="56"/>
  <c r="G566" i="56"/>
  <c r="G803" i="56"/>
  <c r="G146" i="56"/>
  <c r="G159" i="56"/>
  <c r="G105" i="56"/>
  <c r="G609" i="56"/>
  <c r="G718" i="56"/>
  <c r="G302" i="56"/>
  <c r="G382" i="56"/>
  <c r="G50" i="56"/>
  <c r="G714" i="56"/>
  <c r="G316" i="56"/>
  <c r="G741" i="56"/>
  <c r="G551" i="56"/>
  <c r="G158" i="56"/>
  <c r="G792" i="56"/>
  <c r="G326" i="56"/>
  <c r="G171" i="56"/>
  <c r="G472" i="56"/>
  <c r="G516" i="56"/>
  <c r="G183" i="56"/>
  <c r="G586" i="56"/>
  <c r="G657" i="56"/>
  <c r="G779" i="56"/>
  <c r="G409" i="56"/>
  <c r="G78" i="56"/>
  <c r="G557" i="56"/>
  <c r="G198" i="56"/>
  <c r="G465" i="56"/>
  <c r="G390" i="56"/>
  <c r="G267" i="56"/>
  <c r="G230" i="56"/>
  <c r="G101" i="56"/>
  <c r="G554" i="56"/>
  <c r="G255" i="56"/>
  <c r="G107" i="56"/>
  <c r="G81" i="56"/>
  <c r="G317" i="56"/>
  <c r="G603" i="56"/>
  <c r="G263" i="56"/>
  <c r="G130" i="56"/>
  <c r="G737" i="56"/>
  <c r="G567" i="56"/>
  <c r="G720" i="56"/>
  <c r="G780" i="56"/>
  <c r="G110" i="56"/>
  <c r="G92" i="56"/>
  <c r="G497" i="56"/>
  <c r="G639" i="56"/>
  <c r="G610" i="56"/>
  <c r="G789" i="56"/>
  <c r="G746" i="56"/>
  <c r="G408" i="56"/>
  <c r="G381" i="56"/>
  <c r="G691" i="56"/>
  <c r="G563" i="56"/>
  <c r="G356" i="56"/>
  <c r="G164" i="56"/>
  <c r="G388" i="56"/>
  <c r="G671" i="56"/>
  <c r="G77" i="56"/>
  <c r="G421" i="56"/>
  <c r="G125" i="56"/>
  <c r="G759" i="56"/>
  <c r="G21" i="56"/>
  <c r="G179" i="56"/>
  <c r="G511" i="56"/>
  <c r="G805" i="56"/>
  <c r="G644" i="56"/>
  <c r="G222" i="56"/>
  <c r="G30" i="56"/>
  <c r="G478" i="56"/>
  <c r="G67" i="56"/>
  <c r="G715" i="56"/>
  <c r="G273" i="56"/>
  <c r="G568" i="56"/>
  <c r="G287" i="56"/>
  <c r="G606" i="56"/>
  <c r="G707" i="56"/>
  <c r="G476" i="56"/>
  <c r="G487" i="56"/>
  <c r="G237" i="56"/>
  <c r="G357" i="56"/>
  <c r="G577" i="56"/>
  <c r="G618" i="56"/>
  <c r="G47" i="56"/>
  <c r="G392" i="56"/>
  <c r="G112" i="56"/>
  <c r="G233" i="56"/>
  <c r="G139" i="56"/>
  <c r="G614" i="56"/>
  <c r="G360" i="56"/>
  <c r="G260" i="56"/>
  <c r="G542" i="56"/>
  <c r="G753" i="56"/>
  <c r="G573" i="56"/>
  <c r="G322" i="56"/>
  <c r="G128" i="56"/>
  <c r="G585" i="56"/>
  <c r="G369" i="56"/>
  <c r="G124" i="56"/>
  <c r="G689" i="56"/>
  <c r="G429" i="56"/>
  <c r="G383" i="56"/>
  <c r="G39" i="56"/>
  <c r="G788" i="56"/>
  <c r="G481" i="56"/>
  <c r="G106" i="56"/>
  <c r="G138" i="56"/>
  <c r="G484" i="56"/>
  <c r="G371" i="56"/>
  <c r="G178" i="56"/>
  <c r="G638" i="56"/>
  <c r="G361" i="56"/>
  <c r="G232" i="56"/>
  <c r="G550" i="56"/>
  <c r="G462" i="56"/>
  <c r="G155" i="56"/>
  <c r="G579" i="56"/>
  <c r="G786" i="56"/>
  <c r="G35" i="56"/>
  <c r="G526" i="56"/>
  <c r="G546" i="56"/>
  <c r="G664" i="56"/>
  <c r="G806" i="56"/>
  <c r="G694" i="56"/>
  <c r="G569" i="56"/>
  <c r="G597" i="56"/>
  <c r="G203" i="56"/>
  <c r="G449" i="56"/>
  <c r="G791" i="56"/>
  <c r="G613" i="56"/>
  <c r="G405" i="56"/>
  <c r="G773" i="56"/>
  <c r="G488" i="56"/>
  <c r="G508" i="56"/>
  <c r="G587" i="56"/>
  <c r="G452" i="56"/>
  <c r="G683" i="56"/>
  <c r="G58" i="56"/>
  <c r="G340" i="56"/>
  <c r="G168" i="56"/>
  <c r="G544" i="56"/>
  <c r="G440" i="56"/>
  <c r="G447" i="56"/>
  <c r="G318" i="56"/>
  <c r="G548" i="56"/>
  <c r="G658" i="56"/>
  <c r="G628" i="56"/>
  <c r="G413" i="56"/>
  <c r="G608" i="56"/>
  <c r="G797" i="56"/>
  <c r="G272" i="56"/>
  <c r="G581" i="56"/>
  <c r="G44" i="56"/>
  <c r="G224" i="56"/>
  <c r="G475" i="56"/>
  <c r="G611" i="56"/>
  <c r="G226" i="56"/>
  <c r="G37" i="56"/>
  <c r="G278" i="56"/>
  <c r="G56" i="56"/>
  <c r="G239" i="56"/>
  <c r="G20" i="56"/>
  <c r="G428" i="56"/>
  <c r="G564" i="56"/>
  <c r="G16" i="56"/>
  <c r="G445" i="56"/>
  <c r="G667" i="56"/>
  <c r="G291" i="56"/>
  <c r="G49" i="56"/>
  <c r="G454" i="56"/>
  <c r="G314" i="56"/>
  <c r="G89" i="56"/>
  <c r="G15" i="56"/>
  <c r="G234" i="56"/>
  <c r="G310" i="56"/>
  <c r="G822" i="56"/>
  <c r="G601" i="56"/>
  <c r="G374" i="56"/>
  <c r="G195" i="56"/>
  <c r="G53" i="56"/>
  <c r="G728" i="56"/>
  <c r="G491" i="56"/>
  <c r="G104" i="56"/>
  <c r="G404" i="56"/>
  <c r="G795" i="56"/>
  <c r="G701" i="56"/>
  <c r="G774" i="56"/>
  <c r="G229" i="56"/>
  <c r="G793" i="56"/>
  <c r="G162" i="56"/>
  <c r="G643" i="56"/>
  <c r="G299" i="56"/>
  <c r="G808" i="56"/>
  <c r="G46" i="56"/>
  <c r="G246" i="56"/>
  <c r="G358" i="56"/>
  <c r="G815" i="56"/>
  <c r="G747" i="56"/>
  <c r="G284" i="56"/>
  <c r="G734" i="56"/>
  <c r="G777" i="56"/>
  <c r="G659" i="56"/>
  <c r="G560" i="56"/>
  <c r="G652" i="56"/>
  <c r="G228" i="56"/>
  <c r="G176" i="56"/>
  <c r="G616" i="56"/>
  <c r="G523" i="56"/>
  <c r="G323" i="56"/>
  <c r="G307" i="56"/>
  <c r="G98" i="56"/>
  <c r="G253" i="56"/>
  <c r="G41" i="56"/>
  <c r="G489" i="56"/>
  <c r="G625" i="56"/>
  <c r="G794" i="56"/>
  <c r="G345" i="56"/>
  <c r="G300" i="56"/>
  <c r="G71" i="56"/>
  <c r="G147" i="56"/>
  <c r="G143" i="56"/>
  <c r="G165" i="56"/>
  <c r="G672" i="56"/>
  <c r="G172" i="56"/>
  <c r="G800" i="56"/>
  <c r="G756" i="56"/>
  <c r="G570" i="56"/>
  <c r="G182" i="56"/>
  <c r="G591" i="56"/>
  <c r="G527" i="56"/>
  <c r="G751" i="56"/>
  <c r="G248" i="56"/>
  <c r="G69" i="56"/>
  <c r="G430" i="56"/>
  <c r="G40" i="56"/>
  <c r="G680" i="56"/>
  <c r="G804" i="56"/>
  <c r="G538" i="56"/>
  <c r="G534" i="56"/>
  <c r="G535" i="56"/>
  <c r="G817" i="56"/>
  <c r="G443" i="56"/>
  <c r="G641" i="56"/>
  <c r="G704" i="56"/>
  <c r="G558" i="56"/>
  <c r="G410" i="56"/>
  <c r="G437" i="56"/>
  <c r="G646" i="56"/>
  <c r="G88" i="56"/>
  <c r="G396" i="56"/>
  <c r="G262" i="56"/>
  <c r="G496" i="56"/>
  <c r="G782" i="56"/>
  <c r="G670" i="56"/>
  <c r="G730" i="56"/>
  <c r="G306" i="56"/>
  <c r="G590" i="56"/>
  <c r="G799" i="56"/>
  <c r="G6" i="56"/>
  <c r="G219" i="56"/>
  <c r="G633" i="56"/>
  <c r="G811" i="56"/>
  <c r="G166" i="56"/>
  <c r="G141" i="56"/>
  <c r="G493" i="56"/>
  <c r="G108" i="56"/>
  <c r="G324" i="56"/>
  <c r="G762" i="56"/>
  <c r="G699" i="56"/>
  <c r="G64" i="56"/>
  <c r="G231" i="56"/>
  <c r="G335" i="56"/>
  <c r="G312" i="56"/>
  <c r="G140" i="56"/>
  <c r="G507" i="56"/>
  <c r="G755" i="56"/>
  <c r="G116" i="56"/>
  <c r="G301" i="56"/>
  <c r="G83" i="56"/>
  <c r="G513" i="56"/>
  <c r="G709" i="56"/>
  <c r="G338" i="56"/>
  <c r="G545" i="56"/>
  <c r="G79" i="56"/>
  <c r="G188" i="56"/>
  <c r="G12" i="56"/>
  <c r="G380" i="56"/>
  <c r="G62" i="56"/>
  <c r="G333" i="56"/>
  <c r="G325" i="56"/>
  <c r="G533" i="56"/>
  <c r="G518" i="56"/>
  <c r="G346" i="56"/>
  <c r="G415" i="56"/>
  <c r="G402" i="56"/>
  <c r="G736" i="56"/>
  <c r="G599" i="56"/>
  <c r="G441" i="56"/>
  <c r="G705" i="56"/>
  <c r="G303" i="56"/>
  <c r="G373" i="56"/>
  <c r="G592" i="56"/>
  <c r="G807" i="56"/>
  <c r="G572" i="56"/>
  <c r="G536" i="56"/>
  <c r="G391" i="56"/>
  <c r="G236" i="56"/>
  <c r="G319" i="56"/>
  <c r="G776" i="56"/>
  <c r="G703" i="56"/>
  <c r="G297" i="56"/>
  <c r="G4" i="56"/>
  <c r="G257" i="56"/>
  <c r="G84" i="56"/>
  <c r="G459" i="56"/>
  <c r="G685" i="56"/>
  <c r="G417" i="56"/>
  <c r="G61" i="56"/>
  <c r="G91" i="56"/>
  <c r="G169" i="56"/>
  <c r="G355" i="56"/>
  <c r="G492" i="56"/>
  <c r="G370" i="56"/>
  <c r="G677" i="56"/>
  <c r="G642" i="56"/>
  <c r="G151" i="56"/>
  <c r="G654" i="56"/>
  <c r="G562" i="56"/>
  <c r="G766" i="56"/>
  <c r="G339" i="56"/>
  <c r="G144" i="56"/>
  <c r="G713" i="56"/>
  <c r="G250" i="56"/>
  <c r="G406" i="56"/>
  <c r="G651" i="56"/>
  <c r="G820" i="56"/>
  <c r="G398" i="56"/>
  <c r="G18" i="56"/>
  <c r="G206" i="56"/>
  <c r="G722" i="56"/>
  <c r="G393" i="56"/>
  <c r="G275" i="56"/>
  <c r="G784" i="56"/>
  <c r="G582" i="56"/>
  <c r="G631" i="56"/>
  <c r="G135" i="56"/>
  <c r="G175" i="56"/>
  <c r="G150" i="56"/>
  <c r="G583" i="56"/>
  <c r="G600" i="56"/>
  <c r="G111" i="56"/>
  <c r="G52" i="56"/>
  <c r="G436" i="56"/>
  <c r="G509" i="56"/>
  <c r="G51" i="56"/>
  <c r="G218" i="56"/>
  <c r="G687" i="56"/>
  <c r="G775" i="56"/>
  <c r="G612" i="56"/>
  <c r="G328" i="56"/>
  <c r="G469" i="56"/>
  <c r="G681" i="56"/>
  <c r="G277" i="56"/>
  <c r="G464" i="56"/>
  <c r="G723" i="56"/>
  <c r="G309" i="56"/>
  <c r="G403" i="56"/>
  <c r="G212" i="56"/>
  <c r="G686" i="56"/>
  <c r="G706" i="56"/>
  <c r="G627" i="56"/>
  <c r="G132" i="56"/>
  <c r="G798" i="56"/>
  <c r="G95" i="56"/>
  <c r="G809" i="56"/>
  <c r="G196" i="56"/>
  <c r="G259" i="56"/>
  <c r="G543" i="56"/>
  <c r="G22" i="56"/>
  <c r="G695" i="56"/>
  <c r="G571" i="56"/>
  <c r="G620" i="56"/>
  <c r="G602" i="56"/>
  <c r="G160" i="56"/>
  <c r="G351" i="56"/>
  <c r="G495" i="56"/>
  <c r="G347" i="56"/>
  <c r="G332" i="56"/>
  <c r="G350" i="56"/>
  <c r="G202" i="56"/>
  <c r="G416" i="56"/>
  <c r="G217" i="56"/>
  <c r="G615" i="56"/>
  <c r="G65" i="56"/>
  <c r="G28" i="56"/>
  <c r="G772" i="56"/>
  <c r="G702" i="56"/>
  <c r="G276" i="56"/>
  <c r="G11" i="56"/>
  <c r="G100" i="56"/>
  <c r="G74" i="56"/>
  <c r="G24" i="56"/>
  <c r="G635" i="56"/>
  <c r="G433" i="56"/>
  <c r="G57" i="56"/>
  <c r="G131" i="56"/>
  <c r="G769" i="56"/>
  <c r="G184" i="56"/>
  <c r="G334" i="56"/>
  <c r="G93" i="56"/>
  <c r="G589" i="56"/>
  <c r="G211" i="56"/>
  <c r="G735" i="56"/>
  <c r="G225" i="56"/>
  <c r="G411" i="56"/>
  <c r="G813" i="56"/>
  <c r="G757" i="56"/>
  <c r="G261" i="56"/>
  <c r="G471" i="56"/>
  <c r="G422" i="56"/>
  <c r="G479" i="56"/>
  <c r="G605" i="56"/>
  <c r="G70" i="56"/>
  <c r="G530" i="56"/>
  <c r="G648" i="56"/>
  <c r="G708" i="56"/>
  <c r="G690" i="56"/>
  <c r="G121" i="56"/>
  <c r="G85" i="56"/>
  <c r="G238" i="56"/>
  <c r="G771" i="56"/>
  <c r="G377" i="56"/>
  <c r="G157" i="56"/>
  <c r="G669" i="56"/>
  <c r="G209" i="56"/>
  <c r="G5" i="56"/>
  <c r="G185" i="56"/>
  <c r="G90" i="56"/>
  <c r="G480" i="56"/>
  <c r="G446" i="56"/>
  <c r="G540" i="56"/>
  <c r="G343" i="56"/>
  <c r="G186" i="56"/>
  <c r="G329" i="56"/>
  <c r="G197" i="56"/>
  <c r="G320" i="56"/>
  <c r="G738" i="56"/>
  <c r="G692" i="56"/>
  <c r="G133" i="56"/>
  <c r="G412" i="56"/>
  <c r="G778" i="56"/>
  <c r="G594" i="56"/>
  <c r="G578" i="56"/>
  <c r="G801" i="56"/>
  <c r="G580" i="56"/>
  <c r="G254" i="56"/>
  <c r="G724" i="56"/>
  <c r="G354" i="56"/>
  <c r="G752" i="56"/>
  <c r="G298" i="56"/>
  <c r="G145" i="56"/>
  <c r="G117" i="56"/>
  <c r="G477" i="56"/>
  <c r="G264" i="56"/>
  <c r="G96" i="56"/>
  <c r="G510" i="56"/>
  <c r="G515" i="56"/>
  <c r="G455" i="56"/>
  <c r="G617" i="56"/>
  <c r="G359" i="56"/>
  <c r="G541" i="56"/>
  <c r="G748" i="56"/>
  <c r="G679" i="56"/>
  <c r="G750" i="56"/>
  <c r="G274" i="56"/>
  <c r="G768" i="56"/>
  <c r="G739" i="56"/>
  <c r="G818" i="56"/>
  <c r="G32" i="56"/>
  <c r="G502" i="56"/>
  <c r="G118" i="56"/>
  <c r="G10" i="56"/>
  <c r="G80" i="56"/>
  <c r="G149" i="56"/>
  <c r="G362" i="56"/>
  <c r="G156" i="56"/>
  <c r="G647" i="56"/>
  <c r="G68" i="56"/>
  <c r="G205" i="56"/>
  <c r="G76" i="56"/>
  <c r="G305" i="56"/>
  <c r="G519" i="56"/>
  <c r="G473" i="56"/>
  <c r="G137" i="56"/>
  <c r="G490" i="56"/>
  <c r="G624" i="56"/>
  <c r="G424" i="56"/>
  <c r="G400" i="56"/>
  <c r="G419" i="56"/>
  <c r="G529" i="56"/>
  <c r="G378" i="56"/>
  <c r="G547" i="56"/>
  <c r="G721" i="56"/>
  <c r="G763" i="56"/>
  <c r="G281" i="56"/>
  <c r="G745" i="56"/>
  <c r="G758" i="56"/>
  <c r="G120" i="56"/>
  <c r="G814" i="56"/>
  <c r="G242" i="56"/>
  <c r="G115" i="56"/>
  <c r="G399" i="56"/>
  <c r="G637" i="56"/>
  <c r="G9" i="56"/>
  <c r="G494" i="56"/>
  <c r="G770" i="56"/>
  <c r="G697" i="56"/>
  <c r="G14" i="56"/>
  <c r="G244" i="56"/>
  <c r="G134" i="56"/>
  <c r="G336" i="56"/>
  <c r="G269" i="56"/>
  <c r="G761" i="56"/>
  <c r="G450" i="56"/>
  <c r="G26" i="56"/>
  <c r="G364" i="56"/>
  <c r="G87" i="56"/>
  <c r="G296" i="56"/>
  <c r="G280" i="56"/>
  <c r="G425" i="56"/>
  <c r="G821" i="56"/>
  <c r="G499" i="56"/>
  <c r="G167" i="56"/>
  <c r="G666" i="56"/>
  <c r="G593" i="56"/>
  <c r="G215" i="56"/>
  <c r="G99" i="56"/>
  <c r="G331" i="56"/>
  <c r="G619" i="56"/>
  <c r="G148" i="56"/>
  <c r="G661" i="56"/>
  <c r="G119" i="56"/>
  <c r="G655" i="56"/>
  <c r="G45" i="56"/>
  <c r="G103" i="56"/>
  <c r="G414" i="56"/>
  <c r="G504" i="56"/>
  <c r="G394" i="56"/>
  <c r="G749" i="56"/>
  <c r="G802" i="56"/>
  <c r="G247" i="56"/>
  <c r="G344" i="56"/>
  <c r="G337" i="56"/>
  <c r="G675" i="56"/>
  <c r="G199" i="56"/>
  <c r="G636" i="56"/>
  <c r="G506" i="56"/>
  <c r="G265" i="56"/>
  <c r="G729" i="56"/>
  <c r="G210" i="56"/>
  <c r="G315" i="56"/>
  <c r="G123" i="56"/>
  <c r="G213" i="56"/>
  <c r="G241" i="56"/>
  <c r="G279" i="56"/>
  <c r="G181" i="56"/>
  <c r="G453" i="56"/>
  <c r="G142" i="56"/>
  <c r="G282" i="56"/>
  <c r="G673" i="56"/>
  <c r="G397" i="56"/>
  <c r="G717" i="56"/>
  <c r="G522" i="56"/>
  <c r="G700" i="56"/>
  <c r="G27" i="56"/>
  <c r="G290" i="56"/>
  <c r="G190" i="56"/>
  <c r="G153" i="56"/>
  <c r="G531" i="56"/>
  <c r="G781" i="56"/>
  <c r="G372" i="56"/>
  <c r="G662" i="56"/>
  <c r="G731" i="56"/>
  <c r="G227" i="56"/>
  <c r="G725" i="56"/>
  <c r="G552" i="56"/>
  <c r="G407" i="56"/>
  <c r="G595" i="56"/>
  <c r="G376" i="56"/>
  <c r="G629" i="56"/>
  <c r="G208" i="56"/>
  <c r="G256" i="56"/>
  <c r="G660" i="56"/>
  <c r="G245" i="56"/>
  <c r="G553" i="56"/>
  <c r="G82" i="56"/>
  <c r="G321" i="56"/>
  <c r="G733" i="56"/>
  <c r="G514" i="56"/>
  <c r="G799" i="55"/>
  <c r="G1311" i="55"/>
  <c r="G1305" i="55"/>
  <c r="G1299" i="55"/>
  <c r="G1293" i="55"/>
  <c r="G1287" i="55"/>
  <c r="G1281" i="55"/>
  <c r="G1275" i="55"/>
  <c r="G1269" i="55"/>
  <c r="G1263" i="55"/>
  <c r="G1257" i="55"/>
  <c r="G1268" i="55"/>
  <c r="G1310" i="55"/>
  <c r="G1309" i="55"/>
  <c r="G1303" i="55"/>
  <c r="G1297" i="55"/>
  <c r="G1291" i="55"/>
  <c r="G1285" i="55"/>
  <c r="G1279" i="55"/>
  <c r="G1273" i="55"/>
  <c r="G1267" i="55"/>
  <c r="G1261" i="55"/>
  <c r="G1304" i="55"/>
  <c r="G1274" i="55"/>
  <c r="G1295" i="55"/>
  <c r="G1259" i="55"/>
  <c r="G1264" i="55"/>
  <c r="G1292" i="55"/>
  <c r="G1308" i="55"/>
  <c r="G1302" i="55"/>
  <c r="G1296" i="55"/>
  <c r="G1290" i="55"/>
  <c r="G1284" i="55"/>
  <c r="G1278" i="55"/>
  <c r="G1272" i="55"/>
  <c r="G1266" i="55"/>
  <c r="G1260" i="55"/>
  <c r="G1301" i="55"/>
  <c r="G1289" i="55"/>
  <c r="G1283" i="55"/>
  <c r="G1271" i="55"/>
  <c r="G1265" i="55"/>
  <c r="G1288" i="55"/>
  <c r="G1298" i="55"/>
  <c r="G1262" i="55"/>
  <c r="G1307" i="55"/>
  <c r="G1277" i="55"/>
  <c r="G1270" i="55"/>
  <c r="G1280" i="55"/>
  <c r="G1306" i="55"/>
  <c r="G1300" i="55"/>
  <c r="G1294" i="55"/>
  <c r="G1282" i="55"/>
  <c r="G1276" i="55"/>
  <c r="G1258" i="55"/>
  <c r="G1286" i="55"/>
  <c r="G1256" i="55"/>
  <c r="G1208" i="55"/>
  <c r="G867" i="55"/>
  <c r="G710" i="55"/>
  <c r="G252" i="55"/>
  <c r="G323" i="55"/>
  <c r="G506" i="55"/>
  <c r="G1141" i="55"/>
  <c r="G812" i="55"/>
  <c r="G497" i="55"/>
  <c r="G429" i="55"/>
  <c r="G769" i="55"/>
  <c r="G1217" i="55"/>
  <c r="G831" i="55"/>
  <c r="G600" i="55"/>
  <c r="G655" i="55"/>
  <c r="G56" i="55"/>
  <c r="G14" i="55"/>
  <c r="G823" i="55"/>
  <c r="G477" i="55"/>
  <c r="G302" i="55"/>
  <c r="G709" i="55"/>
  <c r="G917" i="55"/>
  <c r="G453" i="55"/>
  <c r="G513" i="55"/>
  <c r="G176" i="55"/>
  <c r="G587" i="55"/>
  <c r="G340" i="55"/>
  <c r="G1109" i="55"/>
  <c r="G549" i="55"/>
  <c r="G400" i="55"/>
  <c r="G1165" i="55"/>
  <c r="G767" i="55"/>
  <c r="G1038" i="55"/>
  <c r="G1191" i="55"/>
  <c r="G486" i="55"/>
  <c r="G169" i="55"/>
  <c r="G1088" i="55"/>
  <c r="G50" i="55"/>
  <c r="G333" i="55"/>
  <c r="G1060" i="55"/>
  <c r="G254" i="55"/>
  <c r="G935" i="55"/>
  <c r="G1063" i="55"/>
  <c r="G284" i="55"/>
  <c r="G625" i="55"/>
  <c r="G675" i="55"/>
  <c r="G845" i="55"/>
  <c r="G418" i="55"/>
  <c r="G552" i="55"/>
  <c r="G664" i="55"/>
  <c r="G868" i="55"/>
  <c r="G639" i="55"/>
  <c r="G488" i="55"/>
  <c r="G363" i="55"/>
  <c r="G962" i="55"/>
  <c r="G1197" i="55"/>
  <c r="G966" i="55"/>
  <c r="G492" i="55"/>
  <c r="G577" i="55"/>
  <c r="G1037" i="55"/>
  <c r="G276" i="55"/>
  <c r="G658" i="55"/>
  <c r="G687" i="55"/>
  <c r="G902" i="55"/>
  <c r="G869" i="55"/>
  <c r="G941" i="55"/>
  <c r="G96" i="55"/>
  <c r="G194" i="55"/>
  <c r="G738" i="55"/>
  <c r="G158" i="55"/>
  <c r="G927" i="55"/>
  <c r="G807" i="55"/>
  <c r="G1184" i="55"/>
  <c r="G383" i="55"/>
  <c r="G480" i="55"/>
  <c r="G545" i="55"/>
  <c r="G704" i="55"/>
  <c r="G221" i="55"/>
  <c r="G1196" i="55"/>
  <c r="G1334" i="55"/>
  <c r="G457" i="55"/>
  <c r="G1112" i="55"/>
  <c r="G793" i="55"/>
  <c r="G300" i="55"/>
  <c r="G971" i="55"/>
  <c r="G1104" i="55"/>
  <c r="G258" i="55"/>
  <c r="G921" i="55"/>
  <c r="G179" i="55"/>
  <c r="G89" i="55"/>
  <c r="G1042" i="55"/>
  <c r="G601" i="55"/>
  <c r="G1034" i="55"/>
  <c r="G802" i="55"/>
  <c r="G320" i="55"/>
  <c r="G1092" i="55"/>
  <c r="G330" i="55"/>
  <c r="G510" i="55"/>
  <c r="G771" i="55"/>
  <c r="G311" i="55"/>
  <c r="G404" i="55"/>
  <c r="G946" i="55"/>
  <c r="G1043" i="55"/>
  <c r="G694" i="55"/>
  <c r="G739" i="55"/>
  <c r="G227" i="55"/>
  <c r="G1169" i="55"/>
  <c r="G615" i="55"/>
  <c r="G1045" i="55"/>
  <c r="G987" i="55"/>
  <c r="G206" i="55"/>
  <c r="G1106" i="55"/>
  <c r="G678" i="55"/>
  <c r="G665" i="55"/>
  <c r="G394" i="55"/>
  <c r="G883" i="55"/>
  <c r="G496" i="55"/>
  <c r="G589" i="55"/>
  <c r="G944" i="55"/>
  <c r="G298" i="55"/>
  <c r="G662" i="55"/>
  <c r="G653" i="55"/>
  <c r="G714" i="55"/>
  <c r="G824" i="55"/>
  <c r="G127" i="55"/>
  <c r="G760" i="55"/>
  <c r="G92" i="55"/>
  <c r="G961" i="55"/>
  <c r="G666" i="55"/>
  <c r="G887" i="55"/>
  <c r="G485" i="55"/>
  <c r="G998" i="55"/>
  <c r="G61" i="55"/>
  <c r="G73" i="55"/>
  <c r="G1133" i="55"/>
  <c r="G1244" i="55"/>
  <c r="G892" i="55"/>
  <c r="G605" i="55"/>
  <c r="G1121" i="55"/>
  <c r="G1050" i="55"/>
  <c r="G189" i="55"/>
  <c r="G507" i="55"/>
  <c r="G337" i="55"/>
  <c r="G449" i="55"/>
  <c r="G669" i="55"/>
  <c r="G1215" i="55"/>
  <c r="G1090" i="55"/>
  <c r="G529" i="55"/>
  <c r="G201" i="55"/>
  <c r="G1230" i="55"/>
  <c r="G804" i="55"/>
  <c r="G371" i="55"/>
  <c r="G391" i="55"/>
  <c r="G992" i="55"/>
  <c r="G565" i="55"/>
  <c r="G1119" i="55"/>
  <c r="G599" i="55"/>
  <c r="G259" i="55"/>
  <c r="G640" i="55"/>
  <c r="G1089" i="55"/>
  <c r="G833" i="55"/>
  <c r="G514" i="55"/>
  <c r="G556" i="55"/>
  <c r="G165" i="55"/>
  <c r="G840" i="55"/>
  <c r="G931" i="55"/>
  <c r="G920" i="55"/>
  <c r="G568" i="55"/>
  <c r="G27" i="55"/>
  <c r="G1132" i="55"/>
  <c r="G894" i="55"/>
  <c r="G377" i="55"/>
  <c r="G326" i="55"/>
  <c r="G573" i="55"/>
  <c r="G283" i="55"/>
  <c r="G1064" i="55"/>
  <c r="G903" i="55"/>
  <c r="G70" i="55"/>
  <c r="G668" i="55"/>
  <c r="G171" i="55"/>
  <c r="G862" i="55"/>
  <c r="G627" i="55"/>
  <c r="G631" i="55"/>
  <c r="G562" i="55"/>
  <c r="G904" i="55"/>
  <c r="G592" i="55"/>
  <c r="G758" i="55"/>
  <c r="G172" i="55"/>
  <c r="G508" i="55"/>
  <c r="G974" i="55"/>
  <c r="G199" i="55"/>
  <c r="G621" i="55"/>
  <c r="G602" i="55"/>
  <c r="G1116" i="55"/>
  <c r="G915" i="55"/>
  <c r="G455" i="55"/>
  <c r="G347" i="55"/>
  <c r="G659" i="55"/>
  <c r="G1188" i="55"/>
  <c r="G58" i="55"/>
  <c r="G324" i="55"/>
  <c r="G652" i="55"/>
  <c r="G1185" i="55"/>
  <c r="G241" i="55"/>
  <c r="G847" i="55"/>
  <c r="G154" i="55"/>
  <c r="G850" i="55"/>
  <c r="G137" i="55"/>
  <c r="G22" i="55"/>
  <c r="G1168" i="55"/>
  <c r="G373" i="55"/>
  <c r="G657" i="55"/>
  <c r="G11" i="55"/>
  <c r="G226" i="55"/>
  <c r="G570" i="55"/>
  <c r="G118" i="55"/>
  <c r="G135" i="55"/>
  <c r="G1163" i="55"/>
  <c r="G346" i="55"/>
  <c r="G654" i="55"/>
  <c r="G113" i="55"/>
  <c r="G606" i="55"/>
  <c r="G1033" i="55"/>
  <c r="G1174" i="55"/>
  <c r="G38" i="55"/>
  <c r="G561" i="55"/>
  <c r="G385" i="55"/>
  <c r="G193" i="55"/>
  <c r="G167" i="55"/>
  <c r="G341" i="55"/>
  <c r="G925" i="55"/>
  <c r="G1129" i="55"/>
  <c r="G744" i="55"/>
  <c r="G103" i="55"/>
  <c r="G129" i="55"/>
  <c r="G1219" i="55"/>
  <c r="G203" i="55"/>
  <c r="G459" i="55"/>
  <c r="G403" i="55"/>
  <c r="G205" i="55"/>
  <c r="G452" i="55"/>
  <c r="G555" i="55"/>
  <c r="G168" i="55"/>
  <c r="G467" i="55"/>
  <c r="G1017" i="55"/>
  <c r="G978" i="55"/>
  <c r="G706" i="55"/>
  <c r="G730" i="55"/>
  <c r="G409" i="55"/>
  <c r="G396" i="55"/>
  <c r="G1128" i="55"/>
  <c r="G405" i="55"/>
  <c r="G182" i="55"/>
  <c r="G752" i="55"/>
  <c r="G111" i="55"/>
  <c r="G294" i="55"/>
  <c r="G786" i="55"/>
  <c r="G1252" i="55"/>
  <c r="G112" i="55"/>
  <c r="G618" i="55"/>
  <c r="G246" i="55"/>
  <c r="G230" i="55"/>
  <c r="G753" i="55"/>
  <c r="G745" i="55"/>
  <c r="G980" i="55"/>
  <c r="G19" i="55"/>
  <c r="G1173" i="55"/>
  <c r="G361" i="55"/>
  <c r="G566" i="55"/>
  <c r="G1172" i="55"/>
  <c r="G973" i="55"/>
  <c r="G289" i="55"/>
  <c r="G1125" i="55"/>
  <c r="G1096" i="55"/>
  <c r="G1137" i="55"/>
  <c r="G1140" i="55"/>
  <c r="G851" i="55"/>
  <c r="G764" i="55"/>
  <c r="G1030" i="55"/>
  <c r="G1062" i="55"/>
  <c r="G1151" i="55"/>
  <c r="G607" i="55"/>
  <c r="G908" i="55"/>
  <c r="G525" i="55"/>
  <c r="G1180" i="55"/>
  <c r="G1170" i="55"/>
  <c r="G593" i="55"/>
  <c r="G1226" i="55"/>
  <c r="G149" i="55"/>
  <c r="G366" i="55"/>
  <c r="G1248" i="55"/>
  <c r="G906" i="55"/>
  <c r="G914" i="55"/>
  <c r="G65" i="55"/>
  <c r="G716" i="55"/>
  <c r="G954" i="55"/>
  <c r="G746" i="55"/>
  <c r="G1118" i="55"/>
  <c r="G923" i="55"/>
  <c r="G777" i="55"/>
  <c r="G40" i="55"/>
  <c r="G1059" i="55"/>
  <c r="G578" i="55"/>
  <c r="G874" i="55"/>
  <c r="G547" i="55"/>
  <c r="G742" i="55"/>
  <c r="G1178" i="55"/>
  <c r="G1207" i="55"/>
  <c r="G957" i="55"/>
  <c r="G440" i="55"/>
  <c r="G582" i="55"/>
  <c r="G1201" i="55"/>
  <c r="G299" i="55"/>
  <c r="G1105" i="55"/>
  <c r="G810" i="55"/>
  <c r="G873" i="55"/>
  <c r="G511" i="55"/>
  <c r="G1055" i="55"/>
  <c r="G315" i="55"/>
  <c r="G1065" i="55"/>
  <c r="G811" i="55"/>
  <c r="G761" i="55"/>
  <c r="G585" i="55"/>
  <c r="G37" i="55"/>
  <c r="G688" i="55"/>
  <c r="G272" i="55"/>
  <c r="G690" i="55"/>
  <c r="G380" i="55"/>
  <c r="G133" i="55"/>
  <c r="G518" i="55"/>
  <c r="G1113" i="55"/>
  <c r="G122" i="55"/>
  <c r="G720" i="55"/>
  <c r="G31" i="55"/>
  <c r="G81" i="55"/>
  <c r="G308" i="55"/>
  <c r="G155" i="55"/>
  <c r="G782" i="55"/>
  <c r="G841" i="55"/>
  <c r="G875" i="55"/>
  <c r="G242" i="55"/>
  <c r="G1240" i="55"/>
  <c r="G863" i="55"/>
  <c r="G517" i="55"/>
  <c r="G984" i="55"/>
  <c r="G580" i="55"/>
  <c r="G318" i="55"/>
  <c r="G696" i="55"/>
  <c r="G1001" i="55"/>
  <c r="G6" i="55"/>
  <c r="G63" i="55"/>
  <c r="G152" i="55"/>
  <c r="G280" i="55"/>
  <c r="G526" i="55"/>
  <c r="G775" i="55"/>
  <c r="G476" i="55"/>
  <c r="G674" i="55"/>
  <c r="G483" i="55"/>
  <c r="G142" i="55"/>
  <c r="G1014" i="55"/>
  <c r="G267" i="55"/>
  <c r="G102" i="55"/>
  <c r="G972" i="55"/>
  <c r="G1098" i="55"/>
  <c r="G401" i="55"/>
  <c r="G1227" i="55"/>
  <c r="G335" i="55"/>
  <c r="G80" i="55"/>
  <c r="G42" i="55"/>
  <c r="G115" i="55"/>
  <c r="G809" i="55"/>
  <c r="G200" i="55"/>
  <c r="G648" i="55"/>
  <c r="G1233" i="55"/>
  <c r="G880" i="55"/>
  <c r="G1069" i="55"/>
  <c r="G699" i="55"/>
  <c r="G1011" i="55"/>
  <c r="G153" i="55"/>
  <c r="G1002" i="55"/>
  <c r="G991" i="55"/>
  <c r="G595" i="55"/>
  <c r="G909" i="55"/>
  <c r="G762" i="55"/>
  <c r="G748" i="55"/>
  <c r="G1048" i="55"/>
  <c r="G397" i="55"/>
  <c r="G224" i="55"/>
  <c r="G412" i="55"/>
  <c r="G1046" i="55"/>
  <c r="G950" i="55"/>
  <c r="G207" i="55"/>
  <c r="G1253" i="55"/>
  <c r="G703" i="55"/>
  <c r="G591" i="55"/>
  <c r="G466" i="55"/>
  <c r="G632" i="55"/>
  <c r="G334" i="55"/>
  <c r="G354" i="55"/>
  <c r="G229" i="55"/>
  <c r="G1029" i="55"/>
  <c r="G970" i="55"/>
  <c r="G569" i="55"/>
  <c r="G271" i="55"/>
  <c r="G1146" i="55"/>
  <c r="G1120" i="55"/>
  <c r="G68" i="55"/>
  <c r="G187" i="55"/>
  <c r="G800" i="55"/>
  <c r="G515" i="55"/>
  <c r="G919" i="55"/>
  <c r="G295" i="55"/>
  <c r="G790" i="55"/>
  <c r="G437" i="55"/>
  <c r="G8" i="55"/>
  <c r="G256" i="55"/>
  <c r="G423" i="55"/>
  <c r="G290" i="55"/>
  <c r="G702" i="55"/>
  <c r="G161" i="55"/>
  <c r="G93" i="55"/>
  <c r="G1082" i="55"/>
  <c r="G501" i="55"/>
  <c r="G124" i="55"/>
  <c r="G818" i="55"/>
  <c r="G861" i="55"/>
  <c r="G1138" i="55"/>
  <c r="G448" i="55"/>
  <c r="G1145" i="55"/>
  <c r="G1247" i="55"/>
  <c r="G532" i="55"/>
  <c r="G993" i="55"/>
  <c r="G537" i="55"/>
  <c r="G1222" i="55"/>
  <c r="G1013" i="55"/>
  <c r="G1195" i="55"/>
  <c r="G598" i="55"/>
  <c r="G895" i="55"/>
  <c r="G1027" i="55"/>
  <c r="G235" i="55"/>
  <c r="G145" i="55"/>
  <c r="G470" i="55"/>
  <c r="G660" i="55"/>
  <c r="G336" i="55"/>
  <c r="G899" i="55"/>
  <c r="G554" i="55"/>
  <c r="G747" i="55"/>
  <c r="G422" i="55"/>
  <c r="G864" i="55"/>
  <c r="G1200" i="55"/>
  <c r="G684" i="55"/>
  <c r="G351" i="55"/>
  <c r="G461" i="55"/>
  <c r="G407" i="55"/>
  <c r="G185" i="55"/>
  <c r="G1245" i="55"/>
  <c r="G213" i="55"/>
  <c r="G303" i="55"/>
  <c r="G789" i="55"/>
  <c r="G783" i="55"/>
  <c r="G327" i="55"/>
  <c r="G1203" i="55"/>
  <c r="G638" i="55"/>
  <c r="G464" i="55"/>
  <c r="G184" i="55"/>
  <c r="G803" i="55"/>
  <c r="G253" i="55"/>
  <c r="G527" i="55"/>
  <c r="G1066" i="55"/>
  <c r="G1049" i="55"/>
  <c r="G1209" i="55"/>
  <c r="G535" i="55"/>
  <c r="G163" i="55"/>
  <c r="G75" i="55"/>
  <c r="G830" i="55"/>
  <c r="G479" i="55"/>
  <c r="G737" i="55"/>
  <c r="G212" i="55"/>
  <c r="G1077" i="55"/>
  <c r="G304" i="55"/>
  <c r="G785" i="55"/>
  <c r="G616" i="55"/>
  <c r="G546" i="55"/>
  <c r="G473" i="55"/>
  <c r="G1025" i="55"/>
  <c r="G319" i="55"/>
  <c r="G685" i="55"/>
  <c r="G721" i="55"/>
  <c r="G445" i="55"/>
  <c r="G494" i="55"/>
  <c r="G441" i="55"/>
  <c r="G419" i="55"/>
  <c r="G120" i="55"/>
  <c r="G852" i="55"/>
  <c r="G85" i="55"/>
  <c r="G49" i="55"/>
  <c r="G949" i="55"/>
  <c r="G930" i="55"/>
  <c r="G717" i="55"/>
  <c r="G879" i="55"/>
  <c r="G673" i="55"/>
  <c r="G26" i="55"/>
  <c r="G1156" i="55"/>
  <c r="G1094" i="55"/>
  <c r="G139" i="55"/>
  <c r="G82" i="55"/>
  <c r="G559" i="55"/>
  <c r="G728" i="55"/>
  <c r="G389" i="55"/>
  <c r="G490" i="55"/>
  <c r="G33" i="55"/>
  <c r="G450" i="55"/>
  <c r="G30" i="55"/>
  <c r="G273" i="55"/>
  <c r="G707" i="55"/>
  <c r="G1241" i="55"/>
  <c r="G683" i="55"/>
  <c r="G890" i="55"/>
  <c r="G244" i="55"/>
  <c r="G211" i="55"/>
  <c r="G1070" i="55"/>
  <c r="G953" i="55"/>
  <c r="G160" i="55"/>
  <c r="G86" i="55"/>
  <c r="G1123" i="55"/>
  <c r="G196" i="55"/>
  <c r="G325" i="55"/>
  <c r="G813" i="55"/>
  <c r="G425" i="55"/>
  <c r="G25" i="55"/>
  <c r="G236" i="55"/>
  <c r="G1031" i="55"/>
  <c r="G697" i="55"/>
  <c r="G1072" i="55"/>
  <c r="G1229" i="55"/>
  <c r="G1143" i="55"/>
  <c r="G791" i="55"/>
  <c r="G1016" i="55"/>
  <c r="G509" i="55"/>
  <c r="G1086" i="55"/>
  <c r="G550" i="55"/>
  <c r="G28" i="55"/>
  <c r="G71" i="55"/>
  <c r="G1103" i="55"/>
  <c r="G46" i="55"/>
  <c r="G239" i="55"/>
  <c r="G321" i="55"/>
  <c r="G314" i="55"/>
  <c r="G143" i="55"/>
  <c r="G231" i="55"/>
  <c r="G825" i="55"/>
  <c r="G1015" i="55"/>
  <c r="G114" i="55"/>
  <c r="G54" i="55"/>
  <c r="G581" i="55"/>
  <c r="G1074" i="55"/>
  <c r="G1131" i="55"/>
  <c r="G1190" i="55"/>
  <c r="G1164" i="55"/>
  <c r="G723" i="55"/>
  <c r="G426" i="55"/>
  <c r="G378" i="55"/>
  <c r="G815" i="55"/>
  <c r="G296" i="55"/>
  <c r="G382" i="55"/>
  <c r="G291" i="55"/>
  <c r="G907" i="55"/>
  <c r="G645" i="55"/>
  <c r="G882" i="55"/>
  <c r="G1083" i="55"/>
  <c r="G637" i="55"/>
  <c r="G285" i="55"/>
  <c r="G1212" i="55"/>
  <c r="G726" i="55"/>
  <c r="G356" i="55"/>
  <c r="G170" i="55"/>
  <c r="G150" i="55"/>
  <c r="G1204" i="55"/>
  <c r="G1052" i="55"/>
  <c r="G1216" i="55"/>
  <c r="G188" i="55"/>
  <c r="G965" i="55"/>
  <c r="G520" i="55"/>
  <c r="G918" i="55"/>
  <c r="G1026" i="55"/>
  <c r="G712" i="55"/>
  <c r="G597" i="55"/>
  <c r="G539" i="55"/>
  <c r="G502" i="55"/>
  <c r="G128" i="55"/>
  <c r="G856" i="55"/>
  <c r="G765" i="55"/>
  <c r="G576" i="55"/>
  <c r="G310" i="55"/>
  <c r="G872" i="55"/>
  <c r="G66" i="55"/>
  <c r="G700" i="55"/>
  <c r="G166" i="55"/>
  <c r="G1160" i="55"/>
  <c r="G1235" i="55"/>
  <c r="G871" i="55"/>
  <c r="G183" i="55"/>
  <c r="G1018" i="55"/>
  <c r="G39" i="55"/>
  <c r="G177" i="55"/>
  <c r="G1224" i="55"/>
  <c r="G1091" i="55"/>
  <c r="G424" i="55"/>
  <c r="G995" i="55"/>
  <c r="G1039" i="55"/>
  <c r="G435" i="55"/>
  <c r="G443" i="55"/>
  <c r="G301" i="55"/>
  <c r="G564" i="55"/>
  <c r="G121" i="55"/>
  <c r="G997" i="55"/>
  <c r="G72" i="55"/>
  <c r="G421" i="55"/>
  <c r="G123" i="55"/>
  <c r="G62" i="55"/>
  <c r="G98" i="55"/>
  <c r="G478" i="55"/>
  <c r="G948" i="55"/>
  <c r="G202" i="55"/>
  <c r="G620" i="55"/>
  <c r="G94" i="55"/>
  <c r="G462" i="55"/>
  <c r="G245" i="55"/>
  <c r="G348" i="55"/>
  <c r="G1187" i="55"/>
  <c r="G214" i="55"/>
  <c r="G701" i="55"/>
  <c r="G1097" i="55"/>
  <c r="G806" i="55"/>
  <c r="G269" i="55"/>
  <c r="G548" i="55"/>
  <c r="G234" i="55"/>
  <c r="G1126" i="55"/>
  <c r="G1225" i="55"/>
  <c r="G854" i="55"/>
  <c r="G1136" i="55"/>
  <c r="G432" i="55"/>
  <c r="G1107" i="55"/>
  <c r="G126" i="55"/>
  <c r="G293" i="55"/>
  <c r="G1153" i="55"/>
  <c r="G277" i="55"/>
  <c r="G1021" i="55"/>
  <c r="G543" i="55"/>
  <c r="G651" i="55"/>
  <c r="G838" i="55"/>
  <c r="G727" i="55"/>
  <c r="G1000" i="55"/>
  <c r="G736" i="55"/>
  <c r="G590" i="55"/>
  <c r="G1162" i="55"/>
  <c r="G251" i="55"/>
  <c r="G414" i="55"/>
  <c r="G292" i="55"/>
  <c r="G1242" i="55"/>
  <c r="G805" i="55"/>
  <c r="G228" i="55"/>
  <c r="G622" i="55"/>
  <c r="G708" i="55"/>
  <c r="G130" i="55"/>
  <c r="G379" i="55"/>
  <c r="G635" i="55"/>
  <c r="G469" i="55"/>
  <c r="G642" i="55"/>
  <c r="G705" i="55"/>
  <c r="G626" i="55"/>
  <c r="G1211" i="55"/>
  <c r="G446" i="55"/>
  <c r="G579" i="55"/>
  <c r="G1020" i="55"/>
  <c r="G125" i="55"/>
  <c r="G83" i="55"/>
  <c r="G1214" i="55"/>
  <c r="G415" i="55"/>
  <c r="G474" i="55"/>
  <c r="G91" i="55"/>
  <c r="G90" i="55"/>
  <c r="G1154" i="55"/>
  <c r="G571" i="55"/>
  <c r="G1130" i="55"/>
  <c r="G891" i="55"/>
  <c r="G1254" i="55"/>
  <c r="G240" i="55"/>
  <c r="G1095" i="55"/>
  <c r="G442" i="55"/>
  <c r="G322" i="55"/>
  <c r="G834" i="55"/>
  <c r="G988" i="55"/>
  <c r="G1073" i="55"/>
  <c r="G431" i="55"/>
  <c r="G67" i="55"/>
  <c r="G521" i="55"/>
  <c r="G350" i="55"/>
  <c r="G1005" i="55"/>
  <c r="G233" i="55"/>
  <c r="G1181" i="55"/>
  <c r="G1006" i="55"/>
  <c r="G88" i="55"/>
  <c r="G274" i="55"/>
  <c r="G996" i="55"/>
  <c r="G460" i="55"/>
  <c r="G13" i="55"/>
  <c r="G836" i="55"/>
  <c r="G305" i="55"/>
  <c r="G358" i="55"/>
  <c r="G567" i="55"/>
  <c r="G387" i="55"/>
  <c r="G614" i="55"/>
  <c r="G574" i="55"/>
  <c r="G76" i="55"/>
  <c r="G21" i="55"/>
  <c r="G612" i="55"/>
  <c r="G23" i="55"/>
  <c r="G843" i="55"/>
  <c r="G757" i="55"/>
  <c r="G848" i="55"/>
  <c r="G682" i="55"/>
  <c r="G560" i="55"/>
  <c r="G1149" i="55"/>
  <c r="G388" i="55"/>
  <c r="G624" i="55"/>
  <c r="G630" i="55"/>
  <c r="G787" i="55"/>
  <c r="G983" i="55"/>
  <c r="G827" i="55"/>
  <c r="G740" i="55"/>
  <c r="G444" i="55"/>
  <c r="G117" i="55"/>
  <c r="G656" i="55"/>
  <c r="G886" i="55"/>
  <c r="G186" i="55"/>
  <c r="G969" i="55"/>
  <c r="G1175" i="55"/>
  <c r="G719" i="55"/>
  <c r="G458" i="55"/>
  <c r="G1041" i="55"/>
  <c r="G248" i="55"/>
  <c r="G885" i="55"/>
  <c r="G84" i="55"/>
  <c r="G1176" i="55"/>
  <c r="G372" i="55"/>
  <c r="G209" i="55"/>
  <c r="G756" i="55"/>
  <c r="G1102" i="55"/>
  <c r="G53" i="55"/>
  <c r="G977" i="55"/>
  <c r="G538" i="55"/>
  <c r="G136" i="55"/>
  <c r="G119" i="55"/>
  <c r="G755" i="55"/>
  <c r="G968" i="55"/>
  <c r="G495" i="55"/>
  <c r="G1127" i="55"/>
  <c r="G663" i="55"/>
  <c r="G218" i="55"/>
  <c r="G329" i="55"/>
  <c r="G225" i="55"/>
  <c r="G692" i="55"/>
  <c r="G79" i="55"/>
  <c r="G913" i="55"/>
  <c r="G960" i="55"/>
  <c r="G1246" i="55"/>
  <c r="G64" i="55"/>
  <c r="G990" i="55"/>
  <c r="G1150" i="55"/>
  <c r="G370" i="55"/>
  <c r="G471" i="55"/>
  <c r="G77" i="55"/>
  <c r="G438" i="55"/>
  <c r="G729" i="55"/>
  <c r="G408" i="55"/>
  <c r="G104" i="55"/>
  <c r="G100" i="55"/>
  <c r="G1110" i="55"/>
  <c r="G770" i="55"/>
  <c r="G677" i="55"/>
  <c r="G1179" i="55"/>
  <c r="G897" i="55"/>
  <c r="G398" i="55"/>
  <c r="G395" i="55"/>
  <c r="G9" i="55"/>
  <c r="G881" i="55"/>
  <c r="G557" i="55"/>
  <c r="G1078" i="55"/>
  <c r="G878" i="55"/>
  <c r="G1255" i="55"/>
  <c r="G36" i="55"/>
  <c r="G672" i="55"/>
  <c r="G959" i="55"/>
  <c r="G342" i="55"/>
  <c r="G603" i="55"/>
  <c r="G374" i="55"/>
  <c r="G249" i="55"/>
  <c r="G1166" i="55"/>
  <c r="G265" i="55"/>
  <c r="G447" i="55"/>
  <c r="G985" i="55"/>
  <c r="G1012" i="55"/>
  <c r="G671" i="55"/>
  <c r="G484" i="55"/>
  <c r="G835" i="55"/>
  <c r="G1157" i="55"/>
  <c r="G859" i="55"/>
  <c r="G553" i="55"/>
  <c r="G243" i="55"/>
  <c r="G516" i="55"/>
  <c r="G436" i="55"/>
  <c r="G1186" i="55"/>
  <c r="G523" i="55"/>
  <c r="G109" i="55"/>
  <c r="G938" i="55"/>
  <c r="G434" i="55"/>
  <c r="G832" i="55"/>
  <c r="G900" i="55"/>
  <c r="G939" i="55"/>
  <c r="G1081" i="55"/>
  <c r="G924" i="55"/>
  <c r="G232" i="55"/>
  <c r="G853" i="55"/>
  <c r="G1056" i="55"/>
  <c r="G157" i="55"/>
  <c r="G1220" i="55"/>
  <c r="G481" i="55"/>
  <c r="G724" i="55"/>
  <c r="G390" i="55"/>
  <c r="G32" i="55"/>
  <c r="G945" i="55"/>
  <c r="G820" i="55"/>
  <c r="G858" i="55"/>
  <c r="G1236" i="55"/>
  <c r="G1158" i="55"/>
  <c r="G916" i="55"/>
  <c r="G619" i="55"/>
  <c r="G1004" i="55"/>
  <c r="G981" i="55"/>
  <c r="G795" i="55"/>
  <c r="G839" i="55"/>
  <c r="G215" i="55"/>
  <c r="G369" i="55"/>
  <c r="G976" i="55"/>
  <c r="G1206" i="55"/>
  <c r="G735" i="55"/>
  <c r="G718" i="55"/>
  <c r="G942" i="55"/>
  <c r="G266" i="55"/>
  <c r="G628" i="55"/>
  <c r="G500" i="55"/>
  <c r="G222" i="55"/>
  <c r="G238" i="55"/>
  <c r="G689" i="55"/>
  <c r="G181" i="55"/>
  <c r="G99" i="55"/>
  <c r="G105" i="55"/>
  <c r="G857" i="55"/>
  <c r="G695" i="55"/>
  <c r="G680" i="55"/>
  <c r="G951" i="55"/>
  <c r="G406" i="55"/>
  <c r="G410" i="55"/>
  <c r="G686" i="55"/>
  <c r="G223" i="55"/>
  <c r="G178" i="55"/>
  <c r="G860" i="55"/>
  <c r="G522" i="55"/>
  <c r="G44" i="55"/>
  <c r="G1009" i="55"/>
  <c r="G829" i="55"/>
  <c r="G7" i="55"/>
  <c r="G994" i="55"/>
  <c r="G504" i="55"/>
  <c r="G343" i="55"/>
  <c r="G982" i="55"/>
  <c r="G766" i="55"/>
  <c r="G12" i="55"/>
  <c r="G1058" i="55"/>
  <c r="G263" i="55"/>
  <c r="G428" i="55"/>
  <c r="G18" i="55"/>
  <c r="G1199" i="55"/>
  <c r="G282" i="55"/>
  <c r="G1053" i="55"/>
  <c r="G1108" i="55"/>
  <c r="G317" i="55"/>
  <c r="G489" i="55"/>
  <c r="G641" i="55"/>
  <c r="G774" i="55"/>
  <c r="G792" i="55"/>
  <c r="G926" i="55"/>
  <c r="G35" i="55"/>
  <c r="G219" i="55"/>
  <c r="G528" i="55"/>
  <c r="G778" i="55"/>
  <c r="G876" i="55"/>
  <c r="G439" i="55"/>
  <c r="G1007" i="55"/>
  <c r="G1139" i="55"/>
  <c r="G1142" i="55"/>
  <c r="G816" i="55"/>
  <c r="G41" i="55"/>
  <c r="G1010" i="55"/>
  <c r="G59" i="55"/>
  <c r="G784" i="55"/>
  <c r="G741" i="55"/>
  <c r="G69" i="55"/>
  <c r="G384" i="55"/>
  <c r="G932" i="55"/>
  <c r="G208" i="55"/>
  <c r="G16" i="55"/>
  <c r="G416" i="55"/>
  <c r="G821" i="55"/>
  <c r="G108" i="55"/>
  <c r="G733" i="55"/>
  <c r="G352" i="55"/>
  <c r="G964" i="55"/>
  <c r="G257" i="55"/>
  <c r="G646" i="55"/>
  <c r="G837" i="55"/>
  <c r="G116" i="55"/>
  <c r="G1231" i="55"/>
  <c r="G1114" i="55"/>
  <c r="G661" i="55"/>
  <c r="G711" i="55"/>
  <c r="G306" i="55"/>
  <c r="G413" i="55"/>
  <c r="G48" i="55"/>
  <c r="G237" i="55"/>
  <c r="G676" i="55"/>
  <c r="G519" i="55"/>
  <c r="G681" i="55"/>
  <c r="G210" i="55"/>
  <c r="G261" i="55"/>
  <c r="G750" i="55"/>
  <c r="G270" i="55"/>
  <c r="G772" i="55"/>
  <c r="G260" i="55"/>
  <c r="G1040" i="55"/>
  <c r="G989" i="55"/>
  <c r="G51" i="55"/>
  <c r="G1076" i="55"/>
  <c r="G499" i="55"/>
  <c r="G1192" i="55"/>
  <c r="G250" i="55"/>
  <c r="G911" i="55"/>
  <c r="G174" i="55"/>
  <c r="G417" i="55"/>
  <c r="G10" i="55"/>
  <c r="G933" i="55"/>
  <c r="G493" i="55"/>
  <c r="G1250" i="55"/>
  <c r="G1161" i="55"/>
  <c r="G912" i="55"/>
  <c r="G451" i="55"/>
  <c r="G596" i="55"/>
  <c r="G722" i="55"/>
  <c r="G563" i="55"/>
  <c r="G1008" i="55"/>
  <c r="G929" i="55"/>
  <c r="G87" i="55"/>
  <c r="G316" i="55"/>
  <c r="G940" i="55"/>
  <c r="G159" i="55"/>
  <c r="G551" i="55"/>
  <c r="G1051" i="55"/>
  <c r="G986" i="55"/>
  <c r="G1218" i="55"/>
  <c r="G531" i="55"/>
  <c r="G1232" i="55"/>
  <c r="G57" i="55"/>
  <c r="G604" i="55"/>
  <c r="G647" i="55"/>
  <c r="G132" i="55"/>
  <c r="G865" i="55"/>
  <c r="G375" i="55"/>
  <c r="G781" i="55"/>
  <c r="G649" i="55"/>
  <c r="G349" i="55"/>
  <c r="G345" i="55"/>
  <c r="G1228" i="55"/>
  <c r="G541" i="55"/>
  <c r="G846" i="55"/>
  <c r="G558" i="55"/>
  <c r="G328" i="55"/>
  <c r="G1148" i="55"/>
  <c r="G1251" i="55"/>
  <c r="G794" i="55"/>
  <c r="G309" i="55"/>
  <c r="G24" i="55"/>
  <c r="G101" i="55"/>
  <c r="G594" i="55"/>
  <c r="G1057" i="55"/>
  <c r="G584" i="55"/>
  <c r="G275" i="55"/>
  <c r="G963" i="55"/>
  <c r="G808" i="55"/>
  <c r="G1115" i="55"/>
  <c r="G498" i="55"/>
  <c r="G1080" i="55"/>
  <c r="G475" i="55"/>
  <c r="G1159" i="55"/>
  <c r="G644" i="55"/>
  <c r="G544" i="55"/>
  <c r="G979" i="55"/>
  <c r="G1194" i="55"/>
  <c r="G1193" i="55"/>
  <c r="G734" i="55"/>
  <c r="G575" i="55"/>
  <c r="G613" i="55"/>
  <c r="G482" i="55"/>
  <c r="G491" i="55"/>
  <c r="G1249" i="55"/>
  <c r="G814" i="55"/>
  <c r="G670" i="55"/>
  <c r="G955" i="55"/>
  <c r="G148" i="55"/>
  <c r="G1047" i="55"/>
  <c r="G151" i="55"/>
  <c r="G216" i="55"/>
  <c r="G1093" i="55"/>
  <c r="G844" i="55"/>
  <c r="G609" i="55"/>
  <c r="G713" i="55"/>
  <c r="G788" i="55"/>
  <c r="G5" i="55"/>
  <c r="G773" i="55"/>
  <c r="G842" i="55"/>
  <c r="G958" i="55"/>
  <c r="G1167" i="55"/>
  <c r="G386" i="55"/>
  <c r="G141" i="55"/>
  <c r="G779" i="55"/>
  <c r="G368" i="55"/>
  <c r="G928" i="55"/>
  <c r="G487" i="55"/>
  <c r="G901" i="55"/>
  <c r="G889" i="55"/>
  <c r="G1155" i="55"/>
  <c r="G691" i="55"/>
  <c r="G312" i="55"/>
  <c r="G43" i="55"/>
  <c r="G307" i="55"/>
  <c r="G204" i="55"/>
  <c r="G357" i="55"/>
  <c r="G636" i="55"/>
  <c r="G297" i="55"/>
  <c r="G1213" i="55"/>
  <c r="G286" i="55"/>
  <c r="G849" i="55"/>
  <c r="G732" i="55"/>
  <c r="G392" i="55"/>
  <c r="G399" i="55"/>
  <c r="G749" i="55"/>
  <c r="G1198" i="55"/>
  <c r="G1061" i="55"/>
  <c r="G512" i="55"/>
  <c r="G175" i="55"/>
  <c r="G344" i="55"/>
  <c r="G731" i="55"/>
  <c r="G29" i="55"/>
  <c r="G313" i="55"/>
  <c r="G650" i="55"/>
  <c r="G197" i="55"/>
  <c r="G17" i="55"/>
  <c r="G1238" i="55"/>
  <c r="G617" i="55"/>
  <c r="G1122" i="55"/>
  <c r="G759" i="55"/>
  <c r="G355" i="55"/>
  <c r="G34" i="55"/>
  <c r="G1205" i="55"/>
  <c r="G198" i="55"/>
  <c r="G1134" i="55"/>
  <c r="G1183" i="55"/>
  <c r="G898" i="55"/>
  <c r="G798" i="55"/>
  <c r="G147" i="55"/>
  <c r="G4" i="55"/>
  <c r="G643" i="55"/>
  <c r="G768" i="55"/>
  <c r="G1177" i="55"/>
  <c r="G1147" i="55"/>
  <c r="G1075" i="55"/>
  <c r="G608" i="55"/>
  <c r="G797" i="55"/>
  <c r="G427" i="55"/>
  <c r="G146" i="55"/>
  <c r="G95" i="55"/>
  <c r="G572" i="55"/>
  <c r="G107" i="55"/>
  <c r="G780" i="55"/>
  <c r="G1019" i="55"/>
  <c r="G140" i="55"/>
  <c r="G1022" i="55"/>
  <c r="G220" i="55"/>
  <c r="G381" i="55"/>
  <c r="G162" i="55"/>
  <c r="G796" i="55"/>
  <c r="G884" i="55"/>
  <c r="G1099" i="55"/>
  <c r="G362" i="55"/>
  <c r="G287" i="55"/>
  <c r="G725" i="55"/>
  <c r="G999" i="55"/>
  <c r="G1202" i="55"/>
  <c r="G192" i="55"/>
  <c r="G281" i="55"/>
  <c r="G420" i="55"/>
  <c r="G1124" i="55"/>
  <c r="G817" i="55"/>
  <c r="G629" i="55"/>
  <c r="G1117" i="55"/>
  <c r="G180" i="55"/>
  <c r="G956" i="55"/>
  <c r="G1111" i="55"/>
  <c r="G1189" i="55"/>
  <c r="G134" i="55"/>
  <c r="G472" i="55"/>
  <c r="G60" i="55"/>
  <c r="G801" i="55"/>
  <c r="G975" i="55"/>
  <c r="G463" i="55"/>
  <c r="G693" i="55"/>
  <c r="G353" i="55"/>
  <c r="G967" i="55"/>
  <c r="G743" i="55"/>
  <c r="G1028" i="55"/>
  <c r="G1221" i="55"/>
  <c r="G1171" i="55"/>
  <c r="G365" i="55"/>
  <c r="G611" i="55"/>
  <c r="G1024" i="55"/>
  <c r="G1223" i="55"/>
  <c r="G505" i="55"/>
  <c r="G905" i="55"/>
  <c r="G855" i="55"/>
  <c r="G866" i="55"/>
  <c r="G937" i="55"/>
  <c r="G583" i="55"/>
  <c r="G1079" i="55"/>
  <c r="G465" i="55"/>
  <c r="G698" i="55"/>
  <c r="G1085" i="55"/>
  <c r="G922" i="55"/>
  <c r="G1243" i="55"/>
  <c r="G468" i="55"/>
  <c r="G1100" i="55"/>
  <c r="G943" i="55"/>
  <c r="G339" i="55"/>
  <c r="G156" i="55"/>
  <c r="G1152" i="55"/>
  <c r="G1067" i="55"/>
  <c r="G503" i="55"/>
  <c r="G763" i="55"/>
  <c r="G1054" i="55"/>
  <c r="G542" i="55"/>
  <c r="G332" i="55"/>
  <c r="G1044" i="55"/>
  <c r="G55" i="55"/>
  <c r="G1135" i="55"/>
  <c r="G1032" i="55"/>
  <c r="G1144" i="55"/>
  <c r="G190" i="55"/>
  <c r="G715" i="55"/>
  <c r="G1210" i="55"/>
  <c r="G454" i="55"/>
  <c r="G456" i="55"/>
  <c r="G1003" i="55"/>
  <c r="G634" i="55"/>
  <c r="G826" i="55"/>
  <c r="G877" i="55"/>
  <c r="G1036" i="55"/>
  <c r="G536" i="55"/>
  <c r="G430" i="55"/>
  <c r="G1234" i="55"/>
  <c r="G164" i="55"/>
  <c r="G367" i="55"/>
  <c r="G47" i="55"/>
  <c r="G1084" i="55"/>
  <c r="G1023" i="55"/>
  <c r="G15" i="55"/>
  <c r="G376" i="55"/>
  <c r="G195" i="55"/>
  <c r="G633" i="55"/>
  <c r="G360" i="55"/>
  <c r="G217" i="55"/>
  <c r="G776" i="55"/>
  <c r="G947" i="55"/>
  <c r="G588" i="55"/>
  <c r="G530" i="55"/>
  <c r="G411" i="55"/>
  <c r="G524" i="55"/>
  <c r="G131" i="55"/>
  <c r="G952" i="55"/>
  <c r="G279" i="55"/>
  <c r="G610" i="55"/>
  <c r="G888" i="55"/>
  <c r="G540" i="55"/>
  <c r="G52" i="55"/>
  <c r="G173" i="55"/>
  <c r="G364" i="55"/>
  <c r="G828" i="55"/>
  <c r="G338" i="55"/>
  <c r="G247" i="55"/>
  <c r="G262" i="55"/>
  <c r="G934" i="55"/>
  <c r="G1071" i="55"/>
  <c r="G359" i="55"/>
  <c r="G679" i="55"/>
  <c r="G1237" i="55"/>
  <c r="G1101" i="55"/>
  <c r="G106" i="55"/>
  <c r="G74" i="55"/>
  <c r="G138" i="55"/>
  <c r="G896" i="55"/>
  <c r="G1035" i="55"/>
  <c r="G78" i="55"/>
  <c r="G893" i="55"/>
  <c r="G533" i="55"/>
  <c r="G268" i="55"/>
  <c r="G1182" i="55"/>
  <c r="G45" i="55"/>
  <c r="G264" i="55"/>
  <c r="G393" i="55"/>
  <c r="G754" i="55"/>
  <c r="G1087" i="55"/>
  <c r="G433" i="55"/>
  <c r="G191" i="55"/>
  <c r="G144" i="55"/>
  <c r="G110" i="55"/>
  <c r="G97" i="55"/>
  <c r="G331" i="55"/>
  <c r="G1239" i="55"/>
  <c r="G751" i="55"/>
  <c r="G870" i="55"/>
  <c r="G819" i="55"/>
  <c r="G402" i="55"/>
  <c r="G822" i="55"/>
  <c r="G278" i="55"/>
  <c r="G1068" i="55"/>
  <c r="G534" i="55"/>
  <c r="G288" i="55"/>
  <c r="G255" i="55"/>
  <c r="G667" i="55"/>
  <c r="G623" i="55"/>
  <c r="G936" i="55"/>
  <c r="G910" i="55"/>
  <c r="G586" i="55"/>
  <c r="G20" i="55"/>
  <c r="B8" i="48"/>
  <c r="C104" i="1"/>
  <c r="F104" i="1" s="1"/>
  <c r="X46" i="287"/>
  <c r="X51" i="287" s="1"/>
  <c r="C22" i="290"/>
  <c r="D133" i="39"/>
  <c r="F58" i="38"/>
  <c r="Q49" i="314"/>
  <c r="R245" i="70"/>
  <c r="D114" i="39"/>
  <c r="D88" i="39" s="1"/>
  <c r="F115" i="39"/>
  <c r="F114" i="39" s="1"/>
  <c r="H19" i="314"/>
  <c r="D23" i="233"/>
  <c r="D6" i="233" s="1"/>
  <c r="E63" i="293" s="1"/>
  <c r="E66" i="293" s="1"/>
  <c r="E43" i="293" s="1"/>
  <c r="G43" i="293" s="1"/>
  <c r="E7" i="1"/>
  <c r="E104" i="1" s="1"/>
  <c r="N166" i="73"/>
  <c r="D118" i="38"/>
  <c r="O245" i="70"/>
  <c r="F8" i="39"/>
  <c r="G39" i="26"/>
  <c r="C34" i="43"/>
  <c r="F34" i="43" s="1"/>
  <c r="C35" i="43" s="1"/>
  <c r="N166" i="71"/>
  <c r="E21" i="27"/>
  <c r="Q78" i="315"/>
  <c r="Q76" i="315"/>
  <c r="P166" i="73"/>
  <c r="F42" i="39"/>
  <c r="M23" i="290"/>
  <c r="H31" i="290" s="1"/>
  <c r="G22" i="315"/>
  <c r="H81" i="1"/>
  <c r="L81" i="1"/>
  <c r="M81" i="1" s="1"/>
  <c r="H11" i="315"/>
  <c r="H35" i="314"/>
  <c r="Q74" i="314"/>
  <c r="P64" i="1"/>
  <c r="Q64" i="1" s="1"/>
  <c r="R64" i="1" s="1"/>
  <c r="H12" i="315"/>
  <c r="J39" i="26"/>
  <c r="C72" i="43"/>
  <c r="C37" i="43"/>
  <c r="F17" i="38"/>
  <c r="D60" i="39"/>
  <c r="F61" i="39"/>
  <c r="F60" i="39" s="1"/>
  <c r="H32" i="314"/>
  <c r="H30" i="315"/>
  <c r="H13" i="314"/>
  <c r="F32" i="47"/>
  <c r="J20" i="277"/>
  <c r="F102" i="38"/>
  <c r="H33" i="314"/>
  <c r="Q73" i="315"/>
  <c r="Q82" i="314"/>
  <c r="Q74" i="315"/>
  <c r="Q73" i="314"/>
  <c r="G42" i="314"/>
  <c r="H16" i="315"/>
  <c r="H12" i="314"/>
  <c r="G22" i="314"/>
  <c r="W8" i="326"/>
  <c r="H16" i="314"/>
  <c r="Q56" i="314"/>
  <c r="Q81" i="314"/>
  <c r="Q77" i="314"/>
  <c r="H40" i="314"/>
  <c r="H20" i="314"/>
  <c r="D32" i="308"/>
  <c r="G16" i="318"/>
  <c r="Q48" i="314"/>
  <c r="Q72" i="314"/>
  <c r="Q59" i="314"/>
  <c r="Q60" i="314"/>
  <c r="Q50" i="314"/>
  <c r="Q75" i="314"/>
  <c r="Q69" i="314"/>
  <c r="Q77" i="315"/>
  <c r="Q57" i="315"/>
  <c r="Q82" i="315"/>
  <c r="Q71" i="315"/>
  <c r="H18" i="315"/>
  <c r="H21" i="315"/>
  <c r="Q54" i="315"/>
  <c r="Q50" i="315"/>
  <c r="Q70" i="315"/>
  <c r="Q81" i="315"/>
  <c r="H41" i="315"/>
  <c r="I49" i="318"/>
  <c r="I51" i="318" s="1"/>
  <c r="I53" i="318" s="1"/>
  <c r="Q51" i="314"/>
  <c r="Q68" i="315"/>
  <c r="H38" i="314"/>
  <c r="F157" i="39"/>
  <c r="F156" i="39" s="1"/>
  <c r="D156" i="39"/>
  <c r="D131" i="39" s="1"/>
  <c r="Q53" i="314"/>
  <c r="Q68" i="314"/>
  <c r="G42" i="315"/>
  <c r="Q55" i="315"/>
  <c r="E22" i="315"/>
  <c r="H10" i="315"/>
  <c r="Q57" i="314"/>
  <c r="Q53" i="315"/>
  <c r="H14" i="314"/>
  <c r="H31" i="314"/>
  <c r="Q54" i="314"/>
  <c r="Q79" i="314"/>
  <c r="Q51" i="315"/>
  <c r="H39" i="315"/>
  <c r="H33" i="1"/>
  <c r="L33" i="1"/>
  <c r="M33" i="1" s="1"/>
  <c r="Q75" i="315"/>
  <c r="H20" i="315"/>
  <c r="Q61" i="314"/>
  <c r="Q62" i="314"/>
  <c r="H98" i="1"/>
  <c r="L98" i="1"/>
  <c r="M98" i="1" s="1"/>
  <c r="P101" i="1"/>
  <c r="Q101" i="1" s="1"/>
  <c r="R101" i="1" s="1"/>
  <c r="Q69" i="315"/>
  <c r="Q58" i="314"/>
  <c r="E42" i="314"/>
  <c r="H27" i="314"/>
  <c r="H37" i="315"/>
  <c r="H10" i="314"/>
  <c r="I17" i="318"/>
  <c r="K17" i="318" s="1"/>
  <c r="B22" i="318" s="1"/>
  <c r="B9" i="313" s="1"/>
  <c r="B11" i="313" s="1"/>
  <c r="G17" i="318"/>
  <c r="F23" i="47"/>
  <c r="E18" i="293"/>
  <c r="G18" i="293" s="1"/>
  <c r="J7" i="277"/>
  <c r="J12" i="277" s="1"/>
  <c r="E17" i="293" s="1"/>
  <c r="G17" i="293" s="1"/>
  <c r="H28" i="315"/>
  <c r="Q52" i="315"/>
  <c r="H34" i="315"/>
  <c r="Q72" i="315"/>
  <c r="Q60" i="315"/>
  <c r="H40" i="315"/>
  <c r="H12" i="277"/>
  <c r="Q103" i="1"/>
  <c r="R103" i="1" s="1"/>
  <c r="K83" i="315"/>
  <c r="H15" i="315"/>
  <c r="Q59" i="315"/>
  <c r="Q80" i="315"/>
  <c r="Q62" i="315"/>
  <c r="H36" i="315"/>
  <c r="D28" i="49"/>
  <c r="E28" i="49" s="1"/>
  <c r="D17" i="49"/>
  <c r="E17" i="49" s="1"/>
  <c r="D19" i="49"/>
  <c r="E19" i="49" s="1"/>
  <c r="D29" i="49"/>
  <c r="E29" i="49" s="1"/>
  <c r="D13" i="49"/>
  <c r="E13" i="49" s="1"/>
  <c r="D10" i="49"/>
  <c r="E10" i="49" s="1"/>
  <c r="D21" i="49"/>
  <c r="E21" i="49" s="1"/>
  <c r="D11" i="49"/>
  <c r="E11" i="49" s="1"/>
  <c r="D12" i="49"/>
  <c r="E12" i="49" s="1"/>
  <c r="D34" i="49"/>
  <c r="E34" i="49" s="1"/>
  <c r="D23" i="49"/>
  <c r="E23" i="49" s="1"/>
  <c r="D15" i="49"/>
  <c r="E15" i="49" s="1"/>
  <c r="D9" i="49"/>
  <c r="E9" i="49" s="1"/>
  <c r="D30" i="49"/>
  <c r="E30" i="49" s="1"/>
  <c r="D18" i="49"/>
  <c r="E18" i="49" s="1"/>
  <c r="D6" i="49"/>
  <c r="E6" i="49" s="1"/>
  <c r="D35" i="49"/>
  <c r="E35" i="49" s="1"/>
  <c r="D24" i="49"/>
  <c r="E24" i="49" s="1"/>
  <c r="D36" i="49"/>
  <c r="E36" i="49" s="1"/>
  <c r="D7" i="49"/>
  <c r="E7" i="49" s="1"/>
  <c r="D8" i="49"/>
  <c r="E8" i="49" s="1"/>
  <c r="D16" i="49"/>
  <c r="E16" i="49" s="1"/>
  <c r="D5" i="49"/>
  <c r="E5" i="49" s="1"/>
  <c r="D20" i="49"/>
  <c r="E20" i="49" s="1"/>
  <c r="D22" i="49"/>
  <c r="E22" i="49" s="1"/>
  <c r="D14" i="49"/>
  <c r="E14" i="49" s="1"/>
  <c r="D27" i="49"/>
  <c r="E27" i="49" s="1"/>
  <c r="D33" i="49"/>
  <c r="E33" i="49" s="1"/>
  <c r="D25" i="49"/>
  <c r="E25" i="49" s="1"/>
  <c r="D26" i="49"/>
  <c r="E26" i="49" s="1"/>
  <c r="D32" i="49"/>
  <c r="E32" i="49" s="1"/>
  <c r="D31" i="49"/>
  <c r="E31" i="49" s="1"/>
  <c r="K39" i="26"/>
  <c r="H31" i="315"/>
  <c r="Q79" i="315"/>
  <c r="H33" i="315"/>
  <c r="H8" i="315"/>
  <c r="Q58" i="315"/>
  <c r="E42" i="315"/>
  <c r="H27" i="315"/>
  <c r="H7" i="315"/>
  <c r="H35" i="315"/>
  <c r="H58" i="1"/>
  <c r="L58" i="1"/>
  <c r="M58" i="1" s="1"/>
  <c r="D41" i="38"/>
  <c r="E22" i="233"/>
  <c r="E23" i="233" s="1"/>
  <c r="Q96" i="1"/>
  <c r="R96" i="1" s="1"/>
  <c r="Q70" i="314"/>
  <c r="Q61" i="315"/>
  <c r="F8" i="42"/>
  <c r="F7" i="42" s="1"/>
  <c r="C7" i="42"/>
  <c r="F32" i="26"/>
  <c r="F39" i="26" s="1"/>
  <c r="Q80" i="314"/>
  <c r="Q49" i="315"/>
  <c r="H28" i="314"/>
  <c r="Q56" i="315"/>
  <c r="L39" i="26"/>
  <c r="Y25" i="287"/>
  <c r="AC25" i="287" s="1"/>
  <c r="D40" i="293"/>
  <c r="Q55" i="314"/>
  <c r="E22" i="314"/>
  <c r="H11" i="314"/>
  <c r="H17" i="314"/>
  <c r="Q78" i="314"/>
  <c r="E63" i="315"/>
  <c r="D10" i="39"/>
  <c r="B53" i="318"/>
  <c r="B6" i="48"/>
  <c r="E11" i="293"/>
  <c r="G11" i="293" s="1"/>
  <c r="O104" i="1"/>
  <c r="F5" i="42"/>
  <c r="F38" i="43"/>
  <c r="E72" i="43"/>
  <c r="C8" i="313"/>
  <c r="B47" i="308" s="1"/>
  <c r="C11" i="313"/>
  <c r="D48" i="318"/>
  <c r="D49" i="318" s="1"/>
  <c r="D51" i="318" s="1"/>
  <c r="D53" i="318" s="1"/>
  <c r="B16" i="308"/>
  <c r="D16" i="308" s="1"/>
  <c r="K15" i="312"/>
  <c r="K16" i="312" s="1"/>
  <c r="F62" i="41"/>
  <c r="H63" i="41"/>
  <c r="G63" i="41"/>
  <c r="L43" i="1"/>
  <c r="M43" i="1" s="1"/>
  <c r="H43" i="1"/>
  <c r="H46" i="287"/>
  <c r="Y45" i="287"/>
  <c r="AC45" i="287" s="1"/>
  <c r="B41" i="293"/>
  <c r="D49" i="293" s="1"/>
  <c r="D41" i="293"/>
  <c r="B45" i="26"/>
  <c r="D45" i="26" s="1"/>
  <c r="D25" i="26"/>
  <c r="Q71" i="314"/>
  <c r="K48" i="318"/>
  <c r="K49" i="318" s="1"/>
  <c r="K51" i="318" s="1"/>
  <c r="K53" i="318" s="1"/>
  <c r="Q52" i="314"/>
  <c r="E63" i="314"/>
  <c r="G83" i="314"/>
  <c r="D22" i="52"/>
  <c r="E22" i="52" s="1"/>
  <c r="E141" i="39" s="1"/>
  <c r="D23" i="52"/>
  <c r="E23" i="52" s="1"/>
  <c r="E144" i="39" s="1"/>
  <c r="D25" i="52"/>
  <c r="E25" i="52" s="1"/>
  <c r="D26" i="52"/>
  <c r="E26" i="52" s="1"/>
  <c r="E148" i="39" s="1"/>
  <c r="F48" i="318"/>
  <c r="F49" i="318" s="1"/>
  <c r="F51" i="318" s="1"/>
  <c r="F53" i="318" s="1"/>
  <c r="D57" i="39"/>
  <c r="D56" i="39" s="1"/>
  <c r="D52" i="39" s="1"/>
  <c r="D51" i="39" s="1"/>
  <c r="F58" i="39"/>
  <c r="F57" i="39" s="1"/>
  <c r="D20" i="52"/>
  <c r="E20" i="52" s="1"/>
  <c r="D17" i="52"/>
  <c r="E17" i="52" s="1"/>
  <c r="E101" i="39" s="1"/>
  <c r="D19" i="52"/>
  <c r="E19" i="52" s="1"/>
  <c r="D16" i="52"/>
  <c r="E16" i="52" s="1"/>
  <c r="E98" i="39" s="1"/>
  <c r="D8" i="52"/>
  <c r="E8" i="52" s="1"/>
  <c r="D13" i="52"/>
  <c r="E13" i="52" s="1"/>
  <c r="D14" i="52"/>
  <c r="E14" i="52" s="1"/>
  <c r="D7" i="52"/>
  <c r="E7" i="52" s="1"/>
  <c r="D11" i="52"/>
  <c r="E11" i="52" s="1"/>
  <c r="D10" i="52"/>
  <c r="E10" i="52" s="1"/>
  <c r="P104" i="1" l="1"/>
  <c r="Q104" i="1" s="1"/>
  <c r="R104" i="1" s="1"/>
  <c r="E69" i="327"/>
  <c r="D15" i="327" s="1"/>
  <c r="J23" i="277"/>
  <c r="E20" i="293" s="1"/>
  <c r="G20" i="293" s="1"/>
  <c r="K5" i="56"/>
  <c r="F10" i="52" s="1"/>
  <c r="G10" i="52" s="1"/>
  <c r="K5" i="55"/>
  <c r="F14" i="52" s="1"/>
  <c r="G14" i="52" s="1"/>
  <c r="D87" i="39"/>
  <c r="L104" i="1"/>
  <c r="M104" i="1" s="1"/>
  <c r="G13" i="37"/>
  <c r="G14" i="37" s="1"/>
  <c r="B9" i="48"/>
  <c r="L7" i="1"/>
  <c r="M7" i="1" s="1"/>
  <c r="H7" i="1"/>
  <c r="H104" i="1" s="1"/>
  <c r="C7" i="247" s="1"/>
  <c r="E42" i="293"/>
  <c r="G42" i="293" s="1"/>
  <c r="D179" i="39"/>
  <c r="D178" i="39" s="1"/>
  <c r="D176" i="39" s="1"/>
  <c r="G26" i="290"/>
  <c r="G37" i="290"/>
  <c r="F27" i="290"/>
  <c r="F31" i="290"/>
  <c r="F30" i="290" s="1"/>
  <c r="D83" i="38" s="1"/>
  <c r="H36" i="290"/>
  <c r="H26" i="290"/>
  <c r="H32" i="290"/>
  <c r="H30" i="290" s="1"/>
  <c r="H28" i="290" s="1"/>
  <c r="G32" i="290"/>
  <c r="F26" i="290"/>
  <c r="F36" i="290"/>
  <c r="G27" i="290"/>
  <c r="G31" i="290"/>
  <c r="H37" i="290"/>
  <c r="F37" i="290"/>
  <c r="F32" i="290"/>
  <c r="G36" i="290"/>
  <c r="H27" i="290"/>
  <c r="F56" i="39"/>
  <c r="F52" i="39" s="1"/>
  <c r="F51" i="39" s="1"/>
  <c r="B21" i="318"/>
  <c r="B6" i="313" s="1"/>
  <c r="B8" i="313" s="1"/>
  <c r="B46" i="308" s="1"/>
  <c r="B20" i="318"/>
  <c r="Q83" i="314"/>
  <c r="Q63" i="314"/>
  <c r="H22" i="314"/>
  <c r="Q83" i="315"/>
  <c r="H42" i="314"/>
  <c r="D89" i="314" s="1"/>
  <c r="B10" i="312" s="1"/>
  <c r="H10" i="312" s="1"/>
  <c r="H42" i="315"/>
  <c r="D89" i="315" s="1"/>
  <c r="I10" i="312" s="1"/>
  <c r="M10" i="312" s="1"/>
  <c r="D88" i="314"/>
  <c r="B7" i="312" s="1"/>
  <c r="H7" i="312" s="1"/>
  <c r="D8" i="39"/>
  <c r="B4" i="48"/>
  <c r="F41" i="38"/>
  <c r="F40" i="38" s="1"/>
  <c r="D40" i="38"/>
  <c r="Q63" i="315"/>
  <c r="E37" i="49"/>
  <c r="E38" i="49" s="1"/>
  <c r="E35" i="43" s="1"/>
  <c r="F35" i="43" s="1"/>
  <c r="F37" i="43" s="1"/>
  <c r="H22" i="315"/>
  <c r="D88" i="315" s="1"/>
  <c r="I7" i="312" s="1"/>
  <c r="H8" i="52"/>
  <c r="I8" i="52"/>
  <c r="I14" i="52"/>
  <c r="H14" i="52"/>
  <c r="I13" i="52"/>
  <c r="H13" i="52"/>
  <c r="D32" i="26"/>
  <c r="D39" i="26" s="1"/>
  <c r="G45" i="26"/>
  <c r="D30" i="39" s="1"/>
  <c r="C46" i="308"/>
  <c r="F46" i="308" s="1"/>
  <c r="B21" i="308" s="1"/>
  <c r="B13" i="313"/>
  <c r="F61" i="41"/>
  <c r="H62" i="41"/>
  <c r="G62" i="41"/>
  <c r="I10" i="52"/>
  <c r="H10" i="52"/>
  <c r="E160" i="39"/>
  <c r="E146" i="39"/>
  <c r="B42" i="293"/>
  <c r="C47" i="308"/>
  <c r="F47" i="308" s="1"/>
  <c r="B24" i="308" s="1"/>
  <c r="C13" i="313"/>
  <c r="B58" i="318"/>
  <c r="E112" i="38"/>
  <c r="E52" i="38"/>
  <c r="E103" i="39"/>
  <c r="E93" i="38"/>
  <c r="E31" i="38"/>
  <c r="E118" i="39"/>
  <c r="H11" i="52"/>
  <c r="I11" i="52"/>
  <c r="E105" i="39"/>
  <c r="E95" i="38"/>
  <c r="E33" i="38"/>
  <c r="I7" i="52"/>
  <c r="H7" i="52"/>
  <c r="H51" i="287"/>
  <c r="Y51" i="287" s="1"/>
  <c r="AC51" i="287" s="1"/>
  <c r="Y46" i="287"/>
  <c r="AC46" i="287" s="1"/>
  <c r="B57" i="318"/>
  <c r="D6" i="313" s="1"/>
  <c r="D8" i="313" s="1"/>
  <c r="B48" i="308" s="1"/>
  <c r="F28" i="290" l="1"/>
  <c r="G25" i="290"/>
  <c r="G23" i="290" s="1"/>
  <c r="F16" i="327"/>
  <c r="G16" i="327" s="1"/>
  <c r="H16" i="327" s="1"/>
  <c r="I16" i="327" s="1"/>
  <c r="F160" i="39" s="1"/>
  <c r="F15" i="327"/>
  <c r="D17" i="327"/>
  <c r="C11" i="247"/>
  <c r="F7" i="247"/>
  <c r="F11" i="247" s="1"/>
  <c r="B25" i="37" s="1"/>
  <c r="F25" i="290"/>
  <c r="F23" i="290" s="1"/>
  <c r="F22" i="290" s="1"/>
  <c r="F11" i="52"/>
  <c r="G11" i="52" s="1"/>
  <c r="J11" i="52" s="1"/>
  <c r="E33" i="39" s="1"/>
  <c r="F33" i="39" s="1"/>
  <c r="F7" i="52"/>
  <c r="G7" i="52" s="1"/>
  <c r="J7" i="52" s="1"/>
  <c r="E29" i="39" s="1"/>
  <c r="F29" i="39" s="1"/>
  <c r="F8" i="52"/>
  <c r="G8" i="52" s="1"/>
  <c r="J8" i="52" s="1"/>
  <c r="E30" i="39" s="1"/>
  <c r="F30" i="39" s="1"/>
  <c r="F13" i="52"/>
  <c r="G13" i="52" s="1"/>
  <c r="J13" i="52" s="1"/>
  <c r="E87" i="38" s="1"/>
  <c r="F87" i="38" s="1"/>
  <c r="G30" i="290"/>
  <c r="G28" i="290" s="1"/>
  <c r="G22" i="290" s="1"/>
  <c r="F35" i="290"/>
  <c r="H25" i="290"/>
  <c r="H35" i="290"/>
  <c r="H33" i="290" s="1"/>
  <c r="D39" i="39" s="1"/>
  <c r="G35" i="290"/>
  <c r="G33" i="290" s="1"/>
  <c r="B25" i="308"/>
  <c r="D25" i="308" s="1"/>
  <c r="B12" i="312"/>
  <c r="B14" i="312" s="1"/>
  <c r="J14" i="52"/>
  <c r="E27" i="38" s="1"/>
  <c r="F27" i="38" s="1"/>
  <c r="M7" i="312"/>
  <c r="I9" i="312"/>
  <c r="B20" i="37"/>
  <c r="F72" i="43"/>
  <c r="B9" i="312"/>
  <c r="B41" i="308" s="1"/>
  <c r="I12" i="312"/>
  <c r="I14" i="312" s="1"/>
  <c r="J10" i="52"/>
  <c r="E32" i="39" s="1"/>
  <c r="F32" i="39" s="1"/>
  <c r="D21" i="308"/>
  <c r="H61" i="41"/>
  <c r="F60" i="41"/>
  <c r="G61" i="41"/>
  <c r="B43" i="293"/>
  <c r="B44" i="293" s="1"/>
  <c r="B45" i="293" s="1"/>
  <c r="B46" i="293" s="1"/>
  <c r="B47" i="293" s="1"/>
  <c r="B48" i="293" s="1"/>
  <c r="B49" i="293" s="1"/>
  <c r="B50" i="293" s="1"/>
  <c r="B51" i="293" s="1"/>
  <c r="B52" i="293" s="1"/>
  <c r="B53" i="293" s="1"/>
  <c r="B54" i="293" s="1"/>
  <c r="B55" i="293" s="1"/>
  <c r="B56" i="293" s="1"/>
  <c r="F83" i="38"/>
  <c r="D82" i="38"/>
  <c r="B22" i="308"/>
  <c r="D9" i="313"/>
  <c r="D11" i="313" s="1"/>
  <c r="B60" i="318"/>
  <c r="D28" i="39"/>
  <c r="D24" i="308"/>
  <c r="F118" i="39" l="1"/>
  <c r="D73" i="38"/>
  <c r="D21" i="38"/>
  <c r="D20" i="38" s="1"/>
  <c r="F112" i="38"/>
  <c r="F143" i="39"/>
  <c r="F100" i="39"/>
  <c r="F163" i="39"/>
  <c r="F152" i="39"/>
  <c r="F108" i="39"/>
  <c r="F110" i="39"/>
  <c r="F147" i="39"/>
  <c r="F126" i="39"/>
  <c r="F130" i="39"/>
  <c r="F127" i="39"/>
  <c r="F159" i="39"/>
  <c r="F172" i="39"/>
  <c r="F106" i="39"/>
  <c r="F171" i="39"/>
  <c r="F109" i="39"/>
  <c r="F150" i="39"/>
  <c r="F149" i="39"/>
  <c r="F151" i="39"/>
  <c r="F120" i="39"/>
  <c r="F161" i="39"/>
  <c r="F117" i="39"/>
  <c r="F121" i="39"/>
  <c r="F162" i="39"/>
  <c r="F104" i="39"/>
  <c r="F129" i="39"/>
  <c r="F107" i="39"/>
  <c r="F168" i="39"/>
  <c r="F119" i="39"/>
  <c r="F144" i="39"/>
  <c r="F98" i="39"/>
  <c r="F101" i="39"/>
  <c r="F148" i="39"/>
  <c r="F141" i="39"/>
  <c r="F146" i="39"/>
  <c r="F103" i="39"/>
  <c r="F105" i="39"/>
  <c r="F52" i="38"/>
  <c r="G15" i="327"/>
  <c r="H15" i="327" s="1"/>
  <c r="I15" i="327" s="1"/>
  <c r="F17" i="327"/>
  <c r="G17" i="327" s="1"/>
  <c r="H17" i="327" s="1"/>
  <c r="I17" i="327" s="1"/>
  <c r="D173" i="39" s="1"/>
  <c r="F15" i="38"/>
  <c r="F13" i="38" s="1"/>
  <c r="F11" i="38" s="1"/>
  <c r="F38" i="38"/>
  <c r="F74" i="38"/>
  <c r="F99" i="38"/>
  <c r="F101" i="38"/>
  <c r="F10" i="38"/>
  <c r="F37" i="38"/>
  <c r="F94" i="38"/>
  <c r="F117" i="38"/>
  <c r="F115" i="38" s="1"/>
  <c r="F98" i="38"/>
  <c r="F57" i="38"/>
  <c r="F55" i="38" s="1"/>
  <c r="F36" i="38"/>
  <c r="F34" i="38"/>
  <c r="F97" i="38"/>
  <c r="F114" i="38"/>
  <c r="F53" i="38"/>
  <c r="F35" i="38"/>
  <c r="F54" i="38"/>
  <c r="F96" i="38"/>
  <c r="F113" i="38"/>
  <c r="F32" i="38"/>
  <c r="F39" i="38"/>
  <c r="F77" i="38"/>
  <c r="F75" i="38" s="1"/>
  <c r="F100" i="38"/>
  <c r="C24" i="327"/>
  <c r="D24" i="327" s="1"/>
  <c r="F95" i="38"/>
  <c r="F33" i="38"/>
  <c r="F93" i="38"/>
  <c r="F31" i="38"/>
  <c r="B23" i="308"/>
  <c r="D35" i="39"/>
  <c r="D27" i="39" s="1"/>
  <c r="B7" i="48" s="1"/>
  <c r="B11" i="48" s="1"/>
  <c r="F39" i="39"/>
  <c r="F37" i="39" s="1"/>
  <c r="F35" i="39" s="1"/>
  <c r="D37" i="39"/>
  <c r="H23" i="290"/>
  <c r="H22" i="290" s="1"/>
  <c r="D9" i="38"/>
  <c r="F131" i="282"/>
  <c r="F33" i="290"/>
  <c r="B26" i="308"/>
  <c r="D26" i="308"/>
  <c r="C43" i="308"/>
  <c r="F43" i="308" s="1"/>
  <c r="B13" i="308" s="1"/>
  <c r="B17" i="308" s="1"/>
  <c r="M12" i="312"/>
  <c r="F31" i="39"/>
  <c r="E47" i="39"/>
  <c r="F47" i="39" s="1"/>
  <c r="F46" i="39" s="1"/>
  <c r="E48" i="38"/>
  <c r="F48" i="38" s="1"/>
  <c r="E43" i="39"/>
  <c r="F43" i="39" s="1"/>
  <c r="E89" i="38"/>
  <c r="F89" i="38" s="1"/>
  <c r="H12" i="312"/>
  <c r="E25" i="38"/>
  <c r="F25" i="38" s="1"/>
  <c r="C41" i="308"/>
  <c r="F41" i="308" s="1"/>
  <c r="B7" i="308" s="1"/>
  <c r="B11" i="308" s="1"/>
  <c r="E41" i="39"/>
  <c r="F41" i="39" s="1"/>
  <c r="E108" i="38"/>
  <c r="F108" i="38" s="1"/>
  <c r="H9" i="312"/>
  <c r="H8" i="312" s="1"/>
  <c r="F28" i="39"/>
  <c r="B43" i="308"/>
  <c r="M9" i="312"/>
  <c r="M8" i="312" s="1"/>
  <c r="F59" i="41"/>
  <c r="G60" i="41"/>
  <c r="H60" i="41"/>
  <c r="D85" i="38"/>
  <c r="F85" i="38" s="1"/>
  <c r="D13" i="313"/>
  <c r="C48" i="308"/>
  <c r="F48" i="308" s="1"/>
  <c r="D56" i="293"/>
  <c r="B57" i="293"/>
  <c r="D58" i="293" s="1"/>
  <c r="D57" i="293"/>
  <c r="B15" i="312"/>
  <c r="H15" i="312" s="1"/>
  <c r="H14" i="312"/>
  <c r="D22" i="308"/>
  <c r="I15" i="312"/>
  <c r="M15" i="312" s="1"/>
  <c r="M14" i="312"/>
  <c r="F142" i="39" l="1"/>
  <c r="F140" i="39" s="1"/>
  <c r="F145" i="39"/>
  <c r="D23" i="38"/>
  <c r="F23" i="38" s="1"/>
  <c r="D18" i="38"/>
  <c r="D16" i="38" s="1"/>
  <c r="F73" i="38"/>
  <c r="D71" i="38"/>
  <c r="D70" i="38" s="1"/>
  <c r="F99" i="39"/>
  <c r="F97" i="39" s="1"/>
  <c r="F71" i="38"/>
  <c r="F70" i="38" s="1"/>
  <c r="F21" i="38"/>
  <c r="F170" i="39"/>
  <c r="F167" i="39" s="1"/>
  <c r="F128" i="39"/>
  <c r="F125" i="39" s="1"/>
  <c r="F102" i="39"/>
  <c r="F51" i="38"/>
  <c r="F47" i="38" s="1"/>
  <c r="F111" i="38"/>
  <c r="F107" i="38" s="1"/>
  <c r="F30" i="38"/>
  <c r="F24" i="38" s="1"/>
  <c r="F92" i="38"/>
  <c r="F86" i="38" s="1"/>
  <c r="F95" i="39"/>
  <c r="F135" i="39"/>
  <c r="F92" i="39"/>
  <c r="F138" i="39"/>
  <c r="F123" i="39"/>
  <c r="F22" i="38"/>
  <c r="F20" i="38" s="1"/>
  <c r="F18" i="38" s="1"/>
  <c r="F134" i="39"/>
  <c r="F124" i="39"/>
  <c r="F91" i="39"/>
  <c r="F166" i="39"/>
  <c r="F84" i="38"/>
  <c r="F82" i="38" s="1"/>
  <c r="F80" i="38" s="1"/>
  <c r="F165" i="39"/>
  <c r="F139" i="39"/>
  <c r="F154" i="39"/>
  <c r="F155" i="39"/>
  <c r="F112" i="39"/>
  <c r="F96" i="39"/>
  <c r="F113" i="39"/>
  <c r="C23" i="327"/>
  <c r="D129" i="38"/>
  <c r="F129" i="38" s="1"/>
  <c r="B14" i="37" s="1"/>
  <c r="F173" i="39"/>
  <c r="B17" i="37" s="1"/>
  <c r="H11" i="312"/>
  <c r="H13" i="312"/>
  <c r="D7" i="39"/>
  <c r="D5" i="39" s="1"/>
  <c r="D181" i="39" s="1"/>
  <c r="M11" i="312"/>
  <c r="M13" i="312"/>
  <c r="D23" i="308"/>
  <c r="D7" i="38"/>
  <c r="D6" i="38" s="1"/>
  <c r="F9" i="38"/>
  <c r="F7" i="38" s="1"/>
  <c r="F6" i="38" s="1"/>
  <c r="B15" i="308"/>
  <c r="D15" i="308" s="1"/>
  <c r="D18" i="308" s="1"/>
  <c r="F27" i="39"/>
  <c r="F40" i="39"/>
  <c r="D13" i="308"/>
  <c r="D17" i="308" s="1"/>
  <c r="B9" i="308"/>
  <c r="B12" i="308" s="1"/>
  <c r="D7" i="308"/>
  <c r="D11" i="308" s="1"/>
  <c r="I16" i="312"/>
  <c r="M16" i="312" s="1"/>
  <c r="B16" i="312"/>
  <c r="H16" i="312" s="1"/>
  <c r="D80" i="38"/>
  <c r="D78" i="38" s="1"/>
  <c r="D69" i="38" s="1"/>
  <c r="C8" i="48"/>
  <c r="D8" i="48" s="1"/>
  <c r="C7" i="48"/>
  <c r="D7" i="48" s="1"/>
  <c r="C5" i="48"/>
  <c r="D5" i="48" s="1"/>
  <c r="C10" i="48"/>
  <c r="D10" i="48" s="1"/>
  <c r="C9" i="48"/>
  <c r="D9" i="48" s="1"/>
  <c r="C6" i="48"/>
  <c r="D6" i="48" s="1"/>
  <c r="C4" i="48"/>
  <c r="D4" i="48" s="1"/>
  <c r="B58" i="293"/>
  <c r="B59" i="293" s="1"/>
  <c r="B63" i="293" s="1"/>
  <c r="D59" i="293"/>
  <c r="B27" i="308"/>
  <c r="B33" i="308" s="1"/>
  <c r="B28" i="308"/>
  <c r="B34" i="308" s="1"/>
  <c r="F58" i="41"/>
  <c r="G59" i="41"/>
  <c r="H59" i="41"/>
  <c r="B19" i="308"/>
  <c r="B18" i="37" l="1"/>
  <c r="D5" i="38"/>
  <c r="F153" i="39"/>
  <c r="F78" i="38"/>
  <c r="F69" i="38" s="1"/>
  <c r="F16" i="38"/>
  <c r="F5" i="38" s="1"/>
  <c r="F122" i="39"/>
  <c r="C25" i="327"/>
  <c r="D23" i="327"/>
  <c r="D25" i="327" s="1"/>
  <c r="E16" i="293" s="1"/>
  <c r="G16" i="293" s="1"/>
  <c r="F111" i="39"/>
  <c r="F137" i="39"/>
  <c r="F164" i="39"/>
  <c r="F94" i="39"/>
  <c r="D130" i="38"/>
  <c r="D11" i="48"/>
  <c r="D12" i="48" s="1"/>
  <c r="E86" i="39" s="1"/>
  <c r="B18" i="308"/>
  <c r="B20" i="308" s="1"/>
  <c r="F7" i="39"/>
  <c r="D86" i="39" s="1"/>
  <c r="D19" i="308"/>
  <c r="D9" i="308"/>
  <c r="D12" i="308" s="1"/>
  <c r="D20" i="308" s="1"/>
  <c r="B64" i="293"/>
  <c r="B65" i="293" s="1"/>
  <c r="B66" i="293" s="1"/>
  <c r="F57" i="41"/>
  <c r="H58" i="41"/>
  <c r="G58" i="41"/>
  <c r="D28" i="308"/>
  <c r="D34" i="308" s="1"/>
  <c r="D27" i="308"/>
  <c r="D33" i="308" s="1"/>
  <c r="B29" i="308"/>
  <c r="B35" i="308"/>
  <c r="F130" i="38" l="1"/>
  <c r="B12" i="37" s="1"/>
  <c r="B13" i="37" s="1"/>
  <c r="D66" i="293"/>
  <c r="F86" i="39"/>
  <c r="E175" i="39"/>
  <c r="F5" i="39"/>
  <c r="B36" i="308"/>
  <c r="C13" i="42" s="1"/>
  <c r="C14" i="42" s="1"/>
  <c r="D36" i="308"/>
  <c r="F13" i="42" s="1"/>
  <c r="F14" i="42" s="1"/>
  <c r="B19" i="37" s="1"/>
  <c r="D43" i="293"/>
  <c r="D42" i="293"/>
  <c r="F56" i="41"/>
  <c r="H57" i="41"/>
  <c r="G57" i="41"/>
  <c r="D29" i="308"/>
  <c r="D35" i="308"/>
  <c r="B23" i="37" s="1"/>
  <c r="H56" i="41" l="1"/>
  <c r="F55" i="41"/>
  <c r="G56" i="41"/>
  <c r="F54" i="41" l="1"/>
  <c r="H55" i="41"/>
  <c r="G55" i="41"/>
  <c r="F53" i="41" l="1"/>
  <c r="H54" i="41"/>
  <c r="G54" i="41"/>
  <c r="F52" i="41" l="1"/>
  <c r="G53" i="41"/>
  <c r="H53" i="41"/>
  <c r="F51" i="41" l="1"/>
  <c r="H52" i="41"/>
  <c r="G52" i="41"/>
  <c r="F50" i="41" l="1"/>
  <c r="H51" i="41"/>
  <c r="G51" i="41"/>
  <c r="H50" i="41" l="1"/>
  <c r="H71" i="41" s="1"/>
  <c r="G50" i="41"/>
  <c r="G71" i="41" s="1"/>
  <c r="F93" i="39" s="1"/>
  <c r="F136" i="39" l="1"/>
  <c r="F133" i="39" s="1"/>
  <c r="F131" i="39" s="1"/>
  <c r="F90" i="39"/>
  <c r="F88" i="39" s="1"/>
  <c r="D175" i="39"/>
  <c r="F175" i="39" s="1"/>
  <c r="F181" i="39" s="1"/>
  <c r="B15" i="37" s="1"/>
  <c r="F87" i="39" l="1"/>
  <c r="B16" i="37"/>
  <c r="B26" i="37"/>
  <c r="C15" i="37" s="1"/>
  <c r="C14" i="37" l="1"/>
  <c r="C22" i="37"/>
  <c r="C24" i="37"/>
  <c r="C21" i="37"/>
  <c r="C20" i="37"/>
  <c r="C17" i="37"/>
  <c r="C25" i="37"/>
  <c r="C12" i="37"/>
  <c r="C18" i="37"/>
  <c r="C19" i="37"/>
  <c r="C13" i="37"/>
  <c r="C23" i="37"/>
  <c r="C16" i="37"/>
  <c r="B27" i="37"/>
  <c r="C13" i="292"/>
  <c r="C26" i="37" l="1"/>
  <c r="B13" i="292"/>
  <c r="D13" i="292" s="1"/>
  <c r="D14" i="37"/>
  <c r="E6" i="293"/>
  <c r="D22" i="37"/>
  <c r="D24" i="37"/>
  <c r="D21" i="37"/>
  <c r="D20" i="37"/>
  <c r="D17" i="37"/>
  <c r="D25" i="37"/>
  <c r="D18" i="37"/>
  <c r="D12" i="37"/>
  <c r="D19" i="37"/>
  <c r="D13" i="37"/>
  <c r="D23" i="37"/>
  <c r="D15" i="37"/>
  <c r="D16" i="37"/>
  <c r="G8" i="293" l="1"/>
  <c r="G7" i="293"/>
  <c r="G41" i="293" s="1"/>
  <c r="G49" i="293" l="1"/>
  <c r="G56" i="293" l="1"/>
  <c r="G57" i="293"/>
  <c r="E13" i="292" s="1"/>
  <c r="F13" i="292" s="1"/>
  <c r="G13" i="292" s="1"/>
  <c r="E13" i="293" s="1"/>
  <c r="G13" i="293" s="1"/>
  <c r="G32" i="293" s="1"/>
  <c r="G59" i="293" s="1"/>
  <c r="B28" i="37" s="1"/>
  <c r="B29" i="37" s="1"/>
  <c r="G58" i="293" l="1"/>
</calcChain>
</file>

<file path=xl/sharedStrings.xml><?xml version="1.0" encoding="utf-8"?>
<sst xmlns="http://schemas.openxmlformats.org/spreadsheetml/2006/main" count="18952" uniqueCount="8851">
  <si>
    <t/>
  </si>
  <si>
    <t>6277</t>
  </si>
  <si>
    <t>(33)=[(31)-(16)]-[(32)-(17)]</t>
    <phoneticPr fontId="7" type="noConversion"/>
  </si>
  <si>
    <t>註：</t>
  </si>
  <si>
    <t>twCCC+</t>
  </si>
  <si>
    <t>twCCC</t>
  </si>
  <si>
    <t>小計</t>
    <phoneticPr fontId="9" type="noConversion"/>
  </si>
  <si>
    <t>6</t>
    <phoneticPr fontId="9" type="noConversion"/>
  </si>
  <si>
    <t>其他填報應注意事項請併參填報說明。</t>
    <phoneticPr fontId="9" type="noConversion"/>
  </si>
  <si>
    <t>(10)</t>
    <phoneticPr fontId="9" type="noConversion"/>
  </si>
  <si>
    <t>滿期自留保費</t>
    <phoneticPr fontId="7" type="noConversion"/>
  </si>
  <si>
    <t>提存率</t>
    <phoneticPr fontId="7" type="noConversion"/>
  </si>
  <si>
    <t>本年度提存數</t>
    <phoneticPr fontId="7" type="noConversion"/>
  </si>
  <si>
    <t>重大事故特別準備金期初餘額(負債)</t>
    <phoneticPr fontId="9" type="noConversion"/>
  </si>
  <si>
    <t>重大事故特別準備金期初餘額(權益)</t>
    <phoneticPr fontId="7" type="noConversion"/>
  </si>
  <si>
    <t>重大事故特別準備金(權益)期初餘額及本年度提存合計</t>
    <phoneticPr fontId="9" type="noConversion"/>
  </si>
  <si>
    <t>重大事故自留賠款</t>
    <phoneticPr fontId="9" type="noConversion"/>
  </si>
  <si>
    <t>可沖減之重大事故特別準備金
(負債)</t>
    <phoneticPr fontId="9" type="noConversion"/>
  </si>
  <si>
    <t>可沖減之重大事故特別準備金
(權益)</t>
    <phoneticPr fontId="9" type="noConversion"/>
  </si>
  <si>
    <t>超過15年之每年得收回數合計</t>
    <phoneticPr fontId="9" type="noConversion"/>
  </si>
  <si>
    <t>本年度實際沖減收回數</t>
    <phoneticPr fontId="9" type="noConversion"/>
  </si>
  <si>
    <t>本年度實際沖減收回數(負債)</t>
    <phoneticPr fontId="7" type="noConversion"/>
  </si>
  <si>
    <t>本年度實際沖減收回數(權益)</t>
    <phoneticPr fontId="7" type="noConversion"/>
  </si>
  <si>
    <t>本年度補收重大事故特別準備金
(負債)</t>
    <phoneticPr fontId="9" type="noConversion"/>
  </si>
  <si>
    <t>本年度補提或補收重大事故特別準備金
(權益)</t>
    <phoneticPr fontId="9" type="noConversion"/>
  </si>
  <si>
    <t>重大事故特別準備金期末餘額
(負債)</t>
    <phoneticPr fontId="9" type="noConversion"/>
  </si>
  <si>
    <t>重大事故特別準備金期末餘額(權益)</t>
    <phoneticPr fontId="9" type="noConversion"/>
  </si>
  <si>
    <t>備註</t>
    <phoneticPr fontId="9" type="noConversion"/>
  </si>
  <si>
    <t>(1)</t>
    <phoneticPr fontId="9" type="noConversion"/>
  </si>
  <si>
    <t>(2)</t>
    <phoneticPr fontId="7" type="noConversion"/>
  </si>
  <si>
    <t>(3)</t>
    <phoneticPr fontId="7" type="noConversion"/>
  </si>
  <si>
    <t>(4)</t>
    <phoneticPr fontId="9" type="noConversion"/>
  </si>
  <si>
    <t>(5)</t>
    <phoneticPr fontId="7" type="noConversion"/>
  </si>
  <si>
    <t>(6)</t>
    <phoneticPr fontId="9" type="noConversion"/>
  </si>
  <si>
    <t>(7)</t>
    <phoneticPr fontId="9" type="noConversion"/>
  </si>
  <si>
    <t>(8)</t>
    <phoneticPr fontId="9" type="noConversion"/>
  </si>
  <si>
    <t>(11)</t>
    <phoneticPr fontId="9" type="noConversion"/>
  </si>
  <si>
    <t>(12)</t>
    <phoneticPr fontId="7" type="noConversion"/>
  </si>
  <si>
    <t>(13)</t>
    <phoneticPr fontId="7" type="noConversion"/>
  </si>
  <si>
    <t>(14)</t>
    <phoneticPr fontId="9" type="noConversion"/>
  </si>
  <si>
    <t>(15)</t>
    <phoneticPr fontId="7" type="noConversion"/>
  </si>
  <si>
    <t>(16)</t>
    <phoneticPr fontId="9" type="noConversion"/>
  </si>
  <si>
    <t>(17)</t>
    <phoneticPr fontId="7" type="noConversion"/>
  </si>
  <si>
    <t>(18)</t>
    <phoneticPr fontId="9" type="noConversion"/>
  </si>
  <si>
    <t>欄(14)及(15)本年度補提或補收重大事故特別準備金來自表25-5重大事故特別準備金收回提存明細表,各重大事故當年度第(c)列之加總,正數表收回,負數表提存</t>
    <phoneticPr fontId="9" type="noConversion"/>
  </si>
  <si>
    <t xml:space="preserve">滿期自留保費
</t>
    <phoneticPr fontId="7" type="noConversion"/>
  </si>
  <si>
    <t>實際賠款　</t>
    <phoneticPr fontId="9" type="noConversion"/>
  </si>
  <si>
    <t>重大事故自留賠款</t>
    <phoneticPr fontId="7" type="noConversion"/>
  </si>
  <si>
    <t>重大事故特別準備金沖減分攤額</t>
    <phoneticPr fontId="7" type="noConversion"/>
  </si>
  <si>
    <t>實際賠款扣除重大事故特別準備金沖減後之自留賠款</t>
    <phoneticPr fontId="7" type="noConversion"/>
  </si>
  <si>
    <t>本年度收回危險變動特別準備金</t>
    <phoneticPr fontId="7" type="noConversion"/>
  </si>
  <si>
    <t>期初餘額  (負債)</t>
    <phoneticPr fontId="7" type="noConversion"/>
  </si>
  <si>
    <t>期初餘額   (權益)</t>
    <phoneticPr fontId="7" type="noConversion"/>
  </si>
  <si>
    <t>(9)-(15)＞0時，跨險沖減數額
(負債)(註6)</t>
    <phoneticPr fontId="7" type="noConversion"/>
  </si>
  <si>
    <t>(10)-(16)＞0時，跨險沖減數額
(權益)  (註6)</t>
    <phoneticPr fontId="7" type="noConversion"/>
  </si>
  <si>
    <t xml:space="preserve">期末餘額
(負債)
</t>
    <phoneticPr fontId="7" type="noConversion"/>
  </si>
  <si>
    <t xml:space="preserve">期末餘額
(權益)  </t>
    <phoneticPr fontId="7" type="noConversion"/>
  </si>
  <si>
    <t>高於預計賠款收回數
(負債)(註5)</t>
    <phoneticPr fontId="7" type="noConversion"/>
  </si>
  <si>
    <t xml:space="preserve">高於預計賠款收回數  (權益)(註5)
</t>
    <phoneticPr fontId="7" type="noConversion"/>
  </si>
  <si>
    <t xml:space="preserve">超過已滿期保費60%部分收回數(負債)(註5)
</t>
    <phoneticPr fontId="7" type="noConversion"/>
  </si>
  <si>
    <t xml:space="preserve">超過已滿期保費60%部分收回數(權益)(註5)
</t>
    <phoneticPr fontId="7" type="noConversion"/>
  </si>
  <si>
    <t>收回合計數
(負債)</t>
    <phoneticPr fontId="9" type="noConversion"/>
  </si>
  <si>
    <t>收回合計數
(權益)</t>
    <phoneticPr fontId="9" type="noConversion"/>
  </si>
  <si>
    <t>(3)</t>
    <phoneticPr fontId="9" type="noConversion"/>
  </si>
  <si>
    <t>(5)</t>
    <phoneticPr fontId="9" type="noConversion"/>
  </si>
  <si>
    <t>(9)</t>
    <phoneticPr fontId="9" type="noConversion"/>
  </si>
  <si>
    <t>(10)</t>
    <phoneticPr fontId="9" type="noConversion"/>
  </si>
  <si>
    <t>(12)</t>
    <phoneticPr fontId="9" type="noConversion"/>
  </si>
  <si>
    <t>(13)</t>
    <phoneticPr fontId="9" type="noConversion"/>
  </si>
  <si>
    <t>(15)</t>
    <phoneticPr fontId="9" type="noConversion"/>
  </si>
  <si>
    <t>(17)</t>
    <phoneticPr fontId="9" type="noConversion"/>
  </si>
  <si>
    <t>(19)</t>
    <phoneticPr fontId="9" type="noConversion"/>
  </si>
  <si>
    <t>(20)</t>
    <phoneticPr fontId="9" type="noConversion"/>
  </si>
  <si>
    <t>(21)</t>
    <phoneticPr fontId="9" type="noConversion"/>
  </si>
  <si>
    <t xml:space="preserve">   </t>
    <phoneticPr fontId="9" type="noConversion"/>
  </si>
  <si>
    <t>期末餘額</t>
    <phoneticPr fontId="9" type="noConversion"/>
  </si>
  <si>
    <t>期初餘額</t>
    <phoneticPr fontId="9" type="noConversion"/>
  </si>
  <si>
    <t>欄(11)至(13)：</t>
    <phoneticPr fontId="9" type="noConversion"/>
  </si>
  <si>
    <t>(1)</t>
    <phoneticPr fontId="7" type="noConversion"/>
  </si>
  <si>
    <t>(18)</t>
    <phoneticPr fontId="7" type="noConversion"/>
  </si>
  <si>
    <t>(19)</t>
    <phoneticPr fontId="7" type="noConversion"/>
  </si>
  <si>
    <t>(20)=(15)-(18)</t>
    <phoneticPr fontId="7" type="noConversion"/>
  </si>
  <si>
    <t>(21)=(19)-(20)</t>
    <phoneticPr fontId="7" type="noConversion"/>
  </si>
  <si>
    <t>(22)</t>
    <phoneticPr fontId="7" type="noConversion"/>
  </si>
  <si>
    <t>(23)</t>
    <phoneticPr fontId="7" type="noConversion"/>
  </si>
  <si>
    <t>(31)</t>
  </si>
  <si>
    <t>(32)</t>
  </si>
  <si>
    <t>(34)</t>
  </si>
  <si>
    <t>(35)</t>
  </si>
  <si>
    <t>(22)</t>
    <phoneticPr fontId="9" type="noConversion"/>
  </si>
  <si>
    <t>(23)</t>
    <phoneticPr fontId="9" type="noConversion"/>
  </si>
  <si>
    <t>預計數</t>
  </si>
  <si>
    <t>淨自留賠款</t>
  </si>
  <si>
    <t>本年度賠款準備金(總額)</t>
    <phoneticPr fontId="7" type="noConversion"/>
  </si>
  <si>
    <t>列號</t>
    <phoneticPr fontId="7" type="noConversion"/>
  </si>
  <si>
    <t>(8)</t>
    <phoneticPr fontId="9" type="noConversion"/>
  </si>
  <si>
    <t>佣金包含盈餘佣金。</t>
    <phoneticPr fontId="6" type="noConversion"/>
  </si>
  <si>
    <t>計算半年度之未適格再保險準備時應考慮前一年度7月1日至本年度6月30日止之所有影響數</t>
    <phoneticPr fontId="9" type="noConversion"/>
  </si>
  <si>
    <t>未付不可分配理賠費用</t>
    <phoneticPr fontId="9" type="noConversion"/>
  </si>
  <si>
    <t>本期直接簽單業務</t>
    <phoneticPr fontId="7" type="noConversion"/>
  </si>
  <si>
    <t>本年度累計直接簽單業務</t>
    <phoneticPr fontId="7" type="noConversion"/>
  </si>
  <si>
    <t>保單件數</t>
    <phoneticPr fontId="7" type="noConversion"/>
  </si>
  <si>
    <t>自留綜合率</t>
    <phoneticPr fontId="7" type="noConversion"/>
  </si>
  <si>
    <t>(1)</t>
    <phoneticPr fontId="9" type="noConversion"/>
  </si>
  <si>
    <t>5</t>
    <phoneticPr fontId="9" type="noConversion"/>
  </si>
  <si>
    <t>單位：新台幣元,%</t>
    <phoneticPr fontId="12" type="noConversion"/>
  </si>
  <si>
    <t>自留保費比重(%)</t>
    <phoneticPr fontId="9" type="noConversion"/>
  </si>
  <si>
    <t>政策性地震保險</t>
    <phoneticPr fontId="9" type="noConversion"/>
  </si>
  <si>
    <t>自留費用</t>
    <phoneticPr fontId="7" type="noConversion"/>
  </si>
  <si>
    <t>滿期自留保費</t>
    <phoneticPr fontId="7" type="noConversion"/>
  </si>
  <si>
    <t>上年度同期</t>
    <phoneticPr fontId="9" type="noConversion"/>
  </si>
  <si>
    <t>本年度</t>
    <phoneticPr fontId="9" type="noConversion"/>
  </si>
  <si>
    <t>自留損失率</t>
    <phoneticPr fontId="9" type="noConversion"/>
  </si>
  <si>
    <t>2003年度重大事故特別準備金期初累計總數及本年度實際沖減收回數分別依財政部2002.12.30台財保字第0910077032號函第五點第三款及第四點第三款規定辦理</t>
    <phoneticPr fontId="7" type="noConversion"/>
  </si>
  <si>
    <t>可沖減之重大事故特別準備金：Σ(7)-3000萬＜0時,填"0"。Σ(7)-3000萬&gt;0時,則應以該差額回分各險並填列各險種所得沖減之金額,其合計數應等於Σ(7)-3000萬之餘額</t>
    <phoneticPr fontId="9" type="noConversion"/>
  </si>
  <si>
    <t>本期應提存之分出未滿期保費準備</t>
    <phoneticPr fontId="9" type="noConversion"/>
  </si>
  <si>
    <t>已報未付之分出賠款準備</t>
    <phoneticPr fontId="9" type="noConversion"/>
  </si>
  <si>
    <t>單位：新台幣元,%</t>
    <phoneticPr fontId="7" type="noConversion"/>
  </si>
  <si>
    <t>列號</t>
    <phoneticPr fontId="7" type="noConversion"/>
  </si>
  <si>
    <t>險別</t>
    <phoneticPr fontId="7" type="noConversion"/>
  </si>
  <si>
    <t>備註</t>
    <phoneticPr fontId="7" type="noConversion"/>
  </si>
  <si>
    <t>保費收入</t>
    <phoneticPr fontId="7" type="noConversion"/>
  </si>
  <si>
    <t>賠款件數</t>
    <phoneticPr fontId="7" type="noConversion"/>
  </si>
  <si>
    <t>賠款支出</t>
    <phoneticPr fontId="7" type="noConversion"/>
  </si>
  <si>
    <t>賠款支出占保費收入比率</t>
    <phoneticPr fontId="7" type="noConversion"/>
  </si>
  <si>
    <t>合計</t>
    <phoneticPr fontId="7" type="noConversion"/>
  </si>
  <si>
    <t>表19-3：未適格再保險準備明細表</t>
    <phoneticPr fontId="7" type="noConversion"/>
  </si>
  <si>
    <t>單位：新台幣元,%</t>
    <phoneticPr fontId="9" type="noConversion"/>
  </si>
  <si>
    <t>再保險經紀人</t>
    <phoneticPr fontId="6" type="noConversion"/>
  </si>
  <si>
    <t>再保佣金收入</t>
    <phoneticPr fontId="9" type="noConversion"/>
  </si>
  <si>
    <t>未逾九個月之已付賠款應攤回再保賠款與給付</t>
    <phoneticPr fontId="9" type="noConversion"/>
  </si>
  <si>
    <t>再保險存入保證金</t>
    <phoneticPr fontId="9" type="noConversion"/>
  </si>
  <si>
    <t>本期應增提或迴轉未適格再保險準備</t>
    <phoneticPr fontId="9" type="noConversion"/>
  </si>
  <si>
    <t>代號</t>
    <phoneticPr fontId="9" type="noConversion"/>
  </si>
  <si>
    <t>名稱</t>
    <phoneticPr fontId="9" type="noConversion"/>
  </si>
  <si>
    <t>信用評等機構</t>
    <phoneticPr fontId="9" type="noConversion"/>
  </si>
  <si>
    <t>(20)</t>
    <phoneticPr fontId="9" type="noConversion"/>
  </si>
  <si>
    <t>(21)</t>
    <phoneticPr fontId="9" type="noConversion"/>
  </si>
  <si>
    <t>小計</t>
    <phoneticPr fontId="9" type="noConversion"/>
  </si>
  <si>
    <t>(5)</t>
    <phoneticPr fontId="9" type="noConversion"/>
  </si>
  <si>
    <t>(7)</t>
    <phoneticPr fontId="9" type="noConversion"/>
  </si>
  <si>
    <t>(8)</t>
    <phoneticPr fontId="9" type="noConversion"/>
  </si>
  <si>
    <t>(10)</t>
    <phoneticPr fontId="9" type="noConversion"/>
  </si>
  <si>
    <t>(23)</t>
  </si>
  <si>
    <t>(24)</t>
  </si>
  <si>
    <t>(13)=((10)+(11))/(7)</t>
    <phoneticPr fontId="7" type="noConversion"/>
  </si>
  <si>
    <t>未付不可分配理賠費用提存淨額</t>
    <phoneticPr fontId="9" type="noConversion"/>
  </si>
  <si>
    <t>(1)</t>
    <phoneticPr fontId="12" type="noConversion"/>
  </si>
  <si>
    <t>(6)=(5)/(2)</t>
    <phoneticPr fontId="7" type="noConversion"/>
  </si>
  <si>
    <t>單位：新台幣元．％</t>
    <phoneticPr fontId="9" type="noConversion"/>
  </si>
  <si>
    <t>Aaa</t>
  </si>
  <si>
    <t>Aa1</t>
  </si>
  <si>
    <t>Aa2</t>
  </si>
  <si>
    <t>Aa3</t>
  </si>
  <si>
    <t>A1</t>
  </si>
  <si>
    <t>A2</t>
  </si>
  <si>
    <t>A3</t>
  </si>
  <si>
    <t>Baa1</t>
  </si>
  <si>
    <t>Baa2</t>
  </si>
  <si>
    <t>Baa3</t>
  </si>
  <si>
    <t>Ba1</t>
  </si>
  <si>
    <t>Ba2</t>
  </si>
  <si>
    <t>B1</t>
  </si>
  <si>
    <t>B2</t>
  </si>
  <si>
    <t>B3</t>
  </si>
  <si>
    <t>Caa1</t>
  </si>
  <si>
    <t>Caa2</t>
  </si>
  <si>
    <t>Caa3</t>
  </si>
  <si>
    <t>Ca</t>
  </si>
  <si>
    <t>C</t>
  </si>
  <si>
    <t>單位：新台幣元,％</t>
  </si>
  <si>
    <t>(3)</t>
  </si>
  <si>
    <t>(4)</t>
  </si>
  <si>
    <t>(5)</t>
  </si>
  <si>
    <t>(6)</t>
  </si>
  <si>
    <t>(7)</t>
  </si>
  <si>
    <t>(8)</t>
  </si>
  <si>
    <t>(9)</t>
  </si>
  <si>
    <t>(10)</t>
  </si>
  <si>
    <t>(11)</t>
  </si>
  <si>
    <t>(12)</t>
  </si>
  <si>
    <t>15</t>
    <phoneticPr fontId="7" type="noConversion"/>
  </si>
  <si>
    <t>船體保險</t>
    <phoneticPr fontId="9" type="noConversion"/>
  </si>
  <si>
    <t>漁船保險</t>
    <phoneticPr fontId="9" type="noConversion"/>
  </si>
  <si>
    <t>航空保險</t>
    <phoneticPr fontId="9" type="noConversion"/>
  </si>
  <si>
    <t>一般自用汽車財產損失保險</t>
    <phoneticPr fontId="9" type="noConversion"/>
  </si>
  <si>
    <t>信用保險</t>
    <phoneticPr fontId="9" type="noConversion"/>
  </si>
  <si>
    <t>其他財產保險</t>
    <phoneticPr fontId="9" type="noConversion"/>
  </si>
  <si>
    <t>長期商業火災保險</t>
    <phoneticPr fontId="9" type="noConversion"/>
  </si>
  <si>
    <t>內陸運輸保險</t>
    <phoneticPr fontId="9" type="noConversion"/>
  </si>
  <si>
    <t>貨物運輸保險</t>
    <phoneticPr fontId="9" type="noConversion"/>
  </si>
  <si>
    <t>(9)=(6)+(7)-(8)</t>
    <phoneticPr fontId="7" type="noConversion"/>
  </si>
  <si>
    <t>(10)=(8)/((6)+(7))</t>
    <phoneticPr fontId="7" type="noConversion"/>
  </si>
  <si>
    <t>(14)=(12)-(13)</t>
    <phoneticPr fontId="9" type="noConversion"/>
  </si>
  <si>
    <t>(16)=(6)+(7)+(12)+(15)</t>
    <phoneticPr fontId="9" type="noConversion"/>
  </si>
  <si>
    <t>合計</t>
    <phoneticPr fontId="9" type="noConversion"/>
  </si>
  <si>
    <t>險別</t>
  </si>
  <si>
    <t>註：</t>
    <phoneticPr fontId="9" type="noConversion"/>
  </si>
  <si>
    <t>備註</t>
    <phoneticPr fontId="9" type="noConversion"/>
  </si>
  <si>
    <t>一年期住宅火災保險</t>
    <phoneticPr fontId="9" type="noConversion"/>
  </si>
  <si>
    <t>長期住宅火災保險</t>
    <phoneticPr fontId="9" type="noConversion"/>
  </si>
  <si>
    <t>一年期商業火災保險</t>
    <phoneticPr fontId="9" type="noConversion"/>
  </si>
  <si>
    <t>2</t>
    <phoneticPr fontId="9" type="noConversion"/>
  </si>
  <si>
    <t>未報賠款準備金</t>
    <phoneticPr fontId="7" type="noConversion"/>
  </si>
  <si>
    <t>(12)=[(10)+(11)]/[(8)+(9)]-1</t>
    <phoneticPr fontId="7" type="noConversion"/>
  </si>
  <si>
    <t>保證保險</t>
    <phoneticPr fontId="9" type="noConversion"/>
  </si>
  <si>
    <t>商業性地震保險</t>
    <phoneticPr fontId="9" type="noConversion"/>
  </si>
  <si>
    <t>註:</t>
    <phoneticPr fontId="9" type="noConversion"/>
  </si>
  <si>
    <t>(2)</t>
    <phoneticPr fontId="9" type="noConversion"/>
  </si>
  <si>
    <t>(1)</t>
    <phoneticPr fontId="6" type="noConversion"/>
  </si>
  <si>
    <t>(2)</t>
    <phoneticPr fontId="6" type="noConversion"/>
  </si>
  <si>
    <t>%</t>
    <phoneticPr fontId="7" type="noConversion"/>
  </si>
  <si>
    <t>(1)</t>
    <phoneticPr fontId="7" type="noConversion"/>
  </si>
  <si>
    <t>(14)=(6)+(13)</t>
    <phoneticPr fontId="7" type="noConversion"/>
  </si>
  <si>
    <t>2欄5應包含經紀人佣金、代理費、招攬業務之營業單位之一切成本開支、外務員報酬、保費折讓、已付不可分配理賠費用，及一般費用等。</t>
    <phoneticPr fontId="9" type="noConversion"/>
  </si>
  <si>
    <t>＜3個月</t>
  </si>
  <si>
    <t>3個月～6個月（不含）</t>
  </si>
  <si>
    <t>6個月～9個月（不含）</t>
  </si>
  <si>
    <t>9個月～12個月（不含）</t>
  </si>
  <si>
    <t>12個月～18個月（不含）</t>
  </si>
  <si>
    <t>18個月～24個月（不含）</t>
  </si>
  <si>
    <t>5</t>
  </si>
  <si>
    <t>6</t>
  </si>
  <si>
    <t>7</t>
  </si>
  <si>
    <t>8</t>
  </si>
  <si>
    <t>9</t>
  </si>
  <si>
    <t>10</t>
  </si>
  <si>
    <t>11</t>
  </si>
  <si>
    <t>12</t>
  </si>
  <si>
    <t>13</t>
  </si>
  <si>
    <t>14</t>
  </si>
  <si>
    <t>15</t>
  </si>
  <si>
    <t>Herfindahl Index</t>
  </si>
  <si>
    <t>E-MAIL</t>
    <phoneticPr fontId="7" type="noConversion"/>
  </si>
  <si>
    <t>(4)</t>
    <phoneticPr fontId="9" type="noConversion"/>
  </si>
  <si>
    <t>1</t>
  </si>
  <si>
    <t>(30)</t>
  </si>
  <si>
    <t>年度(月、季、半年)報表</t>
    <phoneticPr fontId="7" type="noConversion"/>
  </si>
  <si>
    <t>(公司英文名稱:                    )</t>
    <phoneticPr fontId="7" type="noConversion"/>
  </si>
  <si>
    <t>中華民國     年度</t>
    <phoneticPr fontId="7" type="noConversion"/>
  </si>
  <si>
    <t>財產保險業</t>
    <phoneticPr fontId="7" type="noConversion"/>
  </si>
  <si>
    <t>(a)</t>
    <phoneticPr fontId="9" type="noConversion"/>
  </si>
  <si>
    <t>(b)</t>
    <phoneticPr fontId="9" type="noConversion"/>
  </si>
  <si>
    <t>列號</t>
    <phoneticPr fontId="9" type="noConversion"/>
  </si>
  <si>
    <t>評等等級</t>
    <phoneticPr fontId="9" type="noConversion"/>
  </si>
  <si>
    <t>(15)</t>
    <phoneticPr fontId="9" type="noConversion"/>
  </si>
  <si>
    <t>本期提存未適格再保險準備餘額</t>
    <phoneticPr fontId="9" type="noConversion"/>
  </si>
  <si>
    <t>上期提存未適格再保險準備餘額</t>
    <phoneticPr fontId="9" type="noConversion"/>
  </si>
  <si>
    <t>核能會分進業務均屬國內核能保險業務。</t>
    <phoneticPr fontId="9" type="noConversion"/>
  </si>
  <si>
    <t>上年度同期累計自留保費</t>
    <phoneticPr fontId="12" type="noConversion"/>
  </si>
  <si>
    <t>本年度累計自留保費</t>
    <phoneticPr fontId="12" type="noConversion"/>
  </si>
  <si>
    <t>成長率(%)</t>
    <phoneticPr fontId="12" type="noConversion"/>
  </si>
  <si>
    <t>自留費用率(%)</t>
    <phoneticPr fontId="7" type="noConversion"/>
  </si>
  <si>
    <t>自留賠款
增減率(%)</t>
    <phoneticPr fontId="9" type="noConversion"/>
  </si>
  <si>
    <t>(7)</t>
    <phoneticPr fontId="9" type="noConversion"/>
  </si>
  <si>
    <t>再保險人</t>
  </si>
  <si>
    <t>再保費支出</t>
  </si>
  <si>
    <t>再保賠款</t>
  </si>
  <si>
    <t>評等等級請依最新信用評等機構評定填寫，若無者請填無。</t>
  </si>
  <si>
    <t>颱風洪水保險</t>
  </si>
  <si>
    <t>國外再保分進業務</t>
  </si>
  <si>
    <t>保費支出</t>
  </si>
  <si>
    <t>(17)=(9)+(14)+(15)</t>
    <phoneticPr fontId="9" type="noConversion"/>
  </si>
  <si>
    <t>採已(未)決基礎小計</t>
    <phoneticPr fontId="9" type="noConversion"/>
  </si>
  <si>
    <t>採已(未)付基礎小計</t>
    <phoneticPr fontId="9" type="noConversion"/>
  </si>
  <si>
    <t>總          計</t>
  </si>
  <si>
    <t>佣金支出</t>
  </si>
  <si>
    <t>政策性地震保險</t>
  </si>
  <si>
    <t>(4)</t>
    <phoneticPr fontId="6" type="noConversion"/>
  </si>
  <si>
    <t>(5)</t>
    <phoneticPr fontId="6" type="noConversion"/>
  </si>
  <si>
    <t>(6)</t>
    <phoneticPr fontId="6" type="noConversion"/>
  </si>
  <si>
    <t>(1)</t>
    <phoneticPr fontId="9" type="noConversion"/>
  </si>
  <si>
    <t>(9)</t>
    <phoneticPr fontId="9" type="noConversion"/>
  </si>
  <si>
    <t>合計</t>
    <phoneticPr fontId="9" type="noConversion"/>
  </si>
  <si>
    <t>註:</t>
    <phoneticPr fontId="9" type="noConversion"/>
  </si>
  <si>
    <t>AAA</t>
    <phoneticPr fontId="9" type="noConversion"/>
  </si>
  <si>
    <t>AA</t>
    <phoneticPr fontId="9" type="noConversion"/>
  </si>
  <si>
    <t>A</t>
    <phoneticPr fontId="9" type="noConversion"/>
  </si>
  <si>
    <t>(16)</t>
    <phoneticPr fontId="9" type="noConversion"/>
  </si>
  <si>
    <t>(17)</t>
    <phoneticPr fontId="9" type="noConversion"/>
  </si>
  <si>
    <t>(18)</t>
    <phoneticPr fontId="9" type="noConversion"/>
  </si>
  <si>
    <t>(19)</t>
    <phoneticPr fontId="9" type="noConversion"/>
  </si>
  <si>
    <t>(f)</t>
    <phoneticPr fontId="9" type="noConversion"/>
  </si>
  <si>
    <t>佣金收入</t>
  </si>
  <si>
    <t>Moody's</t>
    <phoneticPr fontId="9" type="noConversion"/>
  </si>
  <si>
    <t>保險賠款及可分配理賠費用</t>
    <phoneticPr fontId="9" type="noConversion"/>
  </si>
  <si>
    <t>(4)=(1)+(2)-(3)</t>
    <phoneticPr fontId="7" type="noConversion"/>
  </si>
  <si>
    <t>(5)=(3)/((1)+(2))</t>
    <phoneticPr fontId="7" type="noConversion"/>
  </si>
  <si>
    <t xml:space="preserve"> </t>
    <phoneticPr fontId="9" type="noConversion"/>
  </si>
  <si>
    <t>強制自用汽車責任保險</t>
    <phoneticPr fontId="9" type="noConversion"/>
  </si>
  <si>
    <t>強制商業汽車責任保險</t>
    <phoneticPr fontId="9" type="noConversion"/>
  </si>
  <si>
    <t>強制機車責任保險</t>
    <phoneticPr fontId="9" type="noConversion"/>
  </si>
  <si>
    <t>一般責任保險</t>
    <phoneticPr fontId="9" type="noConversion"/>
  </si>
  <si>
    <t>專業責任保險</t>
    <phoneticPr fontId="9" type="noConversion"/>
  </si>
  <si>
    <t>工程保險</t>
    <phoneticPr fontId="9" type="noConversion"/>
  </si>
  <si>
    <t>核能保險</t>
    <phoneticPr fontId="9" type="noConversion"/>
  </si>
  <si>
    <t xml:space="preserve"> </t>
  </si>
  <si>
    <t>2</t>
  </si>
  <si>
    <t>3</t>
  </si>
  <si>
    <t>4</t>
  </si>
  <si>
    <t>(25)</t>
  </si>
  <si>
    <t>(26)</t>
  </si>
  <si>
    <t>(27)</t>
  </si>
  <si>
    <t>(28)</t>
  </si>
  <si>
    <t>(29)</t>
  </si>
  <si>
    <t>再保費</t>
    <phoneticPr fontId="9" type="noConversion"/>
  </si>
  <si>
    <t>收入</t>
    <phoneticPr fontId="9" type="noConversion"/>
  </si>
  <si>
    <r>
      <t>賠款支出</t>
    </r>
    <r>
      <rPr>
        <sz val="10"/>
        <rFont val="Times New Roman"/>
        <family val="1"/>
      </rPr>
      <t/>
    </r>
    <phoneticPr fontId="9" type="noConversion"/>
  </si>
  <si>
    <t>%</t>
    <phoneticPr fontId="9" type="noConversion"/>
  </si>
  <si>
    <t>(1)</t>
    <phoneticPr fontId="7" type="noConversion"/>
  </si>
  <si>
    <t>(2)</t>
    <phoneticPr fontId="9" type="noConversion"/>
  </si>
  <si>
    <t>(3)</t>
    <phoneticPr fontId="7" type="noConversion"/>
  </si>
  <si>
    <t>(4)</t>
    <phoneticPr fontId="9" type="noConversion"/>
  </si>
  <si>
    <t>(5)=(2)-(4)</t>
    <phoneticPr fontId="9" type="noConversion"/>
  </si>
  <si>
    <t>(6)</t>
    <phoneticPr fontId="9" type="noConversion"/>
  </si>
  <si>
    <t>(7)</t>
    <phoneticPr fontId="7" type="noConversion"/>
  </si>
  <si>
    <t>表19-6：再保險資產－帳齡分析(應收再保往來款項)</t>
    <phoneticPr fontId="7" type="noConversion"/>
  </si>
  <si>
    <t>逾清償日期之期間(註1)</t>
    <phoneticPr fontId="9" type="noConversion"/>
  </si>
  <si>
    <t>爭議款項(逾清償日期之期間)</t>
    <phoneticPr fontId="9" type="noConversion"/>
  </si>
  <si>
    <t>超過清償日期9個月比率</t>
    <phoneticPr fontId="9" type="noConversion"/>
  </si>
  <si>
    <t>超過清償日期2年比率</t>
    <phoneticPr fontId="9" type="noConversion"/>
  </si>
  <si>
    <t>≧24個月</t>
    <phoneticPr fontId="9" type="noConversion"/>
  </si>
  <si>
    <t>＜6個月</t>
    <phoneticPr fontId="9" type="noConversion"/>
  </si>
  <si>
    <t>≧6個月</t>
    <phoneticPr fontId="9" type="noConversion"/>
  </si>
  <si>
    <t>表19-5：再保險資產－帳齡分析(應攤回再保賠款與給付)</t>
    <phoneticPr fontId="7" type="noConversion"/>
  </si>
  <si>
    <t>國內</t>
    <phoneticPr fontId="9" type="noConversion"/>
  </si>
  <si>
    <t>國外</t>
    <phoneticPr fontId="9" type="noConversion"/>
  </si>
  <si>
    <t xml:space="preserve"> (11)</t>
    <phoneticPr fontId="9" type="noConversion"/>
  </si>
  <si>
    <t xml:space="preserve"> (13)</t>
    <phoneticPr fontId="9" type="noConversion"/>
  </si>
  <si>
    <t>(2)</t>
    <phoneticPr fontId="9" type="noConversion"/>
  </si>
  <si>
    <t>(4)</t>
    <phoneticPr fontId="9" type="noConversion"/>
  </si>
  <si>
    <t>核能保險</t>
  </si>
  <si>
    <t>(3)</t>
    <phoneticPr fontId="6" type="noConversion"/>
  </si>
  <si>
    <t>一年期住宅火災保險</t>
  </si>
  <si>
    <t>長期住宅火災保險</t>
  </si>
  <si>
    <t>一年期商業火災保險</t>
  </si>
  <si>
    <t>長期商業火災保險</t>
  </si>
  <si>
    <t>內陸運輸保險</t>
  </si>
  <si>
    <t>貨物運輸保險</t>
  </si>
  <si>
    <t>船體保險</t>
  </si>
  <si>
    <t>漁船保險</t>
  </si>
  <si>
    <t>航空保險</t>
  </si>
  <si>
    <t>一般自用汽車財產損失保險</t>
  </si>
  <si>
    <t>一般商業汽車財產損失保險</t>
  </si>
  <si>
    <t>一般自用汽車責任保險</t>
  </si>
  <si>
    <t>一般商業汽車責任保險</t>
  </si>
  <si>
    <t>一般責任保險</t>
  </si>
  <si>
    <t>專業責任保險</t>
  </si>
  <si>
    <t>工程保險</t>
  </si>
  <si>
    <t>保證保險</t>
  </si>
  <si>
    <t>信用保險</t>
  </si>
  <si>
    <t>其他財產保險</t>
  </si>
  <si>
    <t>商業性地震保險</t>
  </si>
  <si>
    <t>個人綜合保險</t>
  </si>
  <si>
    <t>商業綜合保險</t>
  </si>
  <si>
    <t>攤回再保賠款與給付</t>
  </si>
  <si>
    <t>自留賠款</t>
  </si>
  <si>
    <t>攤賠率</t>
  </si>
  <si>
    <t>總       計</t>
  </si>
  <si>
    <t>本表各險請盡量歸類於本表所列險種中，除非費率結構(如附加費用率．預期損失率．各項準備金提存率)有所不同無法歸類者才於空白列另填之</t>
  </si>
  <si>
    <t>(15)=(11)+(12)+(13)-(14)</t>
  </si>
  <si>
    <t>個人綜合保險</t>
    <phoneticPr fontId="9" type="noConversion"/>
  </si>
  <si>
    <t>商業綜合保險</t>
    <phoneticPr fontId="9" type="noConversion"/>
  </si>
  <si>
    <t>颱風洪水保險</t>
    <phoneticPr fontId="9" type="noConversion"/>
  </si>
  <si>
    <t>列</t>
    <phoneticPr fontId="7" type="noConversion"/>
  </si>
  <si>
    <t>號</t>
    <phoneticPr fontId="7" type="noConversion"/>
  </si>
  <si>
    <t>政策性地震保險</t>
    <phoneticPr fontId="7" type="noConversion"/>
  </si>
  <si>
    <t>國外再保分進業務</t>
    <phoneticPr fontId="7" type="noConversion"/>
  </si>
  <si>
    <t xml:space="preserve">  火災保險</t>
    <phoneticPr fontId="9" type="noConversion"/>
  </si>
  <si>
    <t xml:space="preserve">  貨物海上保險</t>
    <phoneticPr fontId="9" type="noConversion"/>
  </si>
  <si>
    <t xml:space="preserve">  船體保險</t>
    <phoneticPr fontId="9" type="noConversion"/>
  </si>
  <si>
    <t xml:space="preserve">  漁船保險</t>
    <phoneticPr fontId="9" type="noConversion"/>
  </si>
  <si>
    <t xml:space="preserve">  汽車保險</t>
    <phoneticPr fontId="9" type="noConversion"/>
  </si>
  <si>
    <t xml:space="preserve">  工程保險</t>
    <phoneticPr fontId="9" type="noConversion"/>
  </si>
  <si>
    <t xml:space="preserve">  航空保險</t>
    <phoneticPr fontId="9" type="noConversion"/>
  </si>
  <si>
    <t xml:space="preserve">  其他財產保險</t>
    <phoneticPr fontId="9" type="noConversion"/>
  </si>
  <si>
    <t xml:space="preserve">  其他責任保險</t>
    <phoneticPr fontId="9" type="noConversion"/>
  </si>
  <si>
    <t>攤回再保</t>
    <phoneticPr fontId="9" type="noConversion"/>
  </si>
  <si>
    <t>賠款與給付</t>
    <phoneticPr fontId="9" type="noConversion"/>
  </si>
  <si>
    <t>twBB-</t>
  </si>
  <si>
    <t>twB+</t>
  </si>
  <si>
    <t>twB</t>
  </si>
  <si>
    <t>twB-</t>
  </si>
  <si>
    <t>一般商業汽車財產損失保險</t>
    <phoneticPr fontId="9" type="noConversion"/>
  </si>
  <si>
    <t>一般自用汽車責任保險</t>
    <phoneticPr fontId="9" type="noConversion"/>
  </si>
  <si>
    <t>一般商業汽車責任保險</t>
    <phoneticPr fontId="9" type="noConversion"/>
  </si>
  <si>
    <t>twAAA</t>
  </si>
  <si>
    <t>twAA+</t>
  </si>
  <si>
    <t>twAA</t>
  </si>
  <si>
    <t>twAA-</t>
  </si>
  <si>
    <t>twA+</t>
  </si>
  <si>
    <t>twA</t>
  </si>
  <si>
    <t>twA-</t>
  </si>
  <si>
    <t>twBBB+</t>
  </si>
  <si>
    <t>twBBB</t>
  </si>
  <si>
    <t>twBBB-</t>
  </si>
  <si>
    <t>twBB+</t>
  </si>
  <si>
    <t>twBB</t>
  </si>
  <si>
    <t>已　　　　付　　　　賠　　　　款(註4)</t>
    <phoneticPr fontId="9" type="noConversion"/>
  </si>
  <si>
    <t>已　　報　　未　　付　　賠　　款(註5)</t>
    <phoneticPr fontId="9" type="noConversion"/>
  </si>
  <si>
    <t>自留賠款</t>
    <phoneticPr fontId="9" type="noConversion"/>
  </si>
  <si>
    <t>預期損失率</t>
  </si>
  <si>
    <t>(2)</t>
    <phoneticPr fontId="9" type="noConversion"/>
  </si>
  <si>
    <t>(3)</t>
    <phoneticPr fontId="9" type="noConversion"/>
  </si>
  <si>
    <t>(4)</t>
    <phoneticPr fontId="9" type="noConversion"/>
  </si>
  <si>
    <t>(5)</t>
    <phoneticPr fontId="9" type="noConversion"/>
  </si>
  <si>
    <t>AAA</t>
    <phoneticPr fontId="9" type="noConversion"/>
  </si>
  <si>
    <t>AA</t>
    <phoneticPr fontId="9" type="noConversion"/>
  </si>
  <si>
    <t>A</t>
    <phoneticPr fontId="9" type="noConversion"/>
  </si>
  <si>
    <t>(2)</t>
    <phoneticPr fontId="9" type="noConversion"/>
  </si>
  <si>
    <t>是否為關係人</t>
    <phoneticPr fontId="9" type="noConversion"/>
  </si>
  <si>
    <t>代號</t>
    <phoneticPr fontId="6" type="noConversion"/>
  </si>
  <si>
    <t>名稱</t>
    <phoneticPr fontId="6" type="noConversion"/>
  </si>
  <si>
    <t>是否適格</t>
    <phoneticPr fontId="6" type="noConversion"/>
  </si>
  <si>
    <t>若再保險經紀人不適格，僅填該再保險經紀人分出總數；如係再保險人不適格，則填該再保險人分出總數。</t>
    <phoneticPr fontId="6" type="noConversion"/>
  </si>
  <si>
    <t>(3)</t>
    <phoneticPr fontId="9" type="noConversion"/>
  </si>
  <si>
    <t>(13)</t>
  </si>
  <si>
    <t>(14)</t>
  </si>
  <si>
    <t>(15)</t>
  </si>
  <si>
    <t>(16)</t>
  </si>
  <si>
    <t>(17)</t>
  </si>
  <si>
    <t>列號</t>
  </si>
  <si>
    <t>(1)</t>
  </si>
  <si>
    <t>(2)</t>
  </si>
  <si>
    <t>(18)</t>
  </si>
  <si>
    <t>(19)</t>
  </si>
  <si>
    <t>(20)</t>
  </si>
  <si>
    <t>(21)</t>
  </si>
  <si>
    <t>(22)</t>
  </si>
  <si>
    <t>分出賠款準備</t>
    <phoneticPr fontId="9" type="noConversion"/>
  </si>
  <si>
    <t>本年度賠款準備金(自留)</t>
    <phoneticPr fontId="7" type="noConversion"/>
  </si>
  <si>
    <t>提存方法</t>
    <phoneticPr fontId="7" type="noConversion"/>
  </si>
  <si>
    <t>(6)</t>
    <phoneticPr fontId="7" type="noConversion"/>
  </si>
  <si>
    <t>(22)</t>
    <phoneticPr fontId="9" type="noConversion"/>
  </si>
  <si>
    <t>(23)</t>
    <phoneticPr fontId="9" type="noConversion"/>
  </si>
  <si>
    <t>(24)</t>
    <phoneticPr fontId="9" type="noConversion"/>
  </si>
  <si>
    <t>(11)</t>
    <phoneticPr fontId="9" type="noConversion"/>
  </si>
  <si>
    <t>(12)</t>
    <phoneticPr fontId="9" type="noConversion"/>
  </si>
  <si>
    <t>(13)</t>
    <phoneticPr fontId="9" type="noConversion"/>
  </si>
  <si>
    <t>(14)</t>
    <phoneticPr fontId="9" type="noConversion"/>
  </si>
  <si>
    <t>註：</t>
    <phoneticPr fontId="7" type="noConversion"/>
  </si>
  <si>
    <t>4</t>
    <phoneticPr fontId="7" type="noConversion"/>
  </si>
  <si>
    <t>%</t>
    <phoneticPr fontId="7" type="noConversion"/>
  </si>
  <si>
    <t>(1)</t>
    <phoneticPr fontId="7" type="noConversion"/>
  </si>
  <si>
    <t>(2)</t>
    <phoneticPr fontId="9" type="noConversion"/>
  </si>
  <si>
    <t>(4)</t>
    <phoneticPr fontId="9" type="noConversion"/>
  </si>
  <si>
    <t>再保</t>
    <phoneticPr fontId="9" type="noConversion"/>
  </si>
  <si>
    <t>(11)</t>
    <phoneticPr fontId="7" type="noConversion"/>
  </si>
  <si>
    <t>欄(1)為計算重大事故特別準備金之滿期自留保費，各險按其相關法令規定計算，部分險種得與表24欄(7)不同，如團體傷害險、旅行業綜合責任險、旅行業履約保證險。</t>
    <phoneticPr fontId="9" type="noConversion"/>
  </si>
  <si>
    <t>Ba3</t>
    <phoneticPr fontId="9" type="noConversion"/>
  </si>
  <si>
    <t>C</t>
    <phoneticPr fontId="7" type="noConversion"/>
  </si>
  <si>
    <t>Herfindahl Index</t>
    <phoneticPr fontId="9" type="noConversion"/>
  </si>
  <si>
    <t>及關係企業合併營業報告書關係企業合併財務報表及關係報告書編製準則第六條之規定。</t>
  </si>
  <si>
    <t>九個月部分之金額，即仍屬於認許資產之已付賠款應攤回再保險賠款與給付。</t>
  </si>
  <si>
    <t>表19-4：再保險資產－再保人別</t>
    <phoneticPr fontId="7" type="noConversion"/>
  </si>
  <si>
    <t>註:</t>
  </si>
  <si>
    <t>險別</t>
    <phoneticPr fontId="9" type="noConversion"/>
  </si>
  <si>
    <t>強制自用汽車責任保險</t>
  </si>
  <si>
    <t>政策性地震保險(註3)</t>
  </si>
  <si>
    <t>註：</t>
    <phoneticPr fontId="7" type="noConversion"/>
  </si>
  <si>
    <t>步驟一：本年度實際沖減收回數以合計沖減收回數為主</t>
    <phoneticPr fontId="9" type="noConversion"/>
  </si>
  <si>
    <t>步驟二：若各險別計算結果之合計與前述合計沖減收回數不合時，則差額應回分各險，回分各險之方法由各公司決定</t>
    <phoneticPr fontId="9" type="noConversion"/>
  </si>
  <si>
    <t>保險賠款、再保賠款及可分配理賠費用</t>
    <phoneticPr fontId="9" type="noConversion"/>
  </si>
  <si>
    <t>(12)</t>
    <phoneticPr fontId="9" type="noConversion"/>
  </si>
  <si>
    <t>合計</t>
    <phoneticPr fontId="9" type="noConversion"/>
  </si>
  <si>
    <t>註:</t>
    <phoneticPr fontId="9" type="noConversion"/>
  </si>
  <si>
    <t>(10)
=(3)+(4)+(5)           +(6)+(7)+(8)+(9)</t>
    <phoneticPr fontId="9" type="noConversion"/>
  </si>
  <si>
    <t>(11)</t>
    <phoneticPr fontId="9" type="noConversion"/>
  </si>
  <si>
    <t>(13)
=[(6)+(7)+(8)+(9)] / (10)</t>
    <phoneticPr fontId="9" type="noConversion"/>
  </si>
  <si>
    <t>(14)
=(9)/(10)</t>
    <phoneticPr fontId="9" type="noConversion"/>
  </si>
  <si>
    <t>(15)</t>
    <phoneticPr fontId="9" type="noConversion"/>
  </si>
  <si>
    <t>除再保險契約另有訂定外，採用保險賠款賠付日為清償日期。</t>
    <phoneticPr fontId="9" type="noConversion"/>
  </si>
  <si>
    <t>(10)
=(3)+(4)+(5)
+(6)+(7)+(8)+(9)</t>
    <phoneticPr fontId="9" type="noConversion"/>
  </si>
  <si>
    <t>(13)
=[(6)+(7)+(8)+(9)]/(10)</t>
    <phoneticPr fontId="9" type="noConversion"/>
  </si>
  <si>
    <t>除於決（結）算時估計之分出入再保業務款項外，採用入帳日計算清償日期。</t>
    <phoneticPr fontId="9" type="noConversion"/>
  </si>
  <si>
    <t>增減數</t>
    <phoneticPr fontId="9" type="noConversion"/>
  </si>
  <si>
    <t>(3)=(1)-(2)</t>
    <phoneticPr fontId="9" type="noConversion"/>
  </si>
  <si>
    <t>(3)</t>
    <phoneticPr fontId="7" type="noConversion"/>
  </si>
  <si>
    <t>(4)</t>
    <phoneticPr fontId="7" type="noConversion"/>
  </si>
  <si>
    <t>(5)</t>
    <phoneticPr fontId="7" type="noConversion"/>
  </si>
  <si>
    <t xml:space="preserve"> (11)=(8)*(10)+(8)</t>
    <phoneticPr fontId="7" type="noConversion"/>
  </si>
  <si>
    <t xml:space="preserve"> (12)=(7)*(11)</t>
    <phoneticPr fontId="7" type="noConversion"/>
  </si>
  <si>
    <t>(11)</t>
    <phoneticPr fontId="9" type="noConversion"/>
  </si>
  <si>
    <t>(7)</t>
    <phoneticPr fontId="9" type="noConversion"/>
  </si>
  <si>
    <t xml:space="preserve"> </t>
    <phoneticPr fontId="9" type="noConversion"/>
  </si>
  <si>
    <t>再保險人</t>
    <phoneticPr fontId="9" type="noConversion"/>
  </si>
  <si>
    <t>代號</t>
    <phoneticPr fontId="9" type="noConversion"/>
  </si>
  <si>
    <t>名稱</t>
    <phoneticPr fontId="9" type="noConversion"/>
  </si>
  <si>
    <t>信用評等機構
(註1)</t>
    <phoneticPr fontId="9" type="noConversion"/>
  </si>
  <si>
    <t>評等等級(註2)</t>
    <phoneticPr fontId="9" type="noConversion"/>
  </si>
  <si>
    <t>合計</t>
    <phoneticPr fontId="9" type="noConversion"/>
  </si>
  <si>
    <t>備註</t>
    <phoneticPr fontId="9" type="noConversion"/>
  </si>
  <si>
    <t>再保險準備資產</t>
    <phoneticPr fontId="9" type="noConversion"/>
  </si>
  <si>
    <t>未
催收</t>
    <phoneticPr fontId="9" type="noConversion"/>
  </si>
  <si>
    <t>催收
款項</t>
    <phoneticPr fontId="9" type="noConversion"/>
  </si>
  <si>
    <t>小計</t>
    <phoneticPr fontId="9" type="noConversion"/>
  </si>
  <si>
    <t>未
催收</t>
    <phoneticPr fontId="9" type="noConversion"/>
  </si>
  <si>
    <t>催收
款項</t>
    <phoneticPr fontId="9" type="noConversion"/>
  </si>
  <si>
    <t>分出未滿期保費準備</t>
    <phoneticPr fontId="9" type="noConversion"/>
  </si>
  <si>
    <t>分出賠款準備</t>
    <phoneticPr fontId="9" type="noConversion"/>
  </si>
  <si>
    <t>分出責任準備</t>
    <phoneticPr fontId="9" type="noConversion"/>
  </si>
  <si>
    <t>未催收</t>
    <phoneticPr fontId="9" type="noConversion"/>
  </si>
  <si>
    <t>催收款項</t>
    <phoneticPr fontId="9" type="noConversion"/>
  </si>
  <si>
    <t>備抵呆帳</t>
    <phoneticPr fontId="9" type="noConversion"/>
  </si>
  <si>
    <t>總額</t>
    <phoneticPr fontId="9" type="noConversion"/>
  </si>
  <si>
    <t>已報
未付</t>
    <phoneticPr fontId="9" type="noConversion"/>
  </si>
  <si>
    <t>未報</t>
    <phoneticPr fontId="9" type="noConversion"/>
  </si>
  <si>
    <t>再保險資產(註5)</t>
    <phoneticPr fontId="9" type="noConversion"/>
  </si>
  <si>
    <t>應收再保往來款項
(註3)</t>
    <phoneticPr fontId="9" type="noConversion"/>
  </si>
  <si>
    <t>應攤回再保賠款與給付
(註4)</t>
    <phoneticPr fontId="9" type="noConversion"/>
  </si>
  <si>
    <t>分出保費不足準備
(註6)</t>
    <phoneticPr fontId="9" type="noConversion"/>
  </si>
  <si>
    <t>分出負債適足準備
(註6)</t>
    <phoneticPr fontId="9" type="noConversion"/>
  </si>
  <si>
    <t>Moody's</t>
    <phoneticPr fontId="9" type="noConversion"/>
  </si>
  <si>
    <t>(1)</t>
    <phoneticPr fontId="6" type="noConversion"/>
  </si>
  <si>
    <t>(2)</t>
    <phoneticPr fontId="9" type="noConversion"/>
  </si>
  <si>
    <t>(3)</t>
    <phoneticPr fontId="7" type="noConversion"/>
  </si>
  <si>
    <t>(4)</t>
    <phoneticPr fontId="7" type="noConversion"/>
  </si>
  <si>
    <t>Aa</t>
  </si>
  <si>
    <t>A</t>
  </si>
  <si>
    <t>Baa</t>
  </si>
  <si>
    <t>Ba</t>
  </si>
  <si>
    <t>B</t>
  </si>
  <si>
    <t>Caa-C</t>
  </si>
  <si>
    <t>A</t>
    <phoneticPr fontId="7" type="noConversion"/>
  </si>
  <si>
    <t>B</t>
    <phoneticPr fontId="7" type="noConversion"/>
  </si>
  <si>
    <t>C</t>
    <phoneticPr fontId="7" type="noConversion"/>
  </si>
  <si>
    <t>D</t>
    <phoneticPr fontId="7" type="noConversion"/>
  </si>
  <si>
    <t>E</t>
    <phoneticPr fontId="7" type="noConversion"/>
  </si>
  <si>
    <t>F</t>
    <phoneticPr fontId="7" type="noConversion"/>
  </si>
  <si>
    <t>G</t>
    <phoneticPr fontId="7" type="noConversion"/>
  </si>
  <si>
    <t>H</t>
    <phoneticPr fontId="7" type="noConversion"/>
  </si>
  <si>
    <t>I</t>
    <phoneticPr fontId="7" type="noConversion"/>
  </si>
  <si>
    <t>(5)=(3)-(2)</t>
    <phoneticPr fontId="7" type="noConversion"/>
  </si>
  <si>
    <t>(6)=(4)-(2)</t>
    <phoneticPr fontId="7" type="noConversion"/>
  </si>
  <si>
    <t>18</t>
    <phoneticPr fontId="9" type="noConversion"/>
  </si>
  <si>
    <t>投資SPV</t>
  </si>
  <si>
    <t>貸款予投資之SPV</t>
  </si>
  <si>
    <t>信託</t>
  </si>
  <si>
    <t>出租率(%)</t>
  </si>
  <si>
    <t>每月租金收益</t>
  </si>
  <si>
    <t>年化租金收益率(%)</t>
  </si>
  <si>
    <t>當地租金收益率(%)</t>
  </si>
  <si>
    <t>SPV名稱</t>
  </si>
  <si>
    <t>SPV設立地區</t>
  </si>
  <si>
    <t>SPV負責人</t>
  </si>
  <si>
    <t>被避險資產屬國外投資--已開發國家</t>
    <phoneticPr fontId="9" type="noConversion"/>
  </si>
  <si>
    <t>被避險資產屬國外投資--新興市場</t>
    <phoneticPr fontId="9" type="noConversion"/>
  </si>
  <si>
    <t>被避險資產屬國外投資--已開發國家</t>
    <phoneticPr fontId="9" type="noConversion"/>
  </si>
  <si>
    <t>被避險資產屬國外投資--新興市場</t>
    <phoneticPr fontId="9" type="noConversion"/>
  </si>
  <si>
    <t>換入標的屬國外投資--已開發國家</t>
    <phoneticPr fontId="9" type="noConversion"/>
  </si>
  <si>
    <t>換入標的屬國外投資--新興市場</t>
    <phoneticPr fontId="9" type="noConversion"/>
  </si>
  <si>
    <t>換入標的屬國外投資--新興市場</t>
    <phoneticPr fontId="9" type="noConversion"/>
  </si>
  <si>
    <t>國別</t>
    <phoneticPr fontId="7" type="noConversion"/>
  </si>
  <si>
    <t>地區</t>
    <phoneticPr fontId="7" type="noConversion"/>
  </si>
  <si>
    <t>標的名稱</t>
    <phoneticPr fontId="7" type="noConversion"/>
  </si>
  <si>
    <t>種類</t>
    <phoneticPr fontId="7" type="noConversion"/>
  </si>
  <si>
    <t>使用種類</t>
    <phoneticPr fontId="7" type="noConversion"/>
  </si>
  <si>
    <t>持有資產幣別</t>
    <phoneticPr fontId="7" type="noConversion"/>
  </si>
  <si>
    <t>取得成本</t>
    <phoneticPr fontId="7" type="noConversion"/>
  </si>
  <si>
    <t>取得方式及帳載金額</t>
    <phoneticPr fontId="7" type="noConversion"/>
  </si>
  <si>
    <t>標的面積(m²)</t>
    <phoneticPr fontId="7" type="noConversion"/>
  </si>
  <si>
    <t>租金收益率資訊</t>
    <phoneticPr fontId="7" type="noConversion"/>
  </si>
  <si>
    <t>SPV相關資料</t>
    <phoneticPr fontId="12" type="noConversion"/>
  </si>
  <si>
    <t>物業管理機構</t>
    <phoneticPr fontId="7" type="noConversion"/>
  </si>
  <si>
    <t>16</t>
    <phoneticPr fontId="7" type="noConversion"/>
  </si>
  <si>
    <t>取得成本含修繕不動產之資本支出。</t>
    <phoneticPr fontId="7" type="noConversion"/>
  </si>
  <si>
    <t>取得時間
(主排序-遞減)</t>
    <phoneticPr fontId="7" type="noConversion"/>
  </si>
  <si>
    <t>(25)</t>
    <phoneticPr fontId="9" type="noConversion"/>
  </si>
  <si>
    <t>(26)</t>
    <phoneticPr fontId="9" type="noConversion"/>
  </si>
  <si>
    <t>(27)</t>
    <phoneticPr fontId="9" type="noConversion"/>
  </si>
  <si>
    <t>3</t>
    <phoneticPr fontId="9" type="noConversion"/>
  </si>
  <si>
    <t>抵減50%金額</t>
    <phoneticPr fontId="9" type="noConversion"/>
  </si>
  <si>
    <t>是否已提供平均避險比率均超過15％之證明文件
(註5)</t>
    <phoneticPr fontId="9" type="noConversion"/>
  </si>
  <si>
    <t>可扣抵風險資本金額(註6)</t>
    <phoneticPr fontId="9" type="noConversion"/>
  </si>
  <si>
    <t>(12)</t>
    <phoneticPr fontId="9" type="noConversion"/>
  </si>
  <si>
    <t>(14)</t>
    <phoneticPr fontId="7" type="noConversion"/>
  </si>
  <si>
    <t>(15)</t>
    <phoneticPr fontId="7" type="noConversion"/>
  </si>
  <si>
    <t>國內上市普通股股票風險資本扣抵計算表</t>
    <phoneticPr fontId="9" type="noConversion"/>
  </si>
  <si>
    <t>抵減65%金額</t>
    <phoneticPr fontId="9" type="noConversion"/>
  </si>
  <si>
    <t>抵減金額總計</t>
    <phoneticPr fontId="9" type="noConversion"/>
  </si>
  <si>
    <t>國內上市普通股股票半年收盤平均價之15%</t>
    <phoneticPr fontId="9" type="noConversion"/>
  </si>
  <si>
    <t>(11)</t>
    <phoneticPr fontId="9" type="noConversion"/>
  </si>
  <si>
    <t>(13)</t>
    <phoneticPr fontId="7" type="noConversion"/>
  </si>
  <si>
    <t>(16)</t>
    <phoneticPr fontId="7" type="noConversion"/>
  </si>
  <si>
    <t>長年期健康保險</t>
  </si>
  <si>
    <t>長年期健康保險</t>
    <phoneticPr fontId="9" type="noConversion"/>
  </si>
  <si>
    <t>列號</t>
    <phoneticPr fontId="9" type="noConversion"/>
  </si>
  <si>
    <t>預   計   賠   款</t>
  </si>
  <si>
    <t>低於預計賠款提存數(註4)</t>
    <phoneticPr fontId="7" type="noConversion"/>
  </si>
  <si>
    <t>強制自用汽車責任保險(註1)</t>
    <phoneticPr fontId="9" type="noConversion"/>
  </si>
  <si>
    <t>強制商業汽車責任保險(註1)</t>
    <phoneticPr fontId="9" type="noConversion"/>
  </si>
  <si>
    <t>強制機車責任保險(註1)</t>
    <phoneticPr fontId="9" type="noConversion"/>
  </si>
  <si>
    <t>核能保險(註2)</t>
    <phoneticPr fontId="9" type="noConversion"/>
  </si>
  <si>
    <t>上年度底
風險資本額</t>
    <phoneticPr fontId="9" type="noConversion"/>
  </si>
  <si>
    <t>表21-1：直接簽單業務分析表</t>
    <phoneticPr fontId="9" type="noConversion"/>
  </si>
  <si>
    <t>表25-1：重大事故特別準備金明細表</t>
    <phoneticPr fontId="7" type="noConversion"/>
  </si>
  <si>
    <t>長年期健康保險</t>
    <phoneticPr fontId="9" type="noConversion"/>
  </si>
  <si>
    <t>表25-2：危險變動特別準備金明細表</t>
    <phoneticPr fontId="7" type="noConversion"/>
  </si>
  <si>
    <t>傷害保險</t>
    <phoneticPr fontId="9" type="noConversion"/>
  </si>
  <si>
    <t>傷害保險</t>
    <phoneticPr fontId="9" type="noConversion"/>
  </si>
  <si>
    <t>一年期健康保險</t>
    <phoneticPr fontId="9" type="noConversion"/>
  </si>
  <si>
    <t>一年期健康保險</t>
    <phoneticPr fontId="9" type="noConversion"/>
  </si>
  <si>
    <t>一年期健康保險</t>
    <phoneticPr fontId="9" type="noConversion"/>
  </si>
  <si>
    <t>一年期健康保險</t>
    <phoneticPr fontId="9" type="noConversion"/>
  </si>
  <si>
    <t>註1：「準備金提存利率」係指保單設計之初所採用之利率，若公司簽證精算人員依其專業判斷調整此險種準備金之提存利率，則採用調整後之利率。</t>
    <phoneticPr fontId="9" type="noConversion"/>
  </si>
  <si>
    <t>(2)</t>
    <phoneticPr fontId="7" type="noConversion"/>
  </si>
  <si>
    <t>(3)=(1)*(2)</t>
    <phoneticPr fontId="7" type="noConversion"/>
  </si>
  <si>
    <t>單位：新台幣元,%</t>
    <phoneticPr fontId="12" type="noConversion"/>
  </si>
  <si>
    <t>列號</t>
    <phoneticPr fontId="9" type="noConversion"/>
  </si>
  <si>
    <t>險別</t>
    <phoneticPr fontId="9" type="noConversion"/>
  </si>
  <si>
    <t>本年度累計自留保費</t>
    <phoneticPr fontId="9" type="noConversion"/>
  </si>
  <si>
    <t>本年度累計
(直接簽單及分入再保)</t>
    <phoneticPr fontId="9" type="noConversion"/>
  </si>
  <si>
    <t>(4)=(1)+(2)-(3)</t>
    <phoneticPr fontId="9" type="noConversion"/>
  </si>
  <si>
    <t>(8)=(5)+(6)-(7)</t>
    <phoneticPr fontId="9" type="noConversion"/>
  </si>
  <si>
    <t>(11)=(9)-(10)</t>
    <phoneticPr fontId="9" type="noConversion"/>
  </si>
  <si>
    <t>(13)=(8)+(11)+(12)</t>
    <phoneticPr fontId="9" type="noConversion"/>
  </si>
  <si>
    <t>(16)=(14)-(15)</t>
    <phoneticPr fontId="9" type="noConversion"/>
  </si>
  <si>
    <t>長年期傷害保險</t>
    <phoneticPr fontId="9" type="noConversion"/>
  </si>
  <si>
    <t>非長年期傷害保險</t>
    <phoneticPr fontId="9" type="noConversion"/>
  </si>
  <si>
    <t>表21-7：傷害保險明細表</t>
    <phoneticPr fontId="9" type="noConversion"/>
  </si>
  <si>
    <t>長年期傷害保險僅包含105年主管機關核准產險業可經營長年期健康傷害險新政策下之新商品。</t>
    <phoneticPr fontId="9" type="noConversion"/>
  </si>
  <si>
    <t>註1：</t>
    <phoneticPr fontId="9" type="noConversion"/>
  </si>
  <si>
    <t>註2：</t>
    <phoneticPr fontId="9" type="noConversion"/>
  </si>
  <si>
    <t>本表各欄總計應與表21-1、表21-2、表21-3、表21-4、表24、表26-1之本年度傷害保險相當欄位金額一致。</t>
    <phoneticPr fontId="9" type="noConversion"/>
  </si>
  <si>
    <t>本年度累計直接簽單保費收入</t>
    <phoneticPr fontId="9" type="noConversion"/>
  </si>
  <si>
    <t>本年度累計再保費收入</t>
    <phoneticPr fontId="9" type="noConversion"/>
  </si>
  <si>
    <t>本年度累計再保費支出</t>
    <phoneticPr fontId="9" type="noConversion"/>
  </si>
  <si>
    <t>保險賠款及可分配理賠費用</t>
    <phoneticPr fontId="9" type="noConversion"/>
  </si>
  <si>
    <t>已報未付賠款</t>
    <phoneticPr fontId="9" type="noConversion"/>
  </si>
  <si>
    <t>保險賠款、再保賠款及可分配理賠費用</t>
    <phoneticPr fontId="9" type="noConversion"/>
  </si>
  <si>
    <t>分出賠款準備</t>
    <phoneticPr fontId="9" type="noConversion"/>
  </si>
  <si>
    <t>未付不可分配理賠費用</t>
    <phoneticPr fontId="9" type="noConversion"/>
  </si>
  <si>
    <t>本年度賠款準備金(自留)</t>
    <phoneticPr fontId="7" type="noConversion"/>
  </si>
  <si>
    <t>未滿期保費準備金/責任準備金</t>
    <phoneticPr fontId="9" type="noConversion"/>
  </si>
  <si>
    <t>本年度累計(自留業務)</t>
    <phoneticPr fontId="9" type="noConversion"/>
  </si>
  <si>
    <t>表21-3：分入再保險業務明細表</t>
    <phoneticPr fontId="9" type="noConversion"/>
  </si>
  <si>
    <t>表21-2：分出再保險業務明細表</t>
    <phoneticPr fontId="9" type="noConversion"/>
  </si>
  <si>
    <t>表21-4：自留業務明細表</t>
    <phoneticPr fontId="9" type="noConversion"/>
  </si>
  <si>
    <t>表26-1：賠款準備金明細表</t>
    <phoneticPr fontId="7" type="noConversion"/>
  </si>
  <si>
    <t>(3)</t>
    <phoneticPr fontId="9" type="noConversion"/>
  </si>
  <si>
    <t>(4)</t>
    <phoneticPr fontId="9" type="noConversion"/>
  </si>
  <si>
    <t>(5)</t>
    <phoneticPr fontId="9" type="noConversion"/>
  </si>
  <si>
    <t>(6)</t>
    <phoneticPr fontId="9" type="noConversion"/>
  </si>
  <si>
    <t>(7)</t>
    <phoneticPr fontId="9" type="noConversion"/>
  </si>
  <si>
    <t>(8)</t>
    <phoneticPr fontId="9" type="noConversion"/>
  </si>
  <si>
    <t>(9)</t>
    <phoneticPr fontId="9" type="noConversion"/>
  </si>
  <si>
    <t>(10)</t>
    <phoneticPr fontId="9" type="noConversion"/>
  </si>
  <si>
    <t>(33)</t>
  </si>
  <si>
    <t>資金運用收益率(最近五年度)</t>
    <phoneticPr fontId="7" type="noConversion"/>
  </si>
  <si>
    <t>%</t>
    <phoneticPr fontId="7" type="noConversion"/>
  </si>
  <si>
    <t>(1)</t>
    <phoneticPr fontId="7" type="noConversion"/>
  </si>
  <si>
    <t>(24)</t>
    <phoneticPr fontId="12" type="noConversion"/>
  </si>
  <si>
    <t>(25)</t>
    <phoneticPr fontId="12" type="noConversion"/>
  </si>
  <si>
    <t>(37)</t>
    <phoneticPr fontId="7" type="noConversion"/>
  </si>
  <si>
    <t>(22)=(21)-(20)</t>
    <phoneticPr fontId="7" type="noConversion"/>
  </si>
  <si>
    <t>(5)</t>
    <phoneticPr fontId="9" type="noConversion"/>
  </si>
  <si>
    <t>帳載金額</t>
    <phoneticPr fontId="7" type="noConversion"/>
  </si>
  <si>
    <t>(5)</t>
    <phoneticPr fontId="7" type="noConversion"/>
  </si>
  <si>
    <t>19-1</t>
    <phoneticPr fontId="7" type="noConversion"/>
  </si>
  <si>
    <t>19-2</t>
    <phoneticPr fontId="7" type="noConversion"/>
  </si>
  <si>
    <t>19-3</t>
    <phoneticPr fontId="7" type="noConversion"/>
  </si>
  <si>
    <t>(15)</t>
    <phoneticPr fontId="7" type="noConversion"/>
  </si>
  <si>
    <t>(16)</t>
    <phoneticPr fontId="7" type="noConversion"/>
  </si>
  <si>
    <t>(20)</t>
    <phoneticPr fontId="7" type="noConversion"/>
  </si>
  <si>
    <t>衍生性商品標的物與被避險資產
之相關係數</t>
    <phoneticPr fontId="9" type="noConversion"/>
  </si>
  <si>
    <t>衍生性商品標的物與被避險資產
之相關係數</t>
    <phoneticPr fontId="9" type="noConversion"/>
  </si>
  <si>
    <t>選擇權標的物與被避險資產
之相關係數</t>
    <phoneticPr fontId="9" type="noConversion"/>
  </si>
  <si>
    <t>(3)=(1)*(2)</t>
    <phoneticPr fontId="7" type="noConversion"/>
  </si>
  <si>
    <t>列號</t>
    <phoneticPr fontId="12" type="noConversion"/>
  </si>
  <si>
    <t>股票種類
(未上市上櫃股票)</t>
    <phoneticPr fontId="7" type="noConversion"/>
  </si>
  <si>
    <t>最近淨值金額</t>
    <phoneticPr fontId="7" type="noConversion"/>
  </si>
  <si>
    <t>未實現評價利益(損失)</t>
    <phoneticPr fontId="7" type="noConversion"/>
  </si>
  <si>
    <t>非認許資產</t>
    <phoneticPr fontId="7" type="noConversion"/>
  </si>
  <si>
    <t>自有資本調整數</t>
    <phoneticPr fontId="7" type="noConversion"/>
  </si>
  <si>
    <t>(8)</t>
    <phoneticPr fontId="12" type="noConversion"/>
  </si>
  <si>
    <t>(9)</t>
    <phoneticPr fontId="12" type="noConversion"/>
  </si>
  <si>
    <t>(10)</t>
    <phoneticPr fontId="12" type="noConversion"/>
  </si>
  <si>
    <t>(11)</t>
    <phoneticPr fontId="12" type="noConversion"/>
  </si>
  <si>
    <t>(12)</t>
    <phoneticPr fontId="12" type="noConversion"/>
  </si>
  <si>
    <t>(13)</t>
    <phoneticPr fontId="12" type="noConversion"/>
  </si>
  <si>
    <t>未實現評價利益</t>
    <phoneticPr fontId="12" type="noConversion"/>
  </si>
  <si>
    <t>&gt;非認許資產</t>
    <phoneticPr fontId="12" type="noConversion"/>
  </si>
  <si>
    <t>≦非認許資產</t>
    <phoneticPr fontId="12" type="noConversion"/>
  </si>
  <si>
    <t>未實現評價損失</t>
    <phoneticPr fontId="12" type="noConversion"/>
  </si>
  <si>
    <t>合計</t>
    <phoneticPr fontId="12" type="noConversion"/>
  </si>
  <si>
    <t>投資用國外不動產--已開發國家</t>
    <phoneticPr fontId="9" type="noConversion"/>
  </si>
  <si>
    <t>投資用國外不動產--新興市場</t>
    <phoneticPr fontId="9" type="noConversion"/>
  </si>
  <si>
    <t xml:space="preserve">        保險股份有限公司(○○分公司)</t>
    <phoneticPr fontId="7" type="noConversion"/>
  </si>
  <si>
    <t>最近五年度資金運用收益率平均數</t>
  </si>
  <si>
    <t>調整後資金運用收益率(註2)</t>
    <phoneticPr fontId="7" type="noConversion"/>
  </si>
  <si>
    <t>__年
(註1)</t>
    <phoneticPr fontId="7" type="noConversion"/>
  </si>
  <si>
    <t>__年下半年
(註1)</t>
    <phoneticPr fontId="7" type="noConversion"/>
  </si>
  <si>
    <t>(24)</t>
    <phoneticPr fontId="7" type="noConversion"/>
  </si>
  <si>
    <t>(21)</t>
    <phoneticPr fontId="9" type="noConversion"/>
  </si>
  <si>
    <t>最近市價或淨值金額</t>
    <phoneticPr fontId="7" type="noConversion"/>
  </si>
  <si>
    <t>最近市價或淨值基礎</t>
    <phoneticPr fontId="7" type="noConversion"/>
  </si>
  <si>
    <t>ETF</t>
  </si>
  <si>
    <t>(23)</t>
    <phoneticPr fontId="12" type="noConversion"/>
  </si>
  <si>
    <t>(35)=
(33)-(34)</t>
    <phoneticPr fontId="9" type="noConversion"/>
  </si>
  <si>
    <t>(36)</t>
    <phoneticPr fontId="7" type="noConversion"/>
  </si>
  <si>
    <t>備抵損失_未催收</t>
    <phoneticPr fontId="9" type="noConversion"/>
  </si>
  <si>
    <t>備抵損失_催收款項</t>
    <phoneticPr fontId="9" type="noConversion"/>
  </si>
  <si>
    <t>備抵損失_未催收</t>
    <phoneticPr fontId="9" type="noConversion"/>
  </si>
  <si>
    <t>股票種類
(上市上櫃股票)</t>
    <phoneticPr fontId="7" type="noConversion"/>
  </si>
  <si>
    <t xml:space="preserve"> (12)</t>
    <phoneticPr fontId="9" type="noConversion"/>
  </si>
  <si>
    <t xml:space="preserve"> (14)</t>
  </si>
  <si>
    <t>15-1</t>
    <phoneticPr fontId="7" type="noConversion"/>
  </si>
  <si>
    <t>15-2</t>
  </si>
  <si>
    <t>15-3</t>
  </si>
  <si>
    <t>1</t>
    <phoneticPr fontId="7" type="noConversion"/>
  </si>
  <si>
    <t>申請展延期限(年)以申請展延核准日為起算日，於滿一年後記入1次，若展延期限超過1年者則繼續累計加計次數。</t>
    <phoneticPr fontId="7" type="noConversion"/>
  </si>
  <si>
    <t>申請展延期限(年)</t>
    <phoneticPr fontId="7" type="noConversion"/>
  </si>
  <si>
    <t>70-1</t>
    <phoneticPr fontId="7" type="noConversion"/>
  </si>
  <si>
    <t>(22)=
Σ[(2)~(21)]</t>
    <phoneticPr fontId="12" type="noConversion"/>
  </si>
  <si>
    <t>(4) = (2) + (3)</t>
    <phoneticPr fontId="9" type="noConversion"/>
  </si>
  <si>
    <t xml:space="preserve"> (9) = max{min[(7),(6)],(8)}</t>
    <phoneticPr fontId="9" type="noConversion"/>
  </si>
  <si>
    <t>是否有利率加碼條件或其他提前贖回之誘因</t>
    <phoneticPr fontId="7" type="noConversion"/>
  </si>
  <si>
    <t>（原始發行金額 __________ ）</t>
    <phoneticPr fontId="7" type="noConversion"/>
  </si>
  <si>
    <t>是否為累積公司債</t>
    <phoneticPr fontId="7"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</si>
  <si>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</si>
  <si>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</si>
  <si>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6" type="noConversion"/>
  </si>
  <si>
    <t>(6) = (4) * (5)</t>
    <phoneticPr fontId="9" type="noConversion"/>
  </si>
  <si>
    <t>(7) = (4) * 150%</t>
    <phoneticPr fontId="9" type="noConversion"/>
  </si>
  <si>
    <t>(8) = (4) * 75%</t>
    <phoneticPr fontId="9" type="noConversion"/>
  </si>
  <si>
    <t>(4)ETN</t>
  </si>
  <si>
    <t>(31)</t>
    <phoneticPr fontId="9" type="noConversion"/>
  </si>
  <si>
    <t>ETN</t>
    <phoneticPr fontId="7" type="noConversion"/>
  </si>
  <si>
    <t>(15)</t>
    <phoneticPr fontId="7" type="noConversion"/>
  </si>
  <si>
    <t>(31)</t>
    <phoneticPr fontId="7" type="noConversion"/>
  </si>
  <si>
    <t>0.1.2.7 ETF</t>
  </si>
  <si>
    <t>0.1.2.8 ETN</t>
  </si>
  <si>
    <t>0.2.2.7 ETF</t>
    <phoneticPr fontId="9" type="noConversion"/>
  </si>
  <si>
    <t>0.2.2.8 ETN</t>
    <phoneticPr fontId="9" type="noConversion"/>
  </si>
  <si>
    <t>twAAA</t>
    <phoneticPr fontId="9" type="noConversion"/>
  </si>
  <si>
    <t>1.2.6 ETN</t>
    <phoneticPr fontId="9" type="noConversion"/>
  </si>
  <si>
    <t>1b.1.11 ETN</t>
    <phoneticPr fontId="9" type="noConversion"/>
  </si>
  <si>
    <t>1b.2.11 ETN</t>
    <phoneticPr fontId="9" type="noConversion"/>
  </si>
  <si>
    <t>(30)</t>
    <phoneticPr fontId="7" type="noConversion"/>
  </si>
  <si>
    <t>註</t>
    <phoneticPr fontId="7" type="noConversion"/>
  </si>
  <si>
    <t>15</t>
    <phoneticPr fontId="7" type="noConversion"/>
  </si>
  <si>
    <t>(4)</t>
    <phoneticPr fontId="7" type="noConversion"/>
  </si>
  <si>
    <t>風險項目</t>
  </si>
  <si>
    <t>金額</t>
  </si>
  <si>
    <t>資料來源(註6)</t>
  </si>
  <si>
    <t>列號</t>
    <phoneticPr fontId="9" type="noConversion"/>
  </si>
  <si>
    <t>1.2.5 ETF</t>
    <phoneticPr fontId="9" type="noConversion"/>
  </si>
  <si>
    <t>本項資料來源因公司投資不動產筆數多寡而使列號變更，請依其投資筆數酌予修正資料來源列號。</t>
    <phoneticPr fontId="9" type="noConversion"/>
  </si>
  <si>
    <t>本列所述之資料來源說明中，若風險資本額另由計算表計算而得者，係指風險資本額之連結欄位。</t>
    <phoneticPr fontId="9" type="noConversion"/>
  </si>
  <si>
    <t>(3)</t>
    <phoneticPr fontId="6" type="noConversion"/>
  </si>
  <si>
    <t>表30-8-6：資金運用收益率調整計算表</t>
    <phoneticPr fontId="7" type="noConversion"/>
  </si>
  <si>
    <t>Moody's</t>
  </si>
  <si>
    <t>可減除計算風險資本之金額</t>
    <phoneticPr fontId="7"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</si>
  <si>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</si>
  <si>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</si>
  <si>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</si>
  <si>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</si>
  <si>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</si>
  <si>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</si>
  <si>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</si>
  <si>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</si>
  <si>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</si>
  <si>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</si>
  <si>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</si>
  <si>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</si>
  <si>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</si>
  <si>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</si>
  <si>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</si>
  <si>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</si>
  <si>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</si>
  <si>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</si>
  <si>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</si>
  <si>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</si>
  <si>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</si>
  <si>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</si>
  <si>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</si>
  <si>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</si>
  <si>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</si>
  <si>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</si>
  <si>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</si>
  <si>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</si>
  <si>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</si>
  <si>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</si>
  <si>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</si>
  <si>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</si>
  <si>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</si>
  <si>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</si>
  <si>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</si>
  <si>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</si>
  <si>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</si>
  <si>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</si>
  <si>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</si>
  <si>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</si>
  <si>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</si>
  <si>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</si>
  <si>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</si>
  <si>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</si>
  <si>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</si>
  <si>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</si>
  <si>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</si>
  <si>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</si>
  <si>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</si>
  <si>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</si>
  <si>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</si>
  <si>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</si>
  <si>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</si>
  <si>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</si>
  <si>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</si>
  <si>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</si>
  <si>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</si>
  <si>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</si>
  <si>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</si>
  <si>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</si>
  <si>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</si>
  <si>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</si>
  <si>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</si>
  <si>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</si>
  <si>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</si>
  <si>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</si>
  <si>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</si>
  <si>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</si>
  <si>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</si>
  <si>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</si>
  <si>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</si>
  <si>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</si>
  <si>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</si>
  <si>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</si>
  <si>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</si>
  <si>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</si>
  <si>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</si>
  <si>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</si>
  <si>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</si>
  <si>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</si>
  <si>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</si>
  <si>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</si>
  <si>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</si>
  <si>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</si>
  <si>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</si>
  <si>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</si>
  <si>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</si>
  <si>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</si>
  <si>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</si>
  <si>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</si>
  <si>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</si>
  <si>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</si>
  <si>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</si>
  <si>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</si>
  <si>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</si>
  <si>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</si>
  <si>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</si>
  <si>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</si>
  <si>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</si>
  <si>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</si>
  <si>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</si>
  <si>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</si>
  <si>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</si>
  <si>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</si>
  <si>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</si>
  <si>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</si>
  <si>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</si>
  <si>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</si>
  <si>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</si>
  <si>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</si>
  <si>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</si>
  <si>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</si>
  <si>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</si>
  <si>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</si>
  <si>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</si>
  <si>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</si>
  <si>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</si>
  <si>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</si>
  <si>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</si>
  <si>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</si>
  <si>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</si>
  <si>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</si>
  <si>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</si>
  <si>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</si>
  <si>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</si>
  <si>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</si>
  <si>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</si>
  <si>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</si>
  <si>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</si>
  <si>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</si>
  <si>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</si>
  <si>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</si>
  <si>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</si>
  <si>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</si>
  <si>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</si>
  <si>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</si>
  <si>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</si>
  <si>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</si>
  <si>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</si>
  <si>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</si>
  <si>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</si>
  <si>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</si>
  <si>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</si>
  <si>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</si>
  <si>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</si>
  <si>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</si>
  <si>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</si>
  <si>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</si>
  <si>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</si>
  <si>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</si>
  <si>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</si>
  <si>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</si>
  <si>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</si>
  <si>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</si>
  <si>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</si>
  <si>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</si>
  <si>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</si>
  <si>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</si>
  <si>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</si>
  <si>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</si>
  <si>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</si>
  <si>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</si>
  <si>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</si>
  <si>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</si>
  <si>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</si>
  <si>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</si>
  <si>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</si>
  <si>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</si>
  <si>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</si>
  <si>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</si>
  <si>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</si>
  <si>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</si>
  <si>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</si>
  <si>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</si>
  <si>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</si>
  <si>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</si>
  <si>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</si>
  <si>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</si>
  <si>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</si>
  <si>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</si>
  <si>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</si>
  <si>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</si>
  <si>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</si>
  <si>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</si>
  <si>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</si>
  <si>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</si>
  <si>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</si>
  <si>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</si>
  <si>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</si>
  <si>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</si>
  <si>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</si>
  <si>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</si>
  <si>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</si>
  <si>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</si>
  <si>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</si>
  <si>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</si>
  <si>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</si>
  <si>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</si>
  <si>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</si>
  <si>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</si>
  <si>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</si>
  <si>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</si>
  <si>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</si>
  <si>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</si>
  <si>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</si>
  <si>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</si>
  <si>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</si>
  <si>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</si>
  <si>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</si>
  <si>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</si>
  <si>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</si>
  <si>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</si>
  <si>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</si>
  <si>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</si>
  <si>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</si>
  <si>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</si>
  <si>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</si>
  <si>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</si>
  <si>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</si>
  <si>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</si>
  <si>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</si>
  <si>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</si>
  <si>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</si>
  <si>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</si>
  <si>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</si>
  <si>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</si>
  <si>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</si>
  <si>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</si>
  <si>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</si>
  <si>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</si>
  <si>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</si>
  <si>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</si>
  <si>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</si>
  <si>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</si>
  <si>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</si>
  <si>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</si>
  <si>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</si>
  <si>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</si>
  <si>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</si>
  <si>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</si>
  <si>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</si>
  <si>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</si>
  <si>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</si>
  <si>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</si>
  <si>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</si>
  <si>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</si>
  <si>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</si>
  <si>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</si>
  <si>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</si>
  <si>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</si>
  <si>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</si>
  <si>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</si>
  <si>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</si>
  <si>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</si>
  <si>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</si>
  <si>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</si>
  <si>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</si>
  <si>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</si>
  <si>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</si>
  <si>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</si>
  <si>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</si>
  <si>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</si>
  <si>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</si>
  <si>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</si>
  <si>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</si>
  <si>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</si>
  <si>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</si>
  <si>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</si>
  <si>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</si>
  <si>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</si>
  <si>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</si>
  <si>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</si>
  <si>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</si>
  <si>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</si>
  <si>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</si>
  <si>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</si>
  <si>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</si>
  <si>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</si>
  <si>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</si>
  <si>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</si>
  <si>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</si>
  <si>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</si>
  <si>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</si>
  <si>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</si>
  <si>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</si>
  <si>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</si>
  <si>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</si>
  <si>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</si>
  <si>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</si>
  <si>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</si>
  <si>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</si>
  <si>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</si>
  <si>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</si>
  <si>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</si>
  <si>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</si>
  <si>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</si>
  <si>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</si>
  <si>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</si>
  <si>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</si>
  <si>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</si>
  <si>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</si>
  <si>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</si>
  <si>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</si>
  <si>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</si>
  <si>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</si>
  <si>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</si>
  <si>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</si>
  <si>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</si>
  <si>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</si>
  <si>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</si>
  <si>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</si>
  <si>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</si>
  <si>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</si>
  <si>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</si>
  <si>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</si>
  <si>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</si>
  <si>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</si>
  <si>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</si>
  <si>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</si>
  <si>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</si>
  <si>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</si>
  <si>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</si>
  <si>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</si>
  <si>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</si>
  <si>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</si>
  <si>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</si>
  <si>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</si>
  <si>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</si>
  <si>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</si>
  <si>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</si>
  <si>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</si>
  <si>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</si>
  <si>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</si>
  <si>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</si>
  <si>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</si>
  <si>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</si>
  <si>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</si>
  <si>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</si>
  <si>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</si>
  <si>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</si>
  <si>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</si>
  <si>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</si>
  <si>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</si>
  <si>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</si>
  <si>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</si>
  <si>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</si>
  <si>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</si>
  <si>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</si>
  <si>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</si>
  <si>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</si>
  <si>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</si>
  <si>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</si>
  <si>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</si>
  <si>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</si>
  <si>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</si>
  <si>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</si>
  <si>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</si>
  <si>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</si>
  <si>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</si>
  <si>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</si>
  <si>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</si>
  <si>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</si>
  <si>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</si>
  <si>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</si>
  <si>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</si>
  <si>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</si>
  <si>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</si>
  <si>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</si>
  <si>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</si>
  <si>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</si>
  <si>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</si>
  <si>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</si>
  <si>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</si>
  <si>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</si>
  <si>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</si>
  <si>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</si>
  <si>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</si>
  <si>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</si>
  <si>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</si>
  <si>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</si>
  <si>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</si>
  <si>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</si>
  <si>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</si>
  <si>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</si>
  <si>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</si>
  <si>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</si>
  <si>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</si>
  <si>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</si>
  <si>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</si>
  <si>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</si>
  <si>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</si>
  <si>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</si>
  <si>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</si>
  <si>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</si>
  <si>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</si>
  <si>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</si>
  <si>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</si>
  <si>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</si>
  <si>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</si>
  <si>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</si>
  <si>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</si>
  <si>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</si>
  <si>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</si>
  <si>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</si>
  <si>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</si>
  <si>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</si>
  <si>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</si>
  <si>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</si>
  <si>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</si>
  <si>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</si>
  <si>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</si>
  <si>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</si>
  <si>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</si>
  <si>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</si>
  <si>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</si>
  <si>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</si>
  <si>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</si>
  <si>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</si>
  <si>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</si>
  <si>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</si>
  <si>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</si>
  <si>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</si>
  <si>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</si>
  <si>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</si>
  <si>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</si>
  <si>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</si>
  <si>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</si>
  <si>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</si>
  <si>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</si>
  <si>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</si>
  <si>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</si>
  <si>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</si>
  <si>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</si>
  <si>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</si>
  <si>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</si>
  <si>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</si>
  <si>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</si>
  <si>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</si>
  <si>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</si>
  <si>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</si>
  <si>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</si>
  <si>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</si>
  <si>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</si>
  <si>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</si>
  <si>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</si>
  <si>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</si>
  <si>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</si>
  <si>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</si>
  <si>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</si>
  <si>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</si>
  <si>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</si>
  <si>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</si>
  <si>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</si>
  <si>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</si>
  <si>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</si>
  <si>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</si>
  <si>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</si>
  <si>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</si>
  <si>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</si>
  <si>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</si>
  <si>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</si>
  <si>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</si>
  <si>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</si>
  <si>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</si>
  <si>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</si>
  <si>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</si>
  <si>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</si>
  <si>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</si>
  <si>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</si>
  <si>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</si>
  <si>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</si>
  <si>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</si>
  <si>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</si>
  <si>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</si>
  <si>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</si>
  <si>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</si>
  <si>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</si>
  <si>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</si>
  <si>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</si>
  <si>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</si>
  <si>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</si>
  <si>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</si>
  <si>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</si>
  <si>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</si>
  <si>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</si>
  <si>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</si>
  <si>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</si>
  <si>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</si>
  <si>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</si>
  <si>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</si>
  <si>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</si>
  <si>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</si>
  <si>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</si>
  <si>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</si>
  <si>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</si>
  <si>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</si>
  <si>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</si>
  <si>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</si>
  <si>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</si>
  <si>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</si>
  <si>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</si>
  <si>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</si>
  <si>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</si>
  <si>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</si>
  <si>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</si>
  <si>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</si>
  <si>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</si>
  <si>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</si>
  <si>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</si>
  <si>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</si>
  <si>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</si>
  <si>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</si>
  <si>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</si>
  <si>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</si>
  <si>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</si>
  <si>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</si>
  <si>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</si>
  <si>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</si>
  <si>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</si>
  <si>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</si>
  <si>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</si>
  <si>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</si>
  <si>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</si>
  <si>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</si>
  <si>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</si>
  <si>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</si>
  <si>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</si>
  <si>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</si>
  <si>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</si>
  <si>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</si>
  <si>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</si>
  <si>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</si>
  <si>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</si>
  <si>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</si>
  <si>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</si>
  <si>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</si>
  <si>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</si>
  <si>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</si>
  <si>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</si>
  <si>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</si>
  <si>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</si>
  <si>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</si>
  <si>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</si>
  <si>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</si>
  <si>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</si>
  <si>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</si>
  <si>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</si>
  <si>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</si>
  <si>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</si>
  <si>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</si>
  <si>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</si>
  <si>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</si>
  <si>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</si>
  <si>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</si>
  <si>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</si>
  <si>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</si>
  <si>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</si>
  <si>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</si>
  <si>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</si>
  <si>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</si>
  <si>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</si>
  <si>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</si>
  <si>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</si>
  <si>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</si>
  <si>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</si>
  <si>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</si>
  <si>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</si>
  <si>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</si>
  <si>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</si>
  <si>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</si>
  <si>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</si>
  <si>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</si>
  <si>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</si>
  <si>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</si>
  <si>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</si>
  <si>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</si>
  <si>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</si>
  <si>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</si>
  <si>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</si>
  <si>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</si>
  <si>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</si>
  <si>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</si>
  <si>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</si>
  <si>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</si>
  <si>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</si>
  <si>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</si>
  <si>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</si>
  <si>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</si>
  <si>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</si>
  <si>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</si>
  <si>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</si>
  <si>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</si>
  <si>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</si>
  <si>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</si>
  <si>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</si>
  <si>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</si>
  <si>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</si>
  <si>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</si>
  <si>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</si>
  <si>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</si>
  <si>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</si>
  <si>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</si>
  <si>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</si>
  <si>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</si>
  <si>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</si>
  <si>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</si>
  <si>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</si>
  <si>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</si>
  <si>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</si>
  <si>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</si>
  <si>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</si>
  <si>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</si>
  <si>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</si>
  <si>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</si>
  <si>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</si>
  <si>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</si>
  <si>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</si>
  <si>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</si>
  <si>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</si>
  <si>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</si>
  <si>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</si>
  <si>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</si>
  <si>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</si>
  <si>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</si>
  <si>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</si>
  <si>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</si>
  <si>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</si>
  <si>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</si>
  <si>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</si>
  <si>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</si>
  <si>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</si>
  <si>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</si>
  <si>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</si>
  <si>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</si>
  <si>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</si>
  <si>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</si>
  <si>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</si>
  <si>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</si>
  <si>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</si>
  <si>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</si>
  <si>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</si>
  <si>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</si>
  <si>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</si>
  <si>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</si>
  <si>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</si>
  <si>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</si>
  <si>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</si>
  <si>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</si>
  <si>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</si>
  <si>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</si>
  <si>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</si>
  <si>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</si>
  <si>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</si>
  <si>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</si>
  <si>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</si>
  <si>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</si>
  <si>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</si>
  <si>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</si>
  <si>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</si>
  <si>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</si>
  <si>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</si>
  <si>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</si>
  <si>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</si>
  <si>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</si>
  <si>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</si>
  <si>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</si>
  <si>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</si>
  <si>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</si>
  <si>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</si>
  <si>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</si>
  <si>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</si>
  <si>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</si>
  <si>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</si>
  <si>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</si>
  <si>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</si>
  <si>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</si>
  <si>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</si>
  <si>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</si>
  <si>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</si>
  <si>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</si>
  <si>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</si>
  <si>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</si>
  <si>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</si>
  <si>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</si>
  <si>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</si>
  <si>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</si>
  <si>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</si>
  <si>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</si>
  <si>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</si>
  <si>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</si>
  <si>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</si>
  <si>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</si>
  <si>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</si>
  <si>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</si>
  <si>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</si>
  <si>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</si>
  <si>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</si>
  <si>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</si>
  <si>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</si>
  <si>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</si>
  <si>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</si>
  <si>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</si>
  <si>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</si>
  <si>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</si>
  <si>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</si>
  <si>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</si>
  <si>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</si>
  <si>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</si>
  <si>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</si>
  <si>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</si>
  <si>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</si>
  <si>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</si>
  <si>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</si>
  <si>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</si>
  <si>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</si>
  <si>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</si>
  <si>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</si>
  <si>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</si>
  <si>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</si>
  <si>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</si>
  <si>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</si>
  <si>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</si>
  <si>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</si>
  <si>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</si>
  <si>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</si>
  <si>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</si>
  <si>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</si>
  <si>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</si>
  <si>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</si>
  <si>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</si>
  <si>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</si>
  <si>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</si>
  <si>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</si>
  <si>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</si>
  <si>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</si>
  <si>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</si>
  <si>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</si>
  <si>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</si>
  <si>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</si>
  <si>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</si>
  <si>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</si>
  <si>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</si>
  <si>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</si>
  <si>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</si>
  <si>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</si>
  <si>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</si>
  <si>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</si>
  <si>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</si>
  <si>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</si>
  <si>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</si>
  <si>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</si>
  <si>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</si>
  <si>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</si>
  <si>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</si>
  <si>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</si>
  <si>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</si>
  <si>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</si>
  <si>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</si>
  <si>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</si>
  <si>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</si>
  <si>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</si>
  <si>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</si>
  <si>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</si>
  <si>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</si>
  <si>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</si>
  <si>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</si>
  <si>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</si>
  <si>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</si>
  <si>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</si>
  <si>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</si>
  <si>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</si>
  <si>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</si>
  <si>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</si>
  <si>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</si>
  <si>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</si>
  <si>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</si>
  <si>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</si>
  <si>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</si>
  <si>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</si>
  <si>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</si>
  <si>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</si>
  <si>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</si>
  <si>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</si>
  <si>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</si>
  <si>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</si>
  <si>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</si>
  <si>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</si>
  <si>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</si>
  <si>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</si>
  <si>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</si>
  <si>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</si>
  <si>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</si>
  <si>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</si>
  <si>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</si>
  <si>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</si>
  <si>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</si>
  <si>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</si>
  <si>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</si>
  <si>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</si>
  <si>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</si>
  <si>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</si>
  <si>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</si>
  <si>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</si>
  <si>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</si>
  <si>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</si>
  <si>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</si>
  <si>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</si>
  <si>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</si>
  <si>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</si>
  <si>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</si>
  <si>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</si>
  <si>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</si>
  <si>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</si>
  <si>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</si>
  <si>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</si>
  <si>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</si>
  <si>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</si>
  <si>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</si>
  <si>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</si>
  <si>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</si>
  <si>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</si>
  <si>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</si>
  <si>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</si>
  <si>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</si>
  <si>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</si>
  <si>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</si>
  <si>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</si>
  <si>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</si>
  <si>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</si>
  <si>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</si>
  <si>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</si>
  <si>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</si>
  <si>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</si>
  <si>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</si>
  <si>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</si>
  <si>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</si>
  <si>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</si>
  <si>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</si>
  <si>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</si>
  <si>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</si>
  <si>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</si>
  <si>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</si>
  <si>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</si>
  <si>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</si>
  <si>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</si>
  <si>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</si>
  <si>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</si>
  <si>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</si>
  <si>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</si>
  <si>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</si>
  <si>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</si>
  <si>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</si>
  <si>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</si>
  <si>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</si>
  <si>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</si>
  <si>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</si>
  <si>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</si>
  <si>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</si>
  <si>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</si>
  <si>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</si>
  <si>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</si>
  <si>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</si>
  <si>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</si>
  <si>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</si>
  <si>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</si>
  <si>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</si>
  <si>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</si>
  <si>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</si>
  <si>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</si>
  <si>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</si>
  <si>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</si>
  <si>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</si>
  <si>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</si>
  <si>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</si>
  <si>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</si>
  <si>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</si>
  <si>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</si>
  <si>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</si>
  <si>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</si>
  <si>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</si>
  <si>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</si>
  <si>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</si>
  <si>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</si>
  <si>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</si>
  <si>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</si>
  <si>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</si>
  <si>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</si>
  <si>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</si>
  <si>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</si>
  <si>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</si>
  <si>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</si>
  <si>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</si>
  <si>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</si>
  <si>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</si>
  <si>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</si>
  <si>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</si>
  <si>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</si>
  <si>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</si>
  <si>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</si>
  <si>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</si>
  <si>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</si>
  <si>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</si>
  <si>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</si>
  <si>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</si>
  <si>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</si>
  <si>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</si>
  <si>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</si>
  <si>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</si>
  <si>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</si>
  <si>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</si>
  <si>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</si>
  <si>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</si>
  <si>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</si>
  <si>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</si>
  <si>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</si>
  <si>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</si>
  <si>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</si>
  <si>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</si>
  <si>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</si>
  <si>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</si>
  <si>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</si>
  <si>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</si>
  <si>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</si>
  <si>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</si>
  <si>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</si>
  <si>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</si>
  <si>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</si>
  <si>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</si>
  <si>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</si>
  <si>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</si>
  <si>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</si>
  <si>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</si>
  <si>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</si>
  <si>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</si>
  <si>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</si>
  <si>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</si>
  <si>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</si>
  <si>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</si>
  <si>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</si>
  <si>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</si>
  <si>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</si>
  <si>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</si>
  <si>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</si>
  <si>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</si>
  <si>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</si>
  <si>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</si>
  <si>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</si>
  <si>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</si>
  <si>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</si>
  <si>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</si>
  <si>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</si>
  <si>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</si>
  <si>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</si>
  <si>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</si>
  <si>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</si>
  <si>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</si>
  <si>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</si>
  <si>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</si>
  <si>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</si>
  <si>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</si>
  <si>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</si>
  <si>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</si>
  <si>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</si>
  <si>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</si>
  <si>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</si>
  <si>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</si>
  <si>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</si>
  <si>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</si>
  <si>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</si>
  <si>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</si>
  <si>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</si>
  <si>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</si>
  <si>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</si>
  <si>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</si>
  <si>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</si>
  <si>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</si>
  <si>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</si>
  <si>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</si>
  <si>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</si>
  <si>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</si>
  <si>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</si>
  <si>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</si>
  <si>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</si>
  <si>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</si>
  <si>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</si>
  <si>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</si>
  <si>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</si>
  <si>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</si>
  <si>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</si>
  <si>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</si>
  <si>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</si>
  <si>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</si>
  <si>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</si>
  <si>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</si>
  <si>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</si>
  <si>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</si>
  <si>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</si>
  <si>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</si>
  <si>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</si>
  <si>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</si>
  <si>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</si>
  <si>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</si>
  <si>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</si>
  <si>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</si>
  <si>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</si>
  <si>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</si>
  <si>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</si>
  <si>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</si>
  <si>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</si>
  <si>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</si>
  <si>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</si>
  <si>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</si>
  <si>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</si>
  <si>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</si>
  <si>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</si>
  <si>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</si>
  <si>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</si>
  <si>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</si>
  <si>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</si>
  <si>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</si>
  <si>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</si>
  <si>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</si>
  <si>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</si>
  <si>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</si>
  <si>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</si>
  <si>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</si>
  <si>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</si>
  <si>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</si>
  <si>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</si>
  <si>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</si>
  <si>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</si>
  <si>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</si>
  <si>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</si>
  <si>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</si>
  <si>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</si>
  <si>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</si>
  <si>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</si>
  <si>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</si>
  <si>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</si>
  <si>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</si>
  <si>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</si>
  <si>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</si>
  <si>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</si>
  <si>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</si>
  <si>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</si>
  <si>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</si>
  <si>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</si>
  <si>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</si>
  <si>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</si>
  <si>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</si>
  <si>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</si>
  <si>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</si>
  <si>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</si>
  <si>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</si>
  <si>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</si>
  <si>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</si>
  <si>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</si>
  <si>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</si>
  <si>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</si>
  <si>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</si>
  <si>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</si>
  <si>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</si>
  <si>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</si>
  <si>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</si>
  <si>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</si>
  <si>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</si>
  <si>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</si>
  <si>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</si>
  <si>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</si>
  <si>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</si>
  <si>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</si>
  <si>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</si>
  <si>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</si>
  <si>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</si>
  <si>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</si>
  <si>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</si>
  <si>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</si>
  <si>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</si>
  <si>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</si>
  <si>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</si>
  <si>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</si>
  <si>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</si>
  <si>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</si>
  <si>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</si>
  <si>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</si>
  <si>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</si>
  <si>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</si>
  <si>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T0311Y</t>
  </si>
  <si>
    <t>T0506Y</t>
  </si>
  <si>
    <t>T0806Y</t>
  </si>
  <si>
    <t>T1407Y</t>
  </si>
  <si>
    <t>T1612Y</t>
  </si>
  <si>
    <t>屬實質互相投資</t>
    <phoneticPr fontId="7" type="noConversion"/>
  </si>
  <si>
    <t>保險股份有限公司(  分公司)   年度(月)報表</t>
    <phoneticPr fontId="7" type="noConversion"/>
  </si>
  <si>
    <t>保險股份有限公司(  分公司)   年度(月)報表</t>
    <phoneticPr fontId="9" type="noConversion"/>
  </si>
  <si>
    <t>風險係數</t>
    <phoneticPr fontId="9" type="noConversion"/>
  </si>
  <si>
    <t>風險資本額</t>
    <phoneticPr fontId="9" type="noConversion"/>
  </si>
  <si>
    <t>股票型基金</t>
    <phoneticPr fontId="9" type="noConversion"/>
  </si>
  <si>
    <t>項目</t>
    <phoneticPr fontId="9" type="noConversion"/>
  </si>
  <si>
    <t>本期</t>
    <phoneticPr fontId="9" type="noConversion"/>
  </si>
  <si>
    <t>前期</t>
    <phoneticPr fontId="9" type="noConversion"/>
  </si>
  <si>
    <t>業主權益</t>
    <phoneticPr fontId="9" type="noConversion"/>
  </si>
  <si>
    <t>不含投資型保險專設帳簿之資產總額</t>
    <phoneticPr fontId="9" type="noConversion"/>
  </si>
  <si>
    <t>淨值比率</t>
    <phoneticPr fontId="9" type="noConversion"/>
  </si>
  <si>
    <t>(15)</t>
    <phoneticPr fontId="9" type="noConversion"/>
  </si>
  <si>
    <t>資本適足率</t>
    <phoneticPr fontId="9" type="noConversion"/>
  </si>
  <si>
    <t>一、資本適足率</t>
    <phoneticPr fontId="9" type="noConversion"/>
  </si>
  <si>
    <t>二、淨值比率</t>
    <phoneticPr fontId="9" type="noConversion"/>
  </si>
  <si>
    <r>
      <rPr>
        <sz val="10"/>
        <rFont val="標楷體"/>
        <family val="4"/>
        <charset val="136"/>
      </rPr>
      <t>列號</t>
    </r>
    <phoneticPr fontId="9" type="noConversion"/>
  </si>
  <si>
    <r>
      <rPr>
        <sz val="10"/>
        <rFont val="標楷體"/>
        <family val="4"/>
        <charset val="136"/>
      </rPr>
      <t>列號</t>
    </r>
  </si>
  <si>
    <r>
      <rPr>
        <sz val="10"/>
        <rFont val="標楷體"/>
        <family val="4"/>
        <charset val="136"/>
      </rPr>
      <t>號</t>
    </r>
    <phoneticPr fontId="9"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</si>
  <si>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9" type="noConversion"/>
  </si>
  <si>
    <r>
      <rPr>
        <sz val="10"/>
        <rFont val="標楷體"/>
        <family val="4"/>
        <charset val="136"/>
      </rPr>
      <t>一、關係人資產</t>
    </r>
    <phoneticPr fontId="9" type="noConversion"/>
  </si>
  <si>
    <r>
      <rPr>
        <b/>
        <sz val="12"/>
        <rFont val="標楷體"/>
        <family val="4"/>
        <charset val="136"/>
      </rPr>
      <t>列號</t>
    </r>
  </si>
  <si>
    <r>
      <t xml:space="preserve">R3c </t>
    </r>
    <r>
      <rPr>
        <sz val="10"/>
        <rFont val="標楷體"/>
        <family val="4"/>
        <charset val="136"/>
      </rPr>
      <t>長年期保險風險</t>
    </r>
    <r>
      <rPr>
        <sz val="10"/>
        <rFont val="Book Antiqua"/>
        <family val="1"/>
      </rPr>
      <t xml:space="preserve"> </t>
    </r>
    <phoneticPr fontId="9" type="noConversion"/>
  </si>
  <si>
    <t>負債型特別股：為累積或有利率加碼條件或其他提前贖回之誘因</t>
    <phoneticPr fontId="7" type="noConversion"/>
  </si>
  <si>
    <t>小計</t>
    <phoneticPr fontId="7" type="noConversion"/>
  </si>
  <si>
    <t>具資本性資債券：為累積或有利率加碼條件或其他提前贖回之誘因</t>
    <phoneticPr fontId="7" type="noConversion"/>
  </si>
  <si>
    <t>平衡型共同基金及多重資產型基金</t>
    <phoneticPr fontId="7" type="noConversion"/>
  </si>
  <si>
    <t>平衡型共同基金及多重資產型基金</t>
    <phoneticPr fontId="7" type="noConversion"/>
  </si>
  <si>
    <t>平衡型基金及多重資產型基金</t>
    <phoneticPr fontId="12" type="noConversion"/>
  </si>
  <si>
    <t xml:space="preserve">  保費不足準備</t>
    <phoneticPr fontId="9" type="noConversion"/>
  </si>
  <si>
    <t xml:space="preserve">  負債適足準備</t>
    <phoneticPr fontId="9" type="noConversion"/>
  </si>
  <si>
    <t xml:space="preserve">  其他準備</t>
    <phoneticPr fontId="9" type="noConversion"/>
  </si>
  <si>
    <t xml:space="preserve">        保險股份有限公司(○○分公司) 年度(月、季、半年)報表</t>
  </si>
  <si>
    <t>備抵損失</t>
    <phoneticPr fontId="9" type="noConversion"/>
  </si>
  <si>
    <t>備抵損失</t>
    <phoneticPr fontId="9" type="noConversion"/>
  </si>
  <si>
    <t>備抵損失</t>
    <phoneticPr fontId="9" type="noConversion"/>
  </si>
  <si>
    <t>風險資本總額</t>
    <phoneticPr fontId="9" type="noConversion"/>
  </si>
  <si>
    <t>重大事故特別準備金
(負債)</t>
    <phoneticPr fontId="9" type="noConversion"/>
  </si>
  <si>
    <t>總計</t>
    <phoneticPr fontId="9" type="noConversion"/>
  </si>
  <si>
    <t>自有資本(註1)</t>
    <phoneticPr fontId="9" type="noConversion"/>
  </si>
  <si>
    <t>(3)=(1)+(2)</t>
    <phoneticPr fontId="9" type="noConversion"/>
  </si>
  <si>
    <t>(1)</t>
    <phoneticPr fontId="9" type="noConversion"/>
  </si>
  <si>
    <t>(5)</t>
    <phoneticPr fontId="9" type="noConversion"/>
  </si>
  <si>
    <t>(8)=(6)*(7)</t>
    <phoneticPr fontId="9" type="noConversion"/>
  </si>
  <si>
    <t>(9)=MIN((3),(8))</t>
    <phoneticPr fontId="9" type="noConversion"/>
  </si>
  <si>
    <t>得計入自有資本之金額</t>
    <phoneticPr fontId="9" type="noConversion"/>
  </si>
  <si>
    <t>重大事故特別準備金計入自有資本上限</t>
    <phoneticPr fontId="9" type="noConversion"/>
  </si>
  <si>
    <t>表30-8-8：得計入自有資本之重大事故特別準備金</t>
    <phoneticPr fontId="9" type="noConversion"/>
  </si>
  <si>
    <t>重大事故特別準備金
(權益)</t>
    <phoneticPr fontId="9" type="noConversion"/>
  </si>
  <si>
    <t>(3)=(1)x(2)</t>
    <phoneticPr fontId="9" type="noConversion"/>
  </si>
  <si>
    <t>得計入自有資本之重大事故特別準備金(註2)</t>
    <phoneticPr fontId="9" type="noConversion"/>
  </si>
  <si>
    <t>(6)=(4)/(5)-1</t>
    <phoneticPr fontId="9" type="noConversion"/>
  </si>
  <si>
    <t>(1)</t>
    <phoneticPr fontId="7" type="noConversion"/>
  </si>
  <si>
    <t>(2)</t>
    <phoneticPr fontId="7" type="noConversion"/>
  </si>
  <si>
    <t>不動產投資評價調整數</t>
    <phoneticPr fontId="9" type="noConversion"/>
  </si>
  <si>
    <t>b.無信用評等者</t>
    <phoneticPr fontId="7" type="noConversion"/>
  </si>
  <si>
    <t>證券代號及發行機構代號請洽由財團法人保險事業發展中心統一配賦。</t>
    <phoneticPr fontId="7" type="noConversion"/>
  </si>
  <si>
    <t>固定收益特別股係指同時符合下列五條件者：①有固定到期日②固定股利率③可累積④到期償還本金⑤非強制轉換。</t>
    <phoneticPr fontId="9" type="noConversion"/>
  </si>
  <si>
    <t>強制汽車責任保險之特別準備金依其規定辦理，填報欄(8)、欄(13)、欄(15)與欄(19)。</t>
    <phoneticPr fontId="9" type="noConversion"/>
  </si>
  <si>
    <t>核能保險之特別準備金依其規定辦理，填報欄(8)、欄(13)至欄(16)、欄(19)與欄(20)。</t>
    <phoneticPr fontId="9" type="noConversion"/>
  </si>
  <si>
    <t>政策性地震保險之特別準備金依其規定辦理，填報欄(8)、欄(13)至欄(16)、欄(19)與欄(20)。</t>
    <phoneticPr fontId="9" type="noConversion"/>
  </si>
  <si>
    <t>欄(8)提存數依保險業各種準備金提存辦法第10條第1項第1款規定辦理，並應依國際會計準則第十二號公報扣除所得稅後之餘額提列。若無提存數時，則本欄填0。</t>
    <phoneticPr fontId="7" type="noConversion"/>
  </si>
  <si>
    <t>填列半年報時，應為本半年度金額加計前一年度下半年(7/1至12/31)金額，用以表示一年期之已滿期保費金額。</t>
    <phoneticPr fontId="9" type="noConversion"/>
  </si>
  <si>
    <t>高於預計賠款收回數依保險業各種準備金提存辦法第10條第1項第2款規定辦理</t>
    <phoneticPr fontId="9" type="noConversion"/>
  </si>
  <si>
    <t>欄(10)及欄(12)應依國際會計準則第十二號公報扣除所得稅後之餘額沖減或收回之。</t>
    <phoneticPr fontId="9" type="noConversion"/>
  </si>
  <si>
    <t>※傷害險收回數之門檻為已滿期保費之30%。</t>
    <phoneticPr fontId="7" type="noConversion"/>
  </si>
  <si>
    <t>跨險沖減之險別及金額應依據報部備查文件辦理。</t>
    <phoneticPr fontId="7" type="noConversion"/>
  </si>
  <si>
    <t>本表之保證保險未包含住宅抵押貸款信用保證保險。</t>
    <phoneticPr fontId="7" type="noConversion"/>
  </si>
  <si>
    <t>欄(4)實際賠款等於自留賠款加IBNR淨提存，不含ULAE費用。</t>
    <phoneticPr fontId="9" type="noConversion"/>
  </si>
  <si>
    <t>欄(1)為計算危險變動特別準備金之滿期自留保費，各險按其相關法令規定計算，部分險種得與表24(7)欄不同，如團體傷害險、旅行業綜合責任險、旅行業履約保證險。</t>
    <phoneticPr fontId="9" type="noConversion"/>
  </si>
  <si>
    <t>可分配理賠費用係指理賠費用中可明確歸屬於某一賠案者</t>
  </si>
  <si>
    <t>(11)欄之提存方法請填列 A：損失發展三角形,B：依相關法令規定辦理,C：依原先商品報部計算說明書辦理,D：其他</t>
  </si>
  <si>
    <t>(16)欄核能保險與政策性地震險之賠款準備金依其相關規定辦理，其餘險種以總額基礎計算。</t>
  </si>
  <si>
    <t>代號為財團法人保險事業發展中心所統一配賦之代號。</t>
    <phoneticPr fontId="6" type="noConversion"/>
  </si>
  <si>
    <t>是否為關係人請依序填列A.是,B.否,C.其他;所稱關係人係依國際會計準則第二十四號公報、公司法第369-1~369-3條、第369-9條、及第369-11條</t>
    <phoneticPr fontId="9" type="noConversion"/>
  </si>
  <si>
    <t>再保險經紀人欄之填列係指再保險分出(分入)業務第一手分出(分入)時透過之再保險經紀人。請填列其代號及名稱,若無者請填無。</t>
    <phoneticPr fontId="6" type="noConversion"/>
  </si>
  <si>
    <t>未適格再保險人應分別填列其代號、名稱、信用評等機構、評等等級、是否為關係人。</t>
    <phoneticPr fontId="6" type="noConversion"/>
  </si>
  <si>
    <t>未逾九個月之已付賠款應攤回再保賠款與給付係指已付賠款之應攤回再保賠款與給付未超過保險賠款賠付日(再保險契約另有訂定者，從其約定)</t>
    <phoneticPr fontId="6" type="noConversion"/>
  </si>
  <si>
    <t>(1)</t>
    <phoneticPr fontId="9" type="noConversion"/>
  </si>
  <si>
    <t>(5a)</t>
    <phoneticPr fontId="9" type="noConversion"/>
  </si>
  <si>
    <t>(5b)</t>
    <phoneticPr fontId="9" type="noConversion"/>
  </si>
  <si>
    <t>(5c)</t>
    <phoneticPr fontId="9" type="noConversion"/>
  </si>
  <si>
    <t>(5d)</t>
    <phoneticPr fontId="9" type="noConversion"/>
  </si>
  <si>
    <t>(5)
=(5a)+(5b)-(5c)-(5d)</t>
    <phoneticPr fontId="9" type="noConversion"/>
  </si>
  <si>
    <t>(6a)</t>
    <phoneticPr fontId="9" type="noConversion"/>
  </si>
  <si>
    <t>(6b)</t>
    <phoneticPr fontId="9" type="noConversion"/>
  </si>
  <si>
    <t>(6c)</t>
    <phoneticPr fontId="9" type="noConversion"/>
  </si>
  <si>
    <t>(6d)</t>
    <phoneticPr fontId="9" type="noConversion"/>
  </si>
  <si>
    <t>(6)
=(6a)+(6b)-(6c)-(6d)</t>
    <phoneticPr fontId="9" type="noConversion"/>
  </si>
  <si>
    <t>(7a)</t>
    <phoneticPr fontId="9" type="noConversion"/>
  </si>
  <si>
    <t>(7b)</t>
    <phoneticPr fontId="9" type="noConversion"/>
  </si>
  <si>
    <t>(7)
=(7a)-(7b)</t>
    <phoneticPr fontId="9" type="noConversion"/>
  </si>
  <si>
    <t>(8a)</t>
    <phoneticPr fontId="9" type="noConversion"/>
  </si>
  <si>
    <t>(8b)</t>
    <phoneticPr fontId="9" type="noConversion"/>
  </si>
  <si>
    <t>(8c)</t>
    <phoneticPr fontId="9" type="noConversion"/>
  </si>
  <si>
    <t>(8)
=(8a)+(8b)-(8c)</t>
    <phoneticPr fontId="9" type="noConversion"/>
  </si>
  <si>
    <t>(9a)</t>
    <phoneticPr fontId="9" type="noConversion"/>
  </si>
  <si>
    <t>(9b)</t>
    <phoneticPr fontId="9" type="noConversion"/>
  </si>
  <si>
    <t>(9)
=(9a)-(9b)</t>
    <phoneticPr fontId="9" type="noConversion"/>
  </si>
  <si>
    <t>(10a)</t>
    <phoneticPr fontId="9" type="noConversion"/>
  </si>
  <si>
    <t>(10b)</t>
    <phoneticPr fontId="9" type="noConversion"/>
  </si>
  <si>
    <t>(10)
=(10a)-(10b)</t>
    <phoneticPr fontId="9" type="noConversion"/>
  </si>
  <si>
    <t>(11a)</t>
    <phoneticPr fontId="9" type="noConversion"/>
  </si>
  <si>
    <t>(1b)</t>
    <phoneticPr fontId="9" type="noConversion"/>
  </si>
  <si>
    <t>(11)
=(11a)-(11b)</t>
    <phoneticPr fontId="9" type="noConversion"/>
  </si>
  <si>
    <t>(12)
=(7)+(8)
+(9)+(10)
+(11)</t>
    <phoneticPr fontId="9" type="noConversion"/>
  </si>
  <si>
    <t>(13)
=(5)+(6)
+(12)</t>
    <phoneticPr fontId="9" type="noConversion"/>
  </si>
  <si>
    <t>調整後不動產稅後增值或稅後減少之金額</t>
    <phoneticPr fontId="7" type="noConversion"/>
  </si>
  <si>
    <t>可計入自有資本加計項之比例</t>
  </si>
  <si>
    <t>可計入自有資本加計項之比例</t>
    <phoneticPr fontId="9" type="noConversion"/>
  </si>
  <si>
    <t>可計入自有資本加計項之金額</t>
    <phoneticPr fontId="9" type="noConversion"/>
  </si>
  <si>
    <t>應計提風險資本之不動產評價調整數之調整比率</t>
    <phoneticPr fontId="9" type="noConversion"/>
  </si>
  <si>
    <t>可計入自有資本加計項之金額</t>
    <phoneticPr fontId="7"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</si>
  <si>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</si>
  <si>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</si>
  <si>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</si>
  <si>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</si>
  <si>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</si>
  <si>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</si>
  <si>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</si>
  <si>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</si>
  <si>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</si>
  <si>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</si>
  <si>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</si>
  <si>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</si>
  <si>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</si>
  <si>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</si>
  <si>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</si>
  <si>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</si>
  <si>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</si>
  <si>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</si>
  <si>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</si>
  <si>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</si>
  <si>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</si>
  <si>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</si>
  <si>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</si>
  <si>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</si>
  <si>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</si>
  <si>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</si>
  <si>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</si>
  <si>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</si>
  <si>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</si>
  <si>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</si>
  <si>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</si>
  <si>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</si>
  <si>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</si>
  <si>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</si>
  <si>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</si>
  <si>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</si>
  <si>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</si>
  <si>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</si>
  <si>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</si>
  <si>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</si>
  <si>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</si>
  <si>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</si>
  <si>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</si>
  <si>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</si>
  <si>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</si>
  <si>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</si>
  <si>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</si>
  <si>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</si>
  <si>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</si>
  <si>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</si>
  <si>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</si>
  <si>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</si>
  <si>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</si>
  <si>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</si>
  <si>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</si>
  <si>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</si>
  <si>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</si>
  <si>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</si>
  <si>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</si>
  <si>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</si>
  <si>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</si>
  <si>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</si>
  <si>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</si>
  <si>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</si>
  <si>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</si>
  <si>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</si>
  <si>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</si>
  <si>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</si>
  <si>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</si>
  <si>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</si>
  <si>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</si>
  <si>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</si>
  <si>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</si>
  <si>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</si>
  <si>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</si>
  <si>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</si>
  <si>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</si>
  <si>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</si>
  <si>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</si>
  <si>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</si>
  <si>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</si>
  <si>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</si>
  <si>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</si>
  <si>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</si>
  <si>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</si>
  <si>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</si>
  <si>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</si>
  <si>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</si>
  <si>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</si>
  <si>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</si>
  <si>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</si>
  <si>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</si>
  <si>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</si>
  <si>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</si>
  <si>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</si>
  <si>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</si>
  <si>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</si>
  <si>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</si>
  <si>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</si>
  <si>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</si>
  <si>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</si>
  <si>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</si>
  <si>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</si>
  <si>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</si>
  <si>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</si>
  <si>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</si>
  <si>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</si>
  <si>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</si>
  <si>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</si>
  <si>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</si>
  <si>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</si>
  <si>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</si>
  <si>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</si>
  <si>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</si>
  <si>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</si>
  <si>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</si>
  <si>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</si>
  <si>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</si>
  <si>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</si>
  <si>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</si>
  <si>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</si>
  <si>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</si>
  <si>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</si>
  <si>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</si>
  <si>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</si>
  <si>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</si>
  <si>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</si>
  <si>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</si>
  <si>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</si>
  <si>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</si>
  <si>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</si>
  <si>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</si>
  <si>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</si>
  <si>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</si>
  <si>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</si>
  <si>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</si>
  <si>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</si>
  <si>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</si>
  <si>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</si>
  <si>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</si>
  <si>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</si>
  <si>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</si>
  <si>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</si>
  <si>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</si>
  <si>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</si>
  <si>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</si>
  <si>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</si>
  <si>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</si>
  <si>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</si>
  <si>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</si>
  <si>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</si>
  <si>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</si>
  <si>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</si>
  <si>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</si>
  <si>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</si>
  <si>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</si>
  <si>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</si>
  <si>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</si>
  <si>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</si>
  <si>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</si>
  <si>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</si>
  <si>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</si>
  <si>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</si>
  <si>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</si>
  <si>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</si>
  <si>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</si>
  <si>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</si>
  <si>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</si>
  <si>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</si>
  <si>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</si>
  <si>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</si>
  <si>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</si>
  <si>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</si>
  <si>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</si>
  <si>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</si>
  <si>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</si>
  <si>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</si>
  <si>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</si>
  <si>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</si>
  <si>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</si>
  <si>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</si>
  <si>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</si>
  <si>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</si>
  <si>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</si>
  <si>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</si>
  <si>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</si>
  <si>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</si>
  <si>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</si>
  <si>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</si>
  <si>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</si>
  <si>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</si>
  <si>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</si>
  <si>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</si>
  <si>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</si>
  <si>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</si>
  <si>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</si>
  <si>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</si>
  <si>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</si>
  <si>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</si>
  <si>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</si>
  <si>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</si>
  <si>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</si>
  <si>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</si>
  <si>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</si>
  <si>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</si>
  <si>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</si>
  <si>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</si>
  <si>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</si>
  <si>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</si>
  <si>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</si>
  <si>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</si>
  <si>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</si>
  <si>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</si>
  <si>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</si>
  <si>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</si>
  <si>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</si>
  <si>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</si>
  <si>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</si>
  <si>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</si>
  <si>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</si>
  <si>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</si>
  <si>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</si>
  <si>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</si>
  <si>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</si>
  <si>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</si>
  <si>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</si>
  <si>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</si>
  <si>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</si>
  <si>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</si>
  <si>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</si>
  <si>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</si>
  <si>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</si>
  <si>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</si>
  <si>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</si>
  <si>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</si>
  <si>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</si>
  <si>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</si>
  <si>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</si>
  <si>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</si>
  <si>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</si>
  <si>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</si>
  <si>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</si>
  <si>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</si>
  <si>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</si>
  <si>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</si>
  <si>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</si>
  <si>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</si>
  <si>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</si>
  <si>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</si>
  <si>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</si>
  <si>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</si>
  <si>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</si>
  <si>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</si>
  <si>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</si>
  <si>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</si>
  <si>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</si>
  <si>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</si>
  <si>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</si>
  <si>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</si>
  <si>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</si>
  <si>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</si>
  <si>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</si>
  <si>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</si>
  <si>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</si>
  <si>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</si>
  <si>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</si>
  <si>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</si>
  <si>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</si>
  <si>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</si>
  <si>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</si>
  <si>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</si>
  <si>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</si>
  <si>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</si>
  <si>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</si>
  <si>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</si>
  <si>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</si>
  <si>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</si>
  <si>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</si>
  <si>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</si>
  <si>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</si>
  <si>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</si>
  <si>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</si>
  <si>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</si>
  <si>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</si>
  <si>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</si>
  <si>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</si>
  <si>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</si>
  <si>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</si>
  <si>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</si>
  <si>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</si>
  <si>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</si>
  <si>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</si>
  <si>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</si>
  <si>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</si>
  <si>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</si>
  <si>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</si>
  <si>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</si>
  <si>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</si>
  <si>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</si>
  <si>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</si>
  <si>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</si>
  <si>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</si>
  <si>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</si>
  <si>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</si>
  <si>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</si>
  <si>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</si>
  <si>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</si>
  <si>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</si>
  <si>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</si>
  <si>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</si>
  <si>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</si>
  <si>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</si>
  <si>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</si>
  <si>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</si>
  <si>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</si>
  <si>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</si>
  <si>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</si>
  <si>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</si>
  <si>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</si>
  <si>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</si>
  <si>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</si>
  <si>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</si>
  <si>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</si>
  <si>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</si>
  <si>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</si>
  <si>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</si>
  <si>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</si>
  <si>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</si>
  <si>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</si>
  <si>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</si>
  <si>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</si>
  <si>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</si>
  <si>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</si>
  <si>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</si>
  <si>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</si>
  <si>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</si>
  <si>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</si>
  <si>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</si>
  <si>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</si>
  <si>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</si>
  <si>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</si>
  <si>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</si>
  <si>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</si>
  <si>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</si>
  <si>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</si>
  <si>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</si>
  <si>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</si>
  <si>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</si>
  <si>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</si>
  <si>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</si>
  <si>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</si>
  <si>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</si>
  <si>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</si>
  <si>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</si>
  <si>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</si>
  <si>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</si>
  <si>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</si>
  <si>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</si>
  <si>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</si>
  <si>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</si>
  <si>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</si>
  <si>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</si>
  <si>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</si>
  <si>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</si>
  <si>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</si>
  <si>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</si>
  <si>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</si>
  <si>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</si>
  <si>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</si>
  <si>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</si>
  <si>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</si>
  <si>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</si>
  <si>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</si>
  <si>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</si>
  <si>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</si>
  <si>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</si>
  <si>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</si>
  <si>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</si>
  <si>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</si>
  <si>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</si>
  <si>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</si>
  <si>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</si>
  <si>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</si>
  <si>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</si>
  <si>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</si>
  <si>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</si>
  <si>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</si>
  <si>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</si>
  <si>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</si>
  <si>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</si>
  <si>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</si>
  <si>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</si>
  <si>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</si>
  <si>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</si>
  <si>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</si>
  <si>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</si>
  <si>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</si>
  <si>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</si>
  <si>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</si>
  <si>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</si>
  <si>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</si>
  <si>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</si>
  <si>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</si>
  <si>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</si>
  <si>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</si>
  <si>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</si>
  <si>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</si>
  <si>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</si>
  <si>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</si>
  <si>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</si>
  <si>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</si>
  <si>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</si>
  <si>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</si>
  <si>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</si>
  <si>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</si>
  <si>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</si>
  <si>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</si>
  <si>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</si>
  <si>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</si>
  <si>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</si>
  <si>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</si>
  <si>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</si>
  <si>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</si>
  <si>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</si>
  <si>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</si>
  <si>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</si>
  <si>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</si>
  <si>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</si>
  <si>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</si>
  <si>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</si>
  <si>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</si>
  <si>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</si>
  <si>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</si>
  <si>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</si>
  <si>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</si>
  <si>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</si>
  <si>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</si>
  <si>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</si>
  <si>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</si>
  <si>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</si>
  <si>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</si>
  <si>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</si>
  <si>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</si>
  <si>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</si>
  <si>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</si>
  <si>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</si>
  <si>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</si>
  <si>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</si>
  <si>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</si>
  <si>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</si>
  <si>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</si>
  <si>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</si>
  <si>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</si>
  <si>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</si>
  <si>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</si>
  <si>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</si>
  <si>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</si>
  <si>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</si>
  <si>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</si>
  <si>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</si>
  <si>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</si>
  <si>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</si>
  <si>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</si>
  <si>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</si>
  <si>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</si>
  <si>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</si>
  <si>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</si>
  <si>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</si>
  <si>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</si>
  <si>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</si>
  <si>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</si>
  <si>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</si>
  <si>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</si>
  <si>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</si>
  <si>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</si>
  <si>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</si>
  <si>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</si>
  <si>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</si>
  <si>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</si>
  <si>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</si>
  <si>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</si>
  <si>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</si>
  <si>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</si>
  <si>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</si>
  <si>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</si>
  <si>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</si>
  <si>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</si>
  <si>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</si>
  <si>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</si>
  <si>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</si>
  <si>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</si>
  <si>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</si>
  <si>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</si>
  <si>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</si>
  <si>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</si>
  <si>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</si>
  <si>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</si>
  <si>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</si>
  <si>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</si>
  <si>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</si>
  <si>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</si>
  <si>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</si>
  <si>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</si>
  <si>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</si>
  <si>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</si>
  <si>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</si>
  <si>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</si>
  <si>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</si>
  <si>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</si>
  <si>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</si>
  <si>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</si>
  <si>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</si>
  <si>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</si>
  <si>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</si>
  <si>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</si>
  <si>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</si>
  <si>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</si>
  <si>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</si>
  <si>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</si>
  <si>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</si>
  <si>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</si>
  <si>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</si>
  <si>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</si>
  <si>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</si>
  <si>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</si>
  <si>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</si>
  <si>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</si>
  <si>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</si>
  <si>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</si>
  <si>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</si>
  <si>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</si>
  <si>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</si>
  <si>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</si>
  <si>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</si>
  <si>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</si>
  <si>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</si>
  <si>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</si>
  <si>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</si>
  <si>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</si>
  <si>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</si>
  <si>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</si>
  <si>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</si>
  <si>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</si>
  <si>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</si>
  <si>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</si>
  <si>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</si>
  <si>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</si>
  <si>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</si>
  <si>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</si>
  <si>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</si>
  <si>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</si>
  <si>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</si>
  <si>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</si>
  <si>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</si>
  <si>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</si>
  <si>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</si>
  <si>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</si>
  <si>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</si>
  <si>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</si>
  <si>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</si>
  <si>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</si>
  <si>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</si>
  <si>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</si>
  <si>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</si>
  <si>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</si>
  <si>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</si>
  <si>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</si>
  <si>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</si>
  <si>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</si>
  <si>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</si>
  <si>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</si>
  <si>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</si>
  <si>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</si>
  <si>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</si>
  <si>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</si>
  <si>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</si>
  <si>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</si>
  <si>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</si>
  <si>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</si>
  <si>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</si>
  <si>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</si>
  <si>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</si>
  <si>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</si>
  <si>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</si>
  <si>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</si>
  <si>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</si>
  <si>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</si>
  <si>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</si>
  <si>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</si>
  <si>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</si>
  <si>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</si>
  <si>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</si>
  <si>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</si>
  <si>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</si>
  <si>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</si>
  <si>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</si>
  <si>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</si>
  <si>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</si>
  <si>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</si>
  <si>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</si>
  <si>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</si>
  <si>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</si>
  <si>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</si>
  <si>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</si>
  <si>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</si>
  <si>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</si>
  <si>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</si>
  <si>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</si>
  <si>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</si>
  <si>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</si>
  <si>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</si>
  <si>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</si>
  <si>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</si>
  <si>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</si>
  <si>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</si>
  <si>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</si>
  <si>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</si>
  <si>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</si>
  <si>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</si>
  <si>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</si>
  <si>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</si>
  <si>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</si>
  <si>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</si>
  <si>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</si>
  <si>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</si>
  <si>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</si>
  <si>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</si>
  <si>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</si>
  <si>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</si>
  <si>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</si>
  <si>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</si>
  <si>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</si>
  <si>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</si>
  <si>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</si>
  <si>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</si>
  <si>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</si>
  <si>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</si>
  <si>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</si>
  <si>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</si>
  <si>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</si>
  <si>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</si>
  <si>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</si>
  <si>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</si>
  <si>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</si>
  <si>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</si>
  <si>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</si>
  <si>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</si>
  <si>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</si>
  <si>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</si>
  <si>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</si>
  <si>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</si>
  <si>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</si>
  <si>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</si>
  <si>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</si>
  <si>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</si>
  <si>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</si>
  <si>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</si>
  <si>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</si>
  <si>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</si>
  <si>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</si>
  <si>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</si>
  <si>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</si>
  <si>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</si>
  <si>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</si>
  <si>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</si>
  <si>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</si>
  <si>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</si>
  <si>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</si>
  <si>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</si>
  <si>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</si>
  <si>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</si>
  <si>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</si>
  <si>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</si>
  <si>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</si>
  <si>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</si>
  <si>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</si>
  <si>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</si>
  <si>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</si>
  <si>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</si>
  <si>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</si>
  <si>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</si>
  <si>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</si>
  <si>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</si>
  <si>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</si>
  <si>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</si>
  <si>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</si>
  <si>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</si>
  <si>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</si>
  <si>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</si>
  <si>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</si>
  <si>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</si>
  <si>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</si>
  <si>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</si>
  <si>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</si>
  <si>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</si>
  <si>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</si>
  <si>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</si>
  <si>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</si>
  <si>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</si>
  <si>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</si>
  <si>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</si>
  <si>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</si>
  <si>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</si>
  <si>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</si>
  <si>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</si>
  <si>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</si>
  <si>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</si>
  <si>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</si>
  <si>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</si>
  <si>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</si>
  <si>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</si>
  <si>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</si>
  <si>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</si>
  <si>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</si>
  <si>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</si>
  <si>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</si>
  <si>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</si>
  <si>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</si>
  <si>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</si>
  <si>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</si>
  <si>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</si>
  <si>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</si>
  <si>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</si>
  <si>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</si>
  <si>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</si>
  <si>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</si>
  <si>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</si>
  <si>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</si>
  <si>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</si>
  <si>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</si>
  <si>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</si>
  <si>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</si>
  <si>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</si>
  <si>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</si>
  <si>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</si>
  <si>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</si>
  <si>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</si>
  <si>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</si>
  <si>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</si>
  <si>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</si>
  <si>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</si>
  <si>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</si>
  <si>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</si>
  <si>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</si>
  <si>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</si>
  <si>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</si>
  <si>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</si>
  <si>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</si>
  <si>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</si>
  <si>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</si>
  <si>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</si>
  <si>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</si>
  <si>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</si>
  <si>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</si>
  <si>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</si>
  <si>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</si>
  <si>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</si>
  <si>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</si>
  <si>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</si>
  <si>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</si>
  <si>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</si>
  <si>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</si>
  <si>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</si>
  <si>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</si>
  <si>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</si>
  <si>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</si>
  <si>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</si>
  <si>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</si>
  <si>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</si>
  <si>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</si>
  <si>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</si>
  <si>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</si>
  <si>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</si>
  <si>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</si>
  <si>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</si>
  <si>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</si>
  <si>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</si>
  <si>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</si>
  <si>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</si>
  <si>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</si>
  <si>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</si>
  <si>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</si>
  <si>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</si>
  <si>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</si>
  <si>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</si>
  <si>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</si>
  <si>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</si>
  <si>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</si>
  <si>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</si>
  <si>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</si>
  <si>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</si>
  <si>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單位：新台幣元</t>
    </r>
  </si>
  <si>
    <r>
      <rPr>
        <b/>
        <sz val="12"/>
        <rFont val="標楷體"/>
        <family val="4"/>
        <charset val="136"/>
      </rPr>
      <t>備註</t>
    </r>
  </si>
  <si>
    <r>
      <rPr>
        <sz val="10"/>
        <rFont val="標楷體"/>
        <family val="4"/>
        <charset val="136"/>
      </rPr>
      <t>表</t>
    </r>
    <r>
      <rPr>
        <sz val="10"/>
        <rFont val="Book Antiqua"/>
        <family val="1"/>
      </rPr>
      <t>30-16</t>
    </r>
    <r>
      <rPr>
        <sz val="10"/>
        <rFont val="標楷體"/>
        <family val="4"/>
        <charset val="136"/>
      </rPr>
      <t>：國外借券再投資風險資本額計算表</t>
    </r>
    <phoneticPr fontId="9" type="noConversion"/>
  </si>
  <si>
    <r>
      <rPr>
        <sz val="10"/>
        <rFont val="標楷體"/>
        <family val="4"/>
        <charset val="136"/>
      </rPr>
      <t>單位：新台幣元</t>
    </r>
    <phoneticPr fontId="9" type="noConversion"/>
  </si>
  <si>
    <r>
      <rPr>
        <sz val="10"/>
        <rFont val="標楷體"/>
        <family val="4"/>
        <charset val="136"/>
      </rPr>
      <t>發行公司</t>
    </r>
  </si>
  <si>
    <r>
      <rPr>
        <sz val="10"/>
        <rFont val="標楷體"/>
        <family val="4"/>
        <charset val="136"/>
      </rPr>
      <t>證券種類</t>
    </r>
    <phoneticPr fontId="9" type="noConversion"/>
  </si>
  <si>
    <r>
      <rPr>
        <sz val="10"/>
        <rFont val="標楷體"/>
        <family val="4"/>
        <charset val="136"/>
      </rPr>
      <t>票面利率</t>
    </r>
    <phoneticPr fontId="9" type="noConversion"/>
  </si>
  <si>
    <r>
      <rPr>
        <sz val="10"/>
        <rFont val="標楷體"/>
        <family val="4"/>
        <charset val="136"/>
      </rPr>
      <t>付息方式</t>
    </r>
    <phoneticPr fontId="9" type="noConversion"/>
  </si>
  <si>
    <r>
      <rPr>
        <sz val="10"/>
        <rFont val="標楷體"/>
        <family val="4"/>
        <charset val="136"/>
      </rPr>
      <t>到期日</t>
    </r>
    <phoneticPr fontId="9" type="noConversion"/>
  </si>
  <si>
    <r>
      <rPr>
        <sz val="10"/>
        <rFont val="標楷體"/>
        <family val="4"/>
        <charset val="136"/>
      </rPr>
      <t>總投資成本</t>
    </r>
    <phoneticPr fontId="9" type="noConversion"/>
  </si>
  <si>
    <r>
      <rPr>
        <sz val="10"/>
        <rFont val="標楷體"/>
        <family val="4"/>
        <charset val="136"/>
      </rPr>
      <t>總投資市值</t>
    </r>
    <phoneticPr fontId="9" type="noConversion"/>
  </si>
  <si>
    <r>
      <rPr>
        <sz val="10"/>
        <rFont val="標楷體"/>
        <family val="4"/>
        <charset val="136"/>
      </rPr>
      <t>未實現損益</t>
    </r>
    <phoneticPr fontId="9" type="noConversion"/>
  </si>
  <si>
    <r>
      <rPr>
        <sz val="10"/>
        <rFont val="標楷體"/>
        <family val="4"/>
        <charset val="136"/>
      </rPr>
      <t>保管銀行</t>
    </r>
    <phoneticPr fontId="9" type="noConversion"/>
  </si>
  <si>
    <r>
      <rPr>
        <sz val="10"/>
        <rFont val="標楷體"/>
        <family val="4"/>
        <charset val="136"/>
      </rPr>
      <t>名稱</t>
    </r>
  </si>
  <si>
    <r>
      <rPr>
        <sz val="10"/>
        <rFont val="標楷體"/>
        <family val="4"/>
        <charset val="136"/>
      </rPr>
      <t>信用評等機構</t>
    </r>
  </si>
  <si>
    <r>
      <rPr>
        <sz val="10"/>
        <rFont val="標楷體"/>
        <family val="4"/>
        <charset val="136"/>
      </rPr>
      <t>評等等級</t>
    </r>
  </si>
  <si>
    <r>
      <rPr>
        <sz val="10"/>
        <rFont val="標楷體"/>
        <family val="4"/>
        <charset val="136"/>
      </rPr>
      <t>最近收盤日市價總金額</t>
    </r>
  </si>
  <si>
    <r>
      <rPr>
        <u/>
        <sz val="10"/>
        <rFont val="標楷體"/>
        <family val="4"/>
        <charset val="136"/>
      </rPr>
      <t>表</t>
    </r>
    <r>
      <rPr>
        <u/>
        <sz val="10"/>
        <rFont val="Book Antiqua"/>
        <family val="1"/>
      </rPr>
      <t>30-15</t>
    </r>
    <r>
      <rPr>
        <u/>
        <sz val="10"/>
        <rFont val="標楷體"/>
        <family val="4"/>
        <charset val="136"/>
      </rPr>
      <t>：無評等不動產</t>
    </r>
    <r>
      <rPr>
        <u/>
        <sz val="10"/>
        <rFont val="Book Antiqua"/>
        <family val="1"/>
      </rPr>
      <t>(REAT)</t>
    </r>
    <r>
      <rPr>
        <u/>
        <sz val="10"/>
        <rFont val="標楷體"/>
        <family val="4"/>
        <charset val="136"/>
      </rPr>
      <t>及金融資產受益證券</t>
    </r>
    <r>
      <rPr>
        <u/>
        <sz val="10"/>
        <rFont val="Book Antiqua"/>
        <family val="1"/>
      </rPr>
      <t>(</t>
    </r>
    <r>
      <rPr>
        <u/>
        <sz val="10"/>
        <rFont val="標楷體"/>
        <family val="4"/>
        <charset val="136"/>
      </rPr>
      <t>含資產基礎證券</t>
    </r>
    <r>
      <rPr>
        <u/>
        <sz val="10"/>
        <rFont val="Book Antiqua"/>
        <family val="1"/>
      </rPr>
      <t>)</t>
    </r>
    <r>
      <rPr>
        <u/>
        <sz val="10"/>
        <rFont val="標楷體"/>
        <family val="4"/>
        <charset val="136"/>
      </rPr>
      <t>風險資本額計算表</t>
    </r>
    <phoneticPr fontId="9" type="noConversion"/>
  </si>
  <si>
    <r>
      <rPr>
        <sz val="10"/>
        <rFont val="標楷體"/>
        <family val="4"/>
        <charset val="136"/>
      </rPr>
      <t>證券代碼</t>
    </r>
    <r>
      <rPr>
        <sz val="10"/>
        <rFont val="Book Antiqua"/>
        <family val="1"/>
      </rPr>
      <t xml:space="preserve"> (</t>
    </r>
    <r>
      <rPr>
        <sz val="10"/>
        <rFont val="標楷體"/>
        <family val="4"/>
        <charset val="136"/>
      </rPr>
      <t>註</t>
    </r>
    <r>
      <rPr>
        <sz val="10"/>
        <rFont val="Book Antiqua"/>
        <family val="1"/>
      </rPr>
      <t>1)</t>
    </r>
    <phoneticPr fontId="9" type="noConversion"/>
  </si>
  <si>
    <r>
      <rPr>
        <sz val="10"/>
        <rFont val="標楷體"/>
        <family val="4"/>
        <charset val="136"/>
      </rPr>
      <t>證券名稱</t>
    </r>
    <phoneticPr fontId="9" type="noConversion"/>
  </si>
  <si>
    <r>
      <rPr>
        <sz val="10"/>
        <rFont val="標楷體"/>
        <family val="4"/>
        <charset val="136"/>
      </rPr>
      <t>資產金額</t>
    </r>
    <phoneticPr fontId="9" type="noConversion"/>
  </si>
  <si>
    <r>
      <rPr>
        <sz val="10"/>
        <rFont val="標楷體"/>
        <family val="4"/>
        <charset val="136"/>
      </rPr>
      <t>風險係數</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</si>
  <si>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風險資本額</t>
    </r>
    <phoneticPr fontId="9" type="noConversion"/>
  </si>
  <si>
    <r>
      <rPr>
        <sz val="10"/>
        <rFont val="標楷體"/>
        <family val="4"/>
        <charset val="136"/>
      </rPr>
      <t>合</t>
    </r>
    <r>
      <rPr>
        <sz val="10"/>
        <rFont val="Book Antiqua"/>
        <family val="1"/>
      </rPr>
      <t xml:space="preserve">          </t>
    </r>
    <r>
      <rPr>
        <sz val="10"/>
        <rFont val="標楷體"/>
        <family val="4"/>
        <charset val="136"/>
      </rPr>
      <t>計</t>
    </r>
    <phoneticPr fontId="7" type="noConversion"/>
  </si>
  <si>
    <r>
      <rPr>
        <sz val="10"/>
        <rFont val="標楷體"/>
        <family val="4"/>
        <charset val="136"/>
      </rPr>
      <t>註</t>
    </r>
    <phoneticPr fontId="9" type="noConversion"/>
  </si>
  <si>
    <r>
      <rPr>
        <sz val="10"/>
        <rFont val="標楷體"/>
        <family val="4"/>
        <charset val="136"/>
      </rPr>
      <t>證券風險係數代碼統一由財團法人保險事業發展中心編列</t>
    </r>
    <phoneticPr fontId="9" type="noConversion"/>
  </si>
  <si>
    <r>
      <rPr>
        <sz val="10"/>
        <rFont val="標楷體"/>
        <family val="4"/>
        <charset val="136"/>
      </rPr>
      <t>證券風險係數由各公司自行計算後，送交主管機關審核，建立無評等之不動產</t>
    </r>
    <r>
      <rPr>
        <sz val="10"/>
        <rFont val="Book Antiqua"/>
        <family val="1"/>
      </rPr>
      <t>(REAT)</t>
    </r>
    <r>
      <rPr>
        <sz val="10"/>
        <rFont val="標楷體"/>
        <family val="4"/>
        <charset val="136"/>
      </rPr>
      <t>及金融資產受益證券</t>
    </r>
    <r>
      <rPr>
        <sz val="10"/>
        <rFont val="Book Antiqua"/>
        <family val="1"/>
      </rPr>
      <t>(</t>
    </r>
    <r>
      <rPr>
        <sz val="10"/>
        <rFont val="標楷體"/>
        <family val="4"/>
        <charset val="136"/>
      </rPr>
      <t>含資產基礎證券</t>
    </r>
    <r>
      <rPr>
        <sz val="10"/>
        <rFont val="Book Antiqua"/>
        <family val="1"/>
      </rPr>
      <t>)</t>
    </r>
    <r>
      <rPr>
        <sz val="10"/>
        <rFont val="標楷體"/>
        <family val="4"/>
        <charset val="136"/>
      </rPr>
      <t>風險係數資料庫，並將證券編碼後提供各公司填報計算</t>
    </r>
    <phoneticPr fontId="9" type="noConversion"/>
  </si>
  <si>
    <r>
      <rPr>
        <sz val="10"/>
        <rFont val="標楷體"/>
        <family val="4"/>
        <charset val="136"/>
      </rPr>
      <t>建議之風險係數計算通式如下：</t>
    </r>
    <phoneticPr fontId="9" type="noConversion"/>
  </si>
  <si>
    <r>
      <t>Ai×Ri</t>
    </r>
    <r>
      <rPr>
        <sz val="10"/>
        <rFont val="標楷體"/>
        <family val="4"/>
        <charset val="136"/>
      </rPr>
      <t>：證券化前各類資產之風險資本（</t>
    </r>
    <r>
      <rPr>
        <sz val="10"/>
        <rFont val="Book Antiqua"/>
        <family val="1"/>
      </rPr>
      <t>i</t>
    </r>
    <r>
      <rPr>
        <sz val="10"/>
        <rFont val="標楷體"/>
        <family val="4"/>
        <charset val="136"/>
      </rPr>
      <t>資產金額</t>
    </r>
    <r>
      <rPr>
        <sz val="10"/>
        <rFont val="Book Antiqua"/>
        <family val="1"/>
      </rPr>
      <t>×i</t>
    </r>
    <r>
      <rPr>
        <sz val="10"/>
        <rFont val="標楷體"/>
        <family val="4"/>
        <charset val="136"/>
      </rPr>
      <t>資產風險係數）</t>
    </r>
    <phoneticPr fontId="7" type="noConversion"/>
  </si>
  <si>
    <r>
      <t>Bi×Ri</t>
    </r>
    <r>
      <rPr>
        <sz val="10"/>
        <rFont val="標楷體"/>
        <family val="4"/>
        <charset val="136"/>
      </rPr>
      <t>：證券化後經平等之各類資產</t>
    </r>
    <r>
      <rPr>
        <sz val="10"/>
        <rFont val="Book Antiqua"/>
        <family val="1"/>
      </rPr>
      <t>(</t>
    </r>
    <r>
      <rPr>
        <sz val="10"/>
        <rFont val="標楷體"/>
        <family val="4"/>
        <charset val="136"/>
      </rPr>
      <t>證券</t>
    </r>
    <r>
      <rPr>
        <sz val="10"/>
        <rFont val="Book Antiqua"/>
        <family val="1"/>
      </rPr>
      <t>)</t>
    </r>
    <r>
      <rPr>
        <sz val="10"/>
        <rFont val="標楷體"/>
        <family val="4"/>
        <charset val="136"/>
      </rPr>
      <t>風險資本（</t>
    </r>
    <r>
      <rPr>
        <sz val="10"/>
        <rFont val="Book Antiqua"/>
        <family val="1"/>
      </rPr>
      <t>j</t>
    </r>
    <r>
      <rPr>
        <sz val="10"/>
        <rFont val="標楷體"/>
        <family val="4"/>
        <charset val="136"/>
      </rPr>
      <t>證券金額</t>
    </r>
    <r>
      <rPr>
        <sz val="10"/>
        <rFont val="Book Antiqua"/>
        <family val="1"/>
      </rPr>
      <t>×j</t>
    </r>
    <r>
      <rPr>
        <sz val="10"/>
        <rFont val="標楷體"/>
        <family val="4"/>
        <charset val="136"/>
      </rPr>
      <t>證券風險係數）</t>
    </r>
    <phoneticPr fontId="7" type="noConversion"/>
  </si>
  <si>
    <r>
      <t>S</t>
    </r>
    <r>
      <rPr>
        <sz val="10"/>
        <rFont val="標楷體"/>
        <family val="4"/>
        <charset val="136"/>
      </rPr>
      <t>：未評等之次順位證券金額</t>
    </r>
    <phoneticPr fontId="7" type="noConversion"/>
  </si>
  <si>
    <r>
      <t>Rs</t>
    </r>
    <r>
      <rPr>
        <sz val="10"/>
        <rFont val="標楷體"/>
        <family val="4"/>
        <charset val="136"/>
      </rPr>
      <t>：未評等之次順位證券風險係數，且</t>
    </r>
    <r>
      <rPr>
        <sz val="10"/>
        <rFont val="Book Antiqua"/>
        <family val="1"/>
      </rPr>
      <t>Rs</t>
    </r>
    <r>
      <rPr>
        <sz val="10"/>
        <rFont val="標楷體"/>
        <family val="4"/>
        <charset val="136"/>
      </rPr>
      <t>≦</t>
    </r>
    <r>
      <rPr>
        <sz val="10"/>
        <rFont val="Book Antiqua"/>
        <family val="1"/>
      </rPr>
      <t>1</t>
    </r>
    <phoneticPr fontId="7"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</si>
  <si>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9" type="noConversion"/>
  </si>
  <si>
    <r>
      <rPr>
        <b/>
        <sz val="12"/>
        <rFont val="標楷體"/>
        <family val="4"/>
        <charset val="136"/>
      </rPr>
      <t>列號</t>
    </r>
    <phoneticPr fontId="9" type="noConversion"/>
  </si>
  <si>
    <r>
      <rPr>
        <b/>
        <sz val="12"/>
        <rFont val="標楷體"/>
        <family val="4"/>
        <charset val="136"/>
      </rPr>
      <t>資產項目</t>
    </r>
    <phoneticPr fontId="9" type="noConversion"/>
  </si>
  <si>
    <r>
      <rPr>
        <b/>
        <sz val="12"/>
        <rFont val="標楷體"/>
        <family val="4"/>
        <charset val="136"/>
      </rPr>
      <t>基準係數</t>
    </r>
    <phoneticPr fontId="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</si>
  <si>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</si>
  <si>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</si>
  <si>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r>
      <t>β</t>
    </r>
    <r>
      <rPr>
        <b/>
        <sz val="12"/>
        <rFont val="標楷體"/>
        <family val="4"/>
        <charset val="136"/>
      </rPr>
      <t>值</t>
    </r>
    <phoneticPr fontId="9" type="noConversion"/>
  </si>
  <si>
    <r>
      <rPr>
        <b/>
        <sz val="12"/>
        <rFont val="標楷體"/>
        <family val="4"/>
        <charset val="136"/>
      </rPr>
      <t>計算</t>
    </r>
    <r>
      <rPr>
        <b/>
        <sz val="12"/>
        <rFont val="Times New Roman"/>
        <family val="1"/>
      </rPr>
      <t>β</t>
    </r>
    <r>
      <rPr>
        <b/>
        <sz val="12"/>
        <rFont val="標楷體"/>
        <family val="4"/>
        <charset val="136"/>
      </rPr>
      <t>值後係數</t>
    </r>
    <phoneticPr fontId="9" type="noConversion"/>
  </si>
  <si>
    <r>
      <rPr>
        <b/>
        <sz val="12"/>
        <rFont val="標楷體"/>
        <family val="4"/>
        <charset val="136"/>
      </rPr>
      <t>係數上限</t>
    </r>
    <phoneticPr fontId="9" type="noConversion"/>
  </si>
  <si>
    <r>
      <rPr>
        <b/>
        <sz val="12"/>
        <rFont val="標楷體"/>
        <family val="4"/>
        <charset val="136"/>
      </rPr>
      <t>係數下限</t>
    </r>
    <phoneticPr fontId="9" type="noConversion"/>
  </si>
  <si>
    <r>
      <rPr>
        <b/>
        <sz val="12"/>
        <rFont val="標楷體"/>
        <family val="4"/>
        <charset val="136"/>
      </rPr>
      <t>調整後風險係數</t>
    </r>
    <phoneticPr fontId="9" type="noConversion"/>
  </si>
  <si>
    <r>
      <rPr>
        <sz val="12"/>
        <rFont val="標楷體"/>
        <family val="4"/>
        <charset val="136"/>
      </rPr>
      <t>國內股票</t>
    </r>
    <phoneticPr fontId="9" type="noConversion"/>
  </si>
  <si>
    <r>
      <rPr>
        <sz val="12"/>
        <rFont val="標楷體"/>
        <family val="4"/>
        <charset val="136"/>
      </rPr>
      <t>上市普通股</t>
    </r>
    <phoneticPr fontId="9" type="noConversion"/>
  </si>
  <si>
    <r>
      <rPr>
        <sz val="12"/>
        <rFont val="標楷體"/>
        <family val="4"/>
        <charset val="136"/>
      </rPr>
      <t>擔任被投資公司之董監事</t>
    </r>
    <phoneticPr fontId="9" type="noConversion"/>
  </si>
  <si>
    <r>
      <rPr>
        <sz val="12"/>
        <rFont val="標楷體"/>
        <family val="4"/>
        <charset val="136"/>
      </rPr>
      <t>未擔任被投資公司之董監事</t>
    </r>
    <phoneticPr fontId="9" type="noConversion"/>
  </si>
  <si>
    <r>
      <rPr>
        <sz val="12"/>
        <rFont val="標楷體"/>
        <family val="4"/>
        <charset val="136"/>
      </rPr>
      <t>上櫃普通股</t>
    </r>
    <phoneticPr fontId="9" type="noConversion"/>
  </si>
  <si>
    <r>
      <rPr>
        <sz val="12"/>
        <rFont val="標楷體"/>
        <family val="4"/>
        <charset val="136"/>
      </rPr>
      <t>國內受益憑證</t>
    </r>
    <phoneticPr fontId="9" type="noConversion"/>
  </si>
  <si>
    <r>
      <rPr>
        <sz val="12"/>
        <rFont val="標楷體"/>
        <family val="4"/>
        <charset val="136"/>
      </rPr>
      <t>股票型共同基金</t>
    </r>
  </si>
  <si>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</si>
  <si>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</si>
  <si>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</si>
  <si>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</si>
  <si>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</si>
  <si>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</si>
  <si>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表</t>
    </r>
    <r>
      <rPr>
        <sz val="10"/>
        <rFont val="Book Antiqua"/>
        <family val="1"/>
      </rPr>
      <t>30-13</t>
    </r>
    <r>
      <rPr>
        <sz val="10"/>
        <rFont val="標楷體"/>
        <family val="4"/>
        <charset val="136"/>
      </rPr>
      <t>：投資資產信用評等資訊表</t>
    </r>
    <phoneticPr fontId="9" type="noConversion"/>
  </si>
  <si>
    <r>
      <rPr>
        <sz val="10"/>
        <rFont val="標楷體"/>
        <family val="4"/>
        <charset val="136"/>
      </rPr>
      <t>列</t>
    </r>
    <phoneticPr fontId="9" type="noConversion"/>
  </si>
  <si>
    <r>
      <rPr>
        <sz val="10"/>
        <rFont val="標楷體"/>
        <family val="4"/>
        <charset val="136"/>
      </rPr>
      <t>項目</t>
    </r>
    <phoneticPr fontId="9" type="noConversion"/>
  </si>
  <si>
    <r>
      <rPr>
        <sz val="10"/>
        <rFont val="標楷體"/>
        <family val="4"/>
        <charset val="136"/>
      </rPr>
      <t>信用評等等級</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</si>
  <si>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投資機構</t>
    </r>
    <r>
      <rPr>
        <sz val="10"/>
        <rFont val="Book Antiqua"/>
        <family val="1"/>
      </rPr>
      <t>/</t>
    </r>
    <r>
      <rPr>
        <sz val="10"/>
        <rFont val="標楷體"/>
        <family val="4"/>
        <charset val="136"/>
      </rPr>
      <t>標的名稱</t>
    </r>
    <phoneticPr fontId="9" type="noConversion"/>
  </si>
  <si>
    <r>
      <rPr>
        <sz val="10"/>
        <rFont val="標楷體"/>
        <family val="4"/>
        <charset val="136"/>
      </rPr>
      <t>信用評等機構</t>
    </r>
    <r>
      <rPr>
        <sz val="10"/>
        <rFont val="Book Antiqua"/>
        <family val="1"/>
      </rPr>
      <t>(</t>
    </r>
    <r>
      <rPr>
        <sz val="10"/>
        <rFont val="標楷體"/>
        <family val="4"/>
        <charset val="136"/>
      </rPr>
      <t>註</t>
    </r>
    <r>
      <rPr>
        <sz val="10"/>
        <rFont val="Book Antiqua"/>
        <family val="1"/>
      </rPr>
      <t>3)</t>
    </r>
    <phoneticPr fontId="9" type="noConversion"/>
  </si>
  <si>
    <r>
      <rPr>
        <sz val="10"/>
        <rFont val="標楷體"/>
        <family val="4"/>
        <charset val="136"/>
      </rPr>
      <t>投資金額</t>
    </r>
    <phoneticPr fontId="9" type="noConversion"/>
  </si>
  <si>
    <r>
      <t>1.</t>
    </r>
    <r>
      <rPr>
        <sz val="10"/>
        <rFont val="標楷體"/>
        <family val="4"/>
        <charset val="136"/>
      </rPr>
      <t>投資具控制與從屬關係之關係人存款</t>
    </r>
    <phoneticPr fontId="9" type="noConversion"/>
  </si>
  <si>
    <r>
      <rPr>
        <sz val="10"/>
        <rFont val="標楷體"/>
        <family val="4"/>
        <charset val="136"/>
      </rPr>
      <t>小計</t>
    </r>
    <phoneticPr fontId="9" type="noConversion"/>
  </si>
  <si>
    <r>
      <rPr>
        <sz val="10"/>
        <rFont val="標楷體"/>
        <family val="4"/>
        <charset val="136"/>
      </rPr>
      <t>合計</t>
    </r>
    <phoneticPr fontId="9" type="noConversion"/>
  </si>
  <si>
    <r>
      <t>2.</t>
    </r>
    <r>
      <rPr>
        <sz val="10"/>
        <rFont val="標楷體"/>
        <family val="4"/>
        <charset val="136"/>
      </rPr>
      <t>投資具控制與從屬關係之關係人債劵型受益憑證</t>
    </r>
    <phoneticPr fontId="9" type="noConversion"/>
  </si>
  <si>
    <r>
      <t>3.</t>
    </r>
    <r>
      <rPr>
        <sz val="10"/>
        <rFont val="標楷體"/>
        <family val="4"/>
        <charset val="136"/>
      </rPr>
      <t>投資具控制與從屬關係之關係人貨幣型受益憑證</t>
    </r>
    <phoneticPr fontId="9" type="noConversion"/>
  </si>
  <si>
    <r>
      <t>4.</t>
    </r>
    <r>
      <rPr>
        <sz val="10"/>
        <rFont val="標楷體"/>
        <family val="4"/>
        <charset val="136"/>
      </rPr>
      <t>投資非控制與從屬關係之關係人存款</t>
    </r>
    <phoneticPr fontId="9" type="noConversion"/>
  </si>
  <si>
    <r>
      <t>5.</t>
    </r>
    <r>
      <rPr>
        <sz val="10"/>
        <rFont val="標楷體"/>
        <family val="4"/>
        <charset val="136"/>
      </rPr>
      <t>投資非控制與從屬關係之關係人債劵型受益憑證</t>
    </r>
    <phoneticPr fontId="9" type="noConversion"/>
  </si>
  <si>
    <r>
      <t>6.</t>
    </r>
    <r>
      <rPr>
        <sz val="10"/>
        <rFont val="標楷體"/>
        <family val="4"/>
        <charset val="136"/>
      </rPr>
      <t>投資非控制與從屬關係之關係人貨幣型受益憑證</t>
    </r>
    <phoneticPr fontId="9" type="noConversion"/>
  </si>
  <si>
    <r>
      <rPr>
        <sz val="10"/>
        <rFont val="標楷體"/>
        <family val="4"/>
        <charset val="136"/>
      </rPr>
      <t>關係人總計</t>
    </r>
    <r>
      <rPr>
        <sz val="10"/>
        <rFont val="Book Antiqua"/>
        <family val="1"/>
      </rPr>
      <t>(1</t>
    </r>
    <r>
      <rPr>
        <sz val="10"/>
        <rFont val="標楷體"/>
        <family val="4"/>
        <charset val="136"/>
      </rPr>
      <t>＋</t>
    </r>
    <r>
      <rPr>
        <sz val="10"/>
        <rFont val="Book Antiqua"/>
        <family val="1"/>
      </rPr>
      <t>2</t>
    </r>
    <r>
      <rPr>
        <sz val="10"/>
        <rFont val="標楷體"/>
        <family val="4"/>
        <charset val="136"/>
      </rPr>
      <t>＋</t>
    </r>
    <r>
      <rPr>
        <sz val="10"/>
        <rFont val="Book Antiqua"/>
        <family val="1"/>
      </rPr>
      <t>3</t>
    </r>
    <r>
      <rPr>
        <sz val="10"/>
        <rFont val="標楷體"/>
        <family val="4"/>
        <charset val="136"/>
      </rPr>
      <t>＋</t>
    </r>
    <r>
      <rPr>
        <sz val="10"/>
        <rFont val="Book Antiqua"/>
        <family val="1"/>
      </rPr>
      <t>4</t>
    </r>
    <r>
      <rPr>
        <sz val="10"/>
        <rFont val="標楷體"/>
        <family val="4"/>
        <charset val="136"/>
      </rPr>
      <t>＋</t>
    </r>
    <r>
      <rPr>
        <sz val="10"/>
        <rFont val="Book Antiqua"/>
        <family val="1"/>
      </rPr>
      <t>5</t>
    </r>
    <r>
      <rPr>
        <sz val="10"/>
        <rFont val="標楷體"/>
        <family val="4"/>
        <charset val="136"/>
      </rPr>
      <t>＋</t>
    </r>
    <r>
      <rPr>
        <sz val="10"/>
        <rFont val="Book Antiqua"/>
        <family val="1"/>
      </rPr>
      <t>6)</t>
    </r>
  </si>
  <si>
    <r>
      <t>7.</t>
    </r>
    <r>
      <rPr>
        <sz val="10"/>
        <rFont val="標楷體"/>
        <family val="4"/>
        <charset val="136"/>
      </rPr>
      <t>非關係人債券型共同基金</t>
    </r>
    <r>
      <rPr>
        <sz val="10"/>
        <rFont val="Book Antiqua"/>
        <family val="1"/>
      </rPr>
      <t>(</t>
    </r>
    <r>
      <rPr>
        <sz val="10"/>
        <rFont val="標楷體"/>
        <family val="4"/>
        <charset val="136"/>
      </rPr>
      <t>註</t>
    </r>
    <r>
      <rPr>
        <sz val="10"/>
        <rFont val="Book Antiqua"/>
        <family val="1"/>
      </rPr>
      <t>4)</t>
    </r>
    <phoneticPr fontId="9" type="noConversion"/>
  </si>
  <si>
    <r>
      <t>8.</t>
    </r>
    <r>
      <rPr>
        <sz val="10"/>
        <rFont val="標楷體"/>
        <family val="4"/>
        <charset val="136"/>
      </rPr>
      <t>非關係人貨幣型共同基金</t>
    </r>
    <r>
      <rPr>
        <sz val="10"/>
        <rFont val="Book Antiqua"/>
        <family val="1"/>
      </rPr>
      <t>(</t>
    </r>
    <r>
      <rPr>
        <sz val="10"/>
        <rFont val="標楷體"/>
        <family val="4"/>
        <charset val="136"/>
      </rPr>
      <t>註</t>
    </r>
    <r>
      <rPr>
        <sz val="10"/>
        <rFont val="Book Antiqua"/>
        <family val="1"/>
      </rPr>
      <t>4)</t>
    </r>
    <phoneticPr fontId="9" type="noConversion"/>
  </si>
  <si>
    <r>
      <rPr>
        <sz val="10"/>
        <rFont val="標楷體"/>
        <family val="4"/>
        <charset val="136"/>
      </rPr>
      <t>非關係人總計</t>
    </r>
    <r>
      <rPr>
        <sz val="10"/>
        <rFont val="Book Antiqua"/>
        <family val="1"/>
      </rPr>
      <t>(7</t>
    </r>
    <r>
      <rPr>
        <sz val="10"/>
        <rFont val="標楷體"/>
        <family val="4"/>
        <charset val="136"/>
      </rPr>
      <t>＋</t>
    </r>
    <r>
      <rPr>
        <sz val="10"/>
        <rFont val="Book Antiqua"/>
        <family val="1"/>
      </rPr>
      <t>8)</t>
    </r>
    <phoneticPr fontId="9" type="noConversion"/>
  </si>
  <si>
    <r>
      <rPr>
        <sz val="10"/>
        <rFont val="標楷體"/>
        <family val="4"/>
        <charset val="136"/>
      </rPr>
      <t>註：</t>
    </r>
    <phoneticPr fontId="9" type="noConversion"/>
  </si>
  <si>
    <r>
      <rPr>
        <sz val="10"/>
        <rFont val="標楷體"/>
        <family val="4"/>
        <charset val="136"/>
      </rPr>
      <t>本附表主要針對投資資產之信用評等等級達一定標準以上者，若公司能提具相關證明資料，並依據該資料填列本附表，則可於資本適足性報告中給予風險係數上之折扣，相關規範詳見「保險業資本適足性報告</t>
    </r>
    <r>
      <rPr>
        <sz val="10"/>
        <rFont val="Book Antiqua"/>
        <family val="1"/>
      </rPr>
      <t>-</t>
    </r>
    <r>
      <rPr>
        <sz val="10"/>
        <rFont val="標楷體"/>
        <family val="4"/>
        <charset val="136"/>
      </rPr>
      <t>附件」。</t>
    </r>
    <phoneticPr fontId="9" type="noConversion"/>
  </si>
  <si>
    <r>
      <rPr>
        <sz val="10"/>
        <rFont val="標楷體"/>
        <family val="4"/>
        <charset val="136"/>
      </rPr>
      <t>本附表僅需填列信用評等等級達</t>
    </r>
    <r>
      <rPr>
        <sz val="10"/>
        <rFont val="Book Antiqua"/>
        <family val="1"/>
      </rPr>
      <t>A</t>
    </r>
    <r>
      <rPr>
        <sz val="10"/>
        <rFont val="標楷體"/>
        <family val="4"/>
        <charset val="136"/>
      </rPr>
      <t>級以上者，該信用評等等級以該評估</t>
    </r>
    <r>
      <rPr>
        <sz val="10"/>
        <rFont val="Book Antiqua"/>
        <family val="1"/>
      </rPr>
      <t>(</t>
    </r>
    <r>
      <rPr>
        <sz val="10"/>
        <rFont val="標楷體"/>
        <family val="4"/>
        <charset val="136"/>
      </rPr>
      <t>半</t>
    </r>
    <r>
      <rPr>
        <sz val="10"/>
        <rFont val="Book Antiqua"/>
        <family val="1"/>
      </rPr>
      <t>)</t>
    </r>
    <r>
      <rPr>
        <sz val="10"/>
        <rFont val="標楷體"/>
        <family val="4"/>
        <charset val="136"/>
      </rPr>
      <t>年度</t>
    </r>
    <r>
      <rPr>
        <sz val="10"/>
        <rFont val="Book Antiqua"/>
        <family val="1"/>
      </rPr>
      <t>(6)12</t>
    </r>
    <r>
      <rPr>
        <sz val="10"/>
        <rFont val="標楷體"/>
        <family val="4"/>
        <charset val="136"/>
      </rPr>
      <t>月</t>
    </r>
    <r>
      <rPr>
        <sz val="10"/>
        <rFont val="Book Antiqua"/>
        <family val="1"/>
      </rPr>
      <t>(30)31</t>
    </r>
    <r>
      <rPr>
        <sz val="10"/>
        <rFont val="標楷體"/>
        <family val="4"/>
        <charset val="136"/>
      </rPr>
      <t>日前最新發布之等級為準，其餘等級不需填列，且不給予資本適足性制度風險係數上之折扣。</t>
    </r>
    <phoneticPr fontId="9" type="noConversion"/>
  </si>
  <si>
    <r>
      <rPr>
        <sz val="10"/>
        <rFont val="標楷體"/>
        <family val="4"/>
        <charset val="136"/>
      </rPr>
      <t>本項目資產不包含國外資產在內。</t>
    </r>
    <phoneticPr fontId="9" type="noConversion"/>
  </si>
  <si>
    <r>
      <rPr>
        <sz val="10"/>
        <rFont val="標楷體"/>
        <family val="4"/>
        <charset val="136"/>
      </rPr>
      <t>表</t>
    </r>
    <r>
      <rPr>
        <sz val="10"/>
        <rFont val="Book Antiqua"/>
        <family val="1"/>
      </rPr>
      <t>30-12</t>
    </r>
    <r>
      <rPr>
        <sz val="10"/>
        <rFont val="標楷體"/>
        <family val="4"/>
        <charset val="136"/>
      </rPr>
      <t>：核保風險之成長風險係數試算表</t>
    </r>
    <phoneticPr fontId="9" type="noConversion"/>
  </si>
  <si>
    <r>
      <rPr>
        <sz val="10"/>
        <rFont val="標楷體"/>
        <family val="4"/>
        <charset val="136"/>
      </rPr>
      <t>一、自留賠款準備金之成長風險（</t>
    </r>
    <r>
      <rPr>
        <sz val="10"/>
        <rFont val="Book Antiqua"/>
        <family val="1"/>
      </rPr>
      <t>3a.4</t>
    </r>
    <r>
      <rPr>
        <sz val="10"/>
        <rFont val="標楷體"/>
        <family val="4"/>
        <charset val="136"/>
      </rPr>
      <t>）</t>
    </r>
    <phoneticPr fontId="9" type="noConversion"/>
  </si>
  <si>
    <r>
      <rPr>
        <sz val="10"/>
        <rFont val="標楷體"/>
        <family val="4"/>
        <charset val="136"/>
      </rPr>
      <t>直接簽單保費</t>
    </r>
    <phoneticPr fontId="9" type="noConversion"/>
  </si>
  <si>
    <r>
      <rPr>
        <sz val="10"/>
        <rFont val="標楷體"/>
        <family val="4"/>
        <charset val="136"/>
      </rPr>
      <t>再保費收入</t>
    </r>
    <phoneticPr fontId="9" type="noConversion"/>
  </si>
  <si>
    <r>
      <rPr>
        <sz val="10"/>
        <rFont val="標楷體"/>
        <family val="4"/>
        <charset val="136"/>
      </rPr>
      <t>總保費收入</t>
    </r>
    <phoneticPr fontId="9" type="noConversion"/>
  </si>
  <si>
    <r>
      <rPr>
        <sz val="10"/>
        <rFont val="標楷體"/>
        <family val="4"/>
        <charset val="136"/>
      </rPr>
      <t>年化倍數</t>
    </r>
    <phoneticPr fontId="9" type="noConversion"/>
  </si>
  <si>
    <r>
      <rPr>
        <sz val="10"/>
        <rFont val="標楷體"/>
        <family val="4"/>
        <charset val="136"/>
      </rPr>
      <t>成長率</t>
    </r>
    <phoneticPr fontId="9" type="noConversion"/>
  </si>
  <si>
    <r>
      <rPr>
        <sz val="10"/>
        <rFont val="標楷體"/>
        <family val="4"/>
        <charset val="136"/>
      </rPr>
      <t>風險係數</t>
    </r>
    <phoneticPr fontId="9" type="noConversion"/>
  </si>
  <si>
    <r>
      <t>(c)</t>
    </r>
    <r>
      <rPr>
        <sz val="10"/>
        <rFont val="標楷體"/>
        <family val="4"/>
        <charset val="136"/>
      </rPr>
      <t>＝</t>
    </r>
    <r>
      <rPr>
        <sz val="10"/>
        <rFont val="Book Antiqua"/>
        <family val="1"/>
      </rPr>
      <t>(a)</t>
    </r>
    <r>
      <rPr>
        <sz val="10"/>
        <rFont val="標楷體"/>
        <family val="4"/>
        <charset val="136"/>
      </rPr>
      <t>＋</t>
    </r>
    <r>
      <rPr>
        <sz val="10"/>
        <rFont val="Book Antiqua"/>
        <family val="1"/>
      </rPr>
      <t>(b)</t>
    </r>
    <phoneticPr fontId="9" type="noConversion"/>
  </si>
  <si>
    <r>
      <t>(d)</t>
    </r>
    <r>
      <rPr>
        <sz val="10"/>
        <rFont val="標楷體"/>
        <family val="4"/>
        <charset val="136"/>
      </rPr>
      <t>註</t>
    </r>
    <r>
      <rPr>
        <sz val="10"/>
        <rFont val="Book Antiqua"/>
        <family val="1"/>
      </rPr>
      <t>1</t>
    </r>
    <phoneticPr fontId="9" type="noConversion"/>
  </si>
  <si>
    <r>
      <t>(e)=[ (c)*(d)</t>
    </r>
    <r>
      <rPr>
        <sz val="10"/>
        <rFont val="標楷體"/>
        <family val="4"/>
        <charset val="136"/>
      </rPr>
      <t>／前一年</t>
    </r>
    <r>
      <rPr>
        <sz val="10"/>
        <rFont val="Book Antiqua"/>
        <family val="1"/>
      </rPr>
      <t>(c) ]</t>
    </r>
    <r>
      <rPr>
        <sz val="10"/>
        <rFont val="標楷體"/>
        <family val="4"/>
        <charset val="136"/>
      </rPr>
      <t>－</t>
    </r>
    <r>
      <rPr>
        <sz val="10"/>
        <rFont val="Book Antiqua"/>
        <family val="1"/>
      </rPr>
      <t>1</t>
    </r>
    <phoneticPr fontId="9" type="noConversion"/>
  </si>
  <si>
    <r>
      <t xml:space="preserve"> (1)  </t>
    </r>
    <r>
      <rPr>
        <sz val="10"/>
        <rFont val="標楷體"/>
        <family val="4"/>
        <charset val="136"/>
      </rPr>
      <t>當年度</t>
    </r>
    <phoneticPr fontId="14" type="noConversion"/>
  </si>
  <si>
    <r>
      <t xml:space="preserve"> (2)  </t>
    </r>
    <r>
      <rPr>
        <sz val="10"/>
        <rFont val="標楷體"/>
        <family val="4"/>
        <charset val="136"/>
      </rPr>
      <t>前一年</t>
    </r>
    <phoneticPr fontId="14" type="noConversion"/>
  </si>
  <si>
    <r>
      <t xml:space="preserve"> (3)  </t>
    </r>
    <r>
      <rPr>
        <sz val="10"/>
        <rFont val="標楷體"/>
        <family val="4"/>
        <charset val="136"/>
      </rPr>
      <t>前二年</t>
    </r>
    <phoneticPr fontId="14" type="noConversion"/>
  </si>
  <si>
    <r>
      <t xml:space="preserve"> (4)  </t>
    </r>
    <r>
      <rPr>
        <sz val="10"/>
        <rFont val="標楷體"/>
        <family val="4"/>
        <charset val="136"/>
      </rPr>
      <t>前三年</t>
    </r>
    <phoneticPr fontId="14" type="noConversion"/>
  </si>
  <si>
    <r>
      <t xml:space="preserve"> (5)  </t>
    </r>
    <r>
      <rPr>
        <sz val="10"/>
        <rFont val="標楷體"/>
        <family val="4"/>
        <charset val="136"/>
      </rPr>
      <t>過去三年內的平均保費成長率</t>
    </r>
    <r>
      <rPr>
        <sz val="10"/>
        <rFont val="Book Antiqua"/>
        <family val="1"/>
      </rPr>
      <t xml:space="preserve"> = [(1e)+(2e)+(3e)]/3</t>
    </r>
    <phoneticPr fontId="14" type="noConversion"/>
  </si>
  <si>
    <r>
      <t xml:space="preserve"> (6)  </t>
    </r>
    <r>
      <rPr>
        <sz val="10"/>
        <rFont val="標楷體"/>
        <family val="4"/>
        <charset val="136"/>
      </rPr>
      <t>過度成長率</t>
    </r>
    <r>
      <rPr>
        <sz val="10"/>
        <rFont val="Book Antiqua"/>
        <family val="1"/>
      </rPr>
      <t xml:space="preserve"> = (5e) -10%</t>
    </r>
    <r>
      <rPr>
        <sz val="10"/>
        <rFont val="標楷體"/>
        <family val="4"/>
        <charset val="136"/>
      </rPr>
      <t>；但介於</t>
    </r>
    <r>
      <rPr>
        <sz val="10"/>
        <rFont val="Book Antiqua"/>
        <family val="1"/>
      </rPr>
      <t>0~30%</t>
    </r>
    <phoneticPr fontId="14" type="noConversion"/>
  </si>
  <si>
    <r>
      <t xml:space="preserve"> (7)  </t>
    </r>
    <r>
      <rPr>
        <sz val="10"/>
        <rFont val="標楷體"/>
        <family val="4"/>
        <charset val="136"/>
      </rPr>
      <t>風險係數</t>
    </r>
    <r>
      <rPr>
        <sz val="10"/>
        <rFont val="Book Antiqua"/>
        <family val="1"/>
      </rPr>
      <t xml:space="preserve"> = (6f) × 45%</t>
    </r>
    <phoneticPr fontId="14" type="noConversion"/>
  </si>
  <si>
    <r>
      <rPr>
        <sz val="10"/>
        <rFont val="標楷體"/>
        <family val="4"/>
        <charset val="136"/>
      </rPr>
      <t>二、自留保費之成長風險（</t>
    </r>
    <r>
      <rPr>
        <sz val="10"/>
        <rFont val="Book Antiqua"/>
        <family val="1"/>
      </rPr>
      <t>3b.4</t>
    </r>
    <r>
      <rPr>
        <sz val="10"/>
        <rFont val="標楷體"/>
        <family val="4"/>
        <charset val="136"/>
      </rPr>
      <t>）</t>
    </r>
    <phoneticPr fontId="9" type="noConversion"/>
  </si>
  <si>
    <r>
      <t xml:space="preserve"> (8)  </t>
    </r>
    <r>
      <rPr>
        <sz val="10"/>
        <rFont val="標楷體"/>
        <family val="4"/>
        <charset val="136"/>
      </rPr>
      <t>過度成長率</t>
    </r>
    <r>
      <rPr>
        <sz val="10"/>
        <rFont val="Book Antiqua"/>
        <family val="1"/>
      </rPr>
      <t xml:space="preserve"> = (6)</t>
    </r>
    <phoneticPr fontId="14" type="noConversion"/>
  </si>
  <si>
    <r>
      <t xml:space="preserve"> (9)  </t>
    </r>
    <r>
      <rPr>
        <sz val="10"/>
        <rFont val="標楷體"/>
        <family val="4"/>
        <charset val="136"/>
      </rPr>
      <t>風險係數</t>
    </r>
    <r>
      <rPr>
        <sz val="10"/>
        <rFont val="Book Antiqua"/>
        <family val="1"/>
      </rPr>
      <t xml:space="preserve"> = (8) × 22.5%</t>
    </r>
    <phoneticPr fontId="14" type="noConversion"/>
  </si>
  <si>
    <r>
      <rPr>
        <sz val="10"/>
        <rFont val="標楷體"/>
        <family val="4"/>
        <charset val="136"/>
      </rPr>
      <t>註</t>
    </r>
    <r>
      <rPr>
        <sz val="10"/>
        <rFont val="Book Antiqua"/>
        <family val="1"/>
      </rPr>
      <t xml:space="preserve">1 </t>
    </r>
    <r>
      <rPr>
        <sz val="10"/>
        <rFont val="標楷體"/>
        <family val="4"/>
        <charset val="136"/>
      </rPr>
      <t>總保費收入之數值，若僅為半年度之累積數，以乘</t>
    </r>
    <r>
      <rPr>
        <sz val="10"/>
        <rFont val="Book Antiqua"/>
        <family val="1"/>
      </rPr>
      <t>2</t>
    </r>
    <r>
      <rPr>
        <sz val="10"/>
        <rFont val="標楷體"/>
        <family val="4"/>
        <charset val="136"/>
      </rPr>
      <t>的倍數方式予以表示年化資料；如已為一年度之累積數，以乘以</t>
    </r>
    <r>
      <rPr>
        <sz val="10"/>
        <rFont val="Book Antiqua"/>
        <family val="1"/>
      </rPr>
      <t>1</t>
    </r>
    <r>
      <rPr>
        <sz val="10"/>
        <rFont val="標楷體"/>
        <family val="4"/>
        <charset val="136"/>
      </rPr>
      <t>的倍數方式表示年化資料。</t>
    </r>
    <phoneticPr fontId="9" type="noConversion"/>
  </si>
  <si>
    <r>
      <rPr>
        <sz val="10"/>
        <rFont val="標楷體"/>
        <family val="4"/>
        <charset val="136"/>
      </rPr>
      <t>風險項目</t>
    </r>
    <phoneticPr fontId="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</si>
  <si>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9" type="noConversion"/>
  </si>
  <si>
    <r>
      <rPr>
        <sz val="12"/>
        <rFont val="標楷體"/>
        <family val="4"/>
        <charset val="136"/>
      </rPr>
      <t>單位：新台幣元</t>
    </r>
    <phoneticPr fontId="9" type="noConversion"/>
  </si>
  <si>
    <r>
      <rPr>
        <b/>
        <sz val="12"/>
        <rFont val="標楷體"/>
        <family val="4"/>
        <charset val="136"/>
      </rPr>
      <t>風險項目</t>
    </r>
    <phoneticPr fontId="9" type="noConversion"/>
  </si>
  <si>
    <r>
      <rPr>
        <b/>
        <sz val="12"/>
        <rFont val="標楷體"/>
        <family val="4"/>
        <charset val="136"/>
      </rPr>
      <t>金</t>
    </r>
    <r>
      <rPr>
        <b/>
        <sz val="12"/>
        <rFont val="Times New Roman"/>
        <family val="1"/>
      </rPr>
      <t xml:space="preserve">        </t>
    </r>
    <r>
      <rPr>
        <b/>
        <sz val="12"/>
        <rFont val="標楷體"/>
        <family val="4"/>
        <charset val="136"/>
      </rPr>
      <t>額</t>
    </r>
    <phoneticPr fontId="9" type="noConversion"/>
  </si>
  <si>
    <r>
      <rPr>
        <b/>
        <sz val="12"/>
        <rFont val="標楷體"/>
        <family val="4"/>
        <charset val="136"/>
      </rPr>
      <t>占投資資產比率</t>
    </r>
    <r>
      <rPr>
        <b/>
        <sz val="12"/>
        <rFont val="Times New Roman"/>
        <family val="1"/>
      </rPr>
      <t xml:space="preserve"> Zi</t>
    </r>
    <phoneticPr fontId="7" type="noConversion"/>
  </si>
  <si>
    <r>
      <t>Z</t>
    </r>
    <r>
      <rPr>
        <b/>
        <i/>
        <vertAlign val="subscript"/>
        <sz val="12"/>
        <rFont val="Times New Roman"/>
        <family val="1"/>
      </rPr>
      <t>i</t>
    </r>
    <r>
      <rPr>
        <b/>
        <i/>
        <vertAlign val="superscript"/>
        <sz val="12"/>
        <rFont val="Times New Roman"/>
        <family val="1"/>
      </rPr>
      <t>2</t>
    </r>
    <phoneticPr fontId="9" type="noConversion"/>
  </si>
  <si>
    <r>
      <t>2.</t>
    </r>
    <r>
      <rPr>
        <sz val="12"/>
        <rFont val="標楷體"/>
        <family val="4"/>
        <charset val="136"/>
      </rPr>
      <t>公債</t>
    </r>
    <r>
      <rPr>
        <sz val="12"/>
        <rFont val="Times New Roman"/>
        <family val="1"/>
      </rPr>
      <t>-</t>
    </r>
    <r>
      <rPr>
        <b/>
        <sz val="12"/>
        <rFont val="標楷體"/>
        <family val="4"/>
        <charset val="136"/>
      </rPr>
      <t>國外</t>
    </r>
    <phoneticPr fontId="9"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</si>
  <si>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9"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</si>
  <si>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9"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</si>
  <si>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7" type="noConversion"/>
  </si>
  <si>
    <r>
      <t>6.</t>
    </r>
    <r>
      <rPr>
        <sz val="12"/>
        <rFont val="標楷體"/>
        <family val="4"/>
        <charset val="136"/>
      </rPr>
      <t>不動產</t>
    </r>
    <r>
      <rPr>
        <sz val="12"/>
        <rFont val="Times New Roman"/>
        <family val="1"/>
      </rPr>
      <t>-</t>
    </r>
    <r>
      <rPr>
        <b/>
        <sz val="12"/>
        <rFont val="標楷體"/>
        <family val="4"/>
        <charset val="136"/>
      </rPr>
      <t>國內及國外</t>
    </r>
    <phoneticPr fontId="9" type="noConversion"/>
  </si>
  <si>
    <r>
      <t>7.</t>
    </r>
    <r>
      <rPr>
        <sz val="12"/>
        <rFont val="標楷體"/>
        <family val="4"/>
        <charset val="136"/>
      </rPr>
      <t>擔保放款</t>
    </r>
    <r>
      <rPr>
        <sz val="12"/>
        <rFont val="Times New Roman"/>
        <family val="1"/>
      </rPr>
      <t>-</t>
    </r>
    <r>
      <rPr>
        <b/>
        <sz val="12"/>
        <rFont val="標楷體"/>
        <family val="4"/>
        <charset val="136"/>
      </rPr>
      <t>國內及國外</t>
    </r>
    <phoneticPr fontId="9"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</si>
  <si>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9" type="noConversion"/>
  </si>
  <si>
    <r>
      <t xml:space="preserve">Herfindahl Index </t>
    </r>
    <r>
      <rPr>
        <b/>
        <sz val="12"/>
        <rFont val="標楷體"/>
        <family val="4"/>
        <charset val="136"/>
      </rPr>
      <t>係數表</t>
    </r>
    <phoneticPr fontId="9" type="noConversion"/>
  </si>
  <si>
    <r>
      <t>H</t>
    </r>
    <r>
      <rPr>
        <b/>
        <sz val="12"/>
        <rFont val="標楷體"/>
        <family val="4"/>
        <charset val="136"/>
      </rPr>
      <t>下界</t>
    </r>
    <phoneticPr fontId="9" type="noConversion"/>
  </si>
  <si>
    <r>
      <rPr>
        <b/>
        <sz val="12"/>
        <rFont val="標楷體"/>
        <family val="4"/>
        <charset val="136"/>
      </rPr>
      <t>係數</t>
    </r>
    <phoneticPr fontId="9"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</si>
  <si>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9" type="noConversion"/>
  </si>
  <si>
    <r>
      <t>1/6</t>
    </r>
    <r>
      <rPr>
        <sz val="12"/>
        <rFont val="標楷體"/>
        <family val="4"/>
        <charset val="136"/>
      </rPr>
      <t>≦</t>
    </r>
    <r>
      <rPr>
        <sz val="12"/>
        <rFont val="Times New Roman"/>
        <family val="1"/>
      </rPr>
      <t>H&lt;1/5</t>
    </r>
    <phoneticPr fontId="9" type="noConversion"/>
  </si>
  <si>
    <r>
      <t>1/5</t>
    </r>
    <r>
      <rPr>
        <sz val="12"/>
        <rFont val="標楷體"/>
        <family val="4"/>
        <charset val="136"/>
      </rPr>
      <t>≦</t>
    </r>
    <r>
      <rPr>
        <sz val="12"/>
        <rFont val="Times New Roman"/>
        <family val="1"/>
      </rPr>
      <t>H&lt;1/4</t>
    </r>
    <phoneticPr fontId="9" type="noConversion"/>
  </si>
  <si>
    <r>
      <t>1/4</t>
    </r>
    <r>
      <rPr>
        <sz val="12"/>
        <rFont val="標楷體"/>
        <family val="4"/>
        <charset val="136"/>
      </rPr>
      <t>≦</t>
    </r>
    <r>
      <rPr>
        <sz val="12"/>
        <rFont val="Times New Roman"/>
        <family val="1"/>
      </rPr>
      <t>H&lt;1/3</t>
    </r>
    <phoneticPr fontId="9" type="noConversion"/>
  </si>
  <si>
    <r>
      <t>1/3</t>
    </r>
    <r>
      <rPr>
        <sz val="12"/>
        <rFont val="標楷體"/>
        <family val="4"/>
        <charset val="136"/>
      </rPr>
      <t>≦</t>
    </r>
    <r>
      <rPr>
        <sz val="12"/>
        <rFont val="Times New Roman"/>
        <family val="1"/>
      </rPr>
      <t>H&lt;1/2</t>
    </r>
    <phoneticPr fontId="9" type="noConversion"/>
  </si>
  <si>
    <r>
      <t>1/2</t>
    </r>
    <r>
      <rPr>
        <sz val="12"/>
        <rFont val="標楷體"/>
        <family val="4"/>
        <charset val="136"/>
      </rPr>
      <t>≦</t>
    </r>
    <r>
      <rPr>
        <sz val="12"/>
        <rFont val="Times New Roman"/>
        <family val="1"/>
      </rPr>
      <t>H&lt; 1</t>
    </r>
    <phoneticPr fontId="9" type="noConversion"/>
  </si>
  <si>
    <r>
      <rPr>
        <sz val="10"/>
        <rFont val="標楷體"/>
        <family val="4"/>
        <charset val="136"/>
      </rPr>
      <t>表</t>
    </r>
    <r>
      <rPr>
        <sz val="10"/>
        <rFont val="Book Antiqua"/>
        <family val="1"/>
      </rPr>
      <t>30-9</t>
    </r>
    <r>
      <rPr>
        <sz val="10"/>
        <rFont val="標楷體"/>
        <family val="4"/>
        <charset val="136"/>
      </rPr>
      <t>：信用評等資訊調整表</t>
    </r>
    <phoneticPr fontId="9" type="noConversion"/>
  </si>
  <si>
    <r>
      <rPr>
        <sz val="10"/>
        <rFont val="標楷體"/>
        <family val="4"/>
        <charset val="136"/>
      </rPr>
      <t>單位：新台幣元</t>
    </r>
  </si>
  <si>
    <r>
      <rPr>
        <sz val="10"/>
        <rFont val="標楷體"/>
        <family val="4"/>
        <charset val="136"/>
      </rPr>
      <t>信用評等等級</t>
    </r>
    <phoneticPr fontId="9" type="noConversion"/>
  </si>
  <si>
    <r>
      <rPr>
        <sz val="10"/>
        <rFont val="標楷體"/>
        <family val="4"/>
        <charset val="136"/>
      </rPr>
      <t>折扣後之風險係數</t>
    </r>
    <phoneticPr fontId="9" type="noConversion"/>
  </si>
  <si>
    <r>
      <rPr>
        <sz val="10"/>
        <rFont val="標楷體"/>
        <family val="4"/>
        <charset val="136"/>
      </rPr>
      <t>抵減之風險資本額</t>
    </r>
    <phoneticPr fontId="9" type="noConversion"/>
  </si>
  <si>
    <r>
      <t>1.</t>
    </r>
    <r>
      <rPr>
        <sz val="10"/>
        <rFont val="標楷體"/>
        <family val="4"/>
        <charset val="136"/>
      </rPr>
      <t>投資具控制與從屬關係關係人存款</t>
    </r>
    <phoneticPr fontId="9" type="noConversion"/>
  </si>
  <si>
    <r>
      <t>2.</t>
    </r>
    <r>
      <rPr>
        <sz val="10"/>
        <rFont val="標楷體"/>
        <family val="4"/>
        <charset val="136"/>
      </rPr>
      <t>投資具控制與從屬關係關係人債劵型受益憑證</t>
    </r>
    <phoneticPr fontId="9" type="noConversion"/>
  </si>
  <si>
    <r>
      <t>3.</t>
    </r>
    <r>
      <rPr>
        <sz val="10"/>
        <rFont val="標楷體"/>
        <family val="4"/>
        <charset val="136"/>
      </rPr>
      <t>投資具控制與從屬關係關係人貨幣型受益憑證</t>
    </r>
    <phoneticPr fontId="9" type="noConversion"/>
  </si>
  <si>
    <r>
      <t>4.</t>
    </r>
    <r>
      <rPr>
        <sz val="10"/>
        <rFont val="標楷體"/>
        <family val="4"/>
        <charset val="136"/>
      </rPr>
      <t>投資非控制與從屬關係關係人存款</t>
    </r>
    <phoneticPr fontId="9" type="noConversion"/>
  </si>
  <si>
    <r>
      <t>5.</t>
    </r>
    <r>
      <rPr>
        <sz val="10"/>
        <rFont val="標楷體"/>
        <family val="4"/>
        <charset val="136"/>
      </rPr>
      <t>投資非控制與從屬關係關係人債劵型受益憑證</t>
    </r>
    <phoneticPr fontId="9" type="noConversion"/>
  </si>
  <si>
    <r>
      <t>6.</t>
    </r>
    <r>
      <rPr>
        <sz val="10"/>
        <rFont val="標楷體"/>
        <family val="4"/>
        <charset val="136"/>
      </rPr>
      <t>投資非控制與從屬關係關係人貨幣型受益憑證</t>
    </r>
    <phoneticPr fontId="9" type="noConversion"/>
  </si>
  <si>
    <r>
      <rPr>
        <sz val="10"/>
        <rFont val="標楷體"/>
        <family val="4"/>
        <charset val="136"/>
      </rPr>
      <t>關係人資產風險調整總計</t>
    </r>
    <phoneticPr fontId="9" type="noConversion"/>
  </si>
  <si>
    <r>
      <rPr>
        <sz val="10"/>
        <rFont val="標楷體"/>
        <family val="4"/>
        <charset val="136"/>
      </rPr>
      <t>二、非關係人資產</t>
    </r>
    <phoneticPr fontId="9" type="noConversion"/>
  </si>
  <si>
    <r>
      <rPr>
        <sz val="10"/>
        <rFont val="標楷體"/>
        <family val="4"/>
        <charset val="136"/>
      </rPr>
      <t>受益憑證</t>
    </r>
    <phoneticPr fontId="9" type="noConversion"/>
  </si>
  <si>
    <r>
      <t>(1)</t>
    </r>
    <r>
      <rPr>
        <sz val="10"/>
        <rFont val="標楷體"/>
        <family val="4"/>
        <charset val="136"/>
      </rPr>
      <t>債券型共同基金</t>
    </r>
    <r>
      <rPr>
        <sz val="10"/>
        <rFont val="Book Antiqua"/>
        <family val="1"/>
      </rPr>
      <t>(</t>
    </r>
    <r>
      <rPr>
        <sz val="10"/>
        <rFont val="標楷體"/>
        <family val="4"/>
        <charset val="136"/>
      </rPr>
      <t>註</t>
    </r>
    <r>
      <rPr>
        <sz val="10"/>
        <rFont val="Book Antiqua"/>
        <family val="1"/>
      </rPr>
      <t>1)</t>
    </r>
    <phoneticPr fontId="9" type="noConversion"/>
  </si>
  <si>
    <r>
      <t>(2)</t>
    </r>
    <r>
      <rPr>
        <sz val="10"/>
        <rFont val="標楷體"/>
        <family val="4"/>
        <charset val="136"/>
      </rPr>
      <t>貨幣型共同基金</t>
    </r>
    <r>
      <rPr>
        <sz val="10"/>
        <rFont val="Book Antiqua"/>
        <family val="1"/>
      </rPr>
      <t>(</t>
    </r>
    <r>
      <rPr>
        <sz val="10"/>
        <rFont val="標楷體"/>
        <family val="4"/>
        <charset val="136"/>
      </rPr>
      <t>註</t>
    </r>
    <r>
      <rPr>
        <sz val="10"/>
        <rFont val="Book Antiqua"/>
        <family val="1"/>
      </rPr>
      <t>1)</t>
    </r>
    <phoneticPr fontId="9" type="noConversion"/>
  </si>
  <si>
    <r>
      <rPr>
        <sz val="10"/>
        <rFont val="標楷體"/>
        <family val="4"/>
        <charset val="136"/>
      </rPr>
      <t>非關係人資產風險調整總計</t>
    </r>
    <phoneticPr fontId="9" type="noConversion"/>
  </si>
  <si>
    <r>
      <rPr>
        <sz val="10"/>
        <rFont val="標楷體"/>
        <family val="4"/>
        <charset val="136"/>
      </rPr>
      <t>註</t>
    </r>
    <r>
      <rPr>
        <sz val="10"/>
        <rFont val="Book Antiqua"/>
        <family val="1"/>
      </rPr>
      <t>1.</t>
    </r>
    <r>
      <rPr>
        <sz val="10"/>
        <rFont val="標楷體"/>
        <family val="4"/>
        <charset val="136"/>
      </rPr>
      <t>本項目資產不包含國外資產在內。</t>
    </r>
    <phoneticPr fontId="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</si>
  <si>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7" type="noConversion"/>
  </si>
  <si>
    <r>
      <rPr>
        <sz val="12"/>
        <rFont val="標楷體"/>
        <family val="4"/>
        <charset val="136"/>
      </rPr>
      <t>投資國內具資本性質債券或負債型特別股明細表</t>
    </r>
    <phoneticPr fontId="7"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</si>
  <si>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7" type="noConversion"/>
  </si>
  <si>
    <r>
      <rPr>
        <b/>
        <sz val="12"/>
        <rFont val="標楷體"/>
        <family val="4"/>
        <charset val="136"/>
      </rPr>
      <t>證券標的</t>
    </r>
  </si>
  <si>
    <r>
      <rPr>
        <b/>
        <sz val="12"/>
        <rFont val="標楷體"/>
        <family val="4"/>
        <charset val="136"/>
      </rPr>
      <t>發行公司</t>
    </r>
  </si>
  <si>
    <r>
      <rPr>
        <b/>
        <sz val="12"/>
        <rFont val="標楷體"/>
        <family val="4"/>
        <charset val="136"/>
      </rPr>
      <t>募集方式</t>
    </r>
  </si>
  <si>
    <r>
      <rPr>
        <b/>
        <sz val="12"/>
        <rFont val="標楷體"/>
        <family val="4"/>
        <charset val="136"/>
      </rPr>
      <t>交易種類</t>
    </r>
  </si>
  <si>
    <r>
      <rPr>
        <b/>
        <sz val="12"/>
        <rFont val="標楷體"/>
        <family val="4"/>
        <charset val="136"/>
      </rPr>
      <t>資本工具類型</t>
    </r>
    <phoneticPr fontId="7" type="noConversion"/>
  </si>
  <si>
    <r>
      <rPr>
        <b/>
        <sz val="12"/>
        <rFont val="標楷體"/>
        <family val="4"/>
        <charset val="136"/>
      </rPr>
      <t>是否屬實質互相投資之具資本性質工具</t>
    </r>
    <phoneticPr fontId="7"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</si>
  <si>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7" type="noConversion"/>
  </si>
  <si>
    <r>
      <rPr>
        <b/>
        <sz val="12"/>
        <rFont val="標楷體"/>
        <family val="4"/>
        <charset val="136"/>
      </rPr>
      <t>發行年月日</t>
    </r>
    <phoneticPr fontId="7" type="noConversion"/>
  </si>
  <si>
    <r>
      <rPr>
        <b/>
        <sz val="12"/>
        <rFont val="標楷體"/>
        <family val="4"/>
        <charset val="136"/>
      </rPr>
      <t>始得贖回年月日</t>
    </r>
    <phoneticPr fontId="7" type="noConversion"/>
  </si>
  <si>
    <r>
      <rPr>
        <b/>
        <sz val="12"/>
        <rFont val="標楷體"/>
        <family val="4"/>
        <charset val="136"/>
      </rPr>
      <t>到期年月日</t>
    </r>
    <phoneticPr fontId="7" type="noConversion"/>
  </si>
  <si>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</si>
  <si>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</si>
  <si>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</si>
  <si>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7"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</si>
  <si>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</si>
  <si>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</si>
  <si>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保管情形</t>
    </r>
  </si>
  <si>
    <r>
      <rPr>
        <b/>
        <sz val="12"/>
        <rFont val="標楷體"/>
        <family val="4"/>
        <charset val="136"/>
      </rPr>
      <t>代號</t>
    </r>
  </si>
  <si>
    <r>
      <rPr>
        <b/>
        <sz val="12"/>
        <rFont val="標楷體"/>
        <family val="4"/>
        <charset val="136"/>
      </rPr>
      <t>名稱</t>
    </r>
  </si>
  <si>
    <r>
      <rPr>
        <b/>
        <sz val="12"/>
        <rFont val="標楷體"/>
        <family val="4"/>
        <charset val="136"/>
      </rPr>
      <t>是否為關係人</t>
    </r>
    <phoneticPr fontId="7" type="noConversion"/>
  </si>
  <si>
    <r>
      <rPr>
        <b/>
        <sz val="12"/>
        <rFont val="標楷體"/>
        <family val="4"/>
        <charset val="136"/>
      </rPr>
      <t>公司類型</t>
    </r>
    <phoneticPr fontId="7" type="noConversion"/>
  </si>
  <si>
    <r>
      <rPr>
        <sz val="12"/>
        <rFont val="標楷體"/>
        <family val="4"/>
        <charset val="136"/>
      </rPr>
      <t>自有資本及風險資本調整計算表</t>
    </r>
    <phoneticPr fontId="7"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</si>
  <si>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</si>
  <si>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7" type="noConversion"/>
  </si>
  <si>
    <r>
      <rPr>
        <b/>
        <sz val="12"/>
        <rFont val="標楷體"/>
        <family val="4"/>
        <charset val="136"/>
      </rPr>
      <t>項目</t>
    </r>
    <phoneticPr fontId="7" type="noConversion"/>
  </si>
  <si>
    <r>
      <rPr>
        <b/>
        <sz val="12"/>
        <rFont val="標楷體"/>
        <family val="4"/>
        <charset val="136"/>
      </rPr>
      <t>金額</t>
    </r>
    <phoneticPr fontId="7" type="noConversion"/>
  </si>
  <si>
    <r>
      <rPr>
        <b/>
        <sz val="12"/>
        <rFont val="標楷體"/>
        <family val="4"/>
        <charset val="136"/>
      </rPr>
      <t>具資本性質債券</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</si>
  <si>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</si>
  <si>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7" type="noConversion"/>
  </si>
  <si>
    <r>
      <rPr>
        <sz val="12"/>
        <rFont val="標楷體"/>
        <family val="4"/>
        <charset val="136"/>
      </rPr>
      <t>關係人</t>
    </r>
    <phoneticPr fontId="7" type="noConversion"/>
  </si>
  <si>
    <r>
      <rPr>
        <sz val="12"/>
        <rFont val="標楷體"/>
        <family val="4"/>
        <charset val="136"/>
      </rPr>
      <t>總計</t>
    </r>
    <phoneticPr fontId="7" type="noConversion"/>
  </si>
  <si>
    <r>
      <rPr>
        <sz val="12"/>
        <rFont val="標楷體"/>
        <family val="4"/>
        <charset val="136"/>
      </rPr>
      <t>屬實質互相投資</t>
    </r>
    <phoneticPr fontId="7" type="noConversion"/>
  </si>
  <si>
    <r>
      <rPr>
        <sz val="12"/>
        <rFont val="標楷體"/>
        <family val="4"/>
        <charset val="136"/>
      </rPr>
      <t>具控制與從屬關係</t>
    </r>
  </si>
  <si>
    <r>
      <rPr>
        <sz val="12"/>
        <rFont val="標楷體"/>
        <family val="4"/>
        <charset val="136"/>
      </rPr>
      <t>非屬實質互相投資</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</si>
  <si>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</si>
  <si>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</si>
  <si>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7" type="noConversion"/>
  </si>
  <si>
    <r>
      <rPr>
        <sz val="12"/>
        <rFont val="標楷體"/>
        <family val="4"/>
        <charset val="136"/>
      </rPr>
      <t>評價日淨值</t>
    </r>
    <r>
      <rPr>
        <sz val="12"/>
        <rFont val="Times New Roman"/>
        <family val="1"/>
      </rPr>
      <t>10%</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</si>
  <si>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7"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</si>
  <si>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7" type="noConversion"/>
  </si>
  <si>
    <r>
      <rPr>
        <sz val="12"/>
        <rFont val="標楷體"/>
        <family val="4"/>
        <charset val="136"/>
      </rPr>
      <t>非控制與從屬關係</t>
    </r>
  </si>
  <si>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7" type="noConversion"/>
  </si>
  <si>
    <r>
      <rPr>
        <sz val="12"/>
        <rFont val="標楷體"/>
        <family val="4"/>
        <charset val="136"/>
      </rPr>
      <t>非關係人</t>
    </r>
    <phoneticPr fontId="7" type="noConversion"/>
  </si>
  <si>
    <r>
      <rPr>
        <sz val="12"/>
        <rFont val="標楷體"/>
        <family val="4"/>
        <charset val="136"/>
      </rPr>
      <t>註</t>
    </r>
    <r>
      <rPr>
        <sz val="12"/>
        <rFont val="Times New Roman"/>
        <family val="1"/>
      </rPr>
      <t>:</t>
    </r>
  </si>
  <si>
    <r>
      <rPr>
        <sz val="12"/>
        <rFont val="標楷體"/>
        <family val="4"/>
        <charset val="136"/>
      </rPr>
      <t>證券標的及發行公司代號請洽由財團法人保險事業發展中心統一配賦。</t>
    </r>
    <phoneticPr fontId="7"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</si>
  <si>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7"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</si>
  <si>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7"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</si>
  <si>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7"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</si>
  <si>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7"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</si>
  <si>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7"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</si>
  <si>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7"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</si>
  <si>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7"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</si>
  <si>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7"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</si>
  <si>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7"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</si>
  <si>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7"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</si>
  <si>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</si>
  <si>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</si>
  <si>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</si>
  <si>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t>(5a)</t>
    <phoneticPr fontId="7" type="noConversion"/>
  </si>
  <si>
    <t>投資性不動產稅後增值或稅後減少之金額</t>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</si>
  <si>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9"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</si>
  <si>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9" type="noConversion"/>
  </si>
  <si>
    <r>
      <rPr>
        <b/>
        <sz val="10"/>
        <rFont val="標楷體"/>
        <family val="4"/>
        <charset val="136"/>
      </rPr>
      <t>風險資本額</t>
    </r>
  </si>
  <si>
    <t>註2：公平待客原則排名依據主管機關評核結果，產、壽公司分別評定，其分別擷取排名落入後段20%之公司，需以C4其他風險資本額總計數，</t>
    <phoneticPr fontId="9" type="noConversion"/>
  </si>
  <si>
    <t xml:space="preserve">     乘以既定之權數(置於“風險係數”欄位，目前為5%)計算加計之風險資本額。但成立兩年內之新公司倘落於排名後段20%者除外(即「其他風險」無須加計5%之風險資本額)。</t>
    <phoneticPr fontId="7" type="noConversion"/>
  </si>
  <si>
    <t xml:space="preserve">     其中，兩年內之起算日以主管機關核准設立日為準。公平待客原則排名係由主管機關公布，並由保發中心通知落入後段20%之公司。</t>
    <phoneticPr fontId="7" type="noConversion"/>
  </si>
  <si>
    <t xml:space="preserve">     當年度公布之公平待客原則排名結果適用當年度整年期間，且每年更新一次。</t>
    <phoneticPr fontId="7" type="noConversion"/>
  </si>
  <si>
    <r>
      <rPr>
        <sz val="10"/>
        <rFont val="標楷體"/>
        <family val="4"/>
        <charset val="136"/>
      </rPr>
      <t>表</t>
    </r>
    <r>
      <rPr>
        <sz val="10"/>
        <rFont val="Book Antiqua"/>
        <family val="1"/>
      </rPr>
      <t>30-5-1</t>
    </r>
    <r>
      <rPr>
        <sz val="10"/>
        <rFont val="標楷體"/>
        <family val="4"/>
        <charset val="136"/>
      </rPr>
      <t>：</t>
    </r>
    <r>
      <rPr>
        <sz val="10"/>
        <rFont val="Book Antiqua"/>
        <family val="1"/>
      </rPr>
      <t>R3c</t>
    </r>
    <r>
      <rPr>
        <sz val="10"/>
        <rFont val="標楷體"/>
        <family val="4"/>
        <charset val="136"/>
      </rPr>
      <t>：核保風險</t>
    </r>
    <r>
      <rPr>
        <sz val="10"/>
        <rFont val="Book Antiqua"/>
        <family val="1"/>
      </rPr>
      <t>--</t>
    </r>
    <r>
      <rPr>
        <sz val="10"/>
        <rFont val="標楷體"/>
        <family val="4"/>
        <charset val="136"/>
      </rPr>
      <t>長年期保險風險計算表</t>
    </r>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</si>
  <si>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</si>
  <si>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</si>
  <si>
    <r>
      <rPr>
        <b/>
        <sz val="10"/>
        <rFont val="標楷體"/>
        <family val="4"/>
        <charset val="136"/>
      </rPr>
      <t>本</t>
    </r>
    <r>
      <rPr>
        <b/>
        <sz val="10"/>
        <rFont val="Book Antiqua"/>
        <family val="1"/>
      </rPr>
      <t>(</t>
    </r>
    <r>
      <rPr>
        <b/>
        <sz val="10"/>
        <rFont val="標楷體"/>
        <family val="4"/>
        <charset val="136"/>
      </rPr>
      <t>期</t>
    </r>
    <r>
      <rPr>
        <b/>
        <sz val="10"/>
        <rFont val="Book Antiqua"/>
        <family val="1"/>
      </rPr>
      <t>)</t>
    </r>
    <r>
      <rPr>
        <b/>
        <sz val="10"/>
        <rFont val="標楷體"/>
        <family val="4"/>
        <charset val="136"/>
      </rPr>
      <t>年度責任準備金</t>
    </r>
    <phoneticPr fontId="9" type="noConversion"/>
  </si>
  <si>
    <r>
      <rPr>
        <b/>
        <sz val="10"/>
        <rFont val="標楷體"/>
        <family val="4"/>
        <charset val="136"/>
      </rPr>
      <t xml:space="preserve">再保險比率
</t>
    </r>
    <r>
      <rPr>
        <b/>
        <sz val="10"/>
        <rFont val="Book Antiqua"/>
        <family val="1"/>
      </rPr>
      <t>(</t>
    </r>
    <r>
      <rPr>
        <b/>
        <sz val="10"/>
        <rFont val="標楷體"/>
        <family val="4"/>
        <charset val="136"/>
      </rPr>
      <t>適格</t>
    </r>
    <r>
      <rPr>
        <b/>
        <sz val="10"/>
        <rFont val="Book Antiqua"/>
        <family val="1"/>
      </rPr>
      <t>)</t>
    </r>
    <phoneticPr fontId="9" type="noConversion"/>
  </si>
  <si>
    <r>
      <rPr>
        <b/>
        <sz val="10"/>
        <rFont val="標楷體"/>
        <family val="4"/>
        <charset val="136"/>
      </rPr>
      <t>淨風險部位</t>
    </r>
    <r>
      <rPr>
        <b/>
        <sz val="10"/>
        <rFont val="Book Antiqua"/>
        <family val="1"/>
      </rPr>
      <t>/</t>
    </r>
    <r>
      <rPr>
        <b/>
        <sz val="10"/>
        <rFont val="標楷體"/>
        <family val="4"/>
        <charset val="136"/>
      </rPr>
      <t>金額</t>
    </r>
    <phoneticPr fontId="9" type="noConversion"/>
  </si>
  <si>
    <r>
      <rPr>
        <b/>
        <sz val="10"/>
        <rFont val="標楷體"/>
        <family val="4"/>
        <charset val="136"/>
      </rPr>
      <t>近</t>
    </r>
    <r>
      <rPr>
        <b/>
        <sz val="10"/>
        <rFont val="Book Antiqua"/>
        <family val="1"/>
      </rPr>
      <t>5</t>
    </r>
    <r>
      <rPr>
        <b/>
        <sz val="10"/>
        <rFont val="標楷體"/>
        <family val="4"/>
        <charset val="136"/>
      </rPr>
      <t>年損失率</t>
    </r>
    <r>
      <rPr>
        <b/>
        <sz val="10"/>
        <rFont val="Book Antiqua"/>
        <family val="1"/>
      </rPr>
      <t>(</t>
    </r>
    <r>
      <rPr>
        <b/>
        <sz val="10"/>
        <rFont val="標楷體"/>
        <family val="4"/>
        <charset val="136"/>
      </rPr>
      <t>註</t>
    </r>
    <r>
      <rPr>
        <b/>
        <sz val="10"/>
        <rFont val="Book Antiqua"/>
        <family val="1"/>
      </rPr>
      <t>)</t>
    </r>
    <phoneticPr fontId="9" type="noConversion"/>
  </si>
  <si>
    <r>
      <rPr>
        <b/>
        <sz val="10"/>
        <rFont val="標楷體"/>
        <family val="4"/>
        <charset val="136"/>
      </rPr>
      <t>風險係數</t>
    </r>
    <r>
      <rPr>
        <b/>
        <sz val="10"/>
        <rFont val="Book Antiqua"/>
        <family val="1"/>
      </rPr>
      <t>(</t>
    </r>
    <r>
      <rPr>
        <b/>
        <sz val="10"/>
        <rFont val="標楷體"/>
        <family val="4"/>
        <charset val="136"/>
      </rPr>
      <t>註</t>
    </r>
    <r>
      <rPr>
        <b/>
        <sz val="10"/>
        <rFont val="Book Antiqua"/>
        <family val="1"/>
      </rPr>
      <t>)</t>
    </r>
    <phoneticPr fontId="9" type="noConversion"/>
  </si>
  <si>
    <r>
      <t xml:space="preserve">3c.1 </t>
    </r>
    <r>
      <rPr>
        <sz val="10"/>
        <rFont val="標楷體"/>
        <family val="4"/>
        <charset val="136"/>
      </rPr>
      <t>保險風險</t>
    </r>
    <phoneticPr fontId="9" type="noConversion"/>
  </si>
  <si>
    <r>
      <t xml:space="preserve">3c.1.1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</si>
  <si>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(16)</t>
    </r>
    <r>
      <rPr>
        <sz val="10"/>
        <rFont val="標楷體"/>
        <family val="4"/>
        <charset val="136"/>
      </rPr>
      <t>欄第</t>
    </r>
    <r>
      <rPr>
        <sz val="10"/>
        <rFont val="Book Antiqua"/>
        <family val="1"/>
      </rPr>
      <t>(1)</t>
    </r>
    <r>
      <rPr>
        <sz val="10"/>
        <rFont val="標楷體"/>
        <family val="4"/>
        <charset val="136"/>
      </rPr>
      <t>列</t>
    </r>
    <phoneticPr fontId="9" type="noConversion"/>
  </si>
  <si>
    <r>
      <t xml:space="preserve">3c.1.2 </t>
    </r>
    <r>
      <rPr>
        <sz val="10"/>
        <rFont val="標楷體"/>
        <family val="4"/>
        <charset val="136"/>
      </rPr>
      <t>長年期健康保險</t>
    </r>
    <phoneticPr fontId="9" type="noConversion"/>
  </si>
  <si>
    <r>
      <rPr>
        <sz val="10"/>
        <rFont val="標楷體"/>
        <family val="4"/>
        <charset val="136"/>
      </rPr>
      <t>請保留詳細工作表，以利查核</t>
    </r>
    <phoneticPr fontId="9" type="noConversion"/>
  </si>
  <si>
    <r>
      <t xml:space="preserve">3c.2 </t>
    </r>
    <r>
      <rPr>
        <sz val="10"/>
        <rFont val="標楷體"/>
        <family val="4"/>
        <charset val="136"/>
      </rPr>
      <t>準備金風險</t>
    </r>
    <phoneticPr fontId="9" type="noConversion"/>
  </si>
  <si>
    <r>
      <t xml:space="preserve">3c.2.1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</si>
  <si>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(13)</t>
    </r>
    <r>
      <rPr>
        <sz val="10"/>
        <rFont val="標楷體"/>
        <family val="4"/>
        <charset val="136"/>
      </rPr>
      <t>欄第</t>
    </r>
    <r>
      <rPr>
        <sz val="10"/>
        <rFont val="Book Antiqua"/>
        <family val="1"/>
      </rPr>
      <t>(1)</t>
    </r>
    <r>
      <rPr>
        <sz val="10"/>
        <rFont val="標楷體"/>
        <family val="4"/>
        <charset val="136"/>
      </rPr>
      <t>列</t>
    </r>
    <phoneticPr fontId="9" type="noConversion"/>
  </si>
  <si>
    <r>
      <t xml:space="preserve">3c.2.2 </t>
    </r>
    <r>
      <rPr>
        <sz val="10"/>
        <rFont val="標楷體"/>
        <family val="4"/>
        <charset val="136"/>
      </rPr>
      <t>長年期健康保險</t>
    </r>
    <phoneticPr fontId="9" type="noConversion"/>
  </si>
  <si>
    <r>
      <rPr>
        <sz val="10"/>
        <rFont val="標楷體"/>
        <family val="4"/>
        <charset val="136"/>
      </rPr>
      <t>「表</t>
    </r>
    <r>
      <rPr>
        <sz val="10"/>
        <rFont val="Book Antiqua"/>
        <family val="1"/>
      </rPr>
      <t>26-1</t>
    </r>
    <r>
      <rPr>
        <sz val="10"/>
        <rFont val="標楷體"/>
        <family val="4"/>
        <charset val="136"/>
      </rPr>
      <t>：賠款準備金明細表」第</t>
    </r>
    <r>
      <rPr>
        <sz val="10"/>
        <rFont val="Book Antiqua"/>
        <family val="1"/>
      </rPr>
      <t>(17)</t>
    </r>
    <r>
      <rPr>
        <sz val="10"/>
        <rFont val="標楷體"/>
        <family val="4"/>
        <charset val="136"/>
      </rPr>
      <t>欄第</t>
    </r>
    <r>
      <rPr>
        <sz val="10"/>
        <rFont val="Book Antiqua"/>
        <family val="1"/>
      </rPr>
      <t>(31)</t>
    </r>
    <r>
      <rPr>
        <sz val="10"/>
        <rFont val="標楷體"/>
        <family val="4"/>
        <charset val="136"/>
      </rPr>
      <t>列</t>
    </r>
    <phoneticPr fontId="9" type="noConversion"/>
  </si>
  <si>
    <r>
      <rPr>
        <b/>
        <sz val="10"/>
        <rFont val="標楷體"/>
        <family val="4"/>
        <charset val="136"/>
      </rPr>
      <t>《長年期保險風險》總計</t>
    </r>
    <phoneticPr fontId="9" type="noConversion"/>
  </si>
  <si>
    <r>
      <rPr>
        <sz val="10"/>
        <rFont val="標楷體"/>
        <family val="4"/>
        <charset val="136"/>
      </rPr>
      <t>註：風險係數係近</t>
    </r>
    <r>
      <rPr>
        <sz val="10"/>
        <rFont val="Book Antiqua"/>
        <family val="1"/>
      </rPr>
      <t>5</t>
    </r>
    <r>
      <rPr>
        <sz val="10"/>
        <rFont val="標楷體"/>
        <family val="4"/>
        <charset val="136"/>
      </rPr>
      <t>年短年期險損失率</t>
    </r>
    <r>
      <rPr>
        <sz val="10"/>
        <rFont val="Book Antiqua"/>
        <family val="1"/>
      </rPr>
      <t>(</t>
    </r>
    <r>
      <rPr>
        <sz val="10"/>
        <rFont val="標楷體"/>
        <family val="4"/>
        <charset val="136"/>
      </rPr>
      <t>依公司別</t>
    </r>
    <r>
      <rPr>
        <sz val="10"/>
        <rFont val="Book Antiqua"/>
        <family val="1"/>
      </rPr>
      <t>)×0.18</t>
    </r>
    <r>
      <rPr>
        <sz val="10"/>
        <rFont val="標楷體"/>
        <family val="4"/>
        <charset val="136"/>
      </rPr>
      <t>。</t>
    </r>
    <phoneticPr fontId="9" type="noConversion"/>
  </si>
  <si>
    <r>
      <rPr>
        <sz val="12"/>
        <rFont val="標楷體"/>
        <family val="4"/>
        <charset val="136"/>
      </rPr>
      <t>單位：新台幣元</t>
    </r>
    <r>
      <rPr>
        <sz val="12"/>
        <rFont val="Times New Roman"/>
        <family val="1"/>
      </rPr>
      <t xml:space="preserve">, </t>
    </r>
    <r>
      <rPr>
        <sz val="12"/>
        <rFont val="標楷體"/>
        <family val="4"/>
        <charset val="136"/>
      </rPr>
      <t>％</t>
    </r>
    <phoneticPr fontId="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</si>
  <si>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9"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</si>
  <si>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9" type="noConversion"/>
  </si>
  <si>
    <r>
      <rPr>
        <b/>
        <sz val="12"/>
        <rFont val="標楷體"/>
        <family val="4"/>
        <charset val="136"/>
      </rPr>
      <t>已開發國家</t>
    </r>
    <phoneticPr fontId="9" type="noConversion"/>
  </si>
  <si>
    <r>
      <rPr>
        <b/>
        <sz val="12"/>
        <rFont val="標楷體"/>
        <family val="4"/>
        <charset val="136"/>
      </rPr>
      <t>新興市場</t>
    </r>
    <phoneticPr fontId="9" type="noConversion"/>
  </si>
  <si>
    <r>
      <rPr>
        <b/>
        <sz val="12"/>
        <rFont val="標楷體"/>
        <family val="4"/>
        <charset val="136"/>
      </rPr>
      <t>風險資本額</t>
    </r>
    <phoneticPr fontId="9" type="noConversion"/>
  </si>
  <si>
    <t>單位：新台幣元</t>
  </si>
  <si>
    <r>
      <rPr>
        <sz val="12"/>
        <rFont val="標楷體"/>
        <family val="4"/>
        <charset val="136"/>
      </rPr>
      <t>表</t>
    </r>
    <r>
      <rPr>
        <sz val="12"/>
        <rFont val="Times New Roman"/>
        <family val="1"/>
      </rPr>
      <t>30-1</t>
    </r>
    <r>
      <rPr>
        <sz val="12"/>
        <rFont val="標楷體"/>
        <family val="4"/>
        <charset val="136"/>
      </rPr>
      <t>：資本適足性分析表</t>
    </r>
    <phoneticPr fontId="7" type="noConversion"/>
  </si>
  <si>
    <r>
      <rPr>
        <sz val="12"/>
        <rFont val="標楷體"/>
        <family val="4"/>
        <charset val="136"/>
      </rPr>
      <t>＊計算說明</t>
    </r>
    <phoneticPr fontId="9"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</si>
  <si>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9"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</si>
  <si>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9"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</si>
  <si>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9" type="noConversion"/>
  </si>
  <si>
    <r>
      <rPr>
        <sz val="12"/>
        <rFont val="標楷體"/>
        <family val="4"/>
        <charset val="136"/>
      </rPr>
      <t>＊結果分析</t>
    </r>
    <phoneticPr fontId="9" type="noConversion"/>
  </si>
  <si>
    <r>
      <rPr>
        <b/>
        <sz val="12"/>
        <rFont val="標楷體"/>
        <family val="4"/>
        <charset val="136"/>
      </rPr>
      <t>占調整前風險資本總額之比率</t>
    </r>
  </si>
  <si>
    <r>
      <rPr>
        <b/>
        <sz val="12"/>
        <rFont val="標楷體"/>
        <family val="4"/>
        <charset val="136"/>
      </rPr>
      <t>占風險資本總額之比率</t>
    </r>
    <phoneticPr fontId="9" type="noConversion"/>
  </si>
  <si>
    <r>
      <t>R0</t>
    </r>
    <r>
      <rPr>
        <sz val="12"/>
        <rFont val="標楷體"/>
        <family val="4"/>
        <charset val="136"/>
      </rPr>
      <t>：資產風險</t>
    </r>
    <r>
      <rPr>
        <sz val="12"/>
        <rFont val="Times New Roman"/>
        <family val="1"/>
      </rPr>
      <t>--</t>
    </r>
    <r>
      <rPr>
        <sz val="12"/>
        <rFont val="標楷體"/>
        <family val="4"/>
        <charset val="136"/>
      </rPr>
      <t>關係人風險</t>
    </r>
  </si>
  <si>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9"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</si>
  <si>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9"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</si>
  <si>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9"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</si>
  <si>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9"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</si>
  <si>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9"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</si>
  <si>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9"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</si>
  <si>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9"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</si>
  <si>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9" type="noConversion"/>
  </si>
  <si>
    <r>
      <t>R</t>
    </r>
    <r>
      <rPr>
        <vertAlign val="subscript"/>
        <sz val="12"/>
        <rFont val="Times New Roman"/>
        <family val="1"/>
      </rPr>
      <t>2</t>
    </r>
    <r>
      <rPr>
        <sz val="12"/>
        <rFont val="標楷體"/>
        <family val="4"/>
        <charset val="136"/>
      </rPr>
      <t>：信用風險</t>
    </r>
    <phoneticPr fontId="9"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</si>
  <si>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9" type="noConversion"/>
  </si>
  <si>
    <r>
      <t>R</t>
    </r>
    <r>
      <rPr>
        <vertAlign val="subscript"/>
        <sz val="12"/>
        <rFont val="標楷體"/>
        <family val="4"/>
        <charset val="136"/>
      </rPr>
      <t>3b</t>
    </r>
    <r>
      <rPr>
        <sz val="12"/>
        <rFont val="標楷體"/>
        <family val="4"/>
        <charset val="136"/>
      </rPr>
      <t>：核保風險--保費風險</t>
    </r>
    <phoneticPr fontId="9" type="noConversion"/>
  </si>
  <si>
    <r>
      <t>R</t>
    </r>
    <r>
      <rPr>
        <vertAlign val="subscript"/>
        <sz val="12"/>
        <rFont val="Times New Roman"/>
        <family val="1"/>
      </rPr>
      <t>5</t>
    </r>
    <r>
      <rPr>
        <sz val="12"/>
        <rFont val="標楷體"/>
        <family val="4"/>
        <charset val="136"/>
      </rPr>
      <t>：其他風險</t>
    </r>
    <phoneticPr fontId="9" type="noConversion"/>
  </si>
  <si>
    <r>
      <rPr>
        <sz val="12"/>
        <rFont val="標楷體"/>
        <family val="4"/>
        <charset val="136"/>
      </rPr>
      <t>調整前風險資本總額</t>
    </r>
  </si>
  <si>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</si>
  <si>
    <r>
      <rPr>
        <sz val="12"/>
        <rFont val="標楷體"/>
        <family val="4"/>
        <charset val="136"/>
      </rPr>
      <t>自有資本總額</t>
    </r>
  </si>
  <si>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9" type="noConversion"/>
  </si>
  <si>
    <r>
      <rPr>
        <sz val="10"/>
        <rFont val="標楷體"/>
        <family val="4"/>
        <charset val="136"/>
      </rPr>
      <t>單位：新台幣元</t>
    </r>
    <r>
      <rPr>
        <sz val="10"/>
        <rFont val="Book Antiqua"/>
        <family val="1"/>
      </rPr>
      <t>,%</t>
    </r>
    <phoneticPr fontId="7" type="noConversion"/>
  </si>
  <si>
    <r>
      <rPr>
        <sz val="10"/>
        <rFont val="標楷體"/>
        <family val="4"/>
        <charset val="136"/>
      </rPr>
      <t>表</t>
    </r>
    <r>
      <rPr>
        <sz val="10"/>
        <rFont val="Book Antiqua"/>
        <family val="1"/>
      </rPr>
      <t>25-8</t>
    </r>
    <r>
      <rPr>
        <sz val="10"/>
        <rFont val="標楷體"/>
        <family val="4"/>
        <charset val="136"/>
      </rPr>
      <t>：帳列負債之特別準備明細表</t>
    </r>
    <phoneticPr fontId="9" type="noConversion"/>
  </si>
  <si>
    <r>
      <rPr>
        <sz val="10"/>
        <rFont val="標楷體"/>
        <family val="4"/>
        <charset val="136"/>
      </rPr>
      <t>列號</t>
    </r>
    <phoneticPr fontId="7" type="noConversion"/>
  </si>
  <si>
    <r>
      <rPr>
        <sz val="10"/>
        <rFont val="標楷體"/>
        <family val="4"/>
        <charset val="136"/>
      </rPr>
      <t>項目</t>
    </r>
    <phoneticPr fontId="7" type="noConversion"/>
  </si>
  <si>
    <r>
      <rPr>
        <sz val="10"/>
        <rFont val="標楷體"/>
        <family val="4"/>
        <charset val="136"/>
      </rPr>
      <t>備註</t>
    </r>
    <phoneticPr fontId="9" type="noConversion"/>
  </si>
  <si>
    <r>
      <rPr>
        <sz val="10"/>
        <rFont val="標楷體"/>
        <family val="4"/>
        <charset val="136"/>
      </rPr>
      <t>重大事故</t>
    </r>
    <phoneticPr fontId="9" type="noConversion"/>
  </si>
  <si>
    <r>
      <rPr>
        <sz val="10"/>
        <rFont val="標楷體"/>
        <family val="4"/>
        <charset val="136"/>
      </rPr>
      <t>危險變動</t>
    </r>
    <phoneticPr fontId="9" type="noConversion"/>
  </si>
  <si>
    <r>
      <rPr>
        <sz val="10"/>
        <rFont val="標楷體"/>
        <family val="4"/>
        <charset val="136"/>
      </rPr>
      <t>其他因特殊需要而加提之準備金</t>
    </r>
    <phoneticPr fontId="9" type="noConversion"/>
  </si>
  <si>
    <r>
      <rPr>
        <sz val="10"/>
        <rFont val="標楷體"/>
        <family val="4"/>
        <charset val="136"/>
      </rPr>
      <t>不動產增值利益</t>
    </r>
    <phoneticPr fontId="9" type="noConversion"/>
  </si>
  <si>
    <r>
      <rPr>
        <sz val="10"/>
        <rFont val="標楷體"/>
        <family val="4"/>
        <charset val="136"/>
      </rPr>
      <t>總　　　　　　　計</t>
    </r>
    <phoneticPr fontId="9" type="noConversion"/>
  </si>
  <si>
    <r>
      <rPr>
        <sz val="10"/>
        <rFont val="標楷體"/>
        <family val="4"/>
        <charset val="136"/>
      </rPr>
      <t>註：</t>
    </r>
  </si>
  <si>
    <r>
      <rPr>
        <sz val="10"/>
        <rFont val="標楷體"/>
        <family val="4"/>
        <charset val="136"/>
      </rPr>
      <t>請依保險法及強制汽車責任保險法、保險業各種準備金提存辦法、專業再保險業財務業務管理辦法及其相關解釋函令之規定提列</t>
    </r>
    <phoneticPr fontId="9" type="noConversion"/>
  </si>
  <si>
    <r>
      <rPr>
        <sz val="10"/>
        <rFont val="標楷體"/>
        <family val="4"/>
        <charset val="136"/>
      </rPr>
      <t>，並保存工作底稿備查</t>
    </r>
    <phoneticPr fontId="9" type="noConversion"/>
  </si>
  <si>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phoneticPr fontId="9" type="noConversion"/>
  </si>
  <si>
    <r>
      <rPr>
        <sz val="10"/>
        <rFont val="標楷體"/>
        <family val="4"/>
        <charset val="136"/>
      </rPr>
      <t>單位：新台幣元</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</si>
  <si>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phoneticPr fontId="9" type="noConversion"/>
  </si>
  <si>
    <r>
      <rPr>
        <sz val="10"/>
        <rFont val="標楷體"/>
        <family val="4"/>
        <charset val="136"/>
      </rPr>
      <t>衍生性商品標的屬國內投資</t>
    </r>
    <phoneticPr fontId="9"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</si>
  <si>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</si>
  <si>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</si>
  <si>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名目部位金額</t>
    </r>
    <phoneticPr fontId="9" type="noConversion"/>
  </si>
  <si>
    <r>
      <rPr>
        <sz val="10"/>
        <rFont val="標楷體"/>
        <family val="4"/>
        <charset val="136"/>
      </rPr>
      <t>未實現損益</t>
    </r>
  </si>
  <si>
    <r>
      <rPr>
        <sz val="10"/>
        <rFont val="標楷體"/>
        <family val="4"/>
        <charset val="136"/>
      </rPr>
      <t>匯率</t>
    </r>
    <phoneticPr fontId="9" type="noConversion"/>
  </si>
  <si>
    <r>
      <rPr>
        <sz val="10"/>
        <rFont val="標楷體"/>
        <family val="4"/>
        <charset val="136"/>
      </rPr>
      <t>期貨與遠期</t>
    </r>
    <phoneticPr fontId="9" type="noConversion"/>
  </si>
  <si>
    <r>
      <rPr>
        <sz val="10"/>
        <rFont val="標楷體"/>
        <family val="4"/>
        <charset val="136"/>
      </rPr>
      <t>賣出選擇權</t>
    </r>
    <phoneticPr fontId="9" type="noConversion"/>
  </si>
  <si>
    <r>
      <rPr>
        <sz val="10"/>
        <rFont val="標楷體"/>
        <family val="4"/>
        <charset val="136"/>
      </rPr>
      <t>其他衍生性</t>
    </r>
    <phoneticPr fontId="9" type="noConversion"/>
  </si>
  <si>
    <r>
      <rPr>
        <sz val="10"/>
        <rFont val="標楷體"/>
        <family val="4"/>
        <charset val="136"/>
      </rPr>
      <t>匯率小計</t>
    </r>
    <phoneticPr fontId="9" type="noConversion"/>
  </si>
  <si>
    <r>
      <rPr>
        <sz val="10"/>
        <rFont val="標楷體"/>
        <family val="4"/>
        <charset val="136"/>
      </rPr>
      <t>權益證券</t>
    </r>
    <phoneticPr fontId="9" type="noConversion"/>
  </si>
  <si>
    <r>
      <rPr>
        <sz val="10"/>
        <rFont val="標楷體"/>
        <family val="4"/>
        <charset val="136"/>
      </rPr>
      <t>權益證券小計</t>
    </r>
    <phoneticPr fontId="9" type="noConversion"/>
  </si>
  <si>
    <r>
      <rPr>
        <sz val="10"/>
        <rFont val="標楷體"/>
        <family val="4"/>
        <charset val="136"/>
      </rPr>
      <t>其他標的</t>
    </r>
    <phoneticPr fontId="9" type="noConversion"/>
  </si>
  <si>
    <r>
      <rPr>
        <sz val="10"/>
        <rFont val="標楷體"/>
        <family val="4"/>
        <charset val="136"/>
      </rPr>
      <t>其他標的小計</t>
    </r>
    <phoneticPr fontId="9" type="noConversion"/>
  </si>
  <si>
    <r>
      <rPr>
        <sz val="10"/>
        <rFont val="標楷體"/>
        <family val="4"/>
        <charset val="136"/>
      </rPr>
      <t>合計</t>
    </r>
  </si>
  <si>
    <r>
      <rPr>
        <sz val="12"/>
        <rFont val="標楷體"/>
        <family val="4"/>
        <charset val="136"/>
      </rPr>
      <t>註：</t>
    </r>
    <phoneticPr fontId="7" type="noConversion"/>
  </si>
  <si>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phoneticPr fontId="9" type="noConversion"/>
  </si>
  <si>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phoneticPr fontId="9" type="noConversion"/>
  </si>
  <si>
    <r>
      <rPr>
        <sz val="10"/>
        <rFont val="標楷體"/>
        <family val="4"/>
        <charset val="136"/>
      </rPr>
      <t>交換</t>
    </r>
    <phoneticPr fontId="9" type="noConversion"/>
  </si>
  <si>
    <r>
      <rPr>
        <sz val="10"/>
        <rFont val="標楷體"/>
        <family val="4"/>
        <charset val="136"/>
      </rPr>
      <t>買入選擇權</t>
    </r>
    <phoneticPr fontId="9" type="noConversion"/>
  </si>
  <si>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phoneticPr fontId="9" type="noConversion"/>
  </si>
  <si>
    <r>
      <rPr>
        <sz val="10"/>
        <rFont val="標楷體"/>
        <family val="4"/>
        <charset val="136"/>
      </rPr>
      <t>標的物類別</t>
    </r>
    <r>
      <rPr>
        <sz val="10"/>
        <rFont val="Book Antiqua"/>
        <family val="1"/>
      </rPr>
      <t>/</t>
    </r>
    <r>
      <rPr>
        <sz val="10"/>
        <rFont val="標楷體"/>
        <family val="4"/>
        <charset val="136"/>
      </rPr>
      <t>衍生性商品類別</t>
    </r>
    <phoneticPr fontId="9" type="noConversion"/>
  </si>
  <si>
    <r>
      <rPr>
        <sz val="10"/>
        <rFont val="標楷體"/>
        <family val="4"/>
        <charset val="136"/>
      </rPr>
      <t>被避險資產屬國內投資</t>
    </r>
    <phoneticPr fontId="9"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</si>
  <si>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</si>
  <si>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</si>
  <si>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phoneticPr fontId="9" type="noConversion"/>
  </si>
  <si>
    <r>
      <rPr>
        <sz val="10"/>
        <rFont val="標楷體"/>
        <family val="4"/>
        <charset val="136"/>
      </rPr>
      <t>其他</t>
    </r>
    <phoneticPr fontId="9" type="noConversion"/>
  </si>
  <si>
    <r>
      <rPr>
        <sz val="10"/>
        <rFont val="標楷體"/>
        <family val="4"/>
        <charset val="136"/>
      </rPr>
      <t>標準避險小計</t>
    </r>
    <phoneticPr fontId="9" type="noConversion"/>
  </si>
  <si>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phoneticPr fontId="9" type="noConversion"/>
  </si>
  <si>
    <r>
      <rPr>
        <sz val="10"/>
        <rFont val="標楷體"/>
        <family val="4"/>
        <charset val="136"/>
      </rPr>
      <t>非標準避險小計</t>
    </r>
    <phoneticPr fontId="9" type="noConversion"/>
  </si>
  <si>
    <r>
      <rPr>
        <sz val="10"/>
        <rFont val="標楷體"/>
        <family val="4"/>
        <charset val="136"/>
      </rPr>
      <t>匯率相關小計</t>
    </r>
    <phoneticPr fontId="9"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</si>
  <si>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7" type="noConversion"/>
  </si>
  <si>
    <r>
      <rPr>
        <sz val="10"/>
        <rFont val="標楷體"/>
        <family val="4"/>
        <charset val="136"/>
      </rPr>
      <t>期貨</t>
    </r>
    <phoneticPr fontId="9" type="noConversion"/>
  </si>
  <si>
    <r>
      <rPr>
        <sz val="10"/>
        <rFont val="標楷體"/>
        <family val="4"/>
        <charset val="136"/>
      </rPr>
      <t>買入賣權</t>
    </r>
    <phoneticPr fontId="7" type="noConversion"/>
  </si>
  <si>
    <r>
      <rPr>
        <sz val="10"/>
        <rFont val="標楷體"/>
        <family val="4"/>
        <charset val="136"/>
      </rPr>
      <t>抵減</t>
    </r>
    <r>
      <rPr>
        <sz val="10"/>
        <rFont val="Book Antiqua"/>
        <family val="1"/>
      </rPr>
      <t>50%</t>
    </r>
    <r>
      <rPr>
        <sz val="10"/>
        <rFont val="標楷體"/>
        <family val="4"/>
        <charset val="136"/>
      </rPr>
      <t>避險小計</t>
    </r>
    <phoneticPr fontId="7" type="noConversion"/>
  </si>
  <si>
    <r>
      <rPr>
        <sz val="10"/>
        <rFont val="標楷體"/>
        <family val="4"/>
        <charset val="136"/>
      </rPr>
      <t>抵減</t>
    </r>
    <r>
      <rPr>
        <sz val="10"/>
        <rFont val="Book Antiqua"/>
        <family val="1"/>
      </rPr>
      <t>65%</t>
    </r>
    <r>
      <rPr>
        <sz val="10"/>
        <rFont val="標楷體"/>
        <family val="4"/>
        <charset val="136"/>
      </rPr>
      <t>避險小計</t>
    </r>
    <phoneticPr fontId="7" type="noConversion"/>
  </si>
  <si>
    <r>
      <rPr>
        <sz val="10"/>
        <rFont val="標楷體"/>
        <family val="4"/>
        <charset val="136"/>
      </rPr>
      <t>可扣抵風險資本避險小計</t>
    </r>
    <phoneticPr fontId="7"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</si>
  <si>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9" type="noConversion"/>
  </si>
  <si>
    <r>
      <rPr>
        <sz val="10"/>
        <rFont val="標楷體"/>
        <family val="4"/>
        <charset val="136"/>
      </rPr>
      <t>不可扣抵風險資本避險小計</t>
    </r>
    <phoneticPr fontId="9" type="noConversion"/>
  </si>
  <si>
    <r>
      <rPr>
        <sz val="10"/>
        <rFont val="標楷體"/>
        <family val="4"/>
        <charset val="136"/>
      </rPr>
      <t>權益證券相關小計</t>
    </r>
    <phoneticPr fontId="9" type="noConversion"/>
  </si>
  <si>
    <r>
      <rPr>
        <sz val="10"/>
        <rFont val="標楷體"/>
        <family val="4"/>
        <charset val="136"/>
      </rPr>
      <t>其他</t>
    </r>
  </si>
  <si>
    <r>
      <rPr>
        <sz val="10"/>
        <rFont val="標楷體"/>
        <family val="4"/>
        <charset val="136"/>
      </rPr>
      <t>其他衍生性小計</t>
    </r>
    <phoneticPr fontId="9" type="noConversion"/>
  </si>
  <si>
    <r>
      <rPr>
        <sz val="10"/>
        <rFont val="華康仿宋體W6"/>
        <family val="3"/>
        <charset val="136"/>
      </rPr>
      <t>列號</t>
    </r>
    <phoneticPr fontId="9"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</si>
  <si>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9"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</si>
  <si>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9"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</si>
  <si>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</si>
  <si>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7"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</si>
  <si>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</si>
  <si>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9" type="noConversion"/>
  </si>
  <si>
    <r>
      <rPr>
        <sz val="11"/>
        <rFont val="標楷體"/>
        <family val="4"/>
        <charset val="136"/>
      </rPr>
      <t>單位：新台幣元</t>
    </r>
    <r>
      <rPr>
        <sz val="11"/>
        <rFont val="Book Antiqua"/>
        <family val="1"/>
      </rPr>
      <t>,%</t>
    </r>
  </si>
  <si>
    <r>
      <rPr>
        <sz val="11"/>
        <rFont val="標楷體"/>
        <family val="4"/>
        <charset val="136"/>
      </rPr>
      <t>表</t>
    </r>
    <r>
      <rPr>
        <sz val="11"/>
        <rFont val="Book Antiqua"/>
        <family val="1"/>
      </rPr>
      <t>16-1-5</t>
    </r>
    <r>
      <rPr>
        <sz val="11"/>
        <rFont val="標楷體"/>
        <family val="4"/>
        <charset val="136"/>
      </rPr>
      <t>：衍生性商品餘額明細表</t>
    </r>
    <r>
      <rPr>
        <sz val="11"/>
        <rFont val="Book Antiqua"/>
        <family val="1"/>
      </rPr>
      <t>--</t>
    </r>
    <r>
      <rPr>
        <sz val="11"/>
        <rFont val="標楷體"/>
        <family val="4"/>
        <charset val="136"/>
      </rPr>
      <t>其他衍生性商品</t>
    </r>
    <phoneticPr fontId="9" type="noConversion"/>
  </si>
  <si>
    <r>
      <rPr>
        <sz val="11"/>
        <rFont val="標楷體"/>
        <family val="4"/>
        <charset val="136"/>
      </rPr>
      <t>列號</t>
    </r>
  </si>
  <si>
    <r>
      <rPr>
        <sz val="11"/>
        <rFont val="標楷體"/>
        <family val="4"/>
        <charset val="136"/>
      </rPr>
      <t>交易目的</t>
    </r>
    <phoneticPr fontId="9" type="noConversion"/>
  </si>
  <si>
    <r>
      <rPr>
        <sz val="11"/>
        <rFont val="標楷體"/>
        <family val="4"/>
        <charset val="136"/>
      </rPr>
      <t>類型</t>
    </r>
    <phoneticPr fontId="9" type="noConversion"/>
  </si>
  <si>
    <r>
      <rPr>
        <sz val="11"/>
        <rFont val="標楷體"/>
        <family val="4"/>
        <charset val="136"/>
      </rPr>
      <t>交易對手</t>
    </r>
  </si>
  <si>
    <r>
      <rPr>
        <sz val="11"/>
        <rFont val="標楷體"/>
        <family val="4"/>
        <charset val="136"/>
      </rPr>
      <t>衍生性商品名稱</t>
    </r>
    <phoneticPr fontId="9" type="noConversion"/>
  </si>
  <si>
    <r>
      <rPr>
        <sz val="11"/>
        <rFont val="標楷體"/>
        <family val="4"/>
        <charset val="136"/>
      </rPr>
      <t>交易日期</t>
    </r>
  </si>
  <si>
    <r>
      <rPr>
        <sz val="11"/>
        <rFont val="標楷體"/>
        <family val="4"/>
        <charset val="136"/>
      </rPr>
      <t>到期日</t>
    </r>
    <phoneticPr fontId="9" type="noConversion"/>
  </si>
  <si>
    <r>
      <rPr>
        <sz val="11"/>
        <rFont val="標楷體"/>
        <family val="4"/>
        <charset val="136"/>
      </rPr>
      <t>契約數</t>
    </r>
    <phoneticPr fontId="9" type="noConversion"/>
  </si>
  <si>
    <r>
      <rPr>
        <sz val="10"/>
        <rFont val="標楷體"/>
        <family val="4"/>
        <charset val="136"/>
      </rPr>
      <t>契約名目部位金額</t>
    </r>
    <phoneticPr fontId="9" type="noConversion"/>
  </si>
  <si>
    <r>
      <rPr>
        <sz val="10"/>
        <rFont val="標楷體"/>
        <family val="4"/>
        <charset val="136"/>
      </rPr>
      <t>最近收盤日衍生性商品契約市價總金額</t>
    </r>
    <phoneticPr fontId="9" type="noConversion"/>
  </si>
  <si>
    <r>
      <rPr>
        <sz val="11"/>
        <rFont val="標楷體"/>
        <family val="4"/>
        <charset val="136"/>
      </rPr>
      <t>未實現損益</t>
    </r>
    <phoneticPr fontId="9" type="noConversion"/>
  </si>
  <si>
    <r>
      <rPr>
        <sz val="11"/>
        <rFont val="標楷體"/>
        <family val="4"/>
        <charset val="136"/>
      </rPr>
      <t>衍生性商品
標的物</t>
    </r>
    <phoneticPr fontId="9" type="noConversion"/>
  </si>
  <si>
    <r>
      <rPr>
        <sz val="11"/>
        <rFont val="標楷體"/>
        <family val="4"/>
        <charset val="136"/>
      </rPr>
      <t>衍生性商品標的物</t>
    </r>
    <r>
      <rPr>
        <sz val="11"/>
        <rFont val="Book Antiqua"/>
        <family val="1"/>
      </rPr>
      <t>(</t>
    </r>
    <r>
      <rPr>
        <sz val="11"/>
        <rFont val="標楷體"/>
        <family val="4"/>
        <charset val="136"/>
      </rPr>
      <t>淨</t>
    </r>
    <r>
      <rPr>
        <sz val="11"/>
        <rFont val="Book Antiqua"/>
        <family val="1"/>
      </rPr>
      <t>)</t>
    </r>
    <r>
      <rPr>
        <sz val="11"/>
        <rFont val="標楷體"/>
        <family val="4"/>
        <charset val="136"/>
      </rPr>
      <t>市價總值</t>
    </r>
    <phoneticPr fontId="9" type="noConversion"/>
  </si>
  <si>
    <r>
      <rPr>
        <sz val="11"/>
        <rFont val="標楷體"/>
        <family val="4"/>
        <charset val="136"/>
      </rPr>
      <t>被避險資產名稱</t>
    </r>
    <phoneticPr fontId="9" type="noConversion"/>
  </si>
  <si>
    <r>
      <rPr>
        <sz val="11"/>
        <rFont val="標楷體"/>
        <family val="4"/>
        <charset val="136"/>
      </rPr>
      <t>最後持有資產幣別</t>
    </r>
    <phoneticPr fontId="9" type="noConversion"/>
  </si>
  <si>
    <r>
      <rPr>
        <sz val="11"/>
        <rFont val="標楷體"/>
        <family val="4"/>
        <charset val="136"/>
      </rPr>
      <t>保管情形</t>
    </r>
  </si>
  <si>
    <r>
      <rPr>
        <sz val="11"/>
        <rFont val="標楷體"/>
        <family val="4"/>
        <charset val="136"/>
      </rPr>
      <t>備註</t>
    </r>
  </si>
  <si>
    <r>
      <rPr>
        <sz val="11"/>
        <rFont val="標楷體"/>
        <family val="4"/>
        <charset val="136"/>
      </rPr>
      <t>代號</t>
    </r>
  </si>
  <si>
    <r>
      <rPr>
        <sz val="11"/>
        <rFont val="標楷體"/>
        <family val="4"/>
        <charset val="136"/>
      </rPr>
      <t>名稱</t>
    </r>
  </si>
  <si>
    <r>
      <rPr>
        <sz val="11"/>
        <rFont val="標楷體"/>
        <family val="4"/>
        <charset val="136"/>
      </rPr>
      <t>信用評等機構</t>
    </r>
  </si>
  <si>
    <r>
      <rPr>
        <sz val="11"/>
        <rFont val="標楷體"/>
        <family val="4"/>
        <charset val="136"/>
      </rPr>
      <t>評等等級</t>
    </r>
  </si>
  <si>
    <r>
      <rPr>
        <sz val="11"/>
        <rFont val="標楷體"/>
        <family val="4"/>
        <charset val="136"/>
      </rPr>
      <t>是否為關係人</t>
    </r>
  </si>
  <si>
    <r>
      <rPr>
        <sz val="11"/>
        <rFont val="標楷體"/>
        <family val="4"/>
        <charset val="136"/>
      </rPr>
      <t>以避險為目的</t>
    </r>
    <phoneticPr fontId="9" type="noConversion"/>
  </si>
  <si>
    <r>
      <rPr>
        <sz val="11"/>
        <rFont val="標楷體"/>
        <family val="4"/>
        <charset val="136"/>
      </rPr>
      <t>匯率相關</t>
    </r>
    <r>
      <rPr>
        <sz val="11"/>
        <rFont val="Book Antiqua"/>
        <family val="1"/>
      </rPr>
      <t>(</t>
    </r>
    <r>
      <rPr>
        <sz val="11"/>
        <rFont val="標楷體"/>
        <family val="4"/>
        <charset val="136"/>
      </rPr>
      <t>標準避險</t>
    </r>
    <r>
      <rPr>
        <sz val="11"/>
        <rFont val="Book Antiqua"/>
        <family val="1"/>
      </rPr>
      <t>)</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</si>
  <si>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</si>
  <si>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2"/>
        <rFont val="標楷體"/>
        <family val="4"/>
        <charset val="136"/>
      </rPr>
      <t>小計</t>
    </r>
    <phoneticPr fontId="9"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</si>
  <si>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9" type="noConversion"/>
  </si>
  <si>
    <r>
      <rPr>
        <sz val="12"/>
        <rFont val="標楷體"/>
        <family val="4"/>
        <charset val="136"/>
      </rPr>
      <t>匯率相關</t>
    </r>
    <r>
      <rPr>
        <sz val="12"/>
        <rFont val="Book Antiqua"/>
        <family val="1"/>
      </rPr>
      <t>(</t>
    </r>
    <r>
      <rPr>
        <sz val="12"/>
        <rFont val="標楷體"/>
        <family val="4"/>
        <charset val="136"/>
      </rPr>
      <t>非標準避險</t>
    </r>
    <r>
      <rPr>
        <sz val="12"/>
        <rFont val="Book Antiqua"/>
        <family val="1"/>
      </rPr>
      <t>)</t>
    </r>
    <phoneticPr fontId="9"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</si>
  <si>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9"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</si>
  <si>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9" type="noConversion"/>
  </si>
  <si>
    <r>
      <rPr>
        <sz val="11"/>
        <rFont val="標楷體"/>
        <family val="4"/>
        <charset val="136"/>
      </rPr>
      <t>權益證券相關</t>
    </r>
    <phoneticPr fontId="9" type="noConversion"/>
  </si>
  <si>
    <r>
      <rPr>
        <sz val="11"/>
        <rFont val="標楷體"/>
        <family val="4"/>
        <charset val="136"/>
      </rPr>
      <t>被避險資產屬國內投資</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</si>
  <si>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</si>
  <si>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1"/>
        <rFont val="標楷體"/>
        <family val="4"/>
        <charset val="136"/>
      </rPr>
      <t>其他標的</t>
    </r>
    <phoneticPr fontId="9" type="noConversion"/>
  </si>
  <si>
    <r>
      <rPr>
        <sz val="11"/>
        <rFont val="標楷體"/>
        <family val="4"/>
        <charset val="136"/>
      </rPr>
      <t>被避險資產屬國內投資</t>
    </r>
  </si>
  <si>
    <r>
      <rPr>
        <sz val="11"/>
        <rFont val="標楷體"/>
        <family val="4"/>
        <charset val="136"/>
      </rPr>
      <t>以避險為目的小計</t>
    </r>
    <phoneticPr fontId="9" type="noConversion"/>
  </si>
  <si>
    <r>
      <rPr>
        <sz val="11"/>
        <rFont val="標楷體"/>
        <family val="4"/>
        <charset val="136"/>
      </rPr>
      <t>以增加收益為目的</t>
    </r>
    <r>
      <rPr>
        <sz val="11"/>
        <rFont val="Book Antiqua"/>
        <family val="1"/>
      </rPr>
      <t>--</t>
    </r>
    <r>
      <rPr>
        <sz val="11"/>
        <rFont val="標楷體"/>
        <family val="4"/>
        <charset val="136"/>
      </rPr>
      <t>買入衍生性商品</t>
    </r>
    <phoneticPr fontId="9" type="noConversion"/>
  </si>
  <si>
    <r>
      <rPr>
        <sz val="11"/>
        <rFont val="標楷體"/>
        <family val="4"/>
        <charset val="136"/>
      </rPr>
      <t>匯率相關</t>
    </r>
    <phoneticPr fontId="9"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</si>
  <si>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9"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</si>
  <si>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9" type="noConversion"/>
  </si>
  <si>
    <r>
      <rPr>
        <sz val="11"/>
        <rFont val="標楷體"/>
        <family val="4"/>
        <charset val="136"/>
      </rPr>
      <t>衍生性商品標的屬國內投資</t>
    </r>
    <phoneticPr fontId="9" type="noConversion"/>
  </si>
  <si>
    <r>
      <rPr>
        <sz val="11"/>
        <rFont val="標楷體"/>
        <family val="4"/>
        <charset val="136"/>
      </rPr>
      <t>小計</t>
    </r>
    <phoneticPr fontId="9" type="noConversion"/>
  </si>
  <si>
    <r>
      <rPr>
        <sz val="11"/>
        <rFont val="標楷體"/>
        <family val="4"/>
        <charset val="136"/>
      </rPr>
      <t>衍生性商品標的國內投資</t>
    </r>
    <phoneticPr fontId="9" type="noConversion"/>
  </si>
  <si>
    <r>
      <rPr>
        <sz val="11"/>
        <rFont val="標楷體"/>
        <family val="4"/>
        <charset val="136"/>
      </rPr>
      <t>以增加收益為目的</t>
    </r>
    <r>
      <rPr>
        <sz val="11"/>
        <rFont val="Book Antiqua"/>
        <family val="1"/>
      </rPr>
      <t>--</t>
    </r>
    <r>
      <rPr>
        <sz val="11"/>
        <rFont val="標楷體"/>
        <family val="4"/>
        <charset val="136"/>
      </rPr>
      <t>買入小計</t>
    </r>
    <phoneticPr fontId="9" type="noConversion"/>
  </si>
  <si>
    <r>
      <rPr>
        <sz val="11"/>
        <rFont val="標楷體"/>
        <family val="4"/>
        <charset val="136"/>
      </rPr>
      <t>以增加收益為目的</t>
    </r>
    <r>
      <rPr>
        <sz val="11"/>
        <rFont val="Book Antiqua"/>
        <family val="1"/>
      </rPr>
      <t>--</t>
    </r>
    <r>
      <rPr>
        <sz val="11"/>
        <rFont val="標楷體"/>
        <family val="4"/>
        <charset val="136"/>
      </rPr>
      <t>賣出衍生性商品</t>
    </r>
    <phoneticPr fontId="9" type="noConversion"/>
  </si>
  <si>
    <r>
      <rPr>
        <sz val="11"/>
        <rFont val="標楷體"/>
        <family val="4"/>
        <charset val="136"/>
      </rPr>
      <t>以增加收益為目的</t>
    </r>
    <r>
      <rPr>
        <sz val="11"/>
        <rFont val="Book Antiqua"/>
        <family val="1"/>
      </rPr>
      <t>--</t>
    </r>
    <r>
      <rPr>
        <sz val="11"/>
        <rFont val="標楷體"/>
        <family val="4"/>
        <charset val="136"/>
      </rPr>
      <t>賣出小計</t>
    </r>
    <phoneticPr fontId="9" type="noConversion"/>
  </si>
  <si>
    <r>
      <rPr>
        <sz val="11"/>
        <rFont val="標楷體"/>
        <family val="4"/>
        <charset val="136"/>
      </rPr>
      <t>合計</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</si>
  <si>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</si>
  <si>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本表所稱與權益證券相關之衍生性金融商品係包括以個別權益證券及股價指數為標的之衍生性金融商品</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</si>
  <si>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</si>
  <si>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7"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</si>
  <si>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9" type="noConversion"/>
  </si>
  <si>
    <r>
      <rPr>
        <sz val="11"/>
        <rFont val="標楷體"/>
        <family val="4"/>
        <charset val="136"/>
      </rPr>
      <t>表</t>
    </r>
    <r>
      <rPr>
        <sz val="11"/>
        <rFont val="Book Antiqua"/>
        <family val="1"/>
      </rPr>
      <t>16-1-4</t>
    </r>
    <r>
      <rPr>
        <sz val="11"/>
        <rFont val="標楷體"/>
        <family val="4"/>
        <charset val="136"/>
      </rPr>
      <t>：衍生性商品餘額明細表</t>
    </r>
    <r>
      <rPr>
        <sz val="11"/>
        <rFont val="Book Antiqua"/>
        <family val="1"/>
      </rPr>
      <t>--</t>
    </r>
    <r>
      <rPr>
        <sz val="11"/>
        <rFont val="標楷體"/>
        <family val="4"/>
        <charset val="136"/>
      </rPr>
      <t>賣出選擇權</t>
    </r>
    <r>
      <rPr>
        <sz val="11"/>
        <rFont val="Book Antiqua"/>
        <family val="1"/>
      </rPr>
      <t>(</t>
    </r>
    <r>
      <rPr>
        <sz val="11"/>
        <rFont val="標楷體"/>
        <family val="4"/>
        <charset val="136"/>
      </rPr>
      <t>含認購《售》權證</t>
    </r>
    <r>
      <rPr>
        <sz val="11"/>
        <rFont val="Book Antiqua"/>
        <family val="1"/>
      </rPr>
      <t>)</t>
    </r>
    <phoneticPr fontId="9" type="noConversion"/>
  </si>
  <si>
    <r>
      <rPr>
        <sz val="12"/>
        <rFont val="標楷體"/>
        <family val="4"/>
        <charset val="136"/>
      </rPr>
      <t>契約數</t>
    </r>
    <phoneticPr fontId="9" type="noConversion"/>
  </si>
  <si>
    <r>
      <rPr>
        <sz val="10"/>
        <rFont val="標楷體"/>
        <family val="4"/>
        <charset val="136"/>
      </rPr>
      <t>選擇權最近收盤日市價總金額</t>
    </r>
    <phoneticPr fontId="9" type="noConversion"/>
  </si>
  <si>
    <r>
      <rPr>
        <sz val="11"/>
        <rFont val="標楷體"/>
        <family val="4"/>
        <charset val="136"/>
      </rPr>
      <t>選擇權未實現損益</t>
    </r>
    <phoneticPr fontId="9" type="noConversion"/>
  </si>
  <si>
    <r>
      <rPr>
        <sz val="10"/>
        <rFont val="標楷體"/>
        <family val="4"/>
        <charset val="136"/>
      </rPr>
      <t>選擇權標的物</t>
    </r>
    <phoneticPr fontId="9"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</si>
  <si>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</si>
  <si>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</si>
  <si>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選擇權價內</t>
    </r>
    <r>
      <rPr>
        <sz val="12"/>
        <rFont val="Book Antiqua"/>
        <family val="1"/>
      </rPr>
      <t>/</t>
    </r>
    <r>
      <rPr>
        <sz val="12"/>
        <rFont val="標楷體"/>
        <family val="4"/>
        <charset val="136"/>
      </rPr>
      <t>價外值</t>
    </r>
    <r>
      <rPr>
        <sz val="12"/>
        <rFont val="Book Antiqua"/>
        <family val="1"/>
      </rPr>
      <t>(18)</t>
    </r>
    <phoneticPr fontId="9" type="noConversion"/>
  </si>
  <si>
    <r>
      <rPr>
        <sz val="12"/>
        <rFont val="標楷體"/>
        <family val="4"/>
        <charset val="136"/>
      </rPr>
      <t>選擇權價內</t>
    </r>
    <r>
      <rPr>
        <sz val="12"/>
        <rFont val="Book Antiqua"/>
        <family val="1"/>
      </rPr>
      <t>/</t>
    </r>
    <r>
      <rPr>
        <sz val="12"/>
        <rFont val="標楷體"/>
        <family val="4"/>
        <charset val="136"/>
      </rPr>
      <t>價外總價值</t>
    </r>
    <r>
      <rPr>
        <sz val="12"/>
        <rFont val="Book Antiqua"/>
        <family val="1"/>
      </rPr>
      <t>(19)</t>
    </r>
    <phoneticPr fontId="9" type="noConversion"/>
  </si>
  <si>
    <r>
      <rPr>
        <sz val="11"/>
        <rFont val="標楷體"/>
        <family val="4"/>
        <charset val="136"/>
      </rPr>
      <t>選擇權名稱</t>
    </r>
    <phoneticPr fontId="9" type="noConversion"/>
  </si>
  <si>
    <r>
      <rPr>
        <sz val="11"/>
        <rFont val="標楷體"/>
        <family val="4"/>
        <charset val="136"/>
      </rPr>
      <t>價內值</t>
    </r>
    <phoneticPr fontId="9" type="noConversion"/>
  </si>
  <si>
    <r>
      <rPr>
        <sz val="11"/>
        <rFont val="標楷體"/>
        <family val="4"/>
        <charset val="136"/>
      </rPr>
      <t>價外值</t>
    </r>
    <phoneticPr fontId="9" type="noConversion"/>
  </si>
  <si>
    <r>
      <rPr>
        <sz val="11"/>
        <rFont val="標楷體"/>
        <family val="4"/>
        <charset val="136"/>
      </rPr>
      <t>以增加收益為目的</t>
    </r>
    <phoneticPr fontId="9" type="noConversion"/>
  </si>
  <si>
    <r>
      <rPr>
        <sz val="11"/>
        <rFont val="標楷體"/>
        <family val="4"/>
        <charset val="136"/>
      </rPr>
      <t>以增加收益為目的小計</t>
    </r>
    <phoneticPr fontId="9" type="noConversion"/>
  </si>
  <si>
    <r>
      <rPr>
        <sz val="12"/>
        <rFont val="標楷體"/>
        <family val="4"/>
        <charset val="136"/>
      </rPr>
      <t>註</t>
    </r>
    <r>
      <rPr>
        <sz val="12"/>
        <rFont val="Book Antiqua"/>
        <family val="1"/>
      </rPr>
      <t>:</t>
    </r>
    <phoneticPr fontId="9" type="noConversion"/>
  </si>
  <si>
    <r>
      <rPr>
        <sz val="11"/>
        <rFont val="標楷體"/>
        <family val="4"/>
        <charset val="136"/>
      </rPr>
      <t>本表所稱以避險為目的之選擇權係指符合保險業從事衍生性金融商品交易應注意事項中第三點中以避險為目的之條件者。</t>
    </r>
    <phoneticPr fontId="9" type="noConversion"/>
  </si>
  <si>
    <r>
      <rPr>
        <sz val="11"/>
        <rFont val="標楷體"/>
        <family val="4"/>
        <charset val="136"/>
      </rPr>
      <t>本表所稱與權益證券相關之選擇權係包括以個別權益證券及股價指數為標的之選擇權商品</t>
    </r>
    <phoneticPr fontId="9"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</si>
  <si>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9" type="noConversion"/>
  </si>
  <si>
    <r>
      <rPr>
        <sz val="11"/>
        <rFont val="標楷體"/>
        <family val="4"/>
        <charset val="136"/>
      </rPr>
      <t>表</t>
    </r>
    <r>
      <rPr>
        <sz val="11"/>
        <rFont val="Book Antiqua"/>
        <family val="1"/>
      </rPr>
      <t>16-1-3</t>
    </r>
    <r>
      <rPr>
        <sz val="11"/>
        <rFont val="標楷體"/>
        <family val="4"/>
        <charset val="136"/>
      </rPr>
      <t>：衍生性商品餘額明細表</t>
    </r>
    <r>
      <rPr>
        <sz val="11"/>
        <rFont val="Book Antiqua"/>
        <family val="1"/>
      </rPr>
      <t>--</t>
    </r>
    <r>
      <rPr>
        <sz val="11"/>
        <rFont val="標楷體"/>
        <family val="4"/>
        <charset val="136"/>
      </rPr>
      <t>買入選擇權</t>
    </r>
    <r>
      <rPr>
        <sz val="11"/>
        <rFont val="Book Antiqua"/>
        <family val="1"/>
      </rPr>
      <t>(</t>
    </r>
    <r>
      <rPr>
        <sz val="11"/>
        <rFont val="標楷體"/>
        <family val="4"/>
        <charset val="136"/>
      </rPr>
      <t>含認購《售》權證</t>
    </r>
    <r>
      <rPr>
        <sz val="11"/>
        <rFont val="Book Antiqua"/>
        <family val="1"/>
      </rPr>
      <t>)</t>
    </r>
    <phoneticPr fontId="9"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</si>
  <si>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</si>
  <si>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</si>
  <si>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9"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</si>
  <si>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9"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</si>
  <si>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9" type="noConversion"/>
  </si>
  <si>
    <r>
      <rPr>
        <sz val="11"/>
        <rFont val="標楷體"/>
        <family val="4"/>
        <charset val="136"/>
      </rPr>
      <t>臺指賣權</t>
    </r>
    <phoneticPr fontId="9" type="noConversion"/>
  </si>
  <si>
    <r>
      <rPr>
        <sz val="10"/>
        <rFont val="標楷體"/>
        <family val="4"/>
        <charset val="136"/>
      </rPr>
      <t>發行量加權股價指數</t>
    </r>
    <phoneticPr fontId="9" type="noConversion"/>
  </si>
  <si>
    <r>
      <rPr>
        <sz val="10"/>
        <rFont val="標楷體"/>
        <family val="4"/>
        <charset val="136"/>
      </rPr>
      <t>證券組合</t>
    </r>
    <phoneticPr fontId="9" type="noConversion"/>
  </si>
  <si>
    <r>
      <rPr>
        <sz val="11"/>
        <rFont val="標楷體"/>
        <family val="4"/>
        <charset val="136"/>
      </rPr>
      <t>臺指賣權</t>
    </r>
  </si>
  <si>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9"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</si>
  <si>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9" type="noConversion"/>
  </si>
  <si>
    <r>
      <rPr>
        <sz val="11"/>
        <rFont val="標楷體"/>
        <family val="4"/>
        <charset val="136"/>
      </rPr>
      <t>本表所稱以避險為目的之選擇權係指符合「保險業從事衍生性金融商品交易管理辦法」第</t>
    </r>
    <r>
      <rPr>
        <sz val="11"/>
        <rFont val="Book Antiqua"/>
        <family val="1"/>
      </rPr>
      <t>3</t>
    </r>
    <r>
      <rPr>
        <sz val="11"/>
        <rFont val="標楷體"/>
        <family val="4"/>
        <charset val="136"/>
      </rPr>
      <t>條中以避險為目的之條件者。</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</si>
  <si>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9" type="noConversion"/>
  </si>
  <si>
    <r>
      <rPr>
        <sz val="10"/>
        <rFont val="標楷體"/>
        <family val="4"/>
        <charset val="136"/>
      </rPr>
      <t>保險業利用衍生性金融商品進行國內股票避險，於評價日符合下列條件：</t>
    </r>
    <phoneticPr fontId="9" type="noConversion"/>
  </si>
  <si>
    <r>
      <t>(1)</t>
    </r>
    <r>
      <rPr>
        <sz val="10"/>
        <rFont val="標楷體"/>
        <family val="4"/>
        <charset val="136"/>
      </rPr>
      <t>被避險之國內股票資產須符合</t>
    </r>
    <r>
      <rPr>
        <sz val="10"/>
        <rFont val="Book Antiqua"/>
        <family val="1"/>
      </rPr>
      <t>0.9</t>
    </r>
    <r>
      <rPr>
        <sz val="10"/>
        <rFont val="新細明體"/>
        <family val="1"/>
        <charset val="136"/>
      </rPr>
      <t>≦β</t>
    </r>
    <r>
      <rPr>
        <sz val="10"/>
        <rFont val="Book Antiqua"/>
        <family val="1"/>
      </rPr>
      <t>(Beta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9"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</si>
  <si>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</si>
  <si>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7" type="noConversion"/>
  </si>
  <si>
    <r>
      <rPr>
        <sz val="10"/>
        <rFont val="標楷體"/>
        <family val="4"/>
        <charset val="136"/>
      </rPr>
      <t>其他填報應注意事項請併參填報說明。</t>
    </r>
    <phoneticPr fontId="9"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</si>
  <si>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9" type="noConversion"/>
  </si>
  <si>
    <r>
      <rPr>
        <sz val="11"/>
        <rFont val="標楷體"/>
        <family val="4"/>
        <charset val="136"/>
      </rPr>
      <t>表</t>
    </r>
    <r>
      <rPr>
        <sz val="11"/>
        <rFont val="Book Antiqua"/>
        <family val="1"/>
      </rPr>
      <t>16-1-2</t>
    </r>
    <r>
      <rPr>
        <sz val="11"/>
        <rFont val="標楷體"/>
        <family val="4"/>
        <charset val="136"/>
      </rPr>
      <t>：衍生性商品餘額明細表</t>
    </r>
    <r>
      <rPr>
        <sz val="11"/>
        <rFont val="Book Antiqua"/>
        <family val="1"/>
      </rPr>
      <t>--</t>
    </r>
    <r>
      <rPr>
        <sz val="11"/>
        <rFont val="標楷體"/>
        <family val="4"/>
        <charset val="136"/>
      </rPr>
      <t>交換</t>
    </r>
    <phoneticPr fontId="9" type="noConversion"/>
  </si>
  <si>
    <r>
      <rPr>
        <sz val="11"/>
        <rFont val="標楷體"/>
        <family val="4"/>
        <charset val="136"/>
      </rPr>
      <t>未實現損益</t>
    </r>
  </si>
  <si>
    <r>
      <rPr>
        <sz val="11"/>
        <rFont val="標楷體"/>
        <family val="4"/>
        <charset val="136"/>
      </rPr>
      <t>衍生性商品
標的物</t>
    </r>
    <r>
      <rPr>
        <sz val="11"/>
        <rFont val="Book Antiqua"/>
        <family val="1"/>
      </rPr>
      <t>(13)</t>
    </r>
    <phoneticPr fontId="9" type="noConversion"/>
  </si>
  <si>
    <r>
      <rPr>
        <sz val="11"/>
        <rFont val="標楷體"/>
        <family val="4"/>
        <charset val="136"/>
      </rPr>
      <t>標的物資產計價幣別</t>
    </r>
    <r>
      <rPr>
        <sz val="11"/>
        <rFont val="Book Antiqua"/>
        <family val="1"/>
      </rPr>
      <t>(14)</t>
    </r>
    <phoneticPr fontId="9"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</si>
  <si>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9" type="noConversion"/>
  </si>
  <si>
    <r>
      <rPr>
        <sz val="11"/>
        <rFont val="標楷體"/>
        <family val="4"/>
        <charset val="136"/>
      </rPr>
      <t>換入</t>
    </r>
    <phoneticPr fontId="9" type="noConversion"/>
  </si>
  <si>
    <r>
      <rPr>
        <sz val="11"/>
        <rFont val="標楷體"/>
        <family val="4"/>
        <charset val="136"/>
      </rPr>
      <t>換出</t>
    </r>
    <phoneticPr fontId="9" type="noConversion"/>
  </si>
  <si>
    <r>
      <rPr>
        <sz val="11"/>
        <rFont val="標楷體"/>
        <family val="4"/>
        <charset val="136"/>
      </rPr>
      <t>換入標的屬國內投資</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</si>
  <si>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</si>
  <si>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本表所稱與權益證券相關之交換契約係包括以個別權益證券及股價指數為標的之交換契約</t>
    </r>
    <phoneticPr fontId="9" type="noConversion"/>
  </si>
  <si>
    <r>
      <rPr>
        <sz val="11"/>
        <rFont val="標楷體"/>
        <family val="4"/>
        <charset val="136"/>
      </rPr>
      <t>本表所稱與匯率相關之交換契約係包括換匯以及換匯換利</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</si>
  <si>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</si>
  <si>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7" type="noConversion"/>
  </si>
  <si>
    <r>
      <rPr>
        <sz val="11"/>
        <rFont val="標楷體"/>
        <family val="4"/>
        <charset val="136"/>
      </rPr>
      <t>表</t>
    </r>
    <r>
      <rPr>
        <sz val="11"/>
        <rFont val="Book Antiqua"/>
        <family val="1"/>
      </rPr>
      <t>16-1-1</t>
    </r>
    <r>
      <rPr>
        <sz val="11"/>
        <rFont val="標楷體"/>
        <family val="4"/>
        <charset val="136"/>
      </rPr>
      <t>：衍生性商品餘額明細表</t>
    </r>
    <r>
      <rPr>
        <sz val="11"/>
        <rFont val="Book Antiqua"/>
        <family val="1"/>
      </rPr>
      <t>--</t>
    </r>
    <r>
      <rPr>
        <sz val="11"/>
        <rFont val="標楷體"/>
        <family val="4"/>
        <charset val="136"/>
      </rPr>
      <t>期貨與遠期契約</t>
    </r>
    <phoneticPr fontId="9" type="noConversion"/>
  </si>
  <si>
    <r>
      <rPr>
        <sz val="10"/>
        <rFont val="標楷體"/>
        <family val="4"/>
        <charset val="136"/>
      </rPr>
      <t>臺股期貨</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</si>
  <si>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9" type="noConversion"/>
  </si>
  <si>
    <t>投資性不動產之後續衡量採公允價值模式者，以第(20)欄「後續衡量採用公允價值模式之影響淨額」作為計算第(34)欄「調整後不動產稅後增值或稅後減少之金額」之依據，無需填列第(29)欄到(33)欄</t>
    <phoneticPr fontId="7" type="noConversion"/>
  </si>
  <si>
    <t>證券種類小計</t>
    <phoneticPr fontId="9" type="noConversion"/>
  </si>
  <si>
    <r>
      <rPr>
        <sz val="12"/>
        <rFont val="標楷體"/>
        <family val="4"/>
        <charset val="136"/>
      </rPr>
      <t>其他</t>
    </r>
  </si>
  <si>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</si>
  <si>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</si>
  <si>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</si>
  <si>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</si>
  <si>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</si>
  <si>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</si>
  <si>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</si>
  <si>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</si>
  <si>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</si>
  <si>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</si>
  <si>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</si>
  <si>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</si>
  <si>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</si>
  <si>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</si>
  <si>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</si>
  <si>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</si>
  <si>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</si>
  <si>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</si>
  <si>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</si>
  <si>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</si>
  <si>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</si>
  <si>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</si>
  <si>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</si>
  <si>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</si>
  <si>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</si>
  <si>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</si>
  <si>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</si>
  <si>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</si>
  <si>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</si>
  <si>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</si>
  <si>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</si>
  <si>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</si>
  <si>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</si>
  <si>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</si>
  <si>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</si>
  <si>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</si>
  <si>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</si>
  <si>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</si>
  <si>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</si>
  <si>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</si>
  <si>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</si>
  <si>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</si>
  <si>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</si>
  <si>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</si>
  <si>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</si>
  <si>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</si>
  <si>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</si>
  <si>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</si>
  <si>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</si>
  <si>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</si>
  <si>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</si>
  <si>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</si>
  <si>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</si>
  <si>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t>特別股持股比率為持有該發行公司特別股股數/發行公司已發行股份總數計算之比率；所稱特別股已發行股份總數包含普通股與特別股。</t>
    <phoneticPr fontId="7" type="noConversion"/>
  </si>
  <si>
    <t>取得國家發展委員會資格函之國內私募股權基金</t>
  </si>
  <si>
    <t>15-4</t>
  </si>
  <si>
    <t>本報告各項資產之金額應依「保險業計算資本適足率之資產認許標準及評價原則」計算。</t>
    <phoneticPr fontId="9" type="noConversion"/>
  </si>
  <si>
    <t>針對存款於關係人之機構或投資關係人之受益憑證者，若該機構已經信用評等機構評定達一定程度以上者，公司可提供該項信評資料，以作為係數上扣減之憑據；</t>
    <phoneticPr fontId="9" type="noConversion"/>
  </si>
  <si>
    <t>子公司或參股投資之大陸地區保險業應填列於「國外保險相關事業」相關欄位。</t>
    <phoneticPr fontId="9" type="noConversion"/>
  </si>
  <si>
    <t>國內發行其投資區域包含國外之資產，該資產應計入匯率風險金額中計算匯率風險資本。</t>
    <phoneticPr fontId="9" type="noConversion"/>
  </si>
  <si>
    <t>設立之國內私募股權基金、或取得國家發展委員會資格函之國內私募股權基金，並投資於公共投資及金管保財字第10610908021號令第一點及金管保財字第11004365981號令第一點各款所列事項。</t>
    <phoneticPr fontId="9" type="noConversion"/>
  </si>
  <si>
    <t>已開發國家及新興市場所發行之公債，其等級係依照其國家主權評等與債券評等等級取較低者為準，並按評等等級所對應之數值作為風險係數。</t>
    <phoneticPr fontId="9"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</si>
  <si>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9" type="noConversion"/>
  </si>
  <si>
    <r>
      <rPr>
        <b/>
        <sz val="10"/>
        <rFont val="標楷體"/>
        <family val="4"/>
        <charset val="136"/>
      </rPr>
      <t>金</t>
    </r>
    <r>
      <rPr>
        <b/>
        <sz val="10"/>
        <rFont val="Book Antiqua"/>
        <family val="1"/>
      </rPr>
      <t xml:space="preserve">     </t>
    </r>
    <r>
      <rPr>
        <b/>
        <sz val="10"/>
        <rFont val="標楷體"/>
        <family val="4"/>
        <charset val="136"/>
      </rPr>
      <t>額</t>
    </r>
    <phoneticPr fontId="9"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</si>
  <si>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
(</t>
    </r>
    <r>
      <rPr>
        <b/>
        <sz val="10"/>
        <rFont val="標楷體"/>
        <family val="4"/>
        <charset val="136"/>
      </rPr>
      <t>預定利率</t>
    </r>
    <r>
      <rPr>
        <b/>
        <sz val="10"/>
        <rFont val="Book Antiqua"/>
        <family val="1"/>
      </rPr>
      <t>)</t>
    </r>
    <phoneticPr fontId="9" type="noConversion"/>
  </si>
  <si>
    <r>
      <rPr>
        <b/>
        <sz val="10"/>
        <rFont val="標楷體"/>
        <family val="4"/>
        <charset val="136"/>
      </rPr>
      <t>公司投資
報酬率</t>
    </r>
    <phoneticPr fontId="9" type="noConversion"/>
  </si>
  <si>
    <r>
      <rPr>
        <b/>
        <sz val="10"/>
        <rFont val="標楷體"/>
        <family val="4"/>
        <charset val="136"/>
      </rPr>
      <t>風險資本額</t>
    </r>
    <phoneticPr fontId="9" type="noConversion"/>
  </si>
  <si>
    <r>
      <t xml:space="preserve"> 4.1 </t>
    </r>
    <r>
      <rPr>
        <sz val="10"/>
        <rFont val="標楷體"/>
        <family val="4"/>
        <charset val="136"/>
      </rPr>
      <t>長期住宅火險未滿期保費準備金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</si>
  <si>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9" type="noConversion"/>
  </si>
  <si>
    <r>
      <t xml:space="preserve"> 4.2 </t>
    </r>
    <r>
      <rPr>
        <sz val="10"/>
        <rFont val="標楷體"/>
        <family val="4"/>
        <charset val="136"/>
      </rPr>
      <t>長期商業火險未滿期保費準備金</t>
    </r>
    <phoneticPr fontId="9" type="noConversion"/>
  </si>
  <si>
    <r>
      <t xml:space="preserve"> 4.3 </t>
    </r>
    <r>
      <rPr>
        <sz val="10"/>
        <rFont val="標楷體"/>
        <family val="4"/>
        <charset val="136"/>
      </rPr>
      <t>還本型火險責任準備金</t>
    </r>
    <phoneticPr fontId="9" type="noConversion"/>
  </si>
  <si>
    <r>
      <t xml:space="preserve">4.3.1 </t>
    </r>
    <r>
      <rPr>
        <sz val="10"/>
        <rFont val="標楷體"/>
        <family val="4"/>
        <charset val="136"/>
      </rPr>
      <t>還本型長期住宅火險責任準備金</t>
    </r>
    <phoneticPr fontId="9" type="noConversion"/>
  </si>
  <si>
    <r>
      <t xml:space="preserve">4.3.2 </t>
    </r>
    <r>
      <rPr>
        <sz val="10"/>
        <rFont val="標楷體"/>
        <family val="4"/>
        <charset val="136"/>
      </rPr>
      <t>還本型長期商業火險責任準備金</t>
    </r>
    <phoneticPr fontId="9" type="noConversion"/>
  </si>
  <si>
    <r>
      <t xml:space="preserve"> 4.4 </t>
    </r>
    <r>
      <rPr>
        <sz val="10"/>
        <rFont val="標楷體"/>
        <family val="4"/>
        <charset val="136"/>
      </rPr>
      <t>還本型火險未滿期保費準備金</t>
    </r>
    <phoneticPr fontId="9" type="noConversion"/>
  </si>
  <si>
    <r>
      <t xml:space="preserve">4.4.1 </t>
    </r>
    <r>
      <rPr>
        <sz val="10"/>
        <rFont val="標楷體"/>
        <family val="4"/>
        <charset val="136"/>
      </rPr>
      <t>還本型長期住宅火險未滿期保費準備金</t>
    </r>
    <phoneticPr fontId="9" type="noConversion"/>
  </si>
  <si>
    <r>
      <t xml:space="preserve">4.4.2 </t>
    </r>
    <r>
      <rPr>
        <sz val="10"/>
        <rFont val="標楷體"/>
        <family val="4"/>
        <charset val="136"/>
      </rPr>
      <t>還本型長期商業火險未滿期保費準備金</t>
    </r>
    <phoneticPr fontId="9" type="noConversion"/>
  </si>
  <si>
    <r>
      <t xml:space="preserve"> 4.5 </t>
    </r>
    <r>
      <rPr>
        <sz val="10"/>
        <rFont val="標楷體"/>
        <family val="4"/>
        <charset val="136"/>
      </rPr>
      <t>長年期保險責任準備金</t>
    </r>
    <r>
      <rPr>
        <sz val="10"/>
        <rFont val="Book Antiqua"/>
        <family val="1"/>
      </rPr>
      <t>/</t>
    </r>
    <r>
      <rPr>
        <sz val="10"/>
        <rFont val="標楷體"/>
        <family val="4"/>
        <charset val="136"/>
      </rPr>
      <t>未滿期保費準備金</t>
    </r>
    <phoneticPr fontId="9" type="noConversion"/>
  </si>
  <si>
    <r>
      <t xml:space="preserve">4.5.1 </t>
    </r>
    <r>
      <rPr>
        <sz val="10"/>
        <rFont val="標楷體"/>
        <family val="4"/>
        <charset val="136"/>
      </rPr>
      <t>長年期傷害保險責任準備金</t>
    </r>
    <r>
      <rPr>
        <sz val="10"/>
        <rFont val="Book Antiqua"/>
        <family val="1"/>
      </rPr>
      <t>/</t>
    </r>
    <r>
      <rPr>
        <sz val="10"/>
        <rFont val="標楷體"/>
        <family val="4"/>
        <charset val="136"/>
      </rPr>
      <t>未滿期保費準備金</t>
    </r>
    <phoneticPr fontId="9" type="noConversion"/>
  </si>
  <si>
    <r>
      <t xml:space="preserve">4.5.2 </t>
    </r>
    <r>
      <rPr>
        <sz val="10"/>
        <rFont val="標楷體"/>
        <family val="4"/>
        <charset val="136"/>
      </rPr>
      <t>長年期健康保險責任準備金</t>
    </r>
    <r>
      <rPr>
        <sz val="10"/>
        <rFont val="Book Antiqua"/>
        <family val="1"/>
      </rPr>
      <t>/</t>
    </r>
    <r>
      <rPr>
        <sz val="10"/>
        <rFont val="標楷體"/>
        <family val="4"/>
        <charset val="136"/>
      </rPr>
      <t>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</si>
  <si>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r>
      <rPr>
        <sz val="10"/>
        <color indexed="60"/>
        <rFont val="標楷體"/>
        <family val="4"/>
        <charset val="136"/>
      </rPr>
      <t/>
    </r>
    <phoneticPr fontId="9" type="noConversion"/>
  </si>
  <si>
    <r>
      <rPr>
        <b/>
        <sz val="10"/>
        <rFont val="標楷體"/>
        <family val="4"/>
        <charset val="136"/>
      </rPr>
      <t>《資產負債配置風險》總計</t>
    </r>
    <phoneticPr fontId="9" type="noConversion"/>
  </si>
  <si>
    <r>
      <rPr>
        <sz val="10"/>
        <rFont val="標楷體"/>
        <family val="4"/>
        <charset val="136"/>
      </rPr>
      <t>註</t>
    </r>
    <r>
      <rPr>
        <sz val="10"/>
        <rFont val="Book Antiqua"/>
        <family val="1"/>
      </rPr>
      <t>2</t>
    </r>
    <r>
      <rPr>
        <sz val="10"/>
        <rFont val="標楷體"/>
        <family val="4"/>
        <charset val="136"/>
      </rPr>
      <t>：</t>
    </r>
    <r>
      <rPr>
        <sz val="10"/>
        <rFont val="Book Antiqua"/>
        <family val="1"/>
      </rPr>
      <t xml:space="preserve">4.5 </t>
    </r>
    <r>
      <rPr>
        <sz val="10"/>
        <rFont val="標楷體"/>
        <family val="4"/>
        <charset val="136"/>
      </rPr>
      <t>長年期保險之風險資本額計算方式為：責任準備金</t>
    </r>
    <r>
      <rPr>
        <sz val="10"/>
        <rFont val="Book Antiqua"/>
        <family val="1"/>
      </rPr>
      <t>/</t>
    </r>
    <r>
      <rPr>
        <sz val="10"/>
        <rFont val="標楷體"/>
        <family val="4"/>
        <charset val="136"/>
      </rPr>
      <t>未滿期保費準備金</t>
    </r>
    <r>
      <rPr>
        <sz val="10"/>
        <rFont val="Book Antiqua"/>
        <family val="1"/>
      </rPr>
      <t xml:space="preserve"> × Max[(</t>
    </r>
    <r>
      <rPr>
        <sz val="10"/>
        <rFont val="標楷體"/>
        <family val="4"/>
        <charset val="136"/>
      </rPr>
      <t>預定利率</t>
    </r>
    <r>
      <rPr>
        <sz val="10"/>
        <rFont val="Book Antiqua"/>
        <family val="1"/>
      </rPr>
      <t xml:space="preserve"> - </t>
    </r>
    <r>
      <rPr>
        <sz val="10"/>
        <rFont val="標楷體"/>
        <family val="4"/>
        <charset val="136"/>
      </rPr>
      <t>公司投資報酬率</t>
    </r>
    <r>
      <rPr>
        <sz val="10"/>
        <rFont val="Book Antiqua"/>
        <family val="1"/>
      </rPr>
      <t xml:space="preserve">),0] + 0.8 × </t>
    </r>
    <r>
      <rPr>
        <sz val="10"/>
        <rFont val="標楷體"/>
        <family val="4"/>
        <charset val="136"/>
      </rPr>
      <t>上年度底該項目的風險資本</t>
    </r>
    <phoneticPr fontId="9" type="noConversion"/>
  </si>
  <si>
    <t>強制微型電動二輪車責任保險</t>
    <phoneticPr fontId="9"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</si>
  <si>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</si>
  <si>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</si>
  <si>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</si>
  <si>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</si>
  <si>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</si>
  <si>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</si>
  <si>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</si>
  <si>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</si>
  <si>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</si>
  <si>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</si>
  <si>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</si>
  <si>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</si>
  <si>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</si>
  <si>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</si>
  <si>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</si>
  <si>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</si>
  <si>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</si>
  <si>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</si>
  <si>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</si>
  <si>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</si>
  <si>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</si>
  <si>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</si>
  <si>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</si>
  <si>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</si>
  <si>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</si>
  <si>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</si>
  <si>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</si>
  <si>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</si>
  <si>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</si>
  <si>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</si>
  <si>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</si>
  <si>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</si>
  <si>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</si>
  <si>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</si>
  <si>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</si>
  <si>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</si>
  <si>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</si>
  <si>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</si>
  <si>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</si>
  <si>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</si>
  <si>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</si>
  <si>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</si>
  <si>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</si>
  <si>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</si>
  <si>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</si>
  <si>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</si>
  <si>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</si>
  <si>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</si>
  <si>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</si>
  <si>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</si>
  <si>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</si>
  <si>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</si>
  <si>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</si>
  <si>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</si>
  <si>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</si>
  <si>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</si>
  <si>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</si>
  <si>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</si>
  <si>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</si>
  <si>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</si>
  <si>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</si>
  <si>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</si>
  <si>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</si>
  <si>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</si>
  <si>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</si>
  <si>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</si>
  <si>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</si>
  <si>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</si>
  <si>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</si>
  <si>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</si>
  <si>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</si>
  <si>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</si>
  <si>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</si>
  <si>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</si>
  <si>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</si>
  <si>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</si>
  <si>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</si>
  <si>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</si>
  <si>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indexed="8"/>
        <rFont val="標楷體"/>
        <family val="4"/>
        <charset val="136"/>
      </rPr>
      <t>單位：新台幣元</t>
    </r>
    <phoneticPr fontId="9"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</si>
  <si>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7"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</si>
  <si>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</si>
  <si>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</si>
  <si>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1</t>
    </r>
    <r>
      <rPr>
        <sz val="10"/>
        <color indexed="8"/>
        <rFont val="標楷體"/>
        <family val="4"/>
        <charset val="136"/>
      </rPr>
      <t>實際賠款不含未付不可分配理賠費用提存淨額。</t>
    </r>
    <phoneticPr fontId="9" type="noConversion"/>
  </si>
  <si>
    <t>強制自用汽車責任保險、強制商業汽車責任保險、強制機車責任保險、強制微型電動二輪車責任保險、核能保險與政策性地震險之特別準備金填報於表25-2，於本表無需填列。</t>
    <phoneticPr fontId="9" type="noConversion"/>
  </si>
  <si>
    <r>
      <t>欄(3)依保險業各種準備金提存辦法第9條第1項第1款規定辦理，並應依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</si>
  <si>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t>欄(9)、欄(13)及欄(15)應依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</si>
  <si>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rPr>
        <sz val="10"/>
        <color indexed="8"/>
        <rFont val="標楷體"/>
        <family val="4"/>
        <charset val="136"/>
      </rPr>
      <t>單位：新台幣元</t>
    </r>
    <r>
      <rPr>
        <sz val="10"/>
        <color indexed="8"/>
        <rFont val="Book Antiqua"/>
        <family val="1"/>
      </rPr>
      <t>,%</t>
    </r>
    <phoneticPr fontId="7"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</si>
  <si>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</si>
  <si>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</si>
  <si>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</si>
  <si>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風險係數</t>
    </r>
  </si>
  <si>
    <r>
      <rPr>
        <b/>
        <sz val="10"/>
        <color indexed="8"/>
        <rFont val="標楷體"/>
        <family val="4"/>
        <charset val="136"/>
      </rPr>
      <t>風險資本額</t>
    </r>
  </si>
  <si>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</si>
  <si>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表</t>
    </r>
    <r>
      <rPr>
        <sz val="10"/>
        <color indexed="8"/>
        <rFont val="Book Antiqua"/>
        <family val="1"/>
      </rPr>
      <t>30-5</t>
    </r>
    <r>
      <rPr>
        <sz val="10"/>
        <color indexed="8"/>
        <rFont val="標楷體"/>
        <family val="4"/>
        <charset val="136"/>
      </rPr>
      <t>：</t>
    </r>
    <r>
      <rPr>
        <sz val="10"/>
        <color indexed="8"/>
        <rFont val="Book Antiqua"/>
        <family val="1"/>
      </rPr>
      <t>R3</t>
    </r>
    <r>
      <rPr>
        <sz val="10"/>
        <color indexed="8"/>
        <rFont val="標楷體"/>
        <family val="4"/>
        <charset val="136"/>
      </rPr>
      <t>：核保風險計算表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</si>
  <si>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1)</t>
    </r>
    <phoneticPr fontId="9" type="noConversion"/>
  </si>
  <si>
    <r>
      <t xml:space="preserve">R3a </t>
    </r>
    <r>
      <rPr>
        <sz val="10"/>
        <color indexed="8"/>
        <rFont val="標楷體"/>
        <family val="4"/>
        <charset val="136"/>
      </rPr>
      <t>準備金風險</t>
    </r>
    <phoneticPr fontId="9" type="noConversion"/>
  </si>
  <si>
    <r>
      <t xml:space="preserve">3a.1 </t>
    </r>
    <r>
      <rPr>
        <sz val="10"/>
        <color indexed="8"/>
        <rFont val="標楷體"/>
        <family val="4"/>
        <charset val="136"/>
      </rPr>
      <t>自留賠款準備金風險</t>
    </r>
    <phoneticPr fontId="9" type="noConversion"/>
  </si>
  <si>
    <r>
      <t xml:space="preserve">3a.1.1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</si>
  <si>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t>
    </r>
    <r>
      <rPr>
        <sz val="10"/>
        <color indexed="8"/>
        <rFont val="標楷體"/>
        <family val="4"/>
        <charset val="136"/>
      </rPr>
      <t>列</t>
    </r>
    <phoneticPr fontId="9" type="noConversion"/>
  </si>
  <si>
    <r>
      <t xml:space="preserve">3a.1.2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</si>
  <si>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</si>
  <si>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</si>
  <si>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(4)</t>
    </r>
    <r>
      <rPr>
        <sz val="10"/>
        <color indexed="8"/>
        <rFont val="標楷體"/>
        <family val="4"/>
        <charset val="136"/>
      </rPr>
      <t>列</t>
    </r>
    <r>
      <rPr>
        <sz val="12"/>
        <rFont val="新細明體"/>
        <family val="1"/>
        <charset val="136"/>
      </rPr>
      <t/>
    </r>
    <phoneticPr fontId="9" type="noConversion"/>
  </si>
  <si>
    <r>
      <t xml:space="preserve">3a.1.5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</si>
  <si>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(5)</t>
    </r>
    <r>
      <rPr>
        <sz val="10"/>
        <color indexed="8"/>
        <rFont val="標楷體"/>
        <family val="4"/>
        <charset val="136"/>
      </rPr>
      <t>列</t>
    </r>
    <r>
      <rPr>
        <sz val="12"/>
        <rFont val="新細明體"/>
        <family val="1"/>
        <charset val="136"/>
      </rPr>
      <t/>
    </r>
    <phoneticPr fontId="9" type="noConversion"/>
  </si>
  <si>
    <r>
      <t xml:space="preserve">3a.1.6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</si>
  <si>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(6)</t>
    </r>
    <r>
      <rPr>
        <sz val="10"/>
        <color indexed="8"/>
        <rFont val="標楷體"/>
        <family val="4"/>
        <charset val="136"/>
      </rPr>
      <t>列</t>
    </r>
    <r>
      <rPr>
        <sz val="12"/>
        <rFont val="新細明體"/>
        <family val="1"/>
        <charset val="136"/>
      </rPr>
      <t/>
    </r>
    <phoneticPr fontId="9" type="noConversion"/>
  </si>
  <si>
    <r>
      <t xml:space="preserve">3a.1.7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</si>
  <si>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(7)</t>
    </r>
    <r>
      <rPr>
        <sz val="10"/>
        <color indexed="8"/>
        <rFont val="標楷體"/>
        <family val="4"/>
        <charset val="136"/>
      </rPr>
      <t>列</t>
    </r>
    <r>
      <rPr>
        <sz val="12"/>
        <rFont val="新細明體"/>
        <family val="1"/>
        <charset val="136"/>
      </rPr>
      <t/>
    </r>
    <phoneticPr fontId="9" type="noConversion"/>
  </si>
  <si>
    <r>
      <t xml:space="preserve">3a.1.8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</si>
  <si>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(8)</t>
    </r>
    <r>
      <rPr>
        <sz val="10"/>
        <color indexed="8"/>
        <rFont val="標楷體"/>
        <family val="4"/>
        <charset val="136"/>
      </rPr>
      <t>列</t>
    </r>
    <r>
      <rPr>
        <sz val="12"/>
        <rFont val="新細明體"/>
        <family val="1"/>
        <charset val="136"/>
      </rPr>
      <t/>
    </r>
    <phoneticPr fontId="9" type="noConversion"/>
  </si>
  <si>
    <r>
      <t xml:space="preserve">3a.1.9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</si>
  <si>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(9)</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</si>
  <si>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(10)</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</si>
  <si>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(11)</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</si>
  <si>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(12)</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</si>
  <si>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(13)</t>
    </r>
    <r>
      <rPr>
        <sz val="10"/>
        <color indexed="8"/>
        <rFont val="標楷體"/>
        <family val="4"/>
        <charset val="136"/>
      </rPr>
      <t>列</t>
    </r>
    <r>
      <rPr>
        <sz val="12"/>
        <rFont val="新細明體"/>
        <family val="1"/>
        <charset val="136"/>
      </rPr>
      <t/>
    </r>
    <phoneticPr fontId="9" type="noConversion"/>
  </si>
  <si>
    <r>
      <t xml:space="preserve">3a.1.14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</si>
  <si>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(17)</t>
    </r>
    <r>
      <rPr>
        <sz val="10"/>
        <color indexed="8"/>
        <rFont val="標楷體"/>
        <family val="4"/>
        <charset val="136"/>
      </rPr>
      <t>列</t>
    </r>
    <phoneticPr fontId="9" type="noConversion"/>
  </si>
  <si>
    <r>
      <t xml:space="preserve">3a.1.15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</si>
  <si>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(18)</t>
    </r>
    <r>
      <rPr>
        <sz val="10"/>
        <color indexed="8"/>
        <rFont val="標楷體"/>
        <family val="4"/>
        <charset val="136"/>
      </rPr>
      <t>列</t>
    </r>
    <r>
      <rPr>
        <sz val="12"/>
        <rFont val="新細明體"/>
        <family val="1"/>
        <charset val="136"/>
      </rPr>
      <t/>
    </r>
    <phoneticPr fontId="9" type="noConversion"/>
  </si>
  <si>
    <r>
      <t xml:space="preserve">3a.1.16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</si>
  <si>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(19)</t>
    </r>
    <r>
      <rPr>
        <sz val="10"/>
        <color indexed="8"/>
        <rFont val="標楷體"/>
        <family val="4"/>
        <charset val="136"/>
      </rPr>
      <t>列</t>
    </r>
    <r>
      <rPr>
        <sz val="12"/>
        <rFont val="新細明體"/>
        <family val="1"/>
        <charset val="136"/>
      </rPr>
      <t/>
    </r>
    <phoneticPr fontId="9" type="noConversion"/>
  </si>
  <si>
    <r>
      <t xml:space="preserve">3a.1.17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</si>
  <si>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(20)</t>
    </r>
    <r>
      <rPr>
        <sz val="10"/>
        <color indexed="8"/>
        <rFont val="標楷體"/>
        <family val="4"/>
        <charset val="136"/>
      </rPr>
      <t>列</t>
    </r>
    <r>
      <rPr>
        <sz val="12"/>
        <rFont val="新細明體"/>
        <family val="1"/>
        <charset val="136"/>
      </rPr>
      <t/>
    </r>
    <phoneticPr fontId="9" type="noConversion"/>
  </si>
  <si>
    <r>
      <t xml:space="preserve">3a.1.18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</si>
  <si>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(21)</t>
    </r>
    <r>
      <rPr>
        <sz val="10"/>
        <color indexed="8"/>
        <rFont val="標楷體"/>
        <family val="4"/>
        <charset val="136"/>
      </rPr>
      <t>列</t>
    </r>
    <r>
      <rPr>
        <sz val="12"/>
        <rFont val="新細明體"/>
        <family val="1"/>
        <charset val="136"/>
      </rPr>
      <t/>
    </r>
    <phoneticPr fontId="9" type="noConversion"/>
  </si>
  <si>
    <r>
      <t xml:space="preserve">3a.1.19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</si>
  <si>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(22)</t>
    </r>
    <r>
      <rPr>
        <sz val="10"/>
        <color indexed="8"/>
        <rFont val="標楷體"/>
        <family val="4"/>
        <charset val="136"/>
      </rPr>
      <t>列</t>
    </r>
    <r>
      <rPr>
        <sz val="12"/>
        <rFont val="新細明體"/>
        <family val="1"/>
        <charset val="136"/>
      </rPr>
      <t/>
    </r>
    <phoneticPr fontId="9" type="noConversion"/>
  </si>
  <si>
    <r>
      <t xml:space="preserve">3a.1.20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</si>
  <si>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(23)</t>
    </r>
    <r>
      <rPr>
        <sz val="10"/>
        <color indexed="8"/>
        <rFont val="標楷體"/>
        <family val="4"/>
        <charset val="136"/>
      </rPr>
      <t>列</t>
    </r>
    <r>
      <rPr>
        <sz val="12"/>
        <rFont val="新細明體"/>
        <family val="1"/>
        <charset val="136"/>
      </rPr>
      <t/>
    </r>
    <phoneticPr fontId="9" type="noConversion"/>
  </si>
  <si>
    <r>
      <t xml:space="preserve">3a.1.21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</si>
  <si>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(13)</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</si>
  <si>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3a.1.22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</si>
  <si>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(25)</t>
    </r>
    <r>
      <rPr>
        <sz val="10"/>
        <color indexed="8"/>
        <rFont val="標楷體"/>
        <family val="4"/>
        <charset val="136"/>
      </rPr>
      <t>列</t>
    </r>
    <r>
      <rPr>
        <sz val="12"/>
        <rFont val="新細明體"/>
        <family val="1"/>
        <charset val="136"/>
      </rPr>
      <t/>
    </r>
    <phoneticPr fontId="9" type="noConversion"/>
  </si>
  <si>
    <r>
      <t xml:space="preserve">3a.1.23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</si>
  <si>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(26)</t>
    </r>
    <r>
      <rPr>
        <sz val="10"/>
        <color indexed="8"/>
        <rFont val="標楷體"/>
        <family val="4"/>
        <charset val="136"/>
      </rPr>
      <t>列</t>
    </r>
    <r>
      <rPr>
        <sz val="12"/>
        <rFont val="新細明體"/>
        <family val="1"/>
        <charset val="136"/>
      </rPr>
      <t/>
    </r>
    <phoneticPr fontId="9" type="noConversion"/>
  </si>
  <si>
    <r>
      <t xml:space="preserve">3a.1.24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</si>
  <si>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(27)</t>
    </r>
    <r>
      <rPr>
        <sz val="10"/>
        <color indexed="8"/>
        <rFont val="標楷體"/>
        <family val="4"/>
        <charset val="136"/>
      </rPr>
      <t>列</t>
    </r>
    <r>
      <rPr>
        <sz val="12"/>
        <rFont val="新細明體"/>
        <family val="1"/>
        <charset val="136"/>
      </rPr>
      <t/>
    </r>
    <phoneticPr fontId="9" type="noConversion"/>
  </si>
  <si>
    <r>
      <t xml:space="preserve">3a.1.25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</si>
  <si>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(28)</t>
    </r>
    <r>
      <rPr>
        <sz val="10"/>
        <color indexed="8"/>
        <rFont val="標楷體"/>
        <family val="4"/>
        <charset val="136"/>
      </rPr>
      <t>列</t>
    </r>
    <r>
      <rPr>
        <sz val="12"/>
        <rFont val="新細明體"/>
        <family val="1"/>
        <charset val="136"/>
      </rPr>
      <t/>
    </r>
    <phoneticPr fontId="9" type="noConversion"/>
  </si>
  <si>
    <r>
      <t xml:space="preserve">3a.1.26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</si>
  <si>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(29)</t>
    </r>
    <r>
      <rPr>
        <sz val="10"/>
        <color indexed="8"/>
        <rFont val="標楷體"/>
        <family val="4"/>
        <charset val="136"/>
      </rPr>
      <t>列</t>
    </r>
    <r>
      <rPr>
        <sz val="12"/>
        <rFont val="新細明體"/>
        <family val="1"/>
        <charset val="136"/>
      </rPr>
      <t/>
    </r>
    <phoneticPr fontId="9" type="noConversion"/>
  </si>
  <si>
    <r>
      <t xml:space="preserve">3a.1.27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</si>
  <si>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(30)</t>
    </r>
    <r>
      <rPr>
        <sz val="10"/>
        <color indexed="8"/>
        <rFont val="標楷體"/>
        <family val="4"/>
        <charset val="136"/>
      </rPr>
      <t>列</t>
    </r>
    <phoneticPr fontId="9" type="noConversion"/>
  </si>
  <si>
    <r>
      <t xml:space="preserve">3a.1.28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</si>
  <si>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</si>
  <si>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3a.2 </t>
    </r>
    <r>
      <rPr>
        <sz val="10"/>
        <color indexed="8"/>
        <rFont val="標楷體"/>
        <family val="4"/>
        <charset val="136"/>
      </rPr>
      <t>公司與市場差異性調整</t>
    </r>
    <phoneticPr fontId="9" type="noConversion"/>
  </si>
  <si>
    <r>
      <t xml:space="preserve">3a.3 </t>
    </r>
    <r>
      <rPr>
        <sz val="10"/>
        <color indexed="8"/>
        <rFont val="標楷體"/>
        <family val="4"/>
        <charset val="136"/>
      </rPr>
      <t>損失集中調整</t>
    </r>
    <phoneticPr fontId="9" type="noConversion"/>
  </si>
  <si>
    <r>
      <t xml:space="preserve">3a.4 </t>
    </r>
    <r>
      <rPr>
        <sz val="10"/>
        <color indexed="8"/>
        <rFont val="標楷體"/>
        <family val="4"/>
        <charset val="136"/>
      </rPr>
      <t>成長風險</t>
    </r>
    <phoneticPr fontId="9" type="noConversion"/>
  </si>
  <si>
    <r>
      <rPr>
        <sz val="10"/>
        <color indexed="8"/>
        <rFont val="標楷體"/>
        <family val="4"/>
        <charset val="136"/>
      </rPr>
      <t>【準備金風險】合計</t>
    </r>
  </si>
  <si>
    <r>
      <t xml:space="preserve">R3b </t>
    </r>
    <r>
      <rPr>
        <sz val="10"/>
        <color indexed="8"/>
        <rFont val="標楷體"/>
        <family val="4"/>
        <charset val="136"/>
      </rPr>
      <t>保費風險</t>
    </r>
    <phoneticPr fontId="9" type="noConversion"/>
  </si>
  <si>
    <r>
      <t xml:space="preserve">3b.1 </t>
    </r>
    <r>
      <rPr>
        <sz val="10"/>
        <color indexed="8"/>
        <rFont val="標楷體"/>
        <family val="4"/>
        <charset val="136"/>
      </rPr>
      <t>自留保費風險</t>
    </r>
    <phoneticPr fontId="9" type="noConversion"/>
  </si>
  <si>
    <r>
      <t xml:space="preserve">3b.1.1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</si>
  <si>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t>
    </r>
    <r>
      <rPr>
        <sz val="10"/>
        <color indexed="8"/>
        <rFont val="標楷體"/>
        <family val="4"/>
        <charset val="136"/>
      </rPr>
      <t>列</t>
    </r>
  </si>
  <si>
    <r>
      <t xml:space="preserve">3b.1.2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</si>
  <si>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</si>
  <si>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</si>
  <si>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(4)</t>
    </r>
    <r>
      <rPr>
        <sz val="10"/>
        <color indexed="8"/>
        <rFont val="標楷體"/>
        <family val="4"/>
        <charset val="136"/>
      </rPr>
      <t>列</t>
    </r>
  </si>
  <si>
    <r>
      <t xml:space="preserve">3b.1.5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</si>
  <si>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(5)</t>
    </r>
    <r>
      <rPr>
        <sz val="10"/>
        <color indexed="8"/>
        <rFont val="標楷體"/>
        <family val="4"/>
        <charset val="136"/>
      </rPr>
      <t>列</t>
    </r>
  </si>
  <si>
    <r>
      <t xml:space="preserve">3b.1.6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</si>
  <si>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(6)</t>
    </r>
    <r>
      <rPr>
        <sz val="10"/>
        <color indexed="8"/>
        <rFont val="標楷體"/>
        <family val="4"/>
        <charset val="136"/>
      </rPr>
      <t>列</t>
    </r>
  </si>
  <si>
    <r>
      <t xml:space="preserve">3b.1.7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</si>
  <si>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(7)</t>
    </r>
    <r>
      <rPr>
        <sz val="10"/>
        <color indexed="8"/>
        <rFont val="標楷體"/>
        <family val="4"/>
        <charset val="136"/>
      </rPr>
      <t>列</t>
    </r>
  </si>
  <si>
    <r>
      <t xml:space="preserve">3b.1.8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</si>
  <si>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</si>
  <si>
    <r>
      <t xml:space="preserve">3b.1.9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</si>
  <si>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(9)</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</si>
  <si>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(10)</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</si>
  <si>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(11)</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</si>
  <si>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(12)</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</si>
  <si>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(13)</t>
    </r>
    <r>
      <rPr>
        <sz val="10"/>
        <color indexed="8"/>
        <rFont val="標楷體"/>
        <family val="4"/>
        <charset val="136"/>
      </rPr>
      <t>列</t>
    </r>
  </si>
  <si>
    <r>
      <t xml:space="preserve">3b.1.14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</si>
  <si>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(17)</t>
    </r>
    <r>
      <rPr>
        <sz val="10"/>
        <color indexed="8"/>
        <rFont val="標楷體"/>
        <family val="4"/>
        <charset val="136"/>
      </rPr>
      <t>列</t>
    </r>
  </si>
  <si>
    <r>
      <t xml:space="preserve">3b.1.15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</si>
  <si>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(18)</t>
    </r>
    <r>
      <rPr>
        <sz val="10"/>
        <color indexed="8"/>
        <rFont val="標楷體"/>
        <family val="4"/>
        <charset val="136"/>
      </rPr>
      <t>列</t>
    </r>
  </si>
  <si>
    <r>
      <t xml:space="preserve">3b.1.16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</si>
  <si>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(19)</t>
    </r>
    <r>
      <rPr>
        <sz val="10"/>
        <color indexed="8"/>
        <rFont val="標楷體"/>
        <family val="4"/>
        <charset val="136"/>
      </rPr>
      <t>列</t>
    </r>
  </si>
  <si>
    <r>
      <t xml:space="preserve">3b.1.17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</si>
  <si>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(20)</t>
    </r>
    <r>
      <rPr>
        <sz val="10"/>
        <color indexed="8"/>
        <rFont val="標楷體"/>
        <family val="4"/>
        <charset val="136"/>
      </rPr>
      <t>列</t>
    </r>
  </si>
  <si>
    <r>
      <t xml:space="preserve">3b.1.18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</si>
  <si>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(21)</t>
    </r>
    <r>
      <rPr>
        <sz val="10"/>
        <color indexed="8"/>
        <rFont val="標楷體"/>
        <family val="4"/>
        <charset val="136"/>
      </rPr>
      <t>列</t>
    </r>
  </si>
  <si>
    <r>
      <t xml:space="preserve">3b.1.19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</si>
  <si>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(22)</t>
    </r>
    <r>
      <rPr>
        <sz val="10"/>
        <color indexed="8"/>
        <rFont val="標楷體"/>
        <family val="4"/>
        <charset val="136"/>
      </rPr>
      <t>列</t>
    </r>
  </si>
  <si>
    <r>
      <t xml:space="preserve">3b.1.20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</si>
  <si>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(23)</t>
    </r>
    <r>
      <rPr>
        <sz val="10"/>
        <color indexed="8"/>
        <rFont val="標楷體"/>
        <family val="4"/>
        <charset val="136"/>
      </rPr>
      <t>列</t>
    </r>
  </si>
  <si>
    <r>
      <t xml:space="preserve">3b.1.21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</si>
  <si>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(4)</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</si>
  <si>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3b.1.22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</si>
  <si>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(25)</t>
    </r>
    <r>
      <rPr>
        <sz val="10"/>
        <color indexed="8"/>
        <rFont val="標楷體"/>
        <family val="4"/>
        <charset val="136"/>
      </rPr>
      <t>列</t>
    </r>
  </si>
  <si>
    <r>
      <t xml:space="preserve">3b.1.23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</si>
  <si>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(26)</t>
    </r>
    <r>
      <rPr>
        <sz val="10"/>
        <color indexed="8"/>
        <rFont val="標楷體"/>
        <family val="4"/>
        <charset val="136"/>
      </rPr>
      <t>列</t>
    </r>
  </si>
  <si>
    <r>
      <t xml:space="preserve">3b.1.24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</si>
  <si>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(27)</t>
    </r>
    <r>
      <rPr>
        <sz val="10"/>
        <color indexed="8"/>
        <rFont val="標楷體"/>
        <family val="4"/>
        <charset val="136"/>
      </rPr>
      <t>列</t>
    </r>
  </si>
  <si>
    <r>
      <t xml:space="preserve">3b.1.25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</si>
  <si>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(28)</t>
    </r>
    <r>
      <rPr>
        <sz val="10"/>
        <color indexed="8"/>
        <rFont val="標楷體"/>
        <family val="4"/>
        <charset val="136"/>
      </rPr>
      <t>列</t>
    </r>
  </si>
  <si>
    <r>
      <t xml:space="preserve">3b.1.26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</si>
  <si>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(29)</t>
    </r>
    <r>
      <rPr>
        <sz val="10"/>
        <color indexed="8"/>
        <rFont val="標楷體"/>
        <family val="4"/>
        <charset val="136"/>
      </rPr>
      <t>列</t>
    </r>
  </si>
  <si>
    <r>
      <t xml:space="preserve">3b.1.27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</si>
  <si>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(30)</t>
    </r>
    <r>
      <rPr>
        <sz val="10"/>
        <color indexed="8"/>
        <rFont val="標楷體"/>
        <family val="4"/>
        <charset val="136"/>
      </rPr>
      <t>列</t>
    </r>
  </si>
  <si>
    <r>
      <t xml:space="preserve">3b.1.28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</si>
  <si>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</si>
  <si>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3b.2 </t>
    </r>
    <r>
      <rPr>
        <sz val="10"/>
        <color indexed="8"/>
        <rFont val="標楷體"/>
        <family val="4"/>
        <charset val="136"/>
      </rPr>
      <t>公司與市場差異性調整</t>
    </r>
    <phoneticPr fontId="9" type="noConversion"/>
  </si>
  <si>
    <r>
      <t xml:space="preserve">3b.3 </t>
    </r>
    <r>
      <rPr>
        <sz val="10"/>
        <color indexed="8"/>
        <rFont val="標楷體"/>
        <family val="4"/>
        <charset val="136"/>
      </rPr>
      <t>業務集中調整</t>
    </r>
    <phoneticPr fontId="9" type="noConversion"/>
  </si>
  <si>
    <r>
      <t xml:space="preserve">3b.4 </t>
    </r>
    <r>
      <rPr>
        <sz val="10"/>
        <color indexed="8"/>
        <rFont val="標楷體"/>
        <family val="4"/>
        <charset val="136"/>
      </rPr>
      <t>成長風險</t>
    </r>
    <phoneticPr fontId="9" type="noConversion"/>
  </si>
  <si>
    <r>
      <t xml:space="preserve">  </t>
    </r>
    <r>
      <rPr>
        <sz val="10"/>
        <color indexed="8"/>
        <rFont val="標楷體"/>
        <family val="4"/>
        <charset val="136"/>
      </rPr>
      <t>【保費風險】合計</t>
    </r>
    <phoneticPr fontId="9" type="noConversion"/>
  </si>
  <si>
    <r>
      <rPr>
        <b/>
        <sz val="10"/>
        <color indexed="8"/>
        <rFont val="標楷體"/>
        <family val="4"/>
        <charset val="136"/>
      </rPr>
      <t>《核保風險》總計</t>
    </r>
    <phoneticPr fontId="9"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</si>
  <si>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7" type="noConversion"/>
  </si>
  <si>
    <r>
      <rPr>
        <sz val="10"/>
        <color indexed="8"/>
        <rFont val="標楷體"/>
        <family val="4"/>
        <charset val="136"/>
      </rPr>
      <t>本欄信用評等機構僅限於</t>
    </r>
    <r>
      <rPr>
        <sz val="10"/>
        <color indexed="8"/>
        <rFont val="Book Antiqua"/>
        <family val="1"/>
      </rPr>
      <t>S &amp; P</t>
    </r>
    <r>
      <rPr>
        <sz val="10"/>
        <color indexed="8"/>
        <rFont val="標楷體"/>
        <family val="4"/>
        <charset val="136"/>
      </rPr>
      <t>、</t>
    </r>
    <r>
      <rPr>
        <sz val="10"/>
        <color indexed="8"/>
        <rFont val="Book Antiqua"/>
        <family val="1"/>
      </rPr>
      <t>A.M. Best</t>
    </r>
    <r>
      <rPr>
        <sz val="10"/>
        <color indexed="8"/>
        <rFont val="標楷體"/>
        <family val="4"/>
        <charset val="136"/>
      </rPr>
      <t>、</t>
    </r>
    <r>
      <rPr>
        <sz val="10"/>
        <color indexed="8"/>
        <rFont val="Book Antiqua"/>
        <family val="1"/>
      </rPr>
      <t>Moody's</t>
    </r>
    <r>
      <rPr>
        <sz val="10"/>
        <color indexed="8"/>
        <rFont val="標楷體"/>
        <family val="4"/>
        <charset val="136"/>
      </rPr>
      <t>、</t>
    </r>
    <r>
      <rPr>
        <sz val="10"/>
        <color indexed="8"/>
        <rFont val="Book Antiqua"/>
        <family val="1"/>
      </rPr>
      <t>Fitch</t>
    </r>
    <r>
      <rPr>
        <sz val="10"/>
        <color indexed="8"/>
        <rFont val="微軟正黑體"/>
        <family val="2"/>
        <charset val="136"/>
      </rPr>
      <t>、</t>
    </r>
    <r>
      <rPr>
        <sz val="10"/>
        <color indexed="8"/>
        <rFont val="Book Antiqua"/>
        <family val="1"/>
      </rPr>
      <t>KBRA</t>
    </r>
    <r>
      <rPr>
        <sz val="10"/>
        <color indexed="8"/>
        <rFont val="標楷體"/>
        <family val="4"/>
        <charset val="136"/>
      </rPr>
      <t>及中華信用評等公司，其餘信評機構所評定之等級不給予資本適足性制度風險係數上之折扣；若該項標的或被投資機構經多家信用評等機構評定，公司可擇優填報。</t>
    </r>
    <phoneticPr fontId="9" type="noConversion"/>
  </si>
  <si>
    <r>
      <rPr>
        <sz val="10"/>
        <color indexed="8"/>
        <rFont val="標楷體"/>
        <family val="4"/>
        <charset val="136"/>
      </rPr>
      <t>信用評等機構填列如</t>
    </r>
    <r>
      <rPr>
        <sz val="10"/>
        <color indexed="8"/>
        <rFont val="Times New Roman"/>
        <family val="1"/>
      </rPr>
      <t>A.S&amp;P,B.AM Best,C.Moody's,D.Fitch,E.tw,F.KBRA, G.</t>
    </r>
    <r>
      <rPr>
        <sz val="10"/>
        <color indexed="8"/>
        <rFont val="標楷體"/>
        <family val="4"/>
        <charset val="136"/>
      </rPr>
      <t>其他</t>
    </r>
    <r>
      <rPr>
        <sz val="10"/>
        <color indexed="8"/>
        <rFont val="Times New Roman"/>
        <family val="1"/>
      </rPr>
      <t>,</t>
    </r>
    <r>
      <rPr>
        <sz val="10"/>
        <color indexed="8"/>
        <rFont val="標楷體"/>
        <family val="4"/>
        <charset val="136"/>
      </rPr>
      <t>若無者請填無。</t>
    </r>
    <phoneticPr fontId="6" type="noConversion"/>
  </si>
  <si>
    <t>金額單位：新台幣元</t>
    <phoneticPr fontId="9" type="noConversion"/>
  </si>
  <si>
    <t>其中若再保險人係屬未適格再保險人時，請依規定再扣除該未適格再保險人之相關再保險資產後之金額填列。</t>
    <phoneticPr fontId="7" type="noConversion"/>
  </si>
  <si>
    <t>藍底：請自行填入金額(若有)</t>
    <phoneticPr fontId="7" type="noConversion"/>
  </si>
  <si>
    <t>T1U</t>
    <phoneticPr fontId="12" type="noConversion"/>
  </si>
  <si>
    <t>加項</t>
    <phoneticPr fontId="12" type="noConversion"/>
  </si>
  <si>
    <t>減項</t>
    <phoneticPr fontId="12" type="noConversion"/>
  </si>
  <si>
    <t>T1L</t>
    <phoneticPr fontId="7" type="noConversion"/>
  </si>
  <si>
    <t>減項</t>
    <phoneticPr fontId="7" type="noConversion"/>
  </si>
  <si>
    <t>T2</t>
    <phoneticPr fontId="7" type="noConversion"/>
  </si>
  <si>
    <t>加項</t>
    <phoneticPr fontId="7" type="noConversion"/>
  </si>
  <si>
    <t>金額</t>
    <phoneticPr fontId="7" type="noConversion"/>
  </si>
  <si>
    <t>危險變動特別準備金</t>
    <phoneticPr fontId="9" type="noConversion"/>
  </si>
  <si>
    <t>得計入自有資本之重大事故特別準備金</t>
    <phoneticPr fontId="9" type="noConversion"/>
  </si>
  <si>
    <t>重大事故特別準備金</t>
    <phoneticPr fontId="9" type="noConversion"/>
  </si>
  <si>
    <t>(6)=(5)×(4)</t>
    <phoneticPr fontId="9" type="noConversion"/>
  </si>
  <si>
    <t>應計提風險資本之不動產評價調整數</t>
    <phoneticPr fontId="9" type="noConversion"/>
  </si>
  <si>
    <t>負債型特別股(有到期日)：為非累積且無利率加碼條件或其他提前贖回之誘因</t>
    <phoneticPr fontId="7" type="noConversion"/>
  </si>
  <si>
    <t>具資本性資債券(有到期日)：為非累積且無利率加碼條件或其他提前贖回之誘因</t>
    <phoneticPr fontId="7" type="noConversion"/>
  </si>
  <si>
    <t>發行期限不得低於五年，受償順序次於公司其他債務且保險公司或其關係企業未提供保證或擔保品之可轉換公司債</t>
    <phoneticPr fontId="7"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</si>
  <si>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7" type="noConversion"/>
  </si>
  <si>
    <t>200-1</t>
    <phoneticPr fontId="7" type="noConversion"/>
  </si>
  <si>
    <t>200-2</t>
    <phoneticPr fontId="7" type="noConversion"/>
  </si>
  <si>
    <t>200-3</t>
    <phoneticPr fontId="7" type="noConversion"/>
  </si>
  <si>
    <t>207-1</t>
    <phoneticPr fontId="7" type="noConversion"/>
  </si>
  <si>
    <t>207-2</t>
    <phoneticPr fontId="7" type="noConversion"/>
  </si>
  <si>
    <t>213-1</t>
    <phoneticPr fontId="7" type="noConversion"/>
  </si>
  <si>
    <t>213-2</t>
    <phoneticPr fontId="7" type="noConversion"/>
  </si>
  <si>
    <t>213-3</t>
    <phoneticPr fontId="7" type="noConversion"/>
  </si>
  <si>
    <t>219-1</t>
    <phoneticPr fontId="7" type="noConversion"/>
  </si>
  <si>
    <t>219-2</t>
    <phoneticPr fontId="7" type="noConversion"/>
  </si>
  <si>
    <t>220-1</t>
    <phoneticPr fontId="7" type="noConversion"/>
  </si>
  <si>
    <t>220-2</t>
    <phoneticPr fontId="7" type="noConversion"/>
  </si>
  <si>
    <t>20-1</t>
    <phoneticPr fontId="9" type="noConversion"/>
  </si>
  <si>
    <t>20-2</t>
    <phoneticPr fontId="9" type="noConversion"/>
  </si>
  <si>
    <t>20-3</t>
    <phoneticPr fontId="9" type="noConversion"/>
  </si>
  <si>
    <t>16-1</t>
    <phoneticPr fontId="9" type="noConversion"/>
  </si>
  <si>
    <t>16-2</t>
    <phoneticPr fontId="9" type="noConversion"/>
  </si>
  <si>
    <t>16-3</t>
    <phoneticPr fontId="9" type="noConversion"/>
  </si>
  <si>
    <t>61-1</t>
    <phoneticPr fontId="9" type="noConversion"/>
  </si>
  <si>
    <t>61-2</t>
    <phoneticPr fontId="9" type="noConversion"/>
  </si>
  <si>
    <t>119-1</t>
    <phoneticPr fontId="9" type="noConversion"/>
  </si>
  <si>
    <t>119-2</t>
    <phoneticPr fontId="9" type="noConversion"/>
  </si>
  <si>
    <t>減項</t>
    <phoneticPr fontId="9" type="noConversion"/>
  </si>
  <si>
    <t>投資性不動產後續衡量採用公允價值模式計算自有資本影響數</t>
    <phoneticPr fontId="9"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</si>
  <si>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</si>
  <si>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</si>
  <si>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</si>
  <si>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</si>
  <si>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</si>
  <si>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</si>
  <si>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</si>
  <si>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</si>
  <si>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</si>
  <si>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</si>
  <si>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</si>
  <si>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</si>
  <si>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</si>
  <si>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</si>
  <si>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</si>
  <si>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</si>
  <si>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</si>
  <si>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</si>
  <si>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</si>
  <si>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</si>
  <si>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</si>
  <si>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</si>
  <si>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</si>
  <si>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</si>
  <si>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</si>
  <si>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</si>
  <si>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</si>
  <si>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</si>
  <si>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</si>
  <si>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</si>
  <si>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</si>
  <si>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</si>
  <si>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</si>
  <si>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</si>
  <si>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</si>
  <si>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</si>
  <si>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</si>
  <si>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</si>
  <si>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</si>
  <si>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</si>
  <si>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</si>
  <si>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</si>
  <si>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</si>
  <si>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</si>
  <si>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</si>
  <si>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</si>
  <si>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</si>
  <si>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</si>
  <si>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</si>
  <si>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</si>
  <si>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</si>
  <si>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</si>
  <si>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</si>
  <si>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</si>
  <si>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</si>
  <si>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</si>
  <si>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</si>
  <si>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</si>
  <si>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T5001F</t>
  </si>
  <si>
    <t>非關係人</t>
    <phoneticPr fontId="7" type="noConversion"/>
  </si>
  <si>
    <t>關係人</t>
    <phoneticPr fontId="7" type="noConversion"/>
  </si>
  <si>
    <r>
      <rPr>
        <b/>
        <sz val="12"/>
        <rFont val="標楷體"/>
        <family val="4"/>
        <charset val="136"/>
      </rPr>
      <t>地區代號</t>
    </r>
    <phoneticPr fontId="9"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</si>
  <si>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</si>
  <si>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地震</t>
    </r>
    <phoneticPr fontId="9" type="noConversion"/>
  </si>
  <si>
    <r>
      <rPr>
        <b/>
        <sz val="12"/>
        <rFont val="標楷體"/>
        <family val="4"/>
        <charset val="136"/>
      </rPr>
      <t>颱風洪水</t>
    </r>
    <phoneticPr fontId="9" type="noConversion"/>
  </si>
  <si>
    <r>
      <rPr>
        <b/>
        <sz val="12"/>
        <rFont val="標楷體"/>
        <family val="4"/>
        <charset val="136"/>
      </rPr>
      <t>自留業務保險金額</t>
    </r>
    <phoneticPr fontId="9" type="noConversion"/>
  </si>
  <si>
    <r>
      <rPr>
        <b/>
        <sz val="12"/>
        <rFont val="標楷體"/>
        <family val="4"/>
        <charset val="136"/>
      </rPr>
      <t>簽單及國內分進業務保險金額</t>
    </r>
    <phoneticPr fontId="9" type="noConversion"/>
  </si>
  <si>
    <r>
      <rPr>
        <b/>
        <sz val="12"/>
        <rFont val="標楷體"/>
        <family val="4"/>
        <charset val="136"/>
      </rPr>
      <t>台北市</t>
    </r>
  </si>
  <si>
    <r>
      <rPr>
        <b/>
        <sz val="12"/>
        <rFont val="標楷體"/>
        <family val="4"/>
        <charset val="136"/>
      </rPr>
      <t>新北市、基隆</t>
    </r>
  </si>
  <si>
    <r>
      <rPr>
        <b/>
        <sz val="12"/>
        <rFont val="標楷體"/>
        <family val="4"/>
        <charset val="136"/>
      </rPr>
      <t>桃園</t>
    </r>
  </si>
  <si>
    <r>
      <rPr>
        <b/>
        <sz val="12"/>
        <rFont val="標楷體"/>
        <family val="4"/>
        <charset val="136"/>
      </rPr>
      <t>新竹</t>
    </r>
  </si>
  <si>
    <r>
      <rPr>
        <b/>
        <sz val="12"/>
        <rFont val="標楷體"/>
        <family val="4"/>
        <charset val="136"/>
      </rPr>
      <t>苗栗</t>
    </r>
  </si>
  <si>
    <r>
      <rPr>
        <b/>
        <sz val="12"/>
        <rFont val="標楷體"/>
        <family val="4"/>
        <charset val="136"/>
      </rPr>
      <t>台中</t>
    </r>
  </si>
  <si>
    <r>
      <rPr>
        <b/>
        <sz val="12"/>
        <rFont val="標楷體"/>
        <family val="4"/>
        <charset val="136"/>
      </rPr>
      <t>南投</t>
    </r>
  </si>
  <si>
    <r>
      <rPr>
        <b/>
        <sz val="12"/>
        <rFont val="標楷體"/>
        <family val="4"/>
        <charset val="136"/>
      </rPr>
      <t>彰化</t>
    </r>
  </si>
  <si>
    <r>
      <rPr>
        <b/>
        <sz val="12"/>
        <rFont val="標楷體"/>
        <family val="4"/>
        <charset val="136"/>
      </rPr>
      <t>雲林</t>
    </r>
  </si>
  <si>
    <r>
      <rPr>
        <b/>
        <sz val="12"/>
        <rFont val="標楷體"/>
        <family val="4"/>
        <charset val="136"/>
      </rPr>
      <t>嘉義、台南</t>
    </r>
  </si>
  <si>
    <r>
      <rPr>
        <b/>
        <sz val="12"/>
        <rFont val="標楷體"/>
        <family val="4"/>
        <charset val="136"/>
      </rPr>
      <t>高雄、屏東、澎湖</t>
    </r>
  </si>
  <si>
    <r>
      <rPr>
        <b/>
        <sz val="12"/>
        <rFont val="標楷體"/>
        <family val="4"/>
        <charset val="136"/>
      </rPr>
      <t>花蓮、台東</t>
    </r>
  </si>
  <si>
    <r>
      <rPr>
        <b/>
        <sz val="12"/>
        <rFont val="標楷體"/>
        <family val="4"/>
        <charset val="136"/>
      </rPr>
      <t>宜蘭</t>
    </r>
  </si>
  <si>
    <r>
      <rPr>
        <b/>
        <sz val="12"/>
        <rFont val="標楷體"/>
        <family val="4"/>
        <charset val="136"/>
      </rPr>
      <t>金門、其他列嶼</t>
    </r>
  </si>
  <si>
    <r>
      <rPr>
        <b/>
        <sz val="12"/>
        <rFont val="標楷體"/>
        <family val="4"/>
        <charset val="136"/>
      </rPr>
      <t>汽車保險的天災業務及國內無法歸屬地區別的其他業務。</t>
    </r>
    <phoneticPr fontId="9" type="noConversion"/>
  </si>
  <si>
    <r>
      <rPr>
        <sz val="12"/>
        <rFont val="標楷體"/>
        <family val="4"/>
        <charset val="136"/>
      </rPr>
      <t>註</t>
    </r>
    <r>
      <rPr>
        <sz val="12"/>
        <rFont val="Times New Roman"/>
        <family val="1"/>
      </rPr>
      <t xml:space="preserve">1: </t>
    </r>
    <r>
      <rPr>
        <sz val="12"/>
        <rFont val="標楷體"/>
        <family val="4"/>
        <charset val="136"/>
      </rPr>
      <t>若一保單之自留風險有非比例性安排者則視為特殊業務，請將該保單保額於本表中扣除，並單獨填入</t>
    </r>
    <r>
      <rPr>
        <sz val="12"/>
        <rFont val="Times New Roman"/>
        <family val="1"/>
      </rPr>
      <t>"</t>
    </r>
    <r>
      <rPr>
        <sz val="12"/>
        <rFont val="標楷體"/>
        <family val="4"/>
        <charset val="136"/>
      </rPr>
      <t>特殊業務資料表</t>
    </r>
    <r>
      <rPr>
        <sz val="12"/>
        <rFont val="Times New Roman"/>
        <family val="1"/>
      </rPr>
      <t>"</t>
    </r>
    <r>
      <rPr>
        <sz val="12"/>
        <rFont val="標楷體"/>
        <family val="4"/>
        <charset val="136"/>
      </rPr>
      <t>。</t>
    </r>
    <phoneticPr fontId="9" type="noConversion"/>
  </si>
  <si>
    <r>
      <rPr>
        <b/>
        <sz val="12"/>
        <rFont val="標楷體"/>
        <family val="4"/>
        <charset val="136"/>
      </rPr>
      <t>地址為國內及無法歸屬地區別的其他天災業務。</t>
    </r>
  </si>
  <si>
    <r>
      <rPr>
        <b/>
        <sz val="12"/>
        <rFont val="標楷體"/>
        <family val="4"/>
        <charset val="136"/>
      </rPr>
      <t>地區代號</t>
    </r>
  </si>
  <si>
    <r>
      <rPr>
        <b/>
        <sz val="12"/>
        <rFont val="標楷體"/>
        <family val="4"/>
        <charset val="136"/>
      </rPr>
      <t>回歸期</t>
    </r>
    <phoneticPr fontId="9" type="noConversion"/>
  </si>
  <si>
    <r>
      <t>200</t>
    </r>
    <r>
      <rPr>
        <b/>
        <sz val="12"/>
        <rFont val="標楷體"/>
        <family val="4"/>
        <charset val="136"/>
      </rPr>
      <t>年</t>
    </r>
    <phoneticPr fontId="9"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</si>
  <si>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9" type="noConversion"/>
  </si>
  <si>
    <t>KEY1</t>
    <phoneticPr fontId="9" type="noConversion"/>
  </si>
  <si>
    <r>
      <rPr>
        <b/>
        <sz val="12"/>
        <rFont val="標楷體"/>
        <family val="4"/>
        <charset val="136"/>
      </rPr>
      <t>地區</t>
    </r>
    <r>
      <rPr>
        <b/>
        <sz val="12"/>
        <rFont val="Times New Roman"/>
        <family val="1"/>
      </rPr>
      <t>/</t>
    </r>
    <r>
      <rPr>
        <b/>
        <sz val="12"/>
        <rFont val="標楷體"/>
        <family val="4"/>
        <charset val="136"/>
      </rPr>
      <t>業務範圍</t>
    </r>
    <phoneticPr fontId="9" type="noConversion"/>
  </si>
  <si>
    <r>
      <rPr>
        <b/>
        <sz val="12"/>
        <rFont val="標楷體"/>
        <family val="4"/>
        <charset val="136"/>
      </rPr>
      <t>比例性業務
總保險金額</t>
    </r>
    <phoneticPr fontId="9" type="noConversion"/>
  </si>
  <si>
    <r>
      <rPr>
        <b/>
        <sz val="12"/>
        <rFont val="標楷體"/>
        <family val="4"/>
        <charset val="136"/>
      </rPr>
      <t>特殊業務
比例層保額</t>
    </r>
    <phoneticPr fontId="9" type="noConversion"/>
  </si>
  <si>
    <r>
      <rPr>
        <b/>
        <sz val="12"/>
        <rFont val="標楷體"/>
        <family val="4"/>
        <charset val="136"/>
      </rPr>
      <t>損失金額</t>
    </r>
    <phoneticPr fontId="9" type="noConversion"/>
  </si>
  <si>
    <r>
      <rPr>
        <b/>
        <sz val="12"/>
        <rFont val="標楷體"/>
        <family val="4"/>
        <charset val="136"/>
      </rPr>
      <t>迴歸期</t>
    </r>
    <r>
      <rPr>
        <b/>
        <sz val="12"/>
        <rFont val="Times New Roman"/>
        <family val="1"/>
      </rPr>
      <t>200</t>
    </r>
    <r>
      <rPr>
        <b/>
        <sz val="12"/>
        <rFont val="標楷體"/>
        <family val="4"/>
        <charset val="136"/>
      </rPr>
      <t>年</t>
    </r>
    <phoneticPr fontId="9" type="noConversion"/>
  </si>
  <si>
    <t>Z1</t>
  </si>
  <si>
    <r>
      <rPr>
        <sz val="12"/>
        <rFont val="標楷體"/>
        <family val="4"/>
        <charset val="136"/>
      </rPr>
      <t>台北市</t>
    </r>
  </si>
  <si>
    <t>Z1p1</t>
  </si>
  <si>
    <r>
      <rPr>
        <sz val="12"/>
        <rFont val="標楷體"/>
        <family val="4"/>
        <charset val="136"/>
      </rPr>
      <t>新北市、基隆</t>
    </r>
  </si>
  <si>
    <t>Z2</t>
  </si>
  <si>
    <r>
      <rPr>
        <sz val="12"/>
        <rFont val="標楷體"/>
        <family val="4"/>
        <charset val="136"/>
      </rPr>
      <t>桃園</t>
    </r>
  </si>
  <si>
    <t>Z3</t>
  </si>
  <si>
    <r>
      <rPr>
        <sz val="12"/>
        <rFont val="標楷體"/>
        <family val="4"/>
        <charset val="136"/>
      </rPr>
      <t>新竹</t>
    </r>
  </si>
  <si>
    <t>Z4</t>
  </si>
  <si>
    <r>
      <rPr>
        <sz val="12"/>
        <rFont val="標楷體"/>
        <family val="4"/>
        <charset val="136"/>
      </rPr>
      <t>苗栗</t>
    </r>
  </si>
  <si>
    <t>Z5</t>
  </si>
  <si>
    <r>
      <rPr>
        <sz val="12"/>
        <rFont val="標楷體"/>
        <family val="4"/>
        <charset val="136"/>
      </rPr>
      <t>台中</t>
    </r>
  </si>
  <si>
    <t>Z6</t>
  </si>
  <si>
    <r>
      <rPr>
        <sz val="12"/>
        <rFont val="標楷體"/>
        <family val="4"/>
        <charset val="136"/>
      </rPr>
      <t>南投</t>
    </r>
  </si>
  <si>
    <t>Z7</t>
  </si>
  <si>
    <r>
      <rPr>
        <sz val="12"/>
        <rFont val="標楷體"/>
        <family val="4"/>
        <charset val="136"/>
      </rPr>
      <t>彰化</t>
    </r>
  </si>
  <si>
    <t>Z8</t>
  </si>
  <si>
    <r>
      <rPr>
        <sz val="12"/>
        <rFont val="標楷體"/>
        <family val="4"/>
        <charset val="136"/>
      </rPr>
      <t>雲林</t>
    </r>
  </si>
  <si>
    <t>Z9</t>
  </si>
  <si>
    <r>
      <rPr>
        <sz val="12"/>
        <rFont val="標楷體"/>
        <family val="4"/>
        <charset val="136"/>
      </rPr>
      <t>嘉義、台南</t>
    </r>
  </si>
  <si>
    <t>Z10</t>
  </si>
  <si>
    <r>
      <rPr>
        <sz val="12"/>
        <rFont val="標楷體"/>
        <family val="4"/>
        <charset val="136"/>
      </rPr>
      <t>高雄、屏東、澎湖</t>
    </r>
  </si>
  <si>
    <t>Z11</t>
  </si>
  <si>
    <r>
      <rPr>
        <sz val="12"/>
        <rFont val="標楷體"/>
        <family val="4"/>
        <charset val="136"/>
      </rPr>
      <t>花蓮、台東</t>
    </r>
  </si>
  <si>
    <t>Z12</t>
  </si>
  <si>
    <r>
      <rPr>
        <sz val="12"/>
        <rFont val="標楷體"/>
        <family val="4"/>
        <charset val="136"/>
      </rPr>
      <t>宜蘭</t>
    </r>
  </si>
  <si>
    <t>Z13</t>
  </si>
  <si>
    <r>
      <rPr>
        <sz val="12"/>
        <rFont val="標楷體"/>
        <family val="4"/>
        <charset val="136"/>
      </rPr>
      <t>金門、其他列嶼</t>
    </r>
  </si>
  <si>
    <t>Z14</t>
  </si>
  <si>
    <r>
      <rPr>
        <sz val="12"/>
        <rFont val="標楷體"/>
        <family val="4"/>
        <charset val="136"/>
      </rPr>
      <t>地址為國內及無法歸屬地區別的其他天災業務。</t>
    </r>
    <phoneticPr fontId="9" type="noConversion"/>
  </si>
  <si>
    <t>99r</t>
    <phoneticPr fontId="9" type="noConversion"/>
  </si>
  <si>
    <t>保單號碼</t>
    <phoneticPr fontId="9" type="noConversion"/>
  </si>
  <si>
    <t>險種別</t>
    <phoneticPr fontId="9" type="noConversion"/>
  </si>
  <si>
    <t>分區</t>
    <phoneticPr fontId="9" type="noConversion"/>
  </si>
  <si>
    <t>Layer</t>
    <phoneticPr fontId="9" type="noConversion"/>
  </si>
  <si>
    <t>100%總暴險金額
(NTD)</t>
  </si>
  <si>
    <t>非比例層
總暴險金額
(NTD)</t>
  </si>
  <si>
    <t>比例層
簽單比例</t>
    <phoneticPr fontId="9" type="noConversion"/>
  </si>
  <si>
    <t>比例層
自留比例</t>
    <phoneticPr fontId="9" type="noConversion"/>
  </si>
  <si>
    <t>非比例層簽單佔比</t>
    <phoneticPr fontId="9" type="noConversion"/>
  </si>
  <si>
    <t>非比例層自留層佔比</t>
    <phoneticPr fontId="9" type="noConversion"/>
  </si>
  <si>
    <t>非比例層
起賠額
(NTD)</t>
    <phoneticPr fontId="9" type="noConversion"/>
  </si>
  <si>
    <t>非比例層
最高責任限額
(NTD)</t>
    <phoneticPr fontId="9" type="noConversion"/>
  </si>
  <si>
    <t>非比例層
簽單責任額佔比</t>
    <phoneticPr fontId="9" type="noConversion"/>
  </si>
  <si>
    <t>非比例層
自留責任額佔比</t>
    <phoneticPr fontId="9" type="noConversion"/>
  </si>
  <si>
    <t>非比例層(起)
百分位</t>
    <phoneticPr fontId="9" type="noConversion"/>
  </si>
  <si>
    <t>非比例層(迄)
百分位</t>
    <phoneticPr fontId="9" type="noConversion"/>
  </si>
  <si>
    <t>EQ Loss Ratio (10% Deductible)</t>
    <phoneticPr fontId="9" type="noConversion"/>
  </si>
  <si>
    <t>TF Loss Ratio (10% Deductible, Sublimit)</t>
    <phoneticPr fontId="9" type="noConversion"/>
  </si>
  <si>
    <t>Zone</t>
    <phoneticPr fontId="9" type="noConversion"/>
  </si>
  <si>
    <t>AAL Ratio 
(‰)</t>
    <phoneticPr fontId="9" type="noConversion"/>
  </si>
  <si>
    <t>Loss Ratio-AAL (‰)</t>
    <phoneticPr fontId="9" type="noConversion"/>
  </si>
  <si>
    <t xml:space="preserve">20-Year </t>
    <phoneticPr fontId="9" type="noConversion"/>
  </si>
  <si>
    <t xml:space="preserve">50-Year </t>
    <phoneticPr fontId="9" type="noConversion"/>
  </si>
  <si>
    <t xml:space="preserve">100-Year </t>
    <phoneticPr fontId="9" type="noConversion"/>
  </si>
  <si>
    <t xml:space="preserve">200-Year </t>
    <phoneticPr fontId="9" type="noConversion"/>
  </si>
  <si>
    <t>Sublimit</t>
    <phoneticPr fontId="9" type="noConversion"/>
  </si>
  <si>
    <t>-</t>
  </si>
  <si>
    <r>
      <rPr>
        <sz val="12"/>
        <rFont val="標楷體"/>
        <family val="4"/>
        <charset val="136"/>
      </rPr>
      <t>區域間風險分散係數</t>
    </r>
    <phoneticPr fontId="9" type="noConversion"/>
  </si>
  <si>
    <t>EQ Loss Ratio (10% Deductible, sublimit=100%)</t>
    <phoneticPr fontId="9" type="noConversion"/>
  </si>
  <si>
    <t>TF Loss Ratio (10% Deductible, Sublimit=100%)</t>
    <phoneticPr fontId="9" type="noConversion"/>
  </si>
  <si>
    <t>理賠費用係數</t>
    <phoneticPr fontId="9" type="noConversion"/>
  </si>
  <si>
    <t>險種間分散係數</t>
    <phoneticPr fontId="9" type="noConversion"/>
  </si>
  <si>
    <t>迴歸期20年</t>
  </si>
  <si>
    <t>迴歸期50年</t>
  </si>
  <si>
    <t>台北</t>
  </si>
  <si>
    <t>桃園</t>
  </si>
  <si>
    <t>新竹</t>
  </si>
  <si>
    <t>苗栗</t>
  </si>
  <si>
    <t>台中</t>
  </si>
  <si>
    <t>南投</t>
  </si>
  <si>
    <t>彰化</t>
  </si>
  <si>
    <t>雲林</t>
  </si>
  <si>
    <t>宜蘭</t>
  </si>
  <si>
    <t>離島</t>
  </si>
  <si>
    <t>全區</t>
  </si>
  <si>
    <t xml:space="preserve">工程-地震 </t>
    <phoneticPr fontId="9" type="noConversion"/>
  </si>
  <si>
    <t>營造綜合保險(自負額10%損失)</t>
    <phoneticPr fontId="9" type="noConversion"/>
  </si>
  <si>
    <t>營造綜合保險</t>
    <phoneticPr fontId="9" type="noConversion"/>
  </si>
  <si>
    <r>
      <rPr>
        <sz val="12"/>
        <rFont val="標楷體"/>
        <family val="4"/>
        <charset val="136"/>
      </rPr>
      <t>保險分區</t>
    </r>
    <phoneticPr fontId="9" type="noConversion"/>
  </si>
  <si>
    <r>
      <rPr>
        <sz val="12"/>
        <rFont val="標楷體"/>
        <family val="4"/>
        <charset val="136"/>
      </rPr>
      <t>平均損
失率</t>
    </r>
    <r>
      <rPr>
        <sz val="12"/>
        <rFont val="Times New Roman"/>
        <family val="1"/>
      </rPr>
      <t>(‰)</t>
    </r>
  </si>
  <si>
    <t>安裝工程綜合保險</t>
    <phoneticPr fontId="9" type="noConversion"/>
  </si>
  <si>
    <r>
      <rPr>
        <sz val="12"/>
        <rFont val="標楷體"/>
        <family val="4"/>
        <charset val="136"/>
      </rPr>
      <t>商品分類</t>
    </r>
    <phoneticPr fontId="9" type="noConversion"/>
  </si>
  <si>
    <r>
      <rPr>
        <sz val="12"/>
        <rFont val="標楷體"/>
        <family val="4"/>
        <charset val="136"/>
      </rPr>
      <t>營造綜合保險</t>
    </r>
  </si>
  <si>
    <r>
      <rPr>
        <sz val="12"/>
        <rFont val="標楷體"/>
        <family val="4"/>
        <charset val="136"/>
      </rPr>
      <t>安裝工程
綜合保險</t>
    </r>
  </si>
  <si>
    <r>
      <rPr>
        <sz val="12"/>
        <rFont val="標楷體"/>
        <family val="4"/>
        <charset val="136"/>
      </rPr>
      <t>營建機具
綜合保險</t>
    </r>
  </si>
  <si>
    <r>
      <rPr>
        <sz val="12"/>
        <rFont val="標楷體"/>
        <family val="4"/>
        <charset val="136"/>
      </rPr>
      <t>鍋爐保險</t>
    </r>
  </si>
  <si>
    <r>
      <rPr>
        <sz val="12"/>
        <rFont val="標楷體"/>
        <family val="4"/>
        <charset val="136"/>
      </rPr>
      <t>機械保險</t>
    </r>
  </si>
  <si>
    <r>
      <rPr>
        <sz val="12"/>
        <rFont val="標楷體"/>
        <family val="4"/>
        <charset val="136"/>
      </rPr>
      <t>電子設備保險</t>
    </r>
  </si>
  <si>
    <r>
      <rPr>
        <sz val="12"/>
        <rFont val="標楷體"/>
        <family val="4"/>
        <charset val="136"/>
      </rPr>
      <t>貨物水險</t>
    </r>
    <r>
      <rPr>
        <sz val="12"/>
        <rFont val="Times New Roman"/>
        <family val="1"/>
      </rPr>
      <t>-</t>
    </r>
    <r>
      <rPr>
        <sz val="12"/>
        <rFont val="標楷體"/>
        <family val="4"/>
        <charset val="136"/>
      </rPr>
      <t>地震</t>
    </r>
    <r>
      <rPr>
        <sz val="12"/>
        <rFont val="Times New Roman"/>
        <family val="1"/>
      </rPr>
      <t xml:space="preserve"> </t>
    </r>
    <phoneticPr fontId="9" type="noConversion"/>
  </si>
  <si>
    <r>
      <rPr>
        <sz val="12"/>
        <rFont val="標楷體"/>
        <family val="4"/>
        <charset val="136"/>
      </rPr>
      <t>貨物水險</t>
    </r>
    <r>
      <rPr>
        <sz val="12"/>
        <rFont val="Times New Roman"/>
        <family val="1"/>
      </rPr>
      <t>-</t>
    </r>
    <r>
      <rPr>
        <sz val="12"/>
        <rFont val="標楷體"/>
        <family val="4"/>
        <charset val="136"/>
      </rPr>
      <t>颱風洪水</t>
    </r>
    <r>
      <rPr>
        <sz val="12"/>
        <rFont val="Times New Roman"/>
        <family val="1"/>
      </rPr>
      <t xml:space="preserve"> </t>
    </r>
    <phoneticPr fontId="9" type="noConversion"/>
  </si>
  <si>
    <r>
      <rPr>
        <sz val="12"/>
        <rFont val="標楷體"/>
        <family val="4"/>
        <charset val="136"/>
      </rPr>
      <t>損失率</t>
    </r>
    <r>
      <rPr>
        <sz val="12"/>
        <rFont val="Times New Roman"/>
        <family val="1"/>
      </rPr>
      <t>-AAL (‰)</t>
    </r>
    <phoneticPr fontId="9" type="noConversion"/>
  </si>
  <si>
    <r>
      <t>100</t>
    </r>
    <r>
      <rPr>
        <sz val="12"/>
        <rFont val="標楷體"/>
        <family val="4"/>
        <charset val="136"/>
      </rPr>
      <t>年回歸期損失</t>
    </r>
    <r>
      <rPr>
        <sz val="12"/>
        <rFont val="Times New Roman"/>
        <family val="1"/>
      </rPr>
      <t>(‰)</t>
    </r>
    <phoneticPr fontId="9" type="noConversion"/>
  </si>
  <si>
    <r>
      <t>200</t>
    </r>
    <r>
      <rPr>
        <sz val="12"/>
        <rFont val="標楷體"/>
        <family val="4"/>
        <charset val="136"/>
      </rPr>
      <t>年回歸期損失</t>
    </r>
    <r>
      <rPr>
        <sz val="12"/>
        <rFont val="Times New Roman"/>
        <family val="1"/>
      </rPr>
      <t>(‰)</t>
    </r>
    <phoneticPr fontId="9" type="noConversion"/>
  </si>
  <si>
    <t>Layer</t>
  </si>
  <si>
    <t>Z13</t>
    <phoneticPr fontId="9" type="noConversion"/>
  </si>
  <si>
    <t>Z14</t>
    <phoneticPr fontId="9" type="noConversion"/>
  </si>
  <si>
    <t>RP</t>
  </si>
  <si>
    <t>工程險非比例層
調整係數(200RP)</t>
    <phoneticPr fontId="9" type="noConversion"/>
  </si>
  <si>
    <t>火險非比例層
調整係數(200RP)</t>
    <phoneticPr fontId="9" type="noConversion"/>
  </si>
  <si>
    <t>工程險非比例層調整後
簽單責任額(200RP)
(NTD)</t>
    <phoneticPr fontId="9" type="noConversion"/>
  </si>
  <si>
    <t>火險非比例層調整後
簽單責任額(200RP)
(NTD)</t>
    <phoneticPr fontId="9" type="noConversion"/>
  </si>
  <si>
    <t>工程險非比例層調整後
自留責任額(200RP)
(NTD)</t>
    <phoneticPr fontId="9" type="noConversion"/>
  </si>
  <si>
    <t>火險非比例層調整後
自留責任額(200RP)
(NTD)</t>
    <phoneticPr fontId="9" type="noConversion"/>
  </si>
  <si>
    <t>L3</t>
  </si>
  <si>
    <t>L4</t>
  </si>
  <si>
    <t>L5</t>
  </si>
  <si>
    <r>
      <rPr>
        <b/>
        <sz val="12"/>
        <rFont val="標楷體"/>
        <family val="4"/>
        <charset val="136"/>
      </rPr>
      <t>單位</t>
    </r>
    <r>
      <rPr>
        <b/>
        <sz val="12"/>
        <rFont val="Times New Roman"/>
        <family val="1"/>
      </rPr>
      <t xml:space="preserve">: </t>
    </r>
    <r>
      <rPr>
        <b/>
        <sz val="12"/>
        <rFont val="標楷體"/>
        <family val="4"/>
        <charset val="136"/>
      </rPr>
      <t>新台幣元</t>
    </r>
    <phoneticPr fontId="101" type="noConversion"/>
  </si>
  <si>
    <r>
      <rPr>
        <b/>
        <sz val="12"/>
        <rFont val="標楷體"/>
        <family val="4"/>
        <charset val="136"/>
      </rPr>
      <t>地震</t>
    </r>
    <phoneticPr fontId="101" type="noConversion"/>
  </si>
  <si>
    <r>
      <rPr>
        <b/>
        <sz val="12"/>
        <rFont val="標楷體"/>
        <family val="4"/>
        <charset val="136"/>
      </rPr>
      <t>颱風洪水</t>
    </r>
    <phoneticPr fontId="101" type="noConversion"/>
  </si>
  <si>
    <r>
      <rPr>
        <b/>
        <sz val="12"/>
        <rFont val="標楷體"/>
        <family val="4"/>
        <charset val="136"/>
      </rPr>
      <t>營造綜合保險</t>
    </r>
    <phoneticPr fontId="101" type="noConversion"/>
  </si>
  <si>
    <r>
      <rPr>
        <b/>
        <sz val="12"/>
        <rFont val="標楷體"/>
        <family val="4"/>
        <charset val="136"/>
      </rPr>
      <t>安裝工程
綜合保險</t>
    </r>
    <phoneticPr fontId="101" type="noConversion"/>
  </si>
  <si>
    <r>
      <rPr>
        <b/>
        <sz val="12"/>
        <rFont val="標楷體"/>
        <family val="4"/>
        <charset val="136"/>
      </rPr>
      <t>營建機具
綜合保險</t>
    </r>
    <phoneticPr fontId="101" type="noConversion"/>
  </si>
  <si>
    <r>
      <rPr>
        <b/>
        <sz val="12"/>
        <rFont val="標楷體"/>
        <family val="4"/>
        <charset val="136"/>
      </rPr>
      <t>鍋爐保險</t>
    </r>
    <phoneticPr fontId="101" type="noConversion"/>
  </si>
  <si>
    <r>
      <rPr>
        <b/>
        <sz val="12"/>
        <rFont val="標楷體"/>
        <family val="4"/>
        <charset val="136"/>
      </rPr>
      <t>機械保險</t>
    </r>
    <phoneticPr fontId="101" type="noConversion"/>
  </si>
  <si>
    <r>
      <rPr>
        <b/>
        <sz val="12"/>
        <rFont val="標楷體"/>
        <family val="4"/>
        <charset val="136"/>
      </rPr>
      <t>電子設備保險</t>
    </r>
    <phoneticPr fontId="101" type="noConversion"/>
  </si>
  <si>
    <r>
      <rPr>
        <b/>
        <sz val="12"/>
        <rFont val="標楷體"/>
        <family val="4"/>
        <charset val="136"/>
      </rPr>
      <t>其他</t>
    </r>
    <phoneticPr fontId="101" type="noConversion"/>
  </si>
  <si>
    <r>
      <rPr>
        <b/>
        <sz val="12"/>
        <rFont val="標楷體"/>
        <family val="4"/>
        <charset val="136"/>
      </rPr>
      <t>單位</t>
    </r>
    <r>
      <rPr>
        <b/>
        <sz val="12"/>
        <rFont val="Times New Roman"/>
        <family val="1"/>
      </rPr>
      <t>:</t>
    </r>
    <r>
      <rPr>
        <b/>
        <sz val="12"/>
        <rFont val="標楷體"/>
        <family val="4"/>
        <charset val="136"/>
      </rPr>
      <t>新台幣元</t>
    </r>
    <phoneticPr fontId="101" type="noConversion"/>
  </si>
  <si>
    <r>
      <rPr>
        <b/>
        <sz val="12"/>
        <rFont val="標楷體"/>
        <family val="4"/>
        <charset val="136"/>
      </rPr>
      <t>保險類別</t>
    </r>
    <phoneticPr fontId="101" type="noConversion"/>
  </si>
  <si>
    <t>特殊業務比例層保額
營造綜合保險</t>
    <phoneticPr fontId="101" type="noConversion"/>
  </si>
  <si>
    <t>特殊業務非比例層保額分配額
營造綜合保險</t>
    <phoneticPr fontId="101" type="noConversion"/>
  </si>
  <si>
    <t>特殊業務比例層保額
安裝工程綜合保險</t>
    <phoneticPr fontId="101" type="noConversion"/>
  </si>
  <si>
    <t>特殊業務非比例層保額分配額
安裝工程綜合保險</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</si>
  <si>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地震</t>
    </r>
    <r>
      <rPr>
        <sz val="12"/>
        <color indexed="8"/>
        <rFont val="Times New Roman"/>
        <family val="1"/>
      </rPr>
      <t xml:space="preserve"> </t>
    </r>
    <phoneticPr fontId="9" type="noConversion"/>
  </si>
  <si>
    <r>
      <rPr>
        <sz val="12"/>
        <color indexed="8"/>
        <rFont val="標楷體"/>
        <family val="4"/>
        <charset val="136"/>
      </rPr>
      <t>營造綜合保險</t>
    </r>
  </si>
  <si>
    <r>
      <rPr>
        <sz val="12"/>
        <color indexed="8"/>
        <rFont val="標楷體"/>
        <family val="4"/>
        <charset val="136"/>
      </rPr>
      <t>自負額</t>
    </r>
    <r>
      <rPr>
        <sz val="12"/>
        <color indexed="8"/>
        <rFont val="Times New Roman"/>
        <family val="1"/>
      </rPr>
      <t>(10%</t>
    </r>
    <r>
      <rPr>
        <sz val="12"/>
        <color indexed="8"/>
        <rFont val="標楷體"/>
        <family val="4"/>
        <charset val="136"/>
      </rPr>
      <t>損失</t>
    </r>
    <r>
      <rPr>
        <sz val="12"/>
        <color indexed="8"/>
        <rFont val="Times New Roman"/>
        <family val="1"/>
      </rPr>
      <t xml:space="preserve">), </t>
    </r>
    <r>
      <rPr>
        <sz val="12"/>
        <color indexed="8"/>
        <rFont val="標楷體"/>
        <family val="4"/>
        <charset val="136"/>
      </rPr>
      <t>限額</t>
    </r>
    <r>
      <rPr>
        <sz val="12"/>
        <color indexed="8"/>
        <rFont val="Times New Roman"/>
        <family val="1"/>
      </rPr>
      <t>(60%</t>
    </r>
    <r>
      <rPr>
        <sz val="12"/>
        <color indexed="8"/>
        <rFont val="標楷體"/>
        <family val="4"/>
        <charset val="136"/>
      </rPr>
      <t>保額</t>
    </r>
    <r>
      <rPr>
        <sz val="12"/>
        <color indexed="8"/>
        <rFont val="Times New Roman"/>
        <family val="1"/>
      </rPr>
      <t>)</t>
    </r>
    <phoneticPr fontId="9" type="noConversion"/>
  </si>
  <si>
    <r>
      <rPr>
        <sz val="12"/>
        <color indexed="8"/>
        <rFont val="標楷體"/>
        <family val="4"/>
        <charset val="136"/>
      </rPr>
      <t>安裝工程綜合保險</t>
    </r>
  </si>
  <si>
    <r>
      <rPr>
        <sz val="12"/>
        <color indexed="8"/>
        <rFont val="標楷體"/>
        <family val="4"/>
        <charset val="136"/>
      </rPr>
      <t>損失率</t>
    </r>
    <r>
      <rPr>
        <sz val="12"/>
        <color indexed="8"/>
        <rFont val="Times New Roman"/>
        <family val="1"/>
      </rPr>
      <t>-AAL</t>
    </r>
    <r>
      <rPr>
        <sz val="12"/>
        <color indexed="8"/>
        <rFont val="Times New Roman"/>
        <family val="1"/>
      </rPr>
      <t xml:space="preserve"> (‰)</t>
    </r>
    <phoneticPr fontId="9" type="noConversion"/>
  </si>
  <si>
    <r>
      <rPr>
        <sz val="12"/>
        <color indexed="8"/>
        <rFont val="標楷體"/>
        <family val="4"/>
        <charset val="136"/>
      </rPr>
      <t>保險分區</t>
    </r>
  </si>
  <si>
    <r>
      <rPr>
        <sz val="12"/>
        <color indexed="8"/>
        <rFont val="標楷體"/>
        <family val="4"/>
        <charset val="136"/>
      </rPr>
      <t>平均損
失率</t>
    </r>
    <r>
      <rPr>
        <sz val="12"/>
        <color indexed="8"/>
        <rFont val="Times New Roman"/>
        <family val="1"/>
      </rPr>
      <t>(‰)</t>
    </r>
  </si>
  <si>
    <r>
      <rPr>
        <sz val="12"/>
        <color indexed="8"/>
        <rFont val="標楷體"/>
        <family val="4"/>
        <charset val="136"/>
      </rPr>
      <t>迴歸期</t>
    </r>
    <r>
      <rPr>
        <sz val="12"/>
        <color indexed="8"/>
        <rFont val="Times New Roman"/>
        <family val="1"/>
      </rPr>
      <t>20</t>
    </r>
    <r>
      <rPr>
        <sz val="12"/>
        <color indexed="8"/>
        <rFont val="標楷體"/>
        <family val="4"/>
        <charset val="136"/>
      </rPr>
      <t>年</t>
    </r>
  </si>
  <si>
    <r>
      <rPr>
        <sz val="12"/>
        <color indexed="8"/>
        <rFont val="標楷體"/>
        <family val="4"/>
        <charset val="136"/>
      </rPr>
      <t>迴歸期</t>
    </r>
    <r>
      <rPr>
        <sz val="12"/>
        <color indexed="8"/>
        <rFont val="Times New Roman"/>
        <family val="1"/>
      </rPr>
      <t>50</t>
    </r>
    <r>
      <rPr>
        <sz val="12"/>
        <color indexed="8"/>
        <rFont val="標楷體"/>
        <family val="4"/>
        <charset val="136"/>
      </rPr>
      <t>年</t>
    </r>
  </si>
  <si>
    <r>
      <rPr>
        <sz val="12"/>
        <color indexed="8"/>
        <rFont val="標楷體"/>
        <family val="4"/>
        <charset val="136"/>
      </rPr>
      <t>迴歸期</t>
    </r>
    <r>
      <rPr>
        <sz val="12"/>
        <color indexed="8"/>
        <rFont val="Times New Roman"/>
        <family val="1"/>
      </rPr>
      <t>100</t>
    </r>
    <r>
      <rPr>
        <sz val="12"/>
        <color indexed="8"/>
        <rFont val="標楷體"/>
        <family val="4"/>
        <charset val="136"/>
      </rPr>
      <t>年</t>
    </r>
  </si>
  <si>
    <r>
      <rPr>
        <sz val="12"/>
        <color indexed="8"/>
        <rFont val="標楷體"/>
        <family val="4"/>
        <charset val="136"/>
      </rPr>
      <t>迴歸期</t>
    </r>
    <r>
      <rPr>
        <sz val="12"/>
        <color indexed="8"/>
        <rFont val="Times New Roman"/>
        <family val="1"/>
      </rPr>
      <t>200</t>
    </r>
    <r>
      <rPr>
        <sz val="12"/>
        <color indexed="8"/>
        <rFont val="標楷體"/>
        <family val="4"/>
        <charset val="136"/>
      </rPr>
      <t>年</t>
    </r>
  </si>
  <si>
    <r>
      <rPr>
        <sz val="12"/>
        <color indexed="8"/>
        <rFont val="標楷體"/>
        <family val="4"/>
        <charset val="136"/>
      </rPr>
      <t>台北</t>
    </r>
  </si>
  <si>
    <r>
      <rPr>
        <sz val="12"/>
        <color indexed="8"/>
        <rFont val="標楷體"/>
        <family val="4"/>
        <charset val="136"/>
      </rPr>
      <t>新北基隆</t>
    </r>
  </si>
  <si>
    <r>
      <rPr>
        <sz val="12"/>
        <color indexed="8"/>
        <rFont val="標楷體"/>
        <family val="4"/>
        <charset val="136"/>
      </rPr>
      <t>桃園</t>
    </r>
  </si>
  <si>
    <r>
      <rPr>
        <sz val="12"/>
        <color indexed="8"/>
        <rFont val="標楷體"/>
        <family val="4"/>
        <charset val="136"/>
      </rPr>
      <t>新竹</t>
    </r>
  </si>
  <si>
    <r>
      <rPr>
        <sz val="12"/>
        <color indexed="8"/>
        <rFont val="標楷體"/>
        <family val="4"/>
        <charset val="136"/>
      </rPr>
      <t>苗栗</t>
    </r>
  </si>
  <si>
    <r>
      <rPr>
        <sz val="12"/>
        <color indexed="8"/>
        <rFont val="標楷體"/>
        <family val="4"/>
        <charset val="136"/>
      </rPr>
      <t>台中</t>
    </r>
  </si>
  <si>
    <r>
      <rPr>
        <sz val="12"/>
        <color indexed="8"/>
        <rFont val="標楷體"/>
        <family val="4"/>
        <charset val="136"/>
      </rPr>
      <t>南投</t>
    </r>
  </si>
  <si>
    <r>
      <rPr>
        <sz val="12"/>
        <color indexed="8"/>
        <rFont val="標楷體"/>
        <family val="4"/>
        <charset val="136"/>
      </rPr>
      <t>彰化</t>
    </r>
  </si>
  <si>
    <r>
      <rPr>
        <sz val="12"/>
        <color indexed="8"/>
        <rFont val="標楷體"/>
        <family val="4"/>
        <charset val="136"/>
      </rPr>
      <t>雲林</t>
    </r>
  </si>
  <si>
    <r>
      <rPr>
        <sz val="12"/>
        <color indexed="8"/>
        <rFont val="標楷體"/>
        <family val="4"/>
        <charset val="136"/>
      </rPr>
      <t>嘉義台南</t>
    </r>
  </si>
  <si>
    <r>
      <rPr>
        <sz val="12"/>
        <color indexed="8"/>
        <rFont val="標楷體"/>
        <family val="4"/>
        <charset val="136"/>
      </rPr>
      <t>高雄屏東</t>
    </r>
  </si>
  <si>
    <r>
      <rPr>
        <sz val="12"/>
        <color indexed="8"/>
        <rFont val="標楷體"/>
        <family val="4"/>
        <charset val="136"/>
      </rPr>
      <t>花蓮台東</t>
    </r>
  </si>
  <si>
    <r>
      <rPr>
        <sz val="12"/>
        <color indexed="8"/>
        <rFont val="標楷體"/>
        <family val="4"/>
        <charset val="136"/>
      </rPr>
      <t>宜蘭</t>
    </r>
  </si>
  <si>
    <r>
      <rPr>
        <sz val="12"/>
        <color indexed="8"/>
        <rFont val="標楷體"/>
        <family val="4"/>
        <charset val="136"/>
      </rPr>
      <t>離島</t>
    </r>
  </si>
  <si>
    <r>
      <rPr>
        <sz val="12"/>
        <color indexed="8"/>
        <rFont val="標楷體"/>
        <family val="4"/>
        <charset val="136"/>
      </rPr>
      <t>全區</t>
    </r>
  </si>
  <si>
    <r>
      <rPr>
        <sz val="12"/>
        <color indexed="8"/>
        <rFont val="標楷體"/>
        <family val="4"/>
        <charset val="136"/>
      </rPr>
      <t>電子設備綜合保險</t>
    </r>
  </si>
  <si>
    <r>
      <rPr>
        <sz val="12"/>
        <color indexed="8"/>
        <rFont val="標楷體"/>
        <family val="4"/>
        <charset val="136"/>
      </rPr>
      <t>機械保險</t>
    </r>
  </si>
  <si>
    <r>
      <rPr>
        <sz val="12"/>
        <color indexed="8"/>
        <rFont val="標楷體"/>
        <family val="4"/>
        <charset val="136"/>
      </rPr>
      <t>營建機具綜合保險</t>
    </r>
  </si>
  <si>
    <r>
      <rPr>
        <sz val="12"/>
        <color indexed="8"/>
        <rFont val="標楷體"/>
        <family val="4"/>
        <charset val="136"/>
      </rPr>
      <t>鍋爐保險</t>
    </r>
  </si>
  <si>
    <r>
      <rPr>
        <b/>
        <sz val="12"/>
        <rFont val="標楷體"/>
        <family val="4"/>
        <charset val="136"/>
      </rPr>
      <t>其它</t>
    </r>
    <phoneticPr fontId="101" type="noConversion"/>
  </si>
  <si>
    <r>
      <rPr>
        <sz val="12"/>
        <rFont val="標楷體"/>
        <family val="4"/>
        <charset val="136"/>
      </rPr>
      <t>區域風險分散係數</t>
    </r>
    <phoneticPr fontId="101" type="noConversion"/>
  </si>
  <si>
    <t>理賠費用係數</t>
    <phoneticPr fontId="108" type="noConversion"/>
  </si>
  <si>
    <r>
      <rPr>
        <sz val="12"/>
        <rFont val="標楷體"/>
        <family val="4"/>
        <charset val="136"/>
      </rPr>
      <t>分類</t>
    </r>
    <phoneticPr fontId="108" type="noConversion"/>
  </si>
  <si>
    <r>
      <rPr>
        <sz val="12"/>
        <rFont val="標楷體"/>
        <family val="4"/>
        <charset val="136"/>
      </rPr>
      <t>年平均損失</t>
    </r>
    <r>
      <rPr>
        <sz val="12"/>
        <rFont val="Times New Roman"/>
        <family val="1"/>
      </rPr>
      <t>(‰)</t>
    </r>
    <phoneticPr fontId="101" type="noConversion"/>
  </si>
  <si>
    <r>
      <t>20</t>
    </r>
    <r>
      <rPr>
        <sz val="12"/>
        <rFont val="標楷體"/>
        <family val="4"/>
        <charset val="136"/>
      </rPr>
      <t>年回歸期損失</t>
    </r>
    <r>
      <rPr>
        <sz val="12"/>
        <rFont val="Times New Roman"/>
        <family val="1"/>
      </rPr>
      <t>(‰)</t>
    </r>
    <phoneticPr fontId="108" type="noConversion"/>
  </si>
  <si>
    <r>
      <t>50</t>
    </r>
    <r>
      <rPr>
        <sz val="12"/>
        <rFont val="標楷體"/>
        <family val="4"/>
        <charset val="136"/>
      </rPr>
      <t>年回歸期損失</t>
    </r>
    <r>
      <rPr>
        <sz val="12"/>
        <rFont val="Times New Roman"/>
        <family val="1"/>
      </rPr>
      <t>(‰)</t>
    </r>
    <phoneticPr fontId="101" type="noConversion"/>
  </si>
  <si>
    <r>
      <rPr>
        <sz val="12"/>
        <rFont val="標楷體"/>
        <family val="4"/>
        <charset val="136"/>
      </rPr>
      <t>不分貨物別</t>
    </r>
    <phoneticPr fontId="108" type="noConversion"/>
  </si>
  <si>
    <t>年平均</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</si>
  <si>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颱風洪水</t>
    </r>
    <phoneticPr fontId="9" type="noConversion"/>
  </si>
  <si>
    <t>保險分區</t>
    <phoneticPr fontId="101" type="noConversion"/>
  </si>
  <si>
    <t>保額
(億元)</t>
    <phoneticPr fontId="101" type="noConversion"/>
  </si>
  <si>
    <t>平均損
失率(‰)</t>
    <phoneticPr fontId="101" type="noConversion"/>
  </si>
  <si>
    <t>迴歸期100年</t>
    <phoneticPr fontId="101" type="noConversion"/>
  </si>
  <si>
    <t>迴歸期200年</t>
    <phoneticPr fontId="101" type="noConversion"/>
  </si>
  <si>
    <t>新北基隆</t>
    <phoneticPr fontId="101" type="noConversion"/>
  </si>
  <si>
    <t>嘉義台南</t>
    <phoneticPr fontId="101" type="noConversion"/>
  </si>
  <si>
    <t>高雄屏東</t>
    <phoneticPr fontId="101" type="noConversion"/>
  </si>
  <si>
    <t>花蓮台東</t>
    <phoneticPr fontId="101" type="noConversion"/>
  </si>
  <si>
    <r>
      <rPr>
        <b/>
        <sz val="12"/>
        <rFont val="標楷體"/>
        <family val="4"/>
        <charset val="136"/>
      </rPr>
      <t>區域風險分散係數</t>
    </r>
    <phoneticPr fontId="101" type="noConversion"/>
  </si>
  <si>
    <r>
      <rPr>
        <b/>
        <sz val="12"/>
        <rFont val="標楷體"/>
        <family val="4"/>
        <charset val="136"/>
      </rPr>
      <t>理賠費用係數</t>
    </r>
    <phoneticPr fontId="108" type="noConversion"/>
  </si>
  <si>
    <t>KEY1</t>
    <phoneticPr fontId="101" type="noConversion"/>
  </si>
  <si>
    <t>保單號碼</t>
    <phoneticPr fontId="101" type="noConversion"/>
  </si>
  <si>
    <t>險種別(註)</t>
    <phoneticPr fontId="108" type="noConversion"/>
  </si>
  <si>
    <t>分區</t>
    <phoneticPr fontId="101" type="noConversion"/>
  </si>
  <si>
    <t>Layer</t>
    <phoneticPr fontId="101" type="noConversion"/>
  </si>
  <si>
    <t>100%總曝險金額
(NTD)</t>
    <phoneticPr fontId="101" type="noConversion"/>
  </si>
  <si>
    <t>非比例層
總曝險金額
(NTD)</t>
    <phoneticPr fontId="101" type="noConversion"/>
  </si>
  <si>
    <t>比例層
簽單比例</t>
    <phoneticPr fontId="101" type="noConversion"/>
  </si>
  <si>
    <t>比例層
自留比例</t>
    <phoneticPr fontId="101" type="noConversion"/>
  </si>
  <si>
    <t>非比例層簽單佔比</t>
    <phoneticPr fontId="101" type="noConversion"/>
  </si>
  <si>
    <t>非比例層自留層佔比</t>
    <phoneticPr fontId="101" type="noConversion"/>
  </si>
  <si>
    <t>非比例層
起賠額
(NTD)</t>
    <phoneticPr fontId="101" type="noConversion"/>
  </si>
  <si>
    <t>非比例層
最高責任限額
(NTD)</t>
    <phoneticPr fontId="101" type="noConversion"/>
  </si>
  <si>
    <t>比例層
簽單曝險金額
(NTD)</t>
    <phoneticPr fontId="101" type="noConversion"/>
  </si>
  <si>
    <t>比例層
自留曝險金額
(NTD)</t>
    <phoneticPr fontId="101" type="noConversion"/>
  </si>
  <si>
    <t>非比例層
簽單責任額佔比</t>
    <phoneticPr fontId="101" type="noConversion"/>
  </si>
  <si>
    <t>非比例層
自留責任額佔比</t>
    <phoneticPr fontId="101" type="noConversion"/>
  </si>
  <si>
    <t>非比例層(起)
百分位</t>
    <phoneticPr fontId="101" type="noConversion"/>
  </si>
  <si>
    <t>非比例層(迄)
百分位</t>
    <phoneticPr fontId="101" type="noConversion"/>
  </si>
  <si>
    <r>
      <t>Sample Case A0001</t>
    </r>
    <r>
      <rPr>
        <sz val="24"/>
        <rFont val="標楷體"/>
        <family val="4"/>
        <charset val="136"/>
      </rPr>
      <t>(火險)</t>
    </r>
    <phoneticPr fontId="101" type="noConversion"/>
  </si>
  <si>
    <r>
      <t>Sample Case A0002</t>
    </r>
    <r>
      <rPr>
        <sz val="24"/>
        <rFont val="標楷體"/>
        <family val="4"/>
        <charset val="136"/>
      </rPr>
      <t>(工程_營造綜合)</t>
    </r>
    <phoneticPr fontId="101" type="noConversion"/>
  </si>
  <si>
    <r>
      <t>Sample Case A0003</t>
    </r>
    <r>
      <rPr>
        <sz val="24"/>
        <rFont val="標楷體"/>
        <family val="4"/>
        <charset val="136"/>
      </rPr>
      <t>(工程_安裝工程)</t>
    </r>
    <phoneticPr fontId="101" type="noConversion"/>
  </si>
  <si>
    <r>
      <rPr>
        <b/>
        <sz val="12"/>
        <rFont val="標楷體"/>
        <family val="4"/>
        <charset val="136"/>
      </rPr>
      <t>簽單責任額</t>
    </r>
    <phoneticPr fontId="101" type="noConversion"/>
  </si>
  <si>
    <r>
      <rPr>
        <b/>
        <sz val="12"/>
        <rFont val="標楷體"/>
        <family val="4"/>
        <charset val="136"/>
      </rPr>
      <t>自留責任額</t>
    </r>
    <phoneticPr fontId="101" type="noConversion"/>
  </si>
  <si>
    <r>
      <rPr>
        <b/>
        <sz val="12"/>
        <rFont val="標楷體"/>
        <family val="4"/>
        <charset val="136"/>
      </rPr>
      <t>其他公司份額</t>
    </r>
    <phoneticPr fontId="101" type="noConversion"/>
  </si>
  <si>
    <r>
      <t>A</t>
    </r>
    <r>
      <rPr>
        <b/>
        <sz val="12"/>
        <rFont val="標楷體"/>
        <family val="4"/>
        <charset val="136"/>
      </rPr>
      <t>公司簽單份額</t>
    </r>
    <r>
      <rPr>
        <b/>
        <sz val="12"/>
        <rFont val="Times New Roman"/>
        <family val="1"/>
      </rPr>
      <t>(15%)</t>
    </r>
    <phoneticPr fontId="101" type="noConversion"/>
  </si>
  <si>
    <t>95B</t>
    <phoneticPr fontId="101" type="noConversion"/>
  </si>
  <si>
    <t>A0001</t>
    <phoneticPr fontId="101" type="noConversion"/>
  </si>
  <si>
    <t>F</t>
    <phoneticPr fontId="108" type="noConversion"/>
  </si>
  <si>
    <t>QS</t>
    <phoneticPr fontId="101" type="noConversion"/>
  </si>
  <si>
    <t>QS
RET
2%</t>
    <phoneticPr fontId="101" type="noConversion"/>
  </si>
  <si>
    <t>QS
Fac
1.5%</t>
    <phoneticPr fontId="101" type="noConversion"/>
  </si>
  <si>
    <t>90B XS 5B
11.5% Fac</t>
    <phoneticPr fontId="101" type="noConversion"/>
  </si>
  <si>
    <t>75B XS 20B
11.5% Fac</t>
    <phoneticPr fontId="101" type="noConversion"/>
  </si>
  <si>
    <t>XL
RET
75B XS 20B
5.5%</t>
    <phoneticPr fontId="101" type="noConversion"/>
  </si>
  <si>
    <t>XL RET 
25B XS 70B 1.75%</t>
    <phoneticPr fontId="101" type="noConversion"/>
  </si>
  <si>
    <t>XL
Fac</t>
    <phoneticPr fontId="101" type="noConversion"/>
  </si>
  <si>
    <t>L1</t>
    <phoneticPr fontId="101" type="noConversion"/>
  </si>
  <si>
    <t>70B</t>
    <phoneticPr fontId="101" type="noConversion"/>
  </si>
  <si>
    <t>L2</t>
    <phoneticPr fontId="101" type="noConversion"/>
  </si>
  <si>
    <t>A0002</t>
    <phoneticPr fontId="101" type="noConversion"/>
  </si>
  <si>
    <t>E1</t>
    <phoneticPr fontId="108" type="noConversion"/>
  </si>
  <si>
    <t>XL RET
11.5%
1.15B</t>
    <phoneticPr fontId="101" type="noConversion"/>
  </si>
  <si>
    <t>20B</t>
    <phoneticPr fontId="101" type="noConversion"/>
  </si>
  <si>
    <t>12B</t>
    <phoneticPr fontId="101" type="noConversion"/>
  </si>
  <si>
    <t>5B XS 5B
11.5% Fac</t>
    <phoneticPr fontId="101" type="noConversion"/>
  </si>
  <si>
    <t>10B</t>
    <phoneticPr fontId="101" type="noConversion"/>
  </si>
  <si>
    <t>XL
RET
7B XS 5B
3.5%</t>
    <phoneticPr fontId="101" type="noConversion"/>
  </si>
  <si>
    <t>8B</t>
    <phoneticPr fontId="101" type="noConversion"/>
  </si>
  <si>
    <t>A0003</t>
    <phoneticPr fontId="101" type="noConversion"/>
  </si>
  <si>
    <t>E2</t>
    <phoneticPr fontId="108" type="noConversion"/>
  </si>
  <si>
    <t>5B</t>
    <phoneticPr fontId="101" type="noConversion"/>
  </si>
  <si>
    <t>XL Fac
7.25%
362.5M</t>
    <phoneticPr fontId="101" type="noConversion"/>
  </si>
  <si>
    <t>XL RET
4.25%
212.5M</t>
    <phoneticPr fontId="101" type="noConversion"/>
  </si>
  <si>
    <t>XL 
RET
7.25%</t>
    <phoneticPr fontId="101" type="noConversion"/>
  </si>
  <si>
    <t>QS 3.5%</t>
    <phoneticPr fontId="101" type="noConversion"/>
  </si>
  <si>
    <t>XOL 11.5%</t>
    <phoneticPr fontId="101" type="noConversion"/>
  </si>
  <si>
    <t>0B</t>
    <phoneticPr fontId="101" type="noConversion"/>
  </si>
  <si>
    <t>XL RET 25B XS 20B 7.25%</t>
    <phoneticPr fontId="101" type="noConversion"/>
  </si>
  <si>
    <t>XL RET 
50B XS 20B 5.5%</t>
    <phoneticPr fontId="101" type="noConversion"/>
  </si>
  <si>
    <t>XLRET
7B XS 5B
3.5%</t>
    <phoneticPr fontId="101" type="noConversion"/>
  </si>
  <si>
    <t>XL RET
7.25%</t>
    <phoneticPr fontId="101" type="noConversion"/>
  </si>
  <si>
    <t>工程險簽單與國內分進業務地震損失評估</t>
    <phoneticPr fontId="9" type="noConversion"/>
  </si>
  <si>
    <t>工程險自留業務地震損失評估</t>
    <phoneticPr fontId="9" type="noConversion"/>
  </si>
  <si>
    <t>工程險簽單與國內分進業務颱洪損失評估</t>
    <phoneticPr fontId="9" type="noConversion"/>
  </si>
  <si>
    <t>工程險自留業務颱洪損失評估</t>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</si>
  <si>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t>
    </r>
    <phoneticPr fontId="9" type="noConversion"/>
  </si>
  <si>
    <r>
      <rPr>
        <sz val="12"/>
        <color indexed="8"/>
        <rFont val="標楷體"/>
        <family val="4"/>
        <charset val="136"/>
      </rPr>
      <t>單位：新台幣元</t>
    </r>
    <r>
      <rPr>
        <sz val="12"/>
        <color indexed="8"/>
        <rFont val="Times New Roman"/>
        <family val="1"/>
      </rPr>
      <t>,%</t>
    </r>
    <phoneticPr fontId="7" type="noConversion"/>
  </si>
  <si>
    <r>
      <rPr>
        <b/>
        <sz val="12"/>
        <color indexed="8"/>
        <rFont val="標楷體"/>
        <family val="4"/>
        <charset val="136"/>
      </rPr>
      <t>列號</t>
    </r>
    <phoneticPr fontId="9" type="noConversion"/>
  </si>
  <si>
    <r>
      <rPr>
        <b/>
        <sz val="12"/>
        <color indexed="8"/>
        <rFont val="標楷體"/>
        <family val="4"/>
        <charset val="136"/>
      </rPr>
      <t>資金運用類別</t>
    </r>
    <phoneticPr fontId="9" type="noConversion"/>
  </si>
  <si>
    <r>
      <rPr>
        <b/>
        <sz val="12"/>
        <color indexed="8"/>
        <rFont val="標楷體"/>
        <family val="4"/>
        <charset val="136"/>
      </rPr>
      <t>本期</t>
    </r>
    <phoneticPr fontId="9" type="noConversion"/>
  </si>
  <si>
    <r>
      <rPr>
        <b/>
        <sz val="12"/>
        <color indexed="8"/>
        <rFont val="標楷體"/>
        <family val="4"/>
        <charset val="136"/>
      </rPr>
      <t>上期</t>
    </r>
    <phoneticPr fontId="9" type="noConversion"/>
  </si>
  <si>
    <r>
      <rPr>
        <b/>
        <sz val="12"/>
        <color indexed="8"/>
        <rFont val="標楷體"/>
        <family val="4"/>
        <charset val="136"/>
      </rPr>
      <t>比較增減</t>
    </r>
    <phoneticPr fontId="9" type="noConversion"/>
  </si>
  <si>
    <r>
      <rPr>
        <b/>
        <sz val="12"/>
        <color indexed="8"/>
        <rFont val="標楷體"/>
        <family val="4"/>
        <charset val="136"/>
      </rPr>
      <t>帳載金額</t>
    </r>
  </si>
  <si>
    <r>
      <rPr>
        <b/>
        <sz val="12"/>
        <color indexed="8"/>
        <rFont val="標楷體"/>
        <family val="4"/>
        <charset val="136"/>
      </rPr>
      <t>占資金來源比率</t>
    </r>
    <phoneticPr fontId="7" type="noConversion"/>
  </si>
  <si>
    <r>
      <rPr>
        <b/>
        <sz val="12"/>
        <color indexed="8"/>
        <rFont val="標楷體"/>
        <family val="4"/>
        <charset val="136"/>
      </rPr>
      <t>非認許資產</t>
    </r>
    <phoneticPr fontId="9" type="noConversion"/>
  </si>
  <si>
    <r>
      <rPr>
        <b/>
        <sz val="12"/>
        <color indexed="8"/>
        <rFont val="標楷體"/>
        <family val="4"/>
        <charset val="136"/>
      </rPr>
      <t>淨認許資產</t>
    </r>
    <phoneticPr fontId="9" type="noConversion"/>
  </si>
  <si>
    <r>
      <rPr>
        <b/>
        <sz val="12"/>
        <color indexed="8"/>
        <rFont val="標楷體"/>
        <family val="4"/>
        <charset val="136"/>
      </rPr>
      <t>帳載金額</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</si>
  <si>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8)</t>
    </r>
    <phoneticPr fontId="9" type="noConversion"/>
  </si>
  <si>
    <r>
      <rPr>
        <sz val="12"/>
        <color indexed="8"/>
        <rFont val="標楷體"/>
        <family val="4"/>
        <charset val="136"/>
      </rPr>
      <t>現金及銀行存款</t>
    </r>
    <r>
      <rPr>
        <sz val="9"/>
        <rFont val="Times New Roman"/>
        <family val="1"/>
      </rPr>
      <t/>
    </r>
    <phoneticPr fontId="9" type="noConversion"/>
  </si>
  <si>
    <r>
      <rPr>
        <sz val="12"/>
        <color indexed="8"/>
        <rFont val="標楷體"/>
        <family val="4"/>
        <charset val="136"/>
      </rPr>
      <t>一、現金</t>
    </r>
    <phoneticPr fontId="9" type="noConversion"/>
  </si>
  <si>
    <r>
      <rPr>
        <sz val="12"/>
        <color indexed="8"/>
        <rFont val="標楷體"/>
        <family val="4"/>
        <charset val="136"/>
      </rPr>
      <t>二、非關係金融機構銀行存款</t>
    </r>
    <phoneticPr fontId="9" type="noConversion"/>
  </si>
  <si>
    <r>
      <rPr>
        <sz val="12"/>
        <color indexed="8"/>
        <rFont val="標楷體"/>
        <family val="4"/>
        <charset val="136"/>
      </rPr>
      <t>三、關係金融機構銀行存款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</si>
  <si>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</si>
  <si>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7" type="noConversion"/>
  </si>
  <si>
    <r>
      <rPr>
        <sz val="12"/>
        <color indexed="8"/>
        <rFont val="標楷體"/>
        <family val="4"/>
        <charset val="136"/>
      </rPr>
      <t>現金及銀行存款合計</t>
    </r>
    <phoneticPr fontId="9" type="noConversion"/>
  </si>
  <si>
    <r>
      <rPr>
        <sz val="12"/>
        <color indexed="8"/>
        <rFont val="標楷體"/>
        <family val="4"/>
        <charset val="136"/>
      </rPr>
      <t>有價證券</t>
    </r>
  </si>
  <si>
    <r>
      <rPr>
        <sz val="12"/>
        <color indexed="8"/>
        <rFont val="標楷體"/>
        <family val="4"/>
        <charset val="136"/>
      </rPr>
      <t xml:space="preserve">一、公債、國庫券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條之一第一項第一款</t>
    </r>
    <r>
      <rPr>
        <sz val="12"/>
        <color indexed="8"/>
        <rFont val="Times New Roman"/>
        <family val="1"/>
      </rPr>
      <t>)</t>
    </r>
    <phoneticPr fontId="9" type="noConversion"/>
  </si>
  <si>
    <r>
      <rPr>
        <sz val="12"/>
        <color indexed="8"/>
        <rFont val="標楷體"/>
        <family val="4"/>
        <charset val="136"/>
      </rPr>
      <t xml:space="preserve">二、金融債券及其他經主管機關核准購買之有價證券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第一項第二款及第六款</t>
    </r>
    <r>
      <rPr>
        <sz val="12"/>
        <color indexed="8"/>
        <rFont val="Times New Roman"/>
        <family val="1"/>
      </rPr>
      <t>)</t>
    </r>
  </si>
  <si>
    <r>
      <t>(</t>
    </r>
    <r>
      <rPr>
        <sz val="12"/>
        <color indexed="8"/>
        <rFont val="標楷體"/>
        <family val="4"/>
        <charset val="136"/>
      </rPr>
      <t>一</t>
    </r>
    <r>
      <rPr>
        <sz val="12"/>
        <color indexed="8"/>
        <rFont val="Times New Roman"/>
        <family val="1"/>
      </rPr>
      <t>)</t>
    </r>
    <r>
      <rPr>
        <sz val="12"/>
        <color indexed="8"/>
        <rFont val="標楷體"/>
        <family val="4"/>
        <charset val="136"/>
      </rPr>
      <t>非關係人</t>
    </r>
  </si>
  <si>
    <r>
      <t>1</t>
    </r>
    <r>
      <rPr>
        <sz val="12"/>
        <color indexed="8"/>
        <rFont val="標楷體"/>
        <family val="4"/>
        <charset val="136"/>
      </rPr>
      <t>、金融債券</t>
    </r>
  </si>
  <si>
    <r>
      <t>2</t>
    </r>
    <r>
      <rPr>
        <sz val="12"/>
        <color indexed="8"/>
        <rFont val="標楷體"/>
        <family val="4"/>
        <charset val="136"/>
      </rPr>
      <t>、可轉讓定期存單</t>
    </r>
  </si>
  <si>
    <r>
      <t>3</t>
    </r>
    <r>
      <rPr>
        <sz val="12"/>
        <color indexed="8"/>
        <rFont val="標楷體"/>
        <family val="4"/>
        <charset val="136"/>
      </rPr>
      <t>、銀行承兌匯票</t>
    </r>
  </si>
  <si>
    <r>
      <t>4</t>
    </r>
    <r>
      <rPr>
        <sz val="12"/>
        <color indexed="8"/>
        <rFont val="標楷體"/>
        <family val="4"/>
        <charset val="136"/>
      </rPr>
      <t>、金融機構保證商業本票</t>
    </r>
  </si>
  <si>
    <r>
      <t>5</t>
    </r>
    <r>
      <rPr>
        <sz val="12"/>
        <color indexed="8"/>
        <rFont val="標楷體"/>
        <family val="4"/>
        <charset val="136"/>
      </rPr>
      <t>、附買回條件之債券投資</t>
    </r>
  </si>
  <si>
    <r>
      <t>6</t>
    </r>
    <r>
      <rPr>
        <sz val="12"/>
        <color indexed="8"/>
        <rFont val="標楷體"/>
        <family val="4"/>
        <charset val="136"/>
      </rPr>
      <t>、不動產受益證劵</t>
    </r>
  </si>
  <si>
    <r>
      <t>7</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</si>
  <si>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8</t>
    </r>
    <r>
      <rPr>
        <sz val="12"/>
        <color indexed="8"/>
        <rFont val="標楷體"/>
        <family val="4"/>
        <charset val="136"/>
      </rPr>
      <t>、</t>
    </r>
    <r>
      <rPr>
        <sz val="12"/>
        <color indexed="8"/>
        <rFont val="Times New Roman"/>
        <family val="1"/>
      </rPr>
      <t>ETF-</t>
    </r>
    <r>
      <rPr>
        <sz val="12"/>
        <color indexed="8"/>
        <rFont val="標楷體"/>
        <family val="4"/>
        <charset val="136"/>
      </rPr>
      <t>股票型</t>
    </r>
  </si>
  <si>
    <r>
      <t>9</t>
    </r>
    <r>
      <rPr>
        <sz val="12"/>
        <color indexed="8"/>
        <rFont val="標楷體"/>
        <family val="4"/>
        <charset val="136"/>
      </rPr>
      <t>、</t>
    </r>
    <r>
      <rPr>
        <sz val="12"/>
        <color indexed="8"/>
        <rFont val="Times New Roman"/>
        <family val="1"/>
      </rPr>
      <t>ETF-</t>
    </r>
    <r>
      <rPr>
        <sz val="12"/>
        <color indexed="8"/>
        <rFont val="標楷體"/>
        <family val="4"/>
        <charset val="136"/>
      </rPr>
      <t>債券型</t>
    </r>
  </si>
  <si>
    <r>
      <t>10</t>
    </r>
    <r>
      <rPr>
        <sz val="12"/>
        <color indexed="8"/>
        <rFont val="標楷體"/>
        <family val="4"/>
        <charset val="136"/>
      </rPr>
      <t>、</t>
    </r>
    <r>
      <rPr>
        <sz val="12"/>
        <color indexed="8"/>
        <rFont val="Times New Roman"/>
        <family val="1"/>
      </rPr>
      <t>ETF-</t>
    </r>
    <r>
      <rPr>
        <sz val="12"/>
        <color indexed="8"/>
        <rFont val="標楷體"/>
        <family val="4"/>
        <charset val="136"/>
      </rPr>
      <t>其他型</t>
    </r>
  </si>
  <si>
    <r>
      <t>11</t>
    </r>
    <r>
      <rPr>
        <sz val="12"/>
        <color indexed="8"/>
        <rFont val="標楷體"/>
        <family val="4"/>
        <charset val="136"/>
      </rPr>
      <t>、</t>
    </r>
    <r>
      <rPr>
        <sz val="12"/>
        <color indexed="8"/>
        <rFont val="Times New Roman"/>
        <family val="1"/>
      </rPr>
      <t>ETN</t>
    </r>
  </si>
  <si>
    <r>
      <t>12</t>
    </r>
    <r>
      <rPr>
        <sz val="12"/>
        <color indexed="8"/>
        <rFont val="標楷體"/>
        <family val="4"/>
        <charset val="136"/>
      </rPr>
      <t>、其他經核准之有價證券</t>
    </r>
  </si>
  <si>
    <r>
      <t>(</t>
    </r>
    <r>
      <rPr>
        <sz val="12"/>
        <color indexed="8"/>
        <rFont val="標楷體"/>
        <family val="4"/>
        <charset val="136"/>
      </rPr>
      <t>二</t>
    </r>
    <r>
      <rPr>
        <sz val="12"/>
        <color indexed="8"/>
        <rFont val="Times New Roman"/>
        <family val="1"/>
      </rPr>
      <t>)</t>
    </r>
    <r>
      <rPr>
        <sz val="12"/>
        <color indexed="8"/>
        <rFont val="標楷體"/>
        <family val="4"/>
        <charset val="136"/>
      </rPr>
      <t>關係人</t>
    </r>
  </si>
  <si>
    <r>
      <t>1</t>
    </r>
    <r>
      <rPr>
        <sz val="12"/>
        <color indexed="8"/>
        <rFont val="標楷體"/>
        <family val="4"/>
        <charset val="136"/>
      </rPr>
      <t>、具控制與從屬關係</t>
    </r>
  </si>
  <si>
    <r>
      <t>(1)ETF-</t>
    </r>
    <r>
      <rPr>
        <sz val="12"/>
        <color indexed="8"/>
        <rFont val="標楷體"/>
        <family val="4"/>
        <charset val="136"/>
      </rPr>
      <t>股票型</t>
    </r>
  </si>
  <si>
    <r>
      <t>(2)ETF-</t>
    </r>
    <r>
      <rPr>
        <sz val="12"/>
        <color indexed="8"/>
        <rFont val="標楷體"/>
        <family val="4"/>
        <charset val="136"/>
      </rPr>
      <t>債券型</t>
    </r>
  </si>
  <si>
    <r>
      <t>(3)ETF-</t>
    </r>
    <r>
      <rPr>
        <sz val="12"/>
        <color indexed="8"/>
        <rFont val="標楷體"/>
        <family val="4"/>
        <charset val="136"/>
      </rPr>
      <t>其他型</t>
    </r>
  </si>
  <si>
    <r>
      <t>(5)</t>
    </r>
    <r>
      <rPr>
        <sz val="12"/>
        <color indexed="8"/>
        <rFont val="標楷體"/>
        <family val="4"/>
        <charset val="136"/>
      </rPr>
      <t>其他</t>
    </r>
  </si>
  <si>
    <r>
      <t>2</t>
    </r>
    <r>
      <rPr>
        <sz val="12"/>
        <color indexed="8"/>
        <rFont val="標楷體"/>
        <family val="4"/>
        <charset val="136"/>
      </rPr>
      <t>、非控制與從屬關係</t>
    </r>
  </si>
  <si>
    <r>
      <rPr>
        <sz val="12"/>
        <color indexed="8"/>
        <rFont val="標楷體"/>
        <family val="4"/>
        <charset val="136"/>
      </rPr>
      <t xml:space="preserve">三、股票及公司債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第一項第三及第四款</t>
    </r>
    <r>
      <rPr>
        <sz val="12"/>
        <color indexed="8"/>
        <rFont val="Times New Roman"/>
        <family val="1"/>
      </rPr>
      <t>)</t>
    </r>
    <phoneticPr fontId="9" type="noConversion"/>
  </si>
  <si>
    <r>
      <t>1</t>
    </r>
    <r>
      <rPr>
        <sz val="12"/>
        <color indexed="8"/>
        <rFont val="標楷體"/>
        <family val="4"/>
        <charset val="136"/>
      </rPr>
      <t>、股票</t>
    </r>
    <phoneticPr fontId="9" type="noConversion"/>
  </si>
  <si>
    <r>
      <t>(1)</t>
    </r>
    <r>
      <rPr>
        <sz val="12"/>
        <color indexed="8"/>
        <rFont val="標楷體"/>
        <family val="4"/>
        <charset val="136"/>
      </rPr>
      <t>普通股</t>
    </r>
  </si>
  <si>
    <r>
      <t>(2)</t>
    </r>
    <r>
      <rPr>
        <sz val="12"/>
        <color indexed="8"/>
        <rFont val="標楷體"/>
        <family val="4"/>
        <charset val="136"/>
      </rPr>
      <t>特別股</t>
    </r>
  </si>
  <si>
    <r>
      <t>-</t>
    </r>
    <r>
      <rPr>
        <sz val="12"/>
        <color indexed="8"/>
        <rFont val="標楷體"/>
        <family val="4"/>
        <charset val="136"/>
      </rPr>
      <t>固定收益</t>
    </r>
  </si>
  <si>
    <r>
      <t>-</t>
    </r>
    <r>
      <rPr>
        <sz val="12"/>
        <color indexed="8"/>
        <rFont val="標楷體"/>
        <family val="4"/>
        <charset val="136"/>
      </rPr>
      <t>非固定收益</t>
    </r>
  </si>
  <si>
    <r>
      <t>2</t>
    </r>
    <r>
      <rPr>
        <sz val="12"/>
        <color indexed="8"/>
        <rFont val="標楷體"/>
        <family val="4"/>
        <charset val="136"/>
      </rPr>
      <t>、公司債</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</si>
  <si>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</si>
  <si>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</si>
  <si>
    <r>
      <t>(2)</t>
    </r>
    <r>
      <rPr>
        <sz val="12"/>
        <color indexed="8"/>
        <rFont val="標楷體"/>
        <family val="4"/>
        <charset val="136"/>
      </rPr>
      <t>非控制與從屬關係</t>
    </r>
  </si>
  <si>
    <r>
      <rPr>
        <sz val="12"/>
        <color indexed="8"/>
        <rFont val="標楷體"/>
        <family val="4"/>
        <charset val="136"/>
      </rPr>
      <t>四、受益憑證</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第一項第五款</t>
    </r>
    <r>
      <rPr>
        <sz val="12"/>
        <color indexed="8"/>
        <rFont val="Times New Roman"/>
        <family val="1"/>
      </rPr>
      <t>)</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</si>
  <si>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非關係人</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</si>
  <si>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</si>
  <si>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</si>
  <si>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</si>
  <si>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</si>
  <si>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</si>
  <si>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</si>
  <si>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</si>
  <si>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</si>
  <si>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</si>
  <si>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</si>
  <si>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</si>
  <si>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</si>
  <si>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</si>
  <si>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</si>
  <si>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</si>
  <si>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</si>
  <si>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2</t>
    </r>
    <r>
      <rPr>
        <sz val="12"/>
        <color indexed="8"/>
        <rFont val="標楷體"/>
        <family val="4"/>
        <charset val="136"/>
      </rPr>
      <t>、非控制與從屬關係</t>
    </r>
    <phoneticPr fontId="9" type="noConversion"/>
  </si>
  <si>
    <r>
      <rPr>
        <sz val="12"/>
        <color indexed="8"/>
        <rFont val="標楷體"/>
        <family val="4"/>
        <charset val="136"/>
      </rPr>
      <t>有價證券合計</t>
    </r>
  </si>
  <si>
    <r>
      <rPr>
        <sz val="12"/>
        <color indexed="8"/>
        <rFont val="標楷體"/>
        <family val="4"/>
        <charset val="136"/>
      </rPr>
      <t>不動產</t>
    </r>
  </si>
  <si>
    <r>
      <rPr>
        <sz val="12"/>
        <color indexed="8"/>
        <rFont val="標楷體"/>
        <family val="4"/>
        <charset val="136"/>
      </rPr>
      <t>一、投資非關係人不動產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</si>
  <si>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自用不動產</t>
    </r>
  </si>
  <si>
    <r>
      <t>(</t>
    </r>
    <r>
      <rPr>
        <sz val="12"/>
        <color indexed="8"/>
        <rFont val="標楷體"/>
        <family val="4"/>
        <charset val="136"/>
      </rPr>
      <t>二</t>
    </r>
    <r>
      <rPr>
        <sz val="12"/>
        <color indexed="8"/>
        <rFont val="Times New Roman"/>
        <family val="1"/>
      </rPr>
      <t>)</t>
    </r>
    <r>
      <rPr>
        <sz val="12"/>
        <color indexed="8"/>
        <rFont val="標楷體"/>
        <family val="4"/>
        <charset val="136"/>
      </rPr>
      <t>不動產投資</t>
    </r>
  </si>
  <si>
    <r>
      <t>(</t>
    </r>
    <r>
      <rPr>
        <sz val="12"/>
        <color indexed="8"/>
        <rFont val="標楷體"/>
        <family val="4"/>
        <charset val="136"/>
      </rPr>
      <t>三</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協議取得</t>
    </r>
  </si>
  <si>
    <r>
      <t>(</t>
    </r>
    <r>
      <rPr>
        <sz val="12"/>
        <color indexed="8"/>
        <rFont val="標楷體"/>
        <family val="4"/>
        <charset val="136"/>
      </rPr>
      <t>四</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經法院拍賣取得</t>
    </r>
  </si>
  <si>
    <r>
      <t>(</t>
    </r>
    <r>
      <rPr>
        <sz val="12"/>
        <color indexed="8"/>
        <rFont val="標楷體"/>
        <family val="4"/>
        <charset val="136"/>
      </rPr>
      <t>五</t>
    </r>
    <r>
      <rPr>
        <sz val="12"/>
        <color indexed="8"/>
        <rFont val="Times New Roman"/>
        <family val="1"/>
      </rPr>
      <t>)</t>
    </r>
    <r>
      <rPr>
        <sz val="12"/>
        <color indexed="8"/>
        <rFont val="標楷體"/>
        <family val="4"/>
        <charset val="136"/>
      </rPr>
      <t>預付房地款</t>
    </r>
  </si>
  <si>
    <r>
      <t>(</t>
    </r>
    <r>
      <rPr>
        <sz val="12"/>
        <color indexed="8"/>
        <rFont val="標楷體"/>
        <family val="4"/>
        <charset val="136"/>
      </rPr>
      <t>六</t>
    </r>
    <r>
      <rPr>
        <sz val="12"/>
        <color indexed="8"/>
        <rFont val="Times New Roman"/>
        <family val="1"/>
      </rPr>
      <t>)</t>
    </r>
    <r>
      <rPr>
        <sz val="12"/>
        <color indexed="8"/>
        <rFont val="標楷體"/>
        <family val="4"/>
        <charset val="136"/>
      </rPr>
      <t>未完工程</t>
    </r>
  </si>
  <si>
    <r>
      <t>1</t>
    </r>
    <r>
      <rPr>
        <sz val="12"/>
        <color indexed="8"/>
        <rFont val="標楷體"/>
        <family val="4"/>
        <charset val="136"/>
      </rPr>
      <t>、投資用</t>
    </r>
  </si>
  <si>
    <r>
      <t>2</t>
    </r>
    <r>
      <rPr>
        <sz val="12"/>
        <color indexed="8"/>
        <rFont val="標楷體"/>
        <family val="4"/>
        <charset val="136"/>
      </rPr>
      <t>、自用</t>
    </r>
  </si>
  <si>
    <r>
      <rPr>
        <sz val="12"/>
        <color indexed="8"/>
        <rFont val="標楷體"/>
        <family val="4"/>
        <charset val="136"/>
      </rPr>
      <t>二、投資關係人不動產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</si>
  <si>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</si>
  <si>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9" type="noConversion"/>
  </si>
  <si>
    <r>
      <rPr>
        <sz val="12"/>
        <color indexed="8"/>
        <rFont val="標楷體"/>
        <family val="4"/>
        <charset val="136"/>
      </rPr>
      <t>不動產合計</t>
    </r>
  </si>
  <si>
    <r>
      <rPr>
        <sz val="12"/>
        <color indexed="8"/>
        <rFont val="標楷體"/>
        <family val="4"/>
        <charset val="136"/>
      </rPr>
      <t>除自用不動產外之不動產投資合計</t>
    </r>
    <phoneticPr fontId="9" type="noConversion"/>
  </si>
  <si>
    <r>
      <rPr>
        <sz val="12"/>
        <color indexed="8"/>
        <rFont val="標楷體"/>
        <family val="4"/>
        <charset val="136"/>
      </rPr>
      <t>放款</t>
    </r>
    <r>
      <rPr>
        <sz val="9"/>
        <rFont val="Times New Roman"/>
        <family val="1"/>
      </rPr>
      <t/>
    </r>
    <phoneticPr fontId="9" type="noConversion"/>
  </si>
  <si>
    <r>
      <rPr>
        <sz val="12"/>
        <color indexed="8"/>
        <rFont val="標楷體"/>
        <family val="4"/>
        <charset val="136"/>
      </rPr>
      <t>一、非利害關係人放款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</si>
  <si>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壽險貸款</t>
    </r>
  </si>
  <si>
    <r>
      <t>(</t>
    </r>
    <r>
      <rPr>
        <sz val="12"/>
        <color indexed="8"/>
        <rFont val="標楷體"/>
        <family val="4"/>
        <charset val="136"/>
      </rPr>
      <t>二</t>
    </r>
    <r>
      <rPr>
        <sz val="12"/>
        <color indexed="8"/>
        <rFont val="Times New Roman"/>
        <family val="1"/>
      </rPr>
      <t>)</t>
    </r>
    <r>
      <rPr>
        <sz val="12"/>
        <color indexed="8"/>
        <rFont val="標楷體"/>
        <family val="4"/>
        <charset val="136"/>
      </rPr>
      <t>不動產擔保放款</t>
    </r>
  </si>
  <si>
    <r>
      <t>(</t>
    </r>
    <r>
      <rPr>
        <sz val="12"/>
        <color indexed="8"/>
        <rFont val="標楷體"/>
        <family val="4"/>
        <charset val="136"/>
      </rPr>
      <t>三</t>
    </r>
    <r>
      <rPr>
        <sz val="12"/>
        <color indexed="8"/>
        <rFont val="Times New Roman"/>
        <family val="1"/>
      </rPr>
      <t>)</t>
    </r>
    <r>
      <rPr>
        <sz val="12"/>
        <color indexed="8"/>
        <rFont val="標楷體"/>
        <family val="4"/>
        <charset val="136"/>
      </rPr>
      <t>動產擔保放款</t>
    </r>
  </si>
  <si>
    <r>
      <t>(</t>
    </r>
    <r>
      <rPr>
        <sz val="12"/>
        <color indexed="8"/>
        <rFont val="標楷體"/>
        <family val="4"/>
        <charset val="136"/>
      </rPr>
      <t>四</t>
    </r>
    <r>
      <rPr>
        <sz val="12"/>
        <color indexed="8"/>
        <rFont val="Times New Roman"/>
        <family val="1"/>
      </rPr>
      <t>)</t>
    </r>
    <r>
      <rPr>
        <sz val="12"/>
        <color indexed="8"/>
        <rFont val="標楷體"/>
        <family val="4"/>
        <charset val="136"/>
      </rPr>
      <t>有價證券質押放款</t>
    </r>
  </si>
  <si>
    <r>
      <t>(</t>
    </r>
    <r>
      <rPr>
        <sz val="12"/>
        <color indexed="8"/>
        <rFont val="標楷體"/>
        <family val="4"/>
        <charset val="136"/>
      </rPr>
      <t>五</t>
    </r>
    <r>
      <rPr>
        <sz val="12"/>
        <color indexed="8"/>
        <rFont val="Times New Roman"/>
        <family val="1"/>
      </rPr>
      <t>)</t>
    </r>
    <r>
      <rPr>
        <sz val="12"/>
        <color indexed="8"/>
        <rFont val="標楷體"/>
        <family val="4"/>
        <charset val="136"/>
      </rPr>
      <t>銀行保證放款</t>
    </r>
  </si>
  <si>
    <r>
      <rPr>
        <sz val="12"/>
        <color indexed="8"/>
        <rFont val="標楷體"/>
        <family val="4"/>
        <charset val="136"/>
      </rPr>
      <t>二、利害關係人放款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</si>
  <si>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</si>
  <si>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放款合計</t>
    </r>
  </si>
  <si>
    <r>
      <rPr>
        <sz val="12"/>
        <color indexed="8"/>
        <rFont val="標楷體"/>
        <family val="4"/>
        <charset val="136"/>
      </rPr>
      <t>國外投資</t>
    </r>
    <phoneticPr fontId="9" type="noConversion"/>
  </si>
  <si>
    <r>
      <rPr>
        <sz val="12"/>
        <color indexed="8"/>
        <rFont val="標楷體"/>
        <family val="4"/>
        <charset val="136"/>
      </rPr>
      <t>一、非關係人</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</si>
  <si>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投資於已開發國家</t>
    </r>
  </si>
  <si>
    <r>
      <t>1.</t>
    </r>
    <r>
      <rPr>
        <sz val="12"/>
        <color indexed="8"/>
        <rFont val="標楷體"/>
        <family val="4"/>
        <charset val="136"/>
      </rPr>
      <t>現金及外幣存款</t>
    </r>
  </si>
  <si>
    <r>
      <t>2.</t>
    </r>
    <r>
      <rPr>
        <sz val="12"/>
        <color indexed="8"/>
        <rFont val="標楷體"/>
        <family val="4"/>
        <charset val="136"/>
      </rPr>
      <t>固定型收益投資</t>
    </r>
  </si>
  <si>
    <r>
      <t>(1)</t>
    </r>
    <r>
      <rPr>
        <sz val="12"/>
        <color indexed="8"/>
        <rFont val="標楷體"/>
        <family val="4"/>
        <charset val="136"/>
      </rPr>
      <t>公債</t>
    </r>
  </si>
  <si>
    <r>
      <t>(2)</t>
    </r>
    <r>
      <rPr>
        <sz val="12"/>
        <color indexed="8"/>
        <rFont val="標楷體"/>
        <family val="4"/>
        <charset val="136"/>
      </rPr>
      <t>公司債</t>
    </r>
  </si>
  <si>
    <r>
      <t>(3)</t>
    </r>
    <r>
      <rPr>
        <sz val="12"/>
        <color indexed="8"/>
        <rFont val="標楷體"/>
        <family val="4"/>
        <charset val="136"/>
      </rPr>
      <t>不動產投資信託基金</t>
    </r>
  </si>
  <si>
    <r>
      <t>(4)</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</si>
  <si>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a.</t>
    </r>
    <r>
      <rPr>
        <sz val="12"/>
        <color indexed="8"/>
        <rFont val="標楷體"/>
        <family val="4"/>
        <charset val="136"/>
      </rPr>
      <t>有信用評等者</t>
    </r>
    <phoneticPr fontId="7" type="noConversion"/>
  </si>
  <si>
    <r>
      <t>3.</t>
    </r>
    <r>
      <rPr>
        <sz val="12"/>
        <color indexed="8"/>
        <rFont val="標楷體"/>
        <family val="4"/>
        <charset val="136"/>
      </rPr>
      <t>股票</t>
    </r>
    <phoneticPr fontId="9" type="noConversion"/>
  </si>
  <si>
    <r>
      <t>-</t>
    </r>
    <r>
      <rPr>
        <sz val="12"/>
        <color indexed="8"/>
        <rFont val="標楷體"/>
        <family val="4"/>
        <charset val="136"/>
      </rPr>
      <t>固定收益</t>
    </r>
    <phoneticPr fontId="7" type="noConversion"/>
  </si>
  <si>
    <r>
      <t>-</t>
    </r>
    <r>
      <rPr>
        <sz val="12"/>
        <color indexed="8"/>
        <rFont val="標楷體"/>
        <family val="4"/>
        <charset val="136"/>
      </rPr>
      <t>非固定收益</t>
    </r>
    <phoneticPr fontId="7" type="noConversion"/>
  </si>
  <si>
    <r>
      <t>4.</t>
    </r>
    <r>
      <rPr>
        <sz val="12"/>
        <color indexed="8"/>
        <rFont val="標楷體"/>
        <family val="4"/>
        <charset val="136"/>
      </rPr>
      <t>受益憑證及信託資金</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</si>
  <si>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t>5.</t>
    </r>
    <r>
      <rPr>
        <sz val="12"/>
        <color indexed="8"/>
        <rFont val="標楷體"/>
        <family val="4"/>
        <charset val="136"/>
      </rPr>
      <t>放款</t>
    </r>
    <phoneticPr fontId="9" type="noConversion"/>
  </si>
  <si>
    <r>
      <t>(1)</t>
    </r>
    <r>
      <rPr>
        <sz val="12"/>
        <color indexed="8"/>
        <rFont val="標楷體"/>
        <family val="4"/>
        <charset val="136"/>
      </rPr>
      <t>外幣保單放款</t>
    </r>
  </si>
  <si>
    <r>
      <t>(2)</t>
    </r>
    <r>
      <rPr>
        <sz val="12"/>
        <color indexed="8"/>
        <rFont val="標楷體"/>
        <family val="4"/>
        <charset val="136"/>
      </rPr>
      <t>其他</t>
    </r>
  </si>
  <si>
    <r>
      <t>6.</t>
    </r>
    <r>
      <rPr>
        <sz val="12"/>
        <color indexed="8"/>
        <rFont val="標楷體"/>
        <family val="4"/>
        <charset val="136"/>
      </rPr>
      <t>不動產</t>
    </r>
  </si>
  <si>
    <r>
      <t>7.</t>
    </r>
    <r>
      <rPr>
        <sz val="12"/>
        <color indexed="8"/>
        <rFont val="標楷體"/>
        <family val="4"/>
        <charset val="136"/>
      </rPr>
      <t>對沖基金</t>
    </r>
    <r>
      <rPr>
        <sz val="12"/>
        <color indexed="8"/>
        <rFont val="Times New Roman"/>
        <family val="1"/>
      </rPr>
      <t>(</t>
    </r>
    <r>
      <rPr>
        <sz val="12"/>
        <color indexed="8"/>
        <rFont val="標楷體"/>
        <family val="4"/>
        <charset val="136"/>
      </rPr>
      <t>註</t>
    </r>
    <r>
      <rPr>
        <sz val="12"/>
        <color indexed="8"/>
        <rFont val="Times New Roman"/>
        <family val="1"/>
      </rPr>
      <t>6)</t>
    </r>
  </si>
  <si>
    <r>
      <t>8.ETF-</t>
    </r>
    <r>
      <rPr>
        <sz val="12"/>
        <color indexed="8"/>
        <rFont val="標楷體"/>
        <family val="4"/>
        <charset val="136"/>
      </rPr>
      <t>股票型</t>
    </r>
  </si>
  <si>
    <r>
      <t>9.ETF-</t>
    </r>
    <r>
      <rPr>
        <sz val="12"/>
        <color indexed="8"/>
        <rFont val="標楷體"/>
        <family val="4"/>
        <charset val="136"/>
      </rPr>
      <t>債券型</t>
    </r>
  </si>
  <si>
    <r>
      <t>10.ETF-</t>
    </r>
    <r>
      <rPr>
        <sz val="12"/>
        <color indexed="8"/>
        <rFont val="標楷體"/>
        <family val="4"/>
        <charset val="136"/>
      </rPr>
      <t>其他型</t>
    </r>
  </si>
  <si>
    <r>
      <t>11.</t>
    </r>
    <r>
      <rPr>
        <sz val="12"/>
        <color indexed="8"/>
        <rFont val="標楷體"/>
        <family val="4"/>
        <charset val="136"/>
      </rPr>
      <t>其他</t>
    </r>
    <r>
      <rPr>
        <sz val="12"/>
        <color indexed="8"/>
        <rFont val="Times New Roman"/>
        <family val="1"/>
      </rPr>
      <t>(</t>
    </r>
    <r>
      <rPr>
        <sz val="12"/>
        <color indexed="8"/>
        <rFont val="標楷體"/>
        <family val="4"/>
        <charset val="136"/>
      </rPr>
      <t>註</t>
    </r>
    <r>
      <rPr>
        <sz val="12"/>
        <color indexed="8"/>
        <rFont val="Times New Roman"/>
        <family val="1"/>
      </rPr>
      <t>7)</t>
    </r>
    <phoneticPr fontId="7" type="noConversion"/>
  </si>
  <si>
    <r>
      <t>(1)</t>
    </r>
    <r>
      <rPr>
        <sz val="12"/>
        <color indexed="8"/>
        <rFont val="標楷體"/>
        <family val="4"/>
        <charset val="136"/>
      </rPr>
      <t>指數型基金</t>
    </r>
    <phoneticPr fontId="9" type="noConversion"/>
  </si>
  <si>
    <r>
      <t>(2)</t>
    </r>
    <r>
      <rPr>
        <sz val="12"/>
        <color indexed="8"/>
        <rFont val="標楷體"/>
        <family val="4"/>
        <charset val="136"/>
      </rPr>
      <t>私募基金</t>
    </r>
    <phoneticPr fontId="7" type="noConversion"/>
  </si>
  <si>
    <r>
      <t>(3)</t>
    </r>
    <r>
      <rPr>
        <sz val="12"/>
        <color indexed="8"/>
        <rFont val="標楷體"/>
        <family val="4"/>
        <charset val="136"/>
      </rPr>
      <t>基礎建設基金</t>
    </r>
    <phoneticPr fontId="7" type="noConversion"/>
  </si>
  <si>
    <r>
      <t>(4)</t>
    </r>
    <r>
      <rPr>
        <sz val="12"/>
        <color indexed="8"/>
        <rFont val="標楷體"/>
        <family val="4"/>
        <charset val="136"/>
      </rPr>
      <t>商品基金</t>
    </r>
    <phoneticPr fontId="7" type="noConversion"/>
  </si>
  <si>
    <r>
      <t>(5)</t>
    </r>
    <r>
      <rPr>
        <sz val="12"/>
        <color indexed="8"/>
        <rFont val="標楷體"/>
        <family val="4"/>
        <charset val="136"/>
      </rPr>
      <t>其他</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</si>
  <si>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投資於新興市場</t>
    </r>
    <phoneticPr fontId="7" type="noConversion"/>
  </si>
  <si>
    <r>
      <t>a.</t>
    </r>
    <r>
      <rPr>
        <sz val="12"/>
        <color indexed="8"/>
        <rFont val="標楷體"/>
        <family val="4"/>
        <charset val="136"/>
      </rPr>
      <t>有信用評等者</t>
    </r>
  </si>
  <si>
    <r>
      <t>(1)</t>
    </r>
    <r>
      <rPr>
        <sz val="12"/>
        <color indexed="8"/>
        <rFont val="標楷體"/>
        <family val="4"/>
        <charset val="136"/>
      </rPr>
      <t>普通股</t>
    </r>
    <phoneticPr fontId="9" type="noConversion"/>
  </si>
  <si>
    <r>
      <t>(2)</t>
    </r>
    <r>
      <rPr>
        <sz val="12"/>
        <color indexed="8"/>
        <rFont val="標楷體"/>
        <family val="4"/>
        <charset val="136"/>
      </rPr>
      <t>特別股</t>
    </r>
    <phoneticPr fontId="9" type="noConversion"/>
  </si>
  <si>
    <r>
      <t>(1)</t>
    </r>
    <r>
      <rPr>
        <sz val="12"/>
        <color indexed="8"/>
        <rFont val="標楷體"/>
        <family val="4"/>
        <charset val="136"/>
      </rPr>
      <t>外幣保單放款</t>
    </r>
    <phoneticPr fontId="9" type="noConversion"/>
  </si>
  <si>
    <r>
      <t>(2)</t>
    </r>
    <r>
      <rPr>
        <sz val="12"/>
        <color indexed="8"/>
        <rFont val="標楷體"/>
        <family val="4"/>
        <charset val="136"/>
      </rPr>
      <t>其他</t>
    </r>
    <phoneticPr fontId="9" type="noConversion"/>
  </si>
  <si>
    <r>
      <rPr>
        <sz val="12"/>
        <color indexed="8"/>
        <rFont val="標楷體"/>
        <family val="4"/>
        <charset val="136"/>
      </rPr>
      <t>二、關係人</t>
    </r>
    <phoneticPr fontId="9" type="noConversion"/>
  </si>
  <si>
    <r>
      <t>1</t>
    </r>
    <r>
      <rPr>
        <sz val="12"/>
        <color indexed="8"/>
        <rFont val="標楷體"/>
        <family val="4"/>
        <charset val="136"/>
      </rPr>
      <t>、存款</t>
    </r>
  </si>
  <si>
    <r>
      <t>2</t>
    </r>
    <r>
      <rPr>
        <sz val="12"/>
        <color indexed="8"/>
        <rFont val="標楷體"/>
        <family val="4"/>
        <charset val="136"/>
      </rPr>
      <t>、放款</t>
    </r>
  </si>
  <si>
    <r>
      <t>3</t>
    </r>
    <r>
      <rPr>
        <sz val="12"/>
        <color indexed="8"/>
        <rFont val="標楷體"/>
        <family val="4"/>
        <charset val="136"/>
      </rPr>
      <t>、債券、票券、不動產受益證券及金融資產受益證券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</si>
  <si>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4</t>
    </r>
    <r>
      <rPr>
        <sz val="12"/>
        <color indexed="8"/>
        <rFont val="標楷體"/>
        <family val="4"/>
        <charset val="136"/>
      </rPr>
      <t>、股票</t>
    </r>
  </si>
  <si>
    <r>
      <t>5</t>
    </r>
    <r>
      <rPr>
        <sz val="12"/>
        <color indexed="8"/>
        <rFont val="標楷體"/>
        <family val="4"/>
        <charset val="136"/>
      </rPr>
      <t>、不動產</t>
    </r>
  </si>
  <si>
    <r>
      <t>6</t>
    </r>
    <r>
      <rPr>
        <sz val="12"/>
        <color indexed="8"/>
        <rFont val="標楷體"/>
        <family val="4"/>
        <charset val="136"/>
      </rPr>
      <t>、受益憑證</t>
    </r>
  </si>
  <si>
    <r>
      <t>7</t>
    </r>
    <r>
      <rPr>
        <sz val="12"/>
        <color indexed="8"/>
        <rFont val="標楷體"/>
        <family val="4"/>
        <charset val="136"/>
      </rPr>
      <t>、其他投資</t>
    </r>
  </si>
  <si>
    <r>
      <t>(1)</t>
    </r>
    <r>
      <rPr>
        <sz val="12"/>
        <color indexed="8"/>
        <rFont val="標楷體"/>
        <family val="4"/>
        <charset val="136"/>
      </rPr>
      <t>基礎建設基金</t>
    </r>
  </si>
  <si>
    <r>
      <t>(2)</t>
    </r>
    <r>
      <rPr>
        <sz val="12"/>
        <color indexed="8"/>
        <rFont val="標楷體"/>
        <family val="4"/>
        <charset val="136"/>
      </rPr>
      <t>私募基金</t>
    </r>
  </si>
  <si>
    <r>
      <t>(3)</t>
    </r>
    <r>
      <rPr>
        <sz val="12"/>
        <color indexed="8"/>
        <rFont val="標楷體"/>
        <family val="4"/>
        <charset val="136"/>
      </rPr>
      <t>對沖基金</t>
    </r>
  </si>
  <si>
    <r>
      <t>(4)ETF-</t>
    </r>
    <r>
      <rPr>
        <sz val="12"/>
        <color indexed="8"/>
        <rFont val="標楷體"/>
        <family val="4"/>
        <charset val="136"/>
      </rPr>
      <t>股票型</t>
    </r>
  </si>
  <si>
    <r>
      <t>(5)ETF-</t>
    </r>
    <r>
      <rPr>
        <sz val="12"/>
        <color indexed="8"/>
        <rFont val="標楷體"/>
        <family val="4"/>
        <charset val="136"/>
      </rPr>
      <t>債券型</t>
    </r>
  </si>
  <si>
    <r>
      <t>(6)ETF-</t>
    </r>
    <r>
      <rPr>
        <sz val="12"/>
        <color indexed="8"/>
        <rFont val="標楷體"/>
        <family val="4"/>
        <charset val="136"/>
      </rPr>
      <t>其他型</t>
    </r>
  </si>
  <si>
    <r>
      <rPr>
        <sz val="12"/>
        <color indexed="8"/>
        <rFont val="標楷體"/>
        <family val="4"/>
        <charset val="136"/>
      </rPr>
      <t>國外投資合計</t>
    </r>
    <phoneticPr fontId="9" type="noConversion"/>
  </si>
  <si>
    <r>
      <rPr>
        <sz val="12"/>
        <color indexed="8"/>
        <rFont val="標楷體"/>
        <family val="4"/>
        <charset val="136"/>
      </rPr>
      <t>專案運用公共及社會福利事業投資</t>
    </r>
  </si>
  <si>
    <r>
      <t>(</t>
    </r>
    <r>
      <rPr>
        <sz val="12"/>
        <color indexed="8"/>
        <rFont val="標楷體"/>
        <family val="4"/>
        <charset val="136"/>
      </rPr>
      <t>一</t>
    </r>
    <r>
      <rPr>
        <sz val="12"/>
        <color indexed="8"/>
        <rFont val="Times New Roman"/>
        <family val="1"/>
      </rPr>
      <t>)</t>
    </r>
    <r>
      <rPr>
        <sz val="12"/>
        <color indexed="8"/>
        <rFont val="標楷體"/>
        <family val="4"/>
        <charset val="136"/>
      </rPr>
      <t>政策性之專案運用公共及社會福利事業投資</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</si>
  <si>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創業投資</t>
    </r>
    <phoneticPr fontId="7" type="noConversion"/>
  </si>
  <si>
    <r>
      <t>1</t>
    </r>
    <r>
      <rPr>
        <sz val="12"/>
        <color indexed="8"/>
        <rFont val="標楷體"/>
        <family val="4"/>
        <charset val="136"/>
      </rPr>
      <t>、公共投資</t>
    </r>
    <r>
      <rPr>
        <sz val="12"/>
        <color indexed="8"/>
        <rFont val="Times New Roman"/>
        <family val="1"/>
      </rPr>
      <t>(100%)</t>
    </r>
    <phoneticPr fontId="7" type="noConversion"/>
  </si>
  <si>
    <r>
      <t>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</si>
  <si>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t>3</t>
    </r>
    <r>
      <rPr>
        <sz val="12"/>
        <color indexed="8"/>
        <rFont val="標楷體"/>
        <family val="4"/>
        <charset val="136"/>
      </rPr>
      <t>、其他</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</si>
  <si>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以股票方式投資（非創投）之專案運用公共及社會福利事業投資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</si>
  <si>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放款</t>
    </r>
    <phoneticPr fontId="7" type="noConversion"/>
  </si>
  <si>
    <r>
      <t>1</t>
    </r>
    <r>
      <rPr>
        <sz val="12"/>
        <color indexed="8"/>
        <rFont val="標楷體"/>
        <family val="4"/>
        <charset val="136"/>
      </rPr>
      <t>、不動產擔保放款</t>
    </r>
  </si>
  <si>
    <r>
      <t>2</t>
    </r>
    <r>
      <rPr>
        <sz val="12"/>
        <color indexed="8"/>
        <rFont val="標楷體"/>
        <family val="4"/>
        <charset val="136"/>
      </rPr>
      <t>、動產擔保放款</t>
    </r>
  </si>
  <si>
    <r>
      <t>3</t>
    </r>
    <r>
      <rPr>
        <sz val="12"/>
        <color indexed="8"/>
        <rFont val="標楷體"/>
        <family val="4"/>
        <charset val="136"/>
      </rPr>
      <t>、有價證券質押放款</t>
    </r>
  </si>
  <si>
    <r>
      <t>4</t>
    </r>
    <r>
      <rPr>
        <sz val="12"/>
        <color indexed="8"/>
        <rFont val="標楷體"/>
        <family val="4"/>
        <charset val="136"/>
      </rPr>
      <t>、銀行保證放款</t>
    </r>
    <r>
      <rPr>
        <sz val="12"/>
        <color indexed="8"/>
        <rFont val="Times New Roman"/>
        <family val="1"/>
      </rPr>
      <t>(</t>
    </r>
    <r>
      <rPr>
        <sz val="12"/>
        <color indexed="8"/>
        <rFont val="標楷體"/>
        <family val="4"/>
        <charset val="136"/>
      </rPr>
      <t>註</t>
    </r>
    <r>
      <rPr>
        <sz val="12"/>
        <color indexed="8"/>
        <rFont val="Times New Roman"/>
        <family val="1"/>
      </rPr>
      <t>9)</t>
    </r>
  </si>
  <si>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10)</t>
    </r>
    <phoneticPr fontId="7" type="noConversion"/>
  </si>
  <si>
    <r>
      <t>(</t>
    </r>
    <r>
      <rPr>
        <sz val="12"/>
        <color indexed="8"/>
        <rFont val="標楷體"/>
        <family val="4"/>
        <charset val="136"/>
      </rPr>
      <t>六</t>
    </r>
    <r>
      <rPr>
        <sz val="12"/>
        <color indexed="8"/>
        <rFont val="Times New Roman"/>
        <family val="1"/>
      </rPr>
      <t>)</t>
    </r>
    <r>
      <rPr>
        <sz val="12"/>
        <color indexed="8"/>
        <rFont val="標楷體"/>
        <family val="4"/>
        <charset val="136"/>
      </rPr>
      <t>其他專案運用公共及社會福利事業投資</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</si>
  <si>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</si>
  <si>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利害關係人放款</t>
    </r>
    <phoneticPr fontId="7"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</si>
  <si>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Times New Roman"/>
        <family val="1"/>
      </rPr>
      <t>5+2</t>
    </r>
    <r>
      <rPr>
        <sz val="12"/>
        <color indexed="8"/>
        <rFont val="標楷體"/>
        <family val="4"/>
        <charset val="136"/>
      </rPr>
      <t>產業及六大核心產業</t>
    </r>
    <r>
      <rPr>
        <sz val="12"/>
        <color indexed="8"/>
        <rFont val="Times New Roman"/>
        <family val="1"/>
      </rPr>
      <t>(</t>
    </r>
    <r>
      <rPr>
        <sz val="12"/>
        <color indexed="8"/>
        <rFont val="標楷體"/>
        <family val="4"/>
        <charset val="136"/>
      </rPr>
      <t>註</t>
    </r>
    <r>
      <rPr>
        <sz val="12"/>
        <color indexed="8"/>
        <rFont val="Times New Roman"/>
        <family val="1"/>
      </rPr>
      <t>10)</t>
    </r>
  </si>
  <si>
    <r>
      <t xml:space="preserve">      (1)</t>
    </r>
    <r>
      <rPr>
        <sz val="12"/>
        <color indexed="8"/>
        <rFont val="標楷體"/>
        <family val="4"/>
        <charset val="136"/>
      </rPr>
      <t>公共投資</t>
    </r>
    <r>
      <rPr>
        <sz val="12"/>
        <color indexed="8"/>
        <rFont val="Times New Roman"/>
        <family val="1"/>
      </rPr>
      <t>(100%)</t>
    </r>
    <phoneticPr fontId="7" type="noConversion"/>
  </si>
  <si>
    <r>
      <t xml:space="preserve">      (2)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</si>
  <si>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rPr>
        <sz val="12"/>
        <color indexed="8"/>
        <rFont val="標楷體"/>
        <family val="4"/>
        <charset val="136"/>
      </rPr>
      <t>專案運用公共及社會福利事業投資合計</t>
    </r>
    <phoneticPr fontId="7" type="noConversion"/>
  </si>
  <si>
    <r>
      <rPr>
        <sz val="12"/>
        <color indexed="8"/>
        <rFont val="標楷體"/>
        <family val="4"/>
        <charset val="136"/>
      </rPr>
      <t>其他投資</t>
    </r>
    <phoneticPr fontId="9" type="noConversion"/>
  </si>
  <si>
    <r>
      <rPr>
        <sz val="12"/>
        <color indexed="8"/>
        <rFont val="標楷體"/>
        <family val="4"/>
        <charset val="136"/>
      </rPr>
      <t>關係人其他投資</t>
    </r>
  </si>
  <si>
    <r>
      <rPr>
        <sz val="12"/>
        <color indexed="8"/>
        <rFont val="標楷體"/>
        <family val="4"/>
        <charset val="136"/>
      </rPr>
      <t>信託受益權</t>
    </r>
  </si>
  <si>
    <r>
      <rPr>
        <sz val="12"/>
        <color indexed="8"/>
        <rFont val="標楷體"/>
        <family val="4"/>
        <charset val="136"/>
      </rPr>
      <t>組合式存款</t>
    </r>
  </si>
  <si>
    <r>
      <rPr>
        <sz val="12"/>
        <color indexed="8"/>
        <rFont val="標楷體"/>
        <family val="4"/>
        <charset val="136"/>
      </rPr>
      <t>其他</t>
    </r>
  </si>
  <si>
    <r>
      <rPr>
        <sz val="12"/>
        <color indexed="8"/>
        <rFont val="標楷體"/>
        <family val="4"/>
        <charset val="136"/>
      </rPr>
      <t>非關係人其他投資</t>
    </r>
  </si>
  <si>
    <r>
      <rPr>
        <sz val="12"/>
        <color indexed="8"/>
        <rFont val="標楷體"/>
        <family val="4"/>
        <charset val="136"/>
      </rPr>
      <t>其他投資合計</t>
    </r>
    <phoneticPr fontId="9" type="noConversion"/>
  </si>
  <si>
    <r>
      <rPr>
        <sz val="12"/>
        <color indexed="8"/>
        <rFont val="標楷體"/>
        <family val="4"/>
        <charset val="136"/>
      </rPr>
      <t>資金運用總計</t>
    </r>
  </si>
  <si>
    <r>
      <rPr>
        <sz val="12"/>
        <color indexed="8"/>
        <rFont val="標楷體"/>
        <family val="4"/>
        <charset val="136"/>
      </rPr>
      <t>自有資金</t>
    </r>
    <r>
      <rPr>
        <sz val="12"/>
        <color indexed="8"/>
        <rFont val="Times New Roman"/>
        <family val="1"/>
      </rPr>
      <t>(</t>
    </r>
    <r>
      <rPr>
        <sz val="12"/>
        <color indexed="8"/>
        <rFont val="標楷體"/>
        <family val="4"/>
        <charset val="136"/>
      </rPr>
      <t>業主權益</t>
    </r>
    <r>
      <rPr>
        <sz val="12"/>
        <color indexed="8"/>
        <rFont val="Times New Roman"/>
        <family val="1"/>
      </rPr>
      <t>)(</t>
    </r>
    <r>
      <rPr>
        <sz val="12"/>
        <color indexed="8"/>
        <rFont val="標楷體"/>
        <family val="4"/>
        <charset val="136"/>
      </rPr>
      <t>註</t>
    </r>
    <r>
      <rPr>
        <sz val="12"/>
        <color indexed="8"/>
        <rFont val="Times New Roman"/>
        <family val="1"/>
      </rPr>
      <t>11)</t>
    </r>
    <phoneticPr fontId="7" type="noConversion"/>
  </si>
  <si>
    <r>
      <rPr>
        <sz val="12"/>
        <color indexed="8"/>
        <rFont val="標楷體"/>
        <family val="4"/>
        <charset val="136"/>
      </rPr>
      <t>軍保資金</t>
    </r>
  </si>
  <si>
    <r>
      <rPr>
        <sz val="12"/>
        <color indexed="8"/>
        <rFont val="標楷體"/>
        <family val="4"/>
        <charset val="136"/>
      </rPr>
      <t>各種責任準備金</t>
    </r>
  </si>
  <si>
    <r>
      <rPr>
        <sz val="12"/>
        <color indexed="8"/>
        <rFont val="標楷體"/>
        <family val="4"/>
        <charset val="136"/>
      </rPr>
      <t>未滿期保費準備金</t>
    </r>
    <phoneticPr fontId="9" type="noConversion"/>
  </si>
  <si>
    <r>
      <rPr>
        <sz val="12"/>
        <color indexed="8"/>
        <rFont val="標楷體"/>
        <family val="4"/>
        <charset val="136"/>
      </rPr>
      <t>壽險責任準備金</t>
    </r>
    <phoneticPr fontId="9" type="noConversion"/>
  </si>
  <si>
    <r>
      <rPr>
        <sz val="12"/>
        <color indexed="8"/>
        <rFont val="標楷體"/>
        <family val="4"/>
        <charset val="136"/>
      </rPr>
      <t>賠款準備金</t>
    </r>
    <phoneticPr fontId="9" type="noConversion"/>
  </si>
  <si>
    <r>
      <rPr>
        <sz val="12"/>
        <color indexed="8"/>
        <rFont val="標楷體"/>
        <family val="4"/>
        <charset val="136"/>
      </rPr>
      <t>特別準備金</t>
    </r>
    <phoneticPr fontId="9" type="noConversion"/>
  </si>
  <si>
    <r>
      <rPr>
        <sz val="12"/>
        <color indexed="8"/>
        <rFont val="標楷體"/>
        <family val="4"/>
        <charset val="136"/>
      </rPr>
      <t>保費不足準備金</t>
    </r>
    <phoneticPr fontId="7" type="noConversion"/>
  </si>
  <si>
    <r>
      <rPr>
        <sz val="12"/>
        <color indexed="8"/>
        <rFont val="標楷體"/>
        <family val="4"/>
        <charset val="136"/>
      </rPr>
      <t>負債適足準備金</t>
    </r>
    <phoneticPr fontId="7" type="noConversion"/>
  </si>
  <si>
    <r>
      <rPr>
        <sz val="12"/>
        <color indexed="8"/>
        <rFont val="標楷體"/>
        <family val="4"/>
        <charset val="136"/>
      </rPr>
      <t>具金融商品性質之保險契約準備金</t>
    </r>
    <phoneticPr fontId="7" type="noConversion"/>
  </si>
  <si>
    <r>
      <rPr>
        <sz val="12"/>
        <color indexed="8"/>
        <rFont val="標楷體"/>
        <family val="4"/>
        <charset val="136"/>
      </rPr>
      <t>外匯價格變動準備</t>
    </r>
    <phoneticPr fontId="7" type="noConversion"/>
  </si>
  <si>
    <r>
      <rPr>
        <sz val="12"/>
        <color indexed="8"/>
        <rFont val="標楷體"/>
        <family val="4"/>
        <charset val="136"/>
      </rPr>
      <t>其他準備金</t>
    </r>
    <phoneticPr fontId="7" type="noConversion"/>
  </si>
  <si>
    <r>
      <rPr>
        <sz val="12"/>
        <color indexed="8"/>
        <rFont val="標楷體"/>
        <family val="4"/>
        <charset val="136"/>
      </rPr>
      <t>各種責任準備金合計</t>
    </r>
    <phoneticPr fontId="9" type="noConversion"/>
  </si>
  <si>
    <r>
      <rPr>
        <sz val="12"/>
        <color indexed="8"/>
        <rFont val="標楷體"/>
        <family val="4"/>
        <charset val="136"/>
      </rPr>
      <t>資金來源總計</t>
    </r>
  </si>
  <si>
    <r>
      <rPr>
        <sz val="12"/>
        <color indexed="8"/>
        <rFont val="標楷體"/>
        <family val="4"/>
        <charset val="136"/>
      </rPr>
      <t>註</t>
    </r>
    <phoneticPr fontId="7" type="noConversion"/>
  </si>
  <si>
    <r>
      <rPr>
        <sz val="12"/>
        <color indexed="8"/>
        <rFont val="標楷體"/>
        <family val="4"/>
        <charset val="136"/>
      </rPr>
      <t>不含分離帳戶保險商品之專設帳簿資產</t>
    </r>
    <phoneticPr fontId="9" type="noConversion"/>
  </si>
  <si>
    <r>
      <rPr>
        <sz val="12"/>
        <color indexed="8"/>
        <rFont val="標楷體"/>
        <family val="4"/>
        <charset val="136"/>
      </rPr>
      <t>非認許資產之評定請依「保險業計算資本適足率之資產認許標準及評價原則」辦理</t>
    </r>
    <r>
      <rPr>
        <sz val="12"/>
        <color indexed="8"/>
        <rFont val="Times New Roman"/>
        <family val="1"/>
      </rPr>
      <t>,</t>
    </r>
    <r>
      <rPr>
        <sz val="12"/>
        <color indexed="8"/>
        <rFont val="標楷體"/>
        <family val="4"/>
        <charset val="136"/>
      </rPr>
      <t>認許資產及淨認許資產之相關欄位資料僅填列年報時填寫</t>
    </r>
    <phoneticPr fontId="9" type="noConversion"/>
  </si>
  <si>
    <r>
      <rPr>
        <sz val="12"/>
        <color indexed="8"/>
        <rFont val="標楷體"/>
        <family val="4"/>
        <charset val="136"/>
      </rPr>
      <t>所稱本期及上期於填報月報資料時係指當月份及上月份餘額</t>
    </r>
    <r>
      <rPr>
        <sz val="12"/>
        <color indexed="8"/>
        <rFont val="Times New Roman"/>
        <family val="1"/>
      </rPr>
      <t>;</t>
    </r>
    <r>
      <rPr>
        <sz val="12"/>
        <color indexed="8"/>
        <rFont val="標楷體"/>
        <family val="4"/>
        <charset val="136"/>
      </rPr>
      <t>於填報</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年報時係指當</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年度及上</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年度餘額</t>
    </r>
    <phoneticPr fontId="7" type="noConversion"/>
  </si>
  <si>
    <r>
      <rPr>
        <sz val="12"/>
        <color indexed="8"/>
        <rFont val="標楷體"/>
        <family val="4"/>
        <charset val="136"/>
      </rPr>
      <t>其他經主管機關核准之有價證券</t>
    </r>
    <r>
      <rPr>
        <sz val="12"/>
        <color indexed="8"/>
        <rFont val="Times New Roman"/>
        <family val="1"/>
      </rPr>
      <t>(</t>
    </r>
    <r>
      <rPr>
        <sz val="12"/>
        <color indexed="8"/>
        <rFont val="標楷體"/>
        <family val="4"/>
        <charset val="136"/>
      </rPr>
      <t>含其他金融資產</t>
    </r>
    <r>
      <rPr>
        <sz val="12"/>
        <color indexed="8"/>
        <rFont val="Times New Roman"/>
        <family val="1"/>
      </rPr>
      <t>)</t>
    </r>
    <phoneticPr fontId="9" type="noConversion"/>
  </si>
  <si>
    <r>
      <rPr>
        <sz val="12"/>
        <color indexed="8"/>
        <rFont val="標楷體"/>
        <family val="4"/>
        <charset val="136"/>
      </rPr>
      <t>所稱之受益憑證係指依「保險業辦理國外投資管理辦法」第八條第一項第一款規定投資之有價證券種類。</t>
    </r>
    <phoneticPr fontId="7" type="noConversion"/>
  </si>
  <si>
    <r>
      <rPr>
        <sz val="12"/>
        <color indexed="8"/>
        <rFont val="標楷體"/>
        <family val="4"/>
        <charset val="136"/>
      </rPr>
      <t>所稱之對沖基金係指依「保險業辦理國外投資管理辦法」第八條第一項第五款規定投資之有價證券種類。</t>
    </r>
    <phoneticPr fontId="7" type="noConversion"/>
  </si>
  <si>
    <r>
      <rPr>
        <sz val="12"/>
        <color indexed="8"/>
        <rFont val="標楷體"/>
        <family val="4"/>
        <charset val="136"/>
      </rPr>
      <t>所稱之其他係指依「保險業辦理國外投資管理辦法」第八條規定，除不動產投資信託基金、受益憑證及信託資金、對沖基金及</t>
    </r>
    <r>
      <rPr>
        <sz val="12"/>
        <color indexed="8"/>
        <rFont val="Times New Roman"/>
        <family val="1"/>
      </rPr>
      <t>ETF</t>
    </r>
    <r>
      <rPr>
        <sz val="12"/>
        <color indexed="8"/>
        <rFont val="標楷體"/>
        <family val="4"/>
        <charset val="136"/>
      </rPr>
      <t>以外，所投資之有價證券種類。</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</si>
  <si>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</si>
  <si>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包含依保險法第</t>
    </r>
    <r>
      <rPr>
        <sz val="12"/>
        <color indexed="8"/>
        <rFont val="Times New Roman"/>
        <family val="1"/>
      </rPr>
      <t>146</t>
    </r>
    <r>
      <rPr>
        <sz val="12"/>
        <color indexed="8"/>
        <rFont val="標楷體"/>
        <family val="4"/>
        <charset val="136"/>
      </rPr>
      <t>條第</t>
    </r>
    <r>
      <rPr>
        <sz val="12"/>
        <color indexed="8"/>
        <rFont val="Times New Roman"/>
        <family val="1"/>
      </rPr>
      <t>1</t>
    </r>
    <r>
      <rPr>
        <sz val="12"/>
        <color indexed="8"/>
        <rFont val="標楷體"/>
        <family val="4"/>
        <charset val="136"/>
      </rPr>
      <t>項第</t>
    </r>
    <r>
      <rPr>
        <sz val="12"/>
        <color indexed="8"/>
        <rFont val="Times New Roman"/>
        <family val="1"/>
      </rPr>
      <t>4</t>
    </r>
    <r>
      <rPr>
        <sz val="12"/>
        <color indexed="8"/>
        <rFont val="標楷體"/>
        <family val="4"/>
        <charset val="136"/>
      </rPr>
      <t>款規定，經主管機關核准放款予財團法人保險安定基金之金額</t>
    </r>
    <r>
      <rPr>
        <sz val="12"/>
        <color indexed="8"/>
        <rFont val="Times New Roman"/>
        <family val="1"/>
      </rPr>
      <t>____________</t>
    </r>
    <r>
      <rPr>
        <sz val="12"/>
        <color indexed="8"/>
        <rFont val="標楷體"/>
        <family val="4"/>
        <charset val="136"/>
      </rPr>
      <t>元。</t>
    </r>
    <r>
      <rPr>
        <sz val="12"/>
        <color indexed="8"/>
        <rFont val="Times New Roman"/>
        <family val="1"/>
      </rPr>
      <t>(__</t>
    </r>
    <r>
      <rPr>
        <sz val="12"/>
        <color indexed="8"/>
        <rFont val="標楷體"/>
        <family val="4"/>
        <charset val="136"/>
      </rPr>
      <t>年</t>
    </r>
    <r>
      <rPr>
        <sz val="12"/>
        <color indexed="8"/>
        <rFont val="Times New Roman"/>
        <family val="1"/>
      </rPr>
      <t>__</t>
    </r>
    <r>
      <rPr>
        <sz val="12"/>
        <color indexed="8"/>
        <rFont val="標楷體"/>
        <family val="4"/>
        <charset val="136"/>
      </rPr>
      <t>月</t>
    </r>
    <r>
      <rPr>
        <sz val="12"/>
        <color indexed="8"/>
        <rFont val="Times New Roman"/>
        <family val="1"/>
      </rPr>
      <t>__</t>
    </r>
    <r>
      <rPr>
        <sz val="12"/>
        <color indexed="8"/>
        <rFont val="標楷體"/>
        <family val="4"/>
        <charset val="136"/>
      </rPr>
      <t>日</t>
    </r>
    <r>
      <rPr>
        <sz val="12"/>
        <color indexed="8"/>
        <rFont val="Times New Roman"/>
        <family val="1"/>
      </rPr>
      <t>________________</t>
    </r>
    <r>
      <rPr>
        <sz val="12"/>
        <color indexed="8"/>
        <rFont val="標楷體"/>
        <family val="4"/>
        <charset val="136"/>
      </rPr>
      <t>號函核准</t>
    </r>
    <r>
      <rPr>
        <sz val="12"/>
        <color indexed="8"/>
        <rFont val="Times New Roman"/>
        <family val="1"/>
      </rPr>
      <t>)</t>
    </r>
    <phoneticPr fontId="7" type="noConversion"/>
  </si>
  <si>
    <r>
      <rPr>
        <sz val="12"/>
        <color indexed="8"/>
        <rFont val="標楷體"/>
        <family val="4"/>
        <charset val="136"/>
      </rPr>
      <t>所稱之公共投資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indexed="8"/>
        <rFont val="微軟正黑體"/>
        <family val="2"/>
        <charset val="136"/>
      </rPr>
      <t>、</t>
    </r>
  </si>
  <si>
    <r>
      <rPr>
        <sz val="12"/>
        <color indexed="8"/>
        <rFont val="標楷體"/>
        <family val="4"/>
        <charset val="136"/>
      </rPr>
      <t>或取得國家發展委員會資格函之國內私募股權基金，並投資於公共投資及金管保財字第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</si>
  <si>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本列以填報手冊定義為為準【即，</t>
    </r>
    <r>
      <rPr>
        <sz val="12"/>
        <color indexed="8"/>
        <rFont val="Times New Roman"/>
        <family val="1"/>
      </rPr>
      <t>(5)</t>
    </r>
    <r>
      <rPr>
        <sz val="12"/>
        <color indexed="8"/>
        <rFont val="標楷體"/>
        <family val="4"/>
        <charset val="136"/>
      </rPr>
      <t>不會等於</t>
    </r>
    <r>
      <rPr>
        <sz val="12"/>
        <color indexed="8"/>
        <rFont val="Times New Roman"/>
        <family val="1"/>
      </rPr>
      <t>(2)-(4)</t>
    </r>
    <r>
      <rPr>
        <sz val="12"/>
        <color indexed="8"/>
        <rFont val="標楷體"/>
        <family val="4"/>
        <charset val="136"/>
      </rPr>
      <t>】。</t>
    </r>
    <phoneticPr fontId="7" type="noConversion"/>
  </si>
  <si>
    <r>
      <rPr>
        <sz val="12"/>
        <color indexed="8"/>
        <rFont val="標楷體"/>
        <family val="4"/>
        <charset val="136"/>
      </rPr>
      <t>表</t>
    </r>
    <r>
      <rPr>
        <sz val="12"/>
        <color indexed="8"/>
        <rFont val="Times New Roman"/>
        <family val="1"/>
      </rPr>
      <t>10-1</t>
    </r>
    <r>
      <rPr>
        <sz val="12"/>
        <color indexed="8"/>
        <rFont val="標楷體"/>
        <family val="4"/>
        <charset val="136"/>
      </rPr>
      <t>：股票餘額明細表</t>
    </r>
    <phoneticPr fontId="7" type="noConversion"/>
  </si>
  <si>
    <r>
      <rPr>
        <b/>
        <sz val="12"/>
        <color indexed="8"/>
        <rFont val="標楷體"/>
        <family val="4"/>
        <charset val="136"/>
      </rPr>
      <t>列號</t>
    </r>
  </si>
  <si>
    <r>
      <rPr>
        <b/>
        <sz val="12"/>
        <color indexed="8"/>
        <rFont val="標楷體"/>
        <family val="4"/>
        <charset val="136"/>
      </rPr>
      <t>發行公司</t>
    </r>
  </si>
  <si>
    <r>
      <rPr>
        <b/>
        <sz val="12"/>
        <color indexed="8"/>
        <rFont val="標楷體"/>
        <family val="4"/>
        <charset val="136"/>
      </rPr>
      <t>證券種類</t>
    </r>
  </si>
  <si>
    <r>
      <rPr>
        <b/>
        <sz val="12"/>
        <color indexed="8"/>
        <rFont val="標楷體"/>
        <family val="4"/>
        <charset val="136"/>
      </rPr>
      <t>募集方式</t>
    </r>
  </si>
  <si>
    <r>
      <rPr>
        <b/>
        <sz val="12"/>
        <color indexed="8"/>
        <rFont val="標楷體"/>
        <family val="4"/>
        <charset val="136"/>
      </rPr>
      <t>交易種類</t>
    </r>
  </si>
  <si>
    <r>
      <rPr>
        <b/>
        <sz val="12"/>
        <color indexed="8"/>
        <rFont val="標楷體"/>
        <family val="4"/>
        <charset val="136"/>
      </rPr>
      <t>投資型態</t>
    </r>
  </si>
  <si>
    <r>
      <rPr>
        <b/>
        <sz val="12"/>
        <color indexed="8"/>
        <rFont val="標楷體"/>
        <family val="4"/>
        <charset val="136"/>
      </rPr>
      <t>是否為專案運用公共及社會福利事業投資及投資保險相關事業</t>
    </r>
    <phoneticPr fontId="7" type="noConversion"/>
  </si>
  <si>
    <r>
      <rPr>
        <b/>
        <sz val="12"/>
        <color indexed="8"/>
        <rFont val="標楷體"/>
        <family val="4"/>
        <charset val="136"/>
      </rPr>
      <t>代號</t>
    </r>
  </si>
  <si>
    <r>
      <rPr>
        <b/>
        <sz val="12"/>
        <color indexed="8"/>
        <rFont val="標楷體"/>
        <family val="4"/>
        <charset val="136"/>
      </rPr>
      <t>名稱</t>
    </r>
  </si>
  <si>
    <r>
      <rPr>
        <b/>
        <sz val="12"/>
        <color indexed="8"/>
        <rFont val="標楷體"/>
        <family val="4"/>
        <charset val="136"/>
      </rPr>
      <t>信用評等機構</t>
    </r>
  </si>
  <si>
    <r>
      <rPr>
        <b/>
        <sz val="12"/>
        <color indexed="8"/>
        <rFont val="標楷體"/>
        <family val="4"/>
        <charset val="136"/>
      </rPr>
      <t>評等等級</t>
    </r>
  </si>
  <si>
    <r>
      <rPr>
        <b/>
        <sz val="12"/>
        <color indexed="8"/>
        <rFont val="標楷體"/>
        <family val="4"/>
        <charset val="136"/>
      </rPr>
      <t>是否為關係人</t>
    </r>
  </si>
  <si>
    <r>
      <rPr>
        <sz val="12"/>
        <color indexed="8"/>
        <rFont val="標楷體"/>
        <family val="4"/>
        <charset val="136"/>
      </rPr>
      <t>註</t>
    </r>
    <r>
      <rPr>
        <sz val="12"/>
        <color indexed="8"/>
        <rFont val="Times New Roman"/>
        <family val="1"/>
      </rPr>
      <t>:</t>
    </r>
  </si>
  <si>
    <r>
      <rPr>
        <sz val="12"/>
        <color indexed="8"/>
        <rFont val="標楷體"/>
        <family val="4"/>
        <charset val="136"/>
      </rPr>
      <t>發行公司代號請洽由財團法人保險事業發展中心統一配賦。</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</si>
  <si>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</si>
  <si>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</si>
  <si>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普通股</t>
    </r>
    <r>
      <rPr>
        <sz val="12"/>
        <color indexed="8"/>
        <rFont val="Times New Roman"/>
        <family val="1"/>
      </rPr>
      <t>, B1.</t>
    </r>
    <r>
      <rPr>
        <sz val="12"/>
        <color indexed="8"/>
        <rFont val="標楷體"/>
        <family val="4"/>
        <charset val="136"/>
      </rPr>
      <t>固定收益特別股</t>
    </r>
    <r>
      <rPr>
        <sz val="12"/>
        <color indexed="8"/>
        <rFont val="Times New Roman"/>
        <family val="1"/>
      </rPr>
      <t>, B2.</t>
    </r>
    <r>
      <rPr>
        <sz val="12"/>
        <color indexed="8"/>
        <rFont val="標楷體"/>
        <family val="4"/>
        <charset val="136"/>
      </rPr>
      <t>非固定收益特別股</t>
    </r>
    <r>
      <rPr>
        <sz val="12"/>
        <color indexed="8"/>
        <rFont val="Times New Roman"/>
        <family val="1"/>
      </rPr>
      <t>, C.</t>
    </r>
    <r>
      <rPr>
        <sz val="12"/>
        <color indexed="8"/>
        <rFont val="標楷體"/>
        <family val="4"/>
        <charset val="136"/>
      </rPr>
      <t>存託憑證。</t>
    </r>
    <phoneticPr fontId="9" type="noConversion"/>
  </si>
  <si>
    <r>
      <rPr>
        <sz val="12"/>
        <color indexed="8"/>
        <rFont val="標楷體"/>
        <family val="4"/>
        <charset val="136"/>
      </rPr>
      <t>募集方式請依序填列</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</si>
  <si>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xml:space="preserve">, </t>
    </r>
    <phoneticPr fontId="7" type="noConversion"/>
  </si>
  <si>
    <r>
      <t>C.</t>
    </r>
    <r>
      <rPr>
        <sz val="12"/>
        <color indexed="8"/>
        <rFont val="標楷體"/>
        <family val="4"/>
        <charset val="136"/>
      </rPr>
      <t>按攤銷後成本衡量之金融資產</t>
    </r>
    <r>
      <rPr>
        <sz val="12"/>
        <color indexed="8"/>
        <rFont val="Times New Roman"/>
        <family val="1"/>
      </rPr>
      <t>, D1.</t>
    </r>
    <r>
      <rPr>
        <sz val="12"/>
        <color indexed="8"/>
        <rFont val="標楷體"/>
        <family val="4"/>
        <charset val="136"/>
      </rPr>
      <t>採用權益法之投資</t>
    </r>
    <r>
      <rPr>
        <sz val="12"/>
        <color indexed="8"/>
        <rFont val="Times New Roman"/>
        <family val="1"/>
      </rPr>
      <t>, D2.</t>
    </r>
    <r>
      <rPr>
        <sz val="12"/>
        <color indexed="8"/>
        <rFont val="標楷體"/>
        <family val="4"/>
        <charset val="136"/>
      </rPr>
      <t>採用權益法之投資</t>
    </r>
    <r>
      <rPr>
        <sz val="12"/>
        <color indexed="8"/>
        <rFont val="Times New Roman"/>
        <family val="1"/>
      </rPr>
      <t>-</t>
    </r>
    <r>
      <rPr>
        <sz val="12"/>
        <color indexed="8"/>
        <rFont val="標楷體"/>
        <family val="4"/>
        <charset val="136"/>
      </rPr>
      <t>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r>
      <rPr>
        <sz val="12"/>
        <color indexed="8"/>
        <rFont val="標楷體"/>
        <family val="4"/>
        <charset val="136"/>
      </rPr>
      <t>含投資預付款</t>
    </r>
    <r>
      <rPr>
        <sz val="12"/>
        <color indexed="8"/>
        <rFont val="Times New Roman"/>
        <family val="1"/>
      </rPr>
      <t>), E.</t>
    </r>
    <r>
      <rPr>
        <sz val="12"/>
        <color indexed="8"/>
        <rFont val="標楷體"/>
        <family val="4"/>
        <charset val="136"/>
      </rPr>
      <t>待出售資產。</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</si>
  <si>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,B1.</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100%</t>
    </r>
    <r>
      <rPr>
        <sz val="12"/>
        <color indexed="8"/>
        <rFont val="標楷體"/>
        <family val="4"/>
        <charset val="136"/>
      </rPr>
      <t>】</t>
    </r>
    <r>
      <rPr>
        <sz val="12"/>
        <color indexed="8"/>
        <rFont val="Times New Roman"/>
        <family val="1"/>
      </rPr>
      <t>,B2.</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,B3.</t>
    </r>
    <r>
      <rPr>
        <sz val="12"/>
        <color indexed="8"/>
        <rFont val="標楷體"/>
        <family val="4"/>
        <charset val="136"/>
      </rPr>
      <t>專案運用</t>
    </r>
    <r>
      <rPr>
        <sz val="12"/>
        <color indexed="8"/>
        <rFont val="Times New Roman"/>
        <family val="1"/>
      </rPr>
      <t>-</t>
    </r>
    <r>
      <rPr>
        <sz val="12"/>
        <color indexed="8"/>
        <rFont val="標楷體"/>
        <family val="4"/>
        <charset val="136"/>
      </rPr>
      <t>創業投資【其他】</t>
    </r>
    <r>
      <rPr>
        <sz val="12"/>
        <color indexed="8"/>
        <rFont val="Times New Roman"/>
        <family val="1"/>
      </rPr>
      <t>, C1.</t>
    </r>
    <r>
      <rPr>
        <sz val="12"/>
        <color indexed="8"/>
        <rFont val="標楷體"/>
        <family val="4"/>
        <charset val="136"/>
      </rPr>
      <t>投資保險相關事業</t>
    </r>
    <r>
      <rPr>
        <sz val="12"/>
        <color indexed="8"/>
        <rFont val="Times New Roman"/>
        <family val="1"/>
      </rPr>
      <t>-</t>
    </r>
    <r>
      <rPr>
        <sz val="12"/>
        <color indexed="8"/>
        <rFont val="標楷體"/>
        <family val="4"/>
        <charset val="136"/>
      </rPr>
      <t>保險業</t>
    </r>
    <r>
      <rPr>
        <sz val="12"/>
        <color indexed="8"/>
        <rFont val="Times New Roman"/>
        <family val="1"/>
      </rPr>
      <t>, C2.</t>
    </r>
    <r>
      <rPr>
        <sz val="12"/>
        <color indexed="8"/>
        <rFont val="標楷體"/>
        <family val="4"/>
        <charset val="136"/>
      </rPr>
      <t>投資保險相關事業</t>
    </r>
    <r>
      <rPr>
        <sz val="12"/>
        <color indexed="8"/>
        <rFont val="Times New Roman"/>
        <family val="1"/>
      </rPr>
      <t>-</t>
    </r>
    <r>
      <rPr>
        <sz val="12"/>
        <color indexed="8"/>
        <rFont val="標楷體"/>
        <family val="4"/>
        <charset val="136"/>
      </rPr>
      <t>非保險業且有資本適足要求之產業</t>
    </r>
    <r>
      <rPr>
        <sz val="12"/>
        <color indexed="8"/>
        <rFont val="Times New Roman"/>
        <family val="1"/>
      </rPr>
      <t xml:space="preserve">, </t>
    </r>
    <phoneticPr fontId="7" type="noConversion"/>
  </si>
  <si>
    <r>
      <t>C3.</t>
    </r>
    <r>
      <rPr>
        <sz val="12"/>
        <color indexed="8"/>
        <rFont val="標楷體"/>
        <family val="4"/>
        <charset val="136"/>
      </rPr>
      <t>投資保險相關事業</t>
    </r>
    <r>
      <rPr>
        <sz val="12"/>
        <color indexed="8"/>
        <rFont val="Times New Roman"/>
        <family val="1"/>
      </rPr>
      <t>-</t>
    </r>
    <r>
      <rPr>
        <sz val="12"/>
        <color indexed="8"/>
        <rFont val="標楷體"/>
        <family val="4"/>
        <charset val="136"/>
      </rPr>
      <t>其他保險相關事業</t>
    </r>
    <r>
      <rPr>
        <sz val="12"/>
        <color indexed="8"/>
        <rFont val="Times New Roman"/>
        <family val="1"/>
      </rPr>
      <t>, D.</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E.</t>
    </r>
    <r>
      <rPr>
        <sz val="12"/>
        <color indexed="8"/>
        <rFont val="標楷體"/>
        <family val="4"/>
        <charset val="136"/>
      </rPr>
      <t>非政策性專案運用公共及社會福利事業投資</t>
    </r>
    <r>
      <rPr>
        <sz val="12"/>
        <color indexed="8"/>
        <rFont val="Times New Roman"/>
        <family val="1"/>
      </rPr>
      <t>, F.</t>
    </r>
    <r>
      <rPr>
        <sz val="12"/>
        <color indexed="8"/>
        <rFont val="標楷體"/>
        <family val="4"/>
        <charset val="136"/>
      </rPr>
      <t>其他。</t>
    </r>
    <phoneticPr fontId="7" type="noConversion"/>
  </si>
  <si>
    <r>
      <rPr>
        <sz val="12"/>
        <color indexed="8"/>
        <rFont val="標楷體"/>
        <family val="4"/>
        <charset val="136"/>
      </rPr>
      <t>交易市場型態請填列</t>
    </r>
    <r>
      <rPr>
        <sz val="12"/>
        <color indexed="8"/>
        <rFont val="Times New Roman"/>
        <family val="1"/>
      </rPr>
      <t>A.</t>
    </r>
    <r>
      <rPr>
        <sz val="12"/>
        <color indexed="8"/>
        <rFont val="標楷體"/>
        <family val="4"/>
        <charset val="136"/>
      </rPr>
      <t>集中</t>
    </r>
    <r>
      <rPr>
        <sz val="12"/>
        <color indexed="8"/>
        <rFont val="Times New Roman"/>
        <family val="1"/>
      </rPr>
      <t>, B.</t>
    </r>
    <r>
      <rPr>
        <sz val="12"/>
        <color indexed="8"/>
        <rFont val="標楷體"/>
        <family val="4"/>
        <charset val="136"/>
      </rPr>
      <t>店頭</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</si>
  <si>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</si>
  <si>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占有董監事席次比率為填表時本</t>
    </r>
    <r>
      <rPr>
        <sz val="12"/>
        <color indexed="8"/>
        <rFont val="Times New Roman"/>
        <family val="1"/>
      </rPr>
      <t>(</t>
    </r>
    <r>
      <rPr>
        <sz val="12"/>
        <color indexed="8"/>
        <rFont val="標楷體"/>
        <family val="4"/>
        <charset val="136"/>
      </rPr>
      <t>分</t>
    </r>
    <r>
      <rPr>
        <sz val="12"/>
        <color indexed="8"/>
        <rFont val="Times New Roman"/>
        <family val="1"/>
      </rPr>
      <t>)</t>
    </r>
    <r>
      <rPr>
        <sz val="12"/>
        <color indexed="8"/>
        <rFont val="標楷體"/>
        <family val="4"/>
        <charset val="136"/>
      </rPr>
      <t>公司所指派董監事席次占該被投資公司董監事所有席次之比率。</t>
    </r>
    <phoneticPr fontId="7" type="noConversion"/>
  </si>
  <si>
    <r>
      <rPr>
        <sz val="12"/>
        <color indexed="8"/>
        <rFont val="標楷體"/>
        <family val="4"/>
        <charset val="136"/>
      </rPr>
      <t>持股比率超過</t>
    </r>
    <r>
      <rPr>
        <sz val="12"/>
        <color indexed="8"/>
        <rFont val="Times New Roman"/>
        <family val="1"/>
      </rPr>
      <t>10%</t>
    </r>
    <r>
      <rPr>
        <sz val="12"/>
        <color indexed="8"/>
        <rFont val="標楷體"/>
        <family val="4"/>
        <charset val="136"/>
      </rPr>
      <t>以上者，請於備註欄填具主管機關最近核定日期及文號。</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</si>
  <si>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t>
    </r>
  </si>
  <si>
    <r>
      <rPr>
        <sz val="12"/>
        <color indexed="8"/>
        <rFont val="標楷體"/>
        <family val="4"/>
        <charset val="136"/>
      </rPr>
      <t>最近公允價值</t>
    </r>
    <r>
      <rPr>
        <sz val="12"/>
        <color indexed="8"/>
        <rFont val="Times New Roman"/>
        <family val="1"/>
      </rPr>
      <t>/</t>
    </r>
    <r>
      <rPr>
        <sz val="12"/>
        <color indexed="8"/>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7" type="noConversion"/>
  </si>
  <si>
    <r>
      <rPr>
        <sz val="12"/>
        <color indexed="8"/>
        <rFont val="標楷體"/>
        <family val="4"/>
        <charset val="136"/>
      </rPr>
      <t>保管情形請填保管機構名稱及帳號</t>
    </r>
    <r>
      <rPr>
        <sz val="12"/>
        <color indexed="8"/>
        <rFont val="Times New Roman"/>
        <family val="1"/>
      </rPr>
      <t>,</t>
    </r>
    <r>
      <rPr>
        <sz val="12"/>
        <color indexed="8"/>
        <rFont val="標楷體"/>
        <family val="4"/>
        <charset val="136"/>
      </rPr>
      <t>若屬集保帳戶請填集保。</t>
    </r>
    <phoneticPr fontId="7" type="noConversion"/>
  </si>
  <si>
    <r>
      <rPr>
        <sz val="12"/>
        <color indexed="8"/>
        <rFont val="標楷體"/>
        <family val="4"/>
        <charset val="136"/>
      </rPr>
      <t>是否屬實質互相投資之負債型特別股，請填列</t>
    </r>
    <r>
      <rPr>
        <sz val="12"/>
        <color indexed="8"/>
        <rFont val="Times New Roman"/>
        <family val="1"/>
      </rPr>
      <t>A.</t>
    </r>
    <r>
      <rPr>
        <sz val="12"/>
        <color indexed="8"/>
        <rFont val="標楷體"/>
        <family val="4"/>
        <charset val="136"/>
      </rPr>
      <t>屬實質互相投資之負債型特別股</t>
    </r>
    <r>
      <rPr>
        <sz val="12"/>
        <color indexed="8"/>
        <rFont val="Times New Roman"/>
        <family val="1"/>
      </rPr>
      <t>, B.</t>
    </r>
    <r>
      <rPr>
        <sz val="12"/>
        <color indexed="8"/>
        <rFont val="標楷體"/>
        <family val="4"/>
        <charset val="136"/>
      </rPr>
      <t>非屬實質互相投資之負債型特別股</t>
    </r>
    <r>
      <rPr>
        <sz val="12"/>
        <color indexed="8"/>
        <rFont val="Times New Roman"/>
        <family val="1"/>
      </rPr>
      <t>, C.</t>
    </r>
    <r>
      <rPr>
        <sz val="12"/>
        <color indexed="8"/>
        <rFont val="標楷體"/>
        <family val="4"/>
        <charset val="136"/>
      </rPr>
      <t>非負債型特別股。是否屬實質互相投資請參考「臺灣集中保管結算所」的「保險業投資資本工具查詢平台」。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</si>
  <si>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：①保險業實質互相投資於「國內保險業」發行之負債型特別股；或②自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日起保險業新增實質互相投資於「國內金控公司」發行之負債型特別股。</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</si>
  <si>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</si>
  <si>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t>
    </r>
    <phoneticPr fontId="9" type="noConversion"/>
  </si>
  <si>
    <r>
      <rPr>
        <sz val="12"/>
        <color indexed="8"/>
        <rFont val="標楷體"/>
        <family val="4"/>
        <charset val="136"/>
      </rPr>
      <t>單位：新台幣元</t>
    </r>
    <r>
      <rPr>
        <sz val="12"/>
        <color indexed="8"/>
        <rFont val="Times New Roman"/>
        <family val="1"/>
      </rPr>
      <t>, %</t>
    </r>
    <phoneticPr fontId="9" type="noConversion"/>
  </si>
  <si>
    <r>
      <rPr>
        <b/>
        <sz val="12"/>
        <color indexed="8"/>
        <rFont val="標楷體"/>
        <family val="4"/>
        <charset val="136"/>
      </rPr>
      <t>項目</t>
    </r>
  </si>
  <si>
    <r>
      <rPr>
        <b/>
        <sz val="12"/>
        <color indexed="8"/>
        <rFont val="標楷體"/>
        <family val="4"/>
        <charset val="136"/>
      </rPr>
      <t>淨值</t>
    </r>
    <phoneticPr fontId="9" type="noConversion"/>
  </si>
  <si>
    <r>
      <rPr>
        <b/>
        <sz val="12"/>
        <color indexed="8"/>
        <rFont val="標楷體"/>
        <family val="4"/>
        <charset val="136"/>
      </rPr>
      <t>帳載金額與淨值孰低</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</si>
  <si>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7)</t>
    </r>
    <phoneticPr fontId="12" type="noConversion"/>
  </si>
  <si>
    <r>
      <rPr>
        <b/>
        <sz val="12"/>
        <color indexed="8"/>
        <rFont val="標楷體"/>
        <family val="4"/>
        <charset val="136"/>
      </rPr>
      <t>採權益法評價者之
帳載金額</t>
    </r>
    <phoneticPr fontId="12" type="noConversion"/>
  </si>
  <si>
    <r>
      <rPr>
        <b/>
        <sz val="12"/>
        <color indexed="8"/>
        <rFont val="標楷體"/>
        <family val="4"/>
        <charset val="136"/>
      </rPr>
      <t>上市上櫃股票</t>
    </r>
    <phoneticPr fontId="9" type="noConversion"/>
  </si>
  <si>
    <r>
      <rPr>
        <b/>
        <sz val="12"/>
        <color indexed="8"/>
        <rFont val="標楷體"/>
        <family val="4"/>
        <charset val="136"/>
      </rPr>
      <t>非上市上櫃股票</t>
    </r>
    <phoneticPr fontId="9" type="noConversion"/>
  </si>
  <si>
    <r>
      <rPr>
        <b/>
        <sz val="12"/>
        <color indexed="8"/>
        <rFont val="標楷體"/>
        <family val="4"/>
        <charset val="136"/>
      </rPr>
      <t>非上市上櫃股票</t>
    </r>
  </si>
  <si>
    <r>
      <rPr>
        <sz val="12"/>
        <color indexed="8"/>
        <rFont val="標楷體"/>
        <family val="4"/>
        <charset val="136"/>
      </rPr>
      <t>一、國內關係人股票投資</t>
    </r>
    <phoneticPr fontId="9" type="noConversion"/>
  </si>
  <si>
    <r>
      <rPr>
        <sz val="12"/>
        <color indexed="8"/>
        <rFont val="標楷體"/>
        <family val="4"/>
        <charset val="136"/>
      </rPr>
      <t>具控制與從屬關係</t>
    </r>
  </si>
  <si>
    <r>
      <rPr>
        <sz val="12"/>
        <color indexed="8"/>
        <rFont val="標楷體"/>
        <family val="4"/>
        <charset val="136"/>
      </rPr>
      <t>投資國內保險相關事業：</t>
    </r>
  </si>
  <si>
    <r>
      <rPr>
        <sz val="12"/>
        <color indexed="8"/>
        <rFont val="標楷體"/>
        <family val="4"/>
        <charset val="136"/>
      </rPr>
      <t>保險業</t>
    </r>
  </si>
  <si>
    <r>
      <rPr>
        <sz val="12"/>
        <color indexed="8"/>
        <rFont val="標楷體"/>
        <family val="4"/>
        <charset val="136"/>
      </rPr>
      <t>非保險業且有資本適足要求之產業</t>
    </r>
  </si>
  <si>
    <r>
      <rPr>
        <sz val="12"/>
        <color indexed="8"/>
        <rFont val="標楷體"/>
        <family val="4"/>
        <charset val="136"/>
      </rPr>
      <t>其他保險相關事業</t>
    </r>
  </si>
  <si>
    <r>
      <rPr>
        <sz val="12"/>
        <color indexed="8"/>
        <rFont val="標楷體"/>
        <family val="4"/>
        <charset val="136"/>
      </rPr>
      <t>投資國內非保險相關事業：</t>
    </r>
  </si>
  <si>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</si>
  <si>
    <r>
      <rPr>
        <sz val="12"/>
        <color indexed="8"/>
        <rFont val="標楷體"/>
        <family val="4"/>
        <charset val="136"/>
      </rPr>
      <t>採權益法評價之創業投資</t>
    </r>
  </si>
  <si>
    <r>
      <rPr>
        <sz val="12"/>
        <color indexed="8"/>
        <rFont val="標楷體"/>
        <family val="4"/>
        <charset val="136"/>
      </rPr>
      <t>以股票方式投資之專案運用公共及社會福利事業投資</t>
    </r>
  </si>
  <si>
    <r>
      <rPr>
        <sz val="12"/>
        <color indexed="8"/>
        <rFont val="標楷體"/>
        <family val="4"/>
        <charset val="136"/>
      </rPr>
      <t>非控制與從屬關係</t>
    </r>
  </si>
  <si>
    <r>
      <rPr>
        <sz val="12"/>
        <color indexed="8"/>
        <rFont val="標楷體"/>
        <family val="4"/>
        <charset val="136"/>
      </rPr>
      <t>非採權益法評價之創業投資</t>
    </r>
  </si>
  <si>
    <r>
      <rPr>
        <sz val="12"/>
        <color indexed="8"/>
        <rFont val="新細明體"/>
        <family val="1"/>
        <charset val="136"/>
      </rPr>
      <t xml:space="preserve">  - </t>
    </r>
    <r>
      <rPr>
        <sz val="12"/>
        <color indexed="8"/>
        <rFont val="標楷體"/>
        <family val="4"/>
        <charset val="136"/>
      </rPr>
      <t>公共投資</t>
    </r>
    <r>
      <rPr>
        <sz val="12"/>
        <color indexed="8"/>
        <rFont val="Times New Roman"/>
        <family val="1"/>
      </rPr>
      <t>(100%)</t>
    </r>
    <phoneticPr fontId="9" type="noConversion"/>
  </si>
  <si>
    <r>
      <t xml:space="preserve">  -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
   型標的</t>
    </r>
    <r>
      <rPr>
        <sz val="12"/>
        <color indexed="8"/>
        <rFont val="Times New Roman"/>
        <family val="1"/>
      </rPr>
      <t>)</t>
    </r>
    <phoneticPr fontId="9" type="noConversion"/>
  </si>
  <si>
    <r>
      <t xml:space="preserve">  - </t>
    </r>
    <r>
      <rPr>
        <sz val="12"/>
        <color indexed="8"/>
        <rFont val="標楷體"/>
        <family val="4"/>
        <charset val="136"/>
      </rPr>
      <t>其他</t>
    </r>
    <phoneticPr fontId="9" type="noConversion"/>
  </si>
  <si>
    <r>
      <rPr>
        <sz val="12"/>
        <color indexed="8"/>
        <rFont val="標楷體"/>
        <family val="4"/>
        <charset val="136"/>
      </rPr>
      <t>小計</t>
    </r>
  </si>
  <si>
    <r>
      <rPr>
        <sz val="12"/>
        <color indexed="8"/>
        <rFont val="標楷體"/>
        <family val="4"/>
        <charset val="136"/>
      </rPr>
      <t>二、國外關係人股票投資</t>
    </r>
    <phoneticPr fontId="9" type="noConversion"/>
  </si>
  <si>
    <r>
      <rPr>
        <sz val="12"/>
        <color indexed="8"/>
        <rFont val="標楷體"/>
        <family val="4"/>
        <charset val="136"/>
      </rPr>
      <t>投資國外保險相關事業：</t>
    </r>
  </si>
  <si>
    <r>
      <rPr>
        <sz val="12"/>
        <color indexed="8"/>
        <rFont val="標楷體"/>
        <family val="4"/>
        <charset val="136"/>
      </rPr>
      <t>投資國外非保險相關事業</t>
    </r>
  </si>
  <si>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</si>
  <si>
    <r>
      <rPr>
        <sz val="12"/>
        <color indexed="8"/>
        <rFont val="標楷體"/>
        <family val="4"/>
        <charset val="136"/>
      </rPr>
      <t>非具控制與從屬關係</t>
    </r>
  </si>
  <si>
    <r>
      <rPr>
        <sz val="12"/>
        <color indexed="8"/>
        <rFont val="標楷體"/>
        <family val="4"/>
        <charset val="136"/>
      </rPr>
      <t>總計</t>
    </r>
  </si>
  <si>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t>
    </r>
    <phoneticPr fontId="9" type="noConversion"/>
  </si>
  <si>
    <r>
      <rPr>
        <b/>
        <sz val="12"/>
        <color indexed="8"/>
        <rFont val="標楷體"/>
        <family val="4"/>
        <charset val="136"/>
      </rPr>
      <t>帳載金額</t>
    </r>
    <phoneticPr fontId="9" type="noConversion"/>
  </si>
  <si>
    <r>
      <rPr>
        <b/>
        <sz val="12"/>
        <color indexed="8"/>
        <rFont val="標楷體"/>
        <family val="4"/>
        <charset val="136"/>
      </rPr>
      <t>公允價值</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</si>
  <si>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12)</t>
    </r>
    <phoneticPr fontId="9" type="noConversion"/>
  </si>
  <si>
    <r>
      <rPr>
        <b/>
        <sz val="12"/>
        <color indexed="8"/>
        <rFont val="標楷體"/>
        <family val="4"/>
        <charset val="136"/>
      </rPr>
      <t>一、國內非關係人股票投資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</si>
  <si>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上市普通股</t>
    </r>
    <phoneticPr fontId="9" type="noConversion"/>
  </si>
  <si>
    <r>
      <t>1.</t>
    </r>
    <r>
      <rPr>
        <sz val="12"/>
        <color indexed="8"/>
        <rFont val="標楷體"/>
        <family val="4"/>
        <charset val="136"/>
      </rPr>
      <t>擔任被投資公司之董監事</t>
    </r>
  </si>
  <si>
    <r>
      <t>2.</t>
    </r>
    <r>
      <rPr>
        <sz val="12"/>
        <color indexed="8"/>
        <rFont val="標楷體"/>
        <family val="4"/>
        <charset val="136"/>
      </rPr>
      <t>未擔任被投資公司之董監事</t>
    </r>
  </si>
  <si>
    <r>
      <t>(</t>
    </r>
    <r>
      <rPr>
        <sz val="12"/>
        <color indexed="8"/>
        <rFont val="標楷體"/>
        <family val="4"/>
        <charset val="136"/>
      </rPr>
      <t>二</t>
    </r>
    <r>
      <rPr>
        <sz val="12"/>
        <color indexed="8"/>
        <rFont val="Times New Roman"/>
        <family val="1"/>
      </rPr>
      <t>)</t>
    </r>
    <r>
      <rPr>
        <sz val="12"/>
        <color indexed="8"/>
        <rFont val="標楷體"/>
        <family val="4"/>
        <charset val="136"/>
      </rPr>
      <t>上櫃普通股</t>
    </r>
  </si>
  <si>
    <r>
      <t>(</t>
    </r>
    <r>
      <rPr>
        <sz val="12"/>
        <color indexed="8"/>
        <rFont val="標楷體"/>
        <family val="4"/>
        <charset val="136"/>
      </rPr>
      <t>三</t>
    </r>
    <r>
      <rPr>
        <sz val="12"/>
        <color indexed="8"/>
        <rFont val="Times New Roman"/>
        <family val="1"/>
      </rPr>
      <t>)</t>
    </r>
    <r>
      <rPr>
        <sz val="12"/>
        <color indexed="8"/>
        <rFont val="標楷體"/>
        <family val="4"/>
        <charset val="136"/>
      </rPr>
      <t>非上市上櫃普通股</t>
    </r>
  </si>
  <si>
    <r>
      <t>(</t>
    </r>
    <r>
      <rPr>
        <sz val="12"/>
        <color indexed="8"/>
        <rFont val="標楷體"/>
        <family val="4"/>
        <charset val="136"/>
      </rPr>
      <t>四</t>
    </r>
    <r>
      <rPr>
        <sz val="12"/>
        <color indexed="8"/>
        <rFont val="Times New Roman"/>
        <family val="1"/>
      </rPr>
      <t>)</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</si>
  <si>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</si>
  <si>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</si>
  <si>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(1)</t>
    </r>
    <r>
      <rPr>
        <sz val="12"/>
        <color indexed="8"/>
        <rFont val="標楷體"/>
        <family val="4"/>
        <charset val="136"/>
      </rPr>
      <t>上市上櫃</t>
    </r>
  </si>
  <si>
    <r>
      <t>(2)</t>
    </r>
    <r>
      <rPr>
        <sz val="12"/>
        <color indexed="8"/>
        <rFont val="標楷體"/>
        <family val="4"/>
        <charset val="136"/>
      </rPr>
      <t>非上市上櫃</t>
    </r>
  </si>
  <si>
    <r>
      <t>(</t>
    </r>
    <r>
      <rPr>
        <sz val="12"/>
        <color indexed="8"/>
        <rFont val="標楷體"/>
        <family val="4"/>
        <charset val="136"/>
      </rPr>
      <t>五</t>
    </r>
    <r>
      <rPr>
        <sz val="12"/>
        <color indexed="8"/>
        <rFont val="Times New Roman"/>
        <family val="1"/>
      </rPr>
      <t>)</t>
    </r>
    <r>
      <rPr>
        <sz val="12"/>
        <color indexed="8"/>
        <rFont val="標楷體"/>
        <family val="4"/>
        <charset val="136"/>
      </rPr>
      <t>專案運用公共及社會福利事業投資</t>
    </r>
  </si>
  <si>
    <r>
      <t>1.</t>
    </r>
    <r>
      <rPr>
        <sz val="12"/>
        <color indexed="8"/>
        <rFont val="標楷體"/>
        <family val="4"/>
        <charset val="136"/>
      </rPr>
      <t>政策性之專案運用公共及社會福利事業投資</t>
    </r>
  </si>
  <si>
    <r>
      <t>2.</t>
    </r>
    <r>
      <rPr>
        <sz val="12"/>
        <color indexed="8"/>
        <rFont val="標楷體"/>
        <family val="4"/>
        <charset val="136"/>
      </rPr>
      <t>創業投資</t>
    </r>
  </si>
  <si>
    <r>
      <rPr>
        <sz val="12"/>
        <color indexed="8"/>
        <rFont val="新細明體"/>
        <family val="1"/>
        <charset val="136"/>
      </rPr>
      <t xml:space="preserve">- </t>
    </r>
    <r>
      <rPr>
        <sz val="12"/>
        <color indexed="8"/>
        <rFont val="標楷體"/>
        <family val="4"/>
        <charset val="136"/>
      </rPr>
      <t>公共投資</t>
    </r>
    <r>
      <rPr>
        <sz val="12"/>
        <color indexed="8"/>
        <rFont val="Times New Roman"/>
        <family val="1"/>
      </rPr>
      <t>(100%)</t>
    </r>
    <phoneticPr fontId="9" type="noConversion"/>
  </si>
  <si>
    <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</si>
  <si>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 </t>
    </r>
    <r>
      <rPr>
        <sz val="12"/>
        <color indexed="8"/>
        <rFont val="標楷體"/>
        <family val="4"/>
        <charset val="136"/>
      </rPr>
      <t>其他</t>
    </r>
    <phoneticPr fontId="9" type="noConversion"/>
  </si>
  <si>
    <r>
      <t>3.</t>
    </r>
    <r>
      <rPr>
        <sz val="12"/>
        <color indexed="8"/>
        <rFont val="標楷體"/>
        <family val="4"/>
        <charset val="136"/>
      </rPr>
      <t>以股票方式投資</t>
    </r>
    <r>
      <rPr>
        <sz val="12"/>
        <color indexed="8"/>
        <rFont val="Times New Roman"/>
        <family val="1"/>
      </rPr>
      <t>(</t>
    </r>
    <r>
      <rPr>
        <sz val="12"/>
        <color indexed="8"/>
        <rFont val="標楷體"/>
        <family val="4"/>
        <charset val="136"/>
      </rPr>
      <t>非創投</t>
    </r>
    <r>
      <rPr>
        <sz val="12"/>
        <color indexed="8"/>
        <rFont val="Times New Roman"/>
        <family val="1"/>
      </rPr>
      <t>)</t>
    </r>
    <r>
      <rPr>
        <sz val="12"/>
        <color indexed="8"/>
        <rFont val="標楷體"/>
        <family val="4"/>
        <charset val="136"/>
      </rPr>
      <t>之專案運用公共及社會福利事業投資</t>
    </r>
    <phoneticPr fontId="9" type="noConversion"/>
  </si>
  <si>
    <r>
      <t>(1)</t>
    </r>
    <r>
      <rPr>
        <sz val="12"/>
        <color indexed="8"/>
        <rFont val="標楷體"/>
        <family val="4"/>
        <charset val="136"/>
      </rPr>
      <t>上市普通股</t>
    </r>
    <phoneticPr fontId="9" type="noConversion"/>
  </si>
  <si>
    <r>
      <t>(2)</t>
    </r>
    <r>
      <rPr>
        <sz val="12"/>
        <color indexed="8"/>
        <rFont val="標楷體"/>
        <family val="4"/>
        <charset val="136"/>
      </rPr>
      <t>上櫃普通股</t>
    </r>
    <phoneticPr fontId="9" type="noConversion"/>
  </si>
  <si>
    <r>
      <t>(3)</t>
    </r>
    <r>
      <rPr>
        <sz val="12"/>
        <color indexed="8"/>
        <rFont val="標楷體"/>
        <family val="4"/>
        <charset val="136"/>
      </rPr>
      <t>非上市上櫃普通股</t>
    </r>
    <phoneticPr fontId="9" type="noConversion"/>
  </si>
  <si>
    <r>
      <t>(4)</t>
    </r>
    <r>
      <rPr>
        <sz val="12"/>
        <color indexed="8"/>
        <rFont val="標楷體"/>
        <family val="4"/>
        <charset val="136"/>
      </rPr>
      <t>特別股</t>
    </r>
    <phoneticPr fontId="9" type="noConversion"/>
  </si>
  <si>
    <r>
      <t>(</t>
    </r>
    <r>
      <rPr>
        <sz val="12"/>
        <color indexed="8"/>
        <rFont val="標楷體"/>
        <family val="4"/>
        <charset val="136"/>
      </rPr>
      <t>六</t>
    </r>
    <r>
      <rPr>
        <sz val="12"/>
        <color indexed="8"/>
        <rFont val="Times New Roman"/>
        <family val="1"/>
      </rPr>
      <t>)</t>
    </r>
    <r>
      <rPr>
        <sz val="12"/>
        <color indexed="8"/>
        <rFont val="標楷體"/>
        <family val="4"/>
        <charset val="136"/>
      </rPr>
      <t>台灣存託憑證</t>
    </r>
    <r>
      <rPr>
        <sz val="12"/>
        <color indexed="8"/>
        <rFont val="Times New Roman"/>
        <family val="1"/>
      </rPr>
      <t>(</t>
    </r>
    <r>
      <rPr>
        <sz val="12"/>
        <color indexed="8"/>
        <rFont val="標楷體"/>
        <family val="4"/>
        <charset val="136"/>
      </rPr>
      <t>註</t>
    </r>
    <r>
      <rPr>
        <sz val="12"/>
        <color indexed="8"/>
        <rFont val="Times New Roman"/>
        <family val="1"/>
      </rPr>
      <t>13)</t>
    </r>
  </si>
  <si>
    <r>
      <t>1.</t>
    </r>
    <r>
      <rPr>
        <sz val="12"/>
        <color indexed="8"/>
        <rFont val="標楷體"/>
        <family val="4"/>
        <charset val="136"/>
      </rPr>
      <t>發行公司隸屬國家為已開發國家</t>
    </r>
    <phoneticPr fontId="9" type="noConversion"/>
  </si>
  <si>
    <r>
      <t>2.</t>
    </r>
    <r>
      <rPr>
        <sz val="12"/>
        <color indexed="8"/>
        <rFont val="標楷體"/>
        <family val="4"/>
        <charset val="136"/>
      </rPr>
      <t>發行公司隸屬國家為新興市場</t>
    </r>
    <phoneticPr fontId="9" type="noConversion"/>
  </si>
  <si>
    <r>
      <rPr>
        <b/>
        <sz val="12"/>
        <color indexed="8"/>
        <rFont val="標楷體"/>
        <family val="4"/>
        <charset val="136"/>
      </rPr>
      <t>國內非關係人股票投資總額</t>
    </r>
  </si>
  <si>
    <r>
      <rPr>
        <b/>
        <sz val="12"/>
        <color indexed="8"/>
        <rFont val="標楷體"/>
        <family val="4"/>
        <charset val="136"/>
      </rPr>
      <t>二、國外非關係人股票投資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</si>
  <si>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已開發國家</t>
    </r>
  </si>
  <si>
    <r>
      <t>1.</t>
    </r>
    <r>
      <rPr>
        <sz val="12"/>
        <color indexed="8"/>
        <rFont val="標楷體"/>
        <family val="4"/>
        <charset val="136"/>
      </rPr>
      <t>上市上櫃普通股</t>
    </r>
  </si>
  <si>
    <r>
      <t>2.</t>
    </r>
    <r>
      <rPr>
        <sz val="12"/>
        <color indexed="8"/>
        <rFont val="標楷體"/>
        <family val="4"/>
        <charset val="136"/>
      </rPr>
      <t>非上市上櫃普通股</t>
    </r>
  </si>
  <si>
    <r>
      <t>3.</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</si>
  <si>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</si>
  <si>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</si>
  <si>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t>
    </r>
    <r>
      <rPr>
        <sz val="12"/>
        <color indexed="8"/>
        <rFont val="標楷體"/>
        <family val="4"/>
        <charset val="136"/>
      </rPr>
      <t>二</t>
    </r>
    <r>
      <rPr>
        <sz val="12"/>
        <color indexed="8"/>
        <rFont val="Times New Roman"/>
        <family val="1"/>
      </rPr>
      <t>)</t>
    </r>
    <r>
      <rPr>
        <sz val="12"/>
        <color indexed="8"/>
        <rFont val="標楷體"/>
        <family val="4"/>
        <charset val="136"/>
      </rPr>
      <t>新興市場</t>
    </r>
  </si>
  <si>
    <r>
      <rPr>
        <b/>
        <sz val="12"/>
        <color indexed="8"/>
        <rFont val="標楷體"/>
        <family val="4"/>
        <charset val="136"/>
      </rPr>
      <t>國外非關係人股票投資總額</t>
    </r>
  </si>
  <si>
    <r>
      <rPr>
        <b/>
        <sz val="12"/>
        <color indexed="8"/>
        <rFont val="標楷體"/>
        <family val="4"/>
        <charset val="136"/>
      </rPr>
      <t>非關係人股票投資總額</t>
    </r>
    <phoneticPr fontId="9" type="noConversion"/>
  </si>
  <si>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</si>
  <si>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(2+5+8)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(38)</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</si>
  <si>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</si>
  <si>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t>
    </r>
    <r>
      <rPr>
        <sz val="12"/>
        <color indexed="8"/>
        <rFont val="Times New Roman"/>
        <family val="1"/>
      </rPr>
      <t>(10)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</si>
  <si>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3</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</si>
  <si>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</si>
  <si>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4</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</si>
  <si>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(36+37)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</si>
  <si>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</si>
  <si>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(39)</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</si>
  <si>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</si>
  <si>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(120)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</si>
  <si>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7</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</si>
  <si>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(44+45)</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</si>
  <si>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8</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</si>
  <si>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</si>
  <si>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9</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</si>
  <si>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(150)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</si>
  <si>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10</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</si>
  <si>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</si>
  <si>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11</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</si>
  <si>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</si>
  <si>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12</t>
    </r>
  </si>
  <si>
    <r>
      <rPr>
        <sz val="12"/>
        <color indexed="8"/>
        <rFont val="標楷體"/>
        <family val="4"/>
        <charset val="136"/>
      </rPr>
      <t>係指依資產負債表日前半年每日收盤價計算之算術平均價格</t>
    </r>
    <phoneticPr fontId="9" type="noConversion"/>
  </si>
  <si>
    <r>
      <rPr>
        <sz val="12"/>
        <color indexed="8"/>
        <rFont val="標楷體"/>
        <family val="4"/>
        <charset val="136"/>
      </rPr>
      <t>註</t>
    </r>
    <r>
      <rPr>
        <sz val="12"/>
        <color indexed="8"/>
        <rFont val="Times New Roman"/>
        <family val="1"/>
      </rPr>
      <t>13</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</si>
  <si>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列之金額依台財保字第</t>
    </r>
    <r>
      <rPr>
        <sz val="12"/>
        <color indexed="8"/>
        <rFont val="Times New Roman"/>
        <family val="1"/>
      </rPr>
      <t>0900700387</t>
    </r>
    <r>
      <rPr>
        <sz val="12"/>
        <color indexed="8"/>
        <rFont val="標楷體"/>
        <family val="4"/>
        <charset val="136"/>
      </rPr>
      <t>號函規定應填入表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t>
    </r>
    <r>
      <rPr>
        <sz val="12"/>
        <color indexed="8"/>
        <rFont val="標楷體"/>
        <family val="4"/>
        <charset val="136"/>
      </rPr>
      <t>列中。</t>
    </r>
    <phoneticPr fontId="9" type="noConversion"/>
  </si>
  <si>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</si>
  <si>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rPr>
        <b/>
        <sz val="12"/>
        <color indexed="8"/>
        <rFont val="標楷體"/>
        <family val="4"/>
        <charset val="136"/>
      </rPr>
      <t>國內投資</t>
    </r>
  </si>
  <si>
    <r>
      <rPr>
        <b/>
        <sz val="12"/>
        <color indexed="8"/>
        <rFont val="標楷體"/>
        <family val="4"/>
        <charset val="136"/>
      </rPr>
      <t>國外投資</t>
    </r>
  </si>
  <si>
    <r>
      <rPr>
        <b/>
        <sz val="12"/>
        <color indexed="8"/>
        <rFont val="標楷體"/>
        <family val="4"/>
        <charset val="136"/>
      </rPr>
      <t>最近期成交日公允價值總金額</t>
    </r>
    <phoneticPr fontId="7"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</si>
  <si>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非以公允價值評價者</t>
    </r>
    <phoneticPr fontId="12"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</si>
  <si>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以公允價值評價者</t>
    </r>
  </si>
  <si>
    <r>
      <rPr>
        <sz val="12"/>
        <color indexed="8"/>
        <rFont val="標楷體"/>
        <family val="4"/>
        <charset val="136"/>
      </rPr>
      <t>總計</t>
    </r>
    <r>
      <rPr>
        <sz val="12"/>
        <color indexed="8"/>
        <rFont val="Times New Roman"/>
        <family val="1"/>
      </rPr>
      <t>(</t>
    </r>
    <r>
      <rPr>
        <sz val="12"/>
        <color indexed="8"/>
        <rFont val="標楷體"/>
        <family val="4"/>
        <charset val="136"/>
      </rPr>
      <t>交易對象</t>
    </r>
    <r>
      <rPr>
        <sz val="12"/>
        <color indexed="8"/>
        <rFont val="Times New Roman"/>
        <family val="1"/>
      </rPr>
      <t>)</t>
    </r>
  </si>
  <si>
    <r>
      <rPr>
        <sz val="12"/>
        <color indexed="8"/>
        <rFont val="標楷體"/>
        <family val="4"/>
        <charset val="136"/>
      </rPr>
      <t>關係人公司債投資：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</si>
  <si>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</si>
  <si>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phoneticPr fontId="7" type="noConversion"/>
  </si>
  <si>
    <r>
      <rPr>
        <sz val="12"/>
        <color indexed="8"/>
        <rFont val="標楷體"/>
        <family val="4"/>
        <charset val="136"/>
      </rPr>
      <t>透過其他綜合損益按公允價值衡量之金融資產</t>
    </r>
    <phoneticPr fontId="7" type="noConversion"/>
  </si>
  <si>
    <r>
      <rPr>
        <sz val="12"/>
        <color indexed="8"/>
        <rFont val="標楷體"/>
        <family val="4"/>
        <charset val="136"/>
      </rPr>
      <t>按攤銷後成本衡量之金融資產</t>
    </r>
    <phoneticPr fontId="7" type="noConversion"/>
  </si>
  <si>
    <r>
      <rPr>
        <sz val="12"/>
        <color indexed="8"/>
        <rFont val="標楷體"/>
        <family val="4"/>
        <charset val="136"/>
      </rPr>
      <t>非關係人公司債投資：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</si>
  <si>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交易種類</t>
    </r>
    <r>
      <rPr>
        <sz val="12"/>
        <color indexed="8"/>
        <rFont val="Times New Roman"/>
        <family val="1"/>
      </rPr>
      <t>)</t>
    </r>
  </si>
  <si>
    <r>
      <rPr>
        <sz val="12"/>
        <color indexed="8"/>
        <rFont val="標楷體"/>
        <family val="4"/>
        <charset val="136"/>
      </rPr>
      <t>上市公司債</t>
    </r>
  </si>
  <si>
    <r>
      <rPr>
        <sz val="12"/>
        <color indexed="8"/>
        <rFont val="標楷體"/>
        <family val="4"/>
        <charset val="136"/>
      </rPr>
      <t>上櫃公司債</t>
    </r>
  </si>
  <si>
    <r>
      <rPr>
        <sz val="12"/>
        <color indexed="8"/>
        <rFont val="標楷體"/>
        <family val="4"/>
        <charset val="136"/>
      </rPr>
      <t>興櫃公司債</t>
    </r>
  </si>
  <si>
    <r>
      <rPr>
        <sz val="12"/>
        <color indexed="8"/>
        <rFont val="標楷體"/>
        <family val="4"/>
        <charset val="136"/>
      </rPr>
      <t>非屬上市上櫃興櫃之其他公司債</t>
    </r>
  </si>
  <si>
    <r>
      <rPr>
        <sz val="12"/>
        <color indexed="8"/>
        <rFont val="標楷體"/>
        <family val="4"/>
        <charset val="136"/>
      </rPr>
      <t>創業投資事業公司債</t>
    </r>
    <phoneticPr fontId="7" type="noConversion"/>
  </si>
  <si>
    <r>
      <rPr>
        <sz val="12"/>
        <color indexed="8"/>
        <rFont val="標楷體"/>
        <family val="4"/>
        <charset val="136"/>
      </rPr>
      <t>有擔保公司債</t>
    </r>
    <phoneticPr fontId="7" type="noConversion"/>
  </si>
  <si>
    <r>
      <rPr>
        <sz val="12"/>
        <color indexed="8"/>
        <rFont val="標楷體"/>
        <family val="4"/>
        <charset val="136"/>
      </rPr>
      <t>無擔保公司債</t>
    </r>
    <phoneticPr fontId="7" type="noConversion"/>
  </si>
  <si>
    <r>
      <rPr>
        <sz val="12"/>
        <color indexed="8"/>
        <rFont val="標楷體"/>
        <family val="4"/>
        <charset val="136"/>
      </rPr>
      <t>可轉換公司債及附認股權公司債</t>
    </r>
    <phoneticPr fontId="9" type="noConversion"/>
  </si>
  <si>
    <r>
      <rPr>
        <sz val="12"/>
        <color indexed="8"/>
        <rFont val="標楷體"/>
        <family val="4"/>
        <charset val="136"/>
      </rPr>
      <t>私募公司債</t>
    </r>
    <phoneticPr fontId="7" type="noConversion"/>
  </si>
  <si>
    <r>
      <rPr>
        <sz val="12"/>
        <color indexed="8"/>
        <rFont val="標楷體"/>
        <family val="4"/>
        <charset val="136"/>
      </rPr>
      <t>專案運用公共及社會福利事業投資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</si>
  <si>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具資本性質債券</t>
    </r>
    <r>
      <rPr>
        <sz val="12"/>
        <color indexed="8"/>
        <rFont val="Times New Roman"/>
        <family val="1"/>
      </rPr>
      <t>)</t>
    </r>
    <phoneticPr fontId="7" type="noConversion"/>
  </si>
  <si>
    <r>
      <rPr>
        <sz val="12"/>
        <color indexed="8"/>
        <rFont val="標楷體"/>
        <family val="4"/>
        <charset val="136"/>
      </rPr>
      <t>具控制與從屬關係</t>
    </r>
    <phoneticPr fontId="7" type="noConversion"/>
  </si>
  <si>
    <r>
      <rPr>
        <sz val="12"/>
        <color indexed="8"/>
        <rFont val="標楷體"/>
        <family val="4"/>
        <charset val="136"/>
      </rPr>
      <t>投資保險相關事業</t>
    </r>
    <phoneticPr fontId="7" type="noConversion"/>
  </si>
  <si>
    <r>
      <rPr>
        <sz val="12"/>
        <color indexed="8"/>
        <rFont val="標楷體"/>
        <family val="4"/>
        <charset val="136"/>
      </rPr>
      <t>非屬實質互相投資</t>
    </r>
    <phoneticPr fontId="7" type="noConversion"/>
  </si>
  <si>
    <r>
      <rPr>
        <sz val="12"/>
        <color indexed="8"/>
        <rFont val="標楷體"/>
        <family val="4"/>
        <charset val="136"/>
      </rPr>
      <t>投資非保險相關事業</t>
    </r>
    <phoneticPr fontId="7" type="noConversion"/>
  </si>
  <si>
    <r>
      <rPr>
        <sz val="12"/>
        <color indexed="8"/>
        <rFont val="標楷體"/>
        <family val="4"/>
        <charset val="136"/>
      </rPr>
      <t>非控制與從屬關係</t>
    </r>
    <phoneticPr fontId="7" type="noConversion"/>
  </si>
  <si>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2)</t>
    </r>
    <phoneticPr fontId="7" type="noConversion"/>
  </si>
  <si>
    <r>
      <rPr>
        <sz val="12"/>
        <color indexed="8"/>
        <rFont val="標楷體"/>
        <family val="4"/>
        <charset val="136"/>
      </rPr>
      <t>期末公司債投資餘額</t>
    </r>
    <r>
      <rPr>
        <sz val="12"/>
        <color indexed="8"/>
        <rFont val="Times New Roman"/>
        <family val="1"/>
      </rPr>
      <t>(</t>
    </r>
    <r>
      <rPr>
        <sz val="12"/>
        <color indexed="8"/>
        <rFont val="標楷體"/>
        <family val="4"/>
        <charset val="136"/>
      </rPr>
      <t>列</t>
    </r>
    <r>
      <rPr>
        <sz val="12"/>
        <color indexed="8"/>
        <rFont val="Times New Roman"/>
        <family val="1"/>
      </rPr>
      <t>16)</t>
    </r>
    <phoneticPr fontId="7" type="noConversion"/>
  </si>
  <si>
    <r>
      <rPr>
        <sz val="12"/>
        <color indexed="8"/>
        <rFont val="標楷體"/>
        <family val="4"/>
        <charset val="136"/>
      </rPr>
      <t>列</t>
    </r>
    <r>
      <rPr>
        <sz val="12"/>
        <color indexed="8"/>
        <rFont val="Times New Roman"/>
        <family val="1"/>
      </rPr>
      <t>17</t>
    </r>
    <r>
      <rPr>
        <sz val="12"/>
        <color indexed="8"/>
        <rFont val="標楷體"/>
        <family val="4"/>
        <charset val="136"/>
      </rPr>
      <t>至列</t>
    </r>
    <r>
      <rPr>
        <sz val="12"/>
        <color indexed="8"/>
        <rFont val="Times New Roman"/>
        <family val="1"/>
      </rPr>
      <t>22</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</si>
  <si>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11-1</t>
    </r>
    <r>
      <rPr>
        <sz val="12"/>
        <color indexed="8"/>
        <rFont val="標楷體"/>
        <family val="4"/>
        <charset val="136"/>
      </rPr>
      <t>：公司債餘額明細表」第</t>
    </r>
    <r>
      <rPr>
        <sz val="12"/>
        <color indexed="8"/>
        <rFont val="Times New Roman"/>
        <family val="1"/>
      </rPr>
      <t>(14)</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</si>
  <si>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表</t>
    </r>
    <r>
      <rPr>
        <sz val="12"/>
        <color indexed="8"/>
        <rFont val="Times New Roman"/>
        <family val="1"/>
      </rPr>
      <t>12-1</t>
    </r>
    <r>
      <rPr>
        <sz val="12"/>
        <color indexed="8"/>
        <rFont val="標楷體"/>
        <family val="4"/>
        <charset val="136"/>
      </rPr>
      <t>：受益憑證及國外表彰基金餘額明細表</t>
    </r>
    <phoneticPr fontId="7" type="noConversion"/>
  </si>
  <si>
    <r>
      <rPr>
        <b/>
        <sz val="12"/>
        <color indexed="8"/>
        <rFont val="標楷體"/>
        <family val="4"/>
        <charset val="136"/>
      </rPr>
      <t>證券代號</t>
    </r>
  </si>
  <si>
    <r>
      <rPr>
        <b/>
        <sz val="12"/>
        <color indexed="8"/>
        <rFont val="標楷體"/>
        <family val="4"/>
        <charset val="136"/>
      </rPr>
      <t>證券名稱</t>
    </r>
  </si>
  <si>
    <r>
      <rPr>
        <b/>
        <sz val="12"/>
        <color indexed="8"/>
        <rFont val="標楷體"/>
        <family val="4"/>
        <charset val="136"/>
      </rPr>
      <t>發行機構</t>
    </r>
  </si>
  <si>
    <r>
      <rPr>
        <b/>
        <sz val="12"/>
        <color indexed="8"/>
        <rFont val="標楷體"/>
        <family val="4"/>
        <charset val="136"/>
      </rPr>
      <t>管理機構</t>
    </r>
  </si>
  <si>
    <r>
      <rPr>
        <b/>
        <sz val="12"/>
        <color indexed="8"/>
        <rFont val="標楷體"/>
        <family val="4"/>
        <charset val="136"/>
      </rPr>
      <t>規模</t>
    </r>
  </si>
  <si>
    <r>
      <rPr>
        <b/>
        <sz val="12"/>
        <color indexed="8"/>
        <rFont val="標楷體"/>
        <family val="4"/>
        <charset val="136"/>
      </rPr>
      <t>成立年期</t>
    </r>
  </si>
  <si>
    <r>
      <rPr>
        <sz val="12"/>
        <color indexed="8"/>
        <rFont val="標楷體"/>
        <family val="4"/>
        <charset val="136"/>
      </rPr>
      <t>註</t>
    </r>
    <r>
      <rPr>
        <sz val="12"/>
        <color indexed="8"/>
        <rFont val="Times New Roman"/>
        <family val="1"/>
      </rPr>
      <t>:</t>
    </r>
    <phoneticPr fontId="12" type="noConversion"/>
  </si>
  <si>
    <r>
      <rPr>
        <sz val="12"/>
        <color indexed="8"/>
        <rFont val="標楷體"/>
        <family val="4"/>
        <charset val="136"/>
      </rPr>
      <t>證券及管理機構代號請洽由財團法人保險事業發展中心統一配賦。</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</si>
  <si>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股票型基金</t>
    </r>
    <r>
      <rPr>
        <sz val="12"/>
        <color indexed="8"/>
        <rFont val="Times New Roman"/>
        <family val="1"/>
      </rPr>
      <t>, B.</t>
    </r>
    <r>
      <rPr>
        <sz val="12"/>
        <color indexed="8"/>
        <rFont val="標楷體"/>
        <family val="4"/>
        <charset val="136"/>
      </rPr>
      <t>債券型基金</t>
    </r>
    <r>
      <rPr>
        <sz val="12"/>
        <color indexed="8"/>
        <rFont val="Times New Roman"/>
        <family val="1"/>
      </rPr>
      <t>, C.</t>
    </r>
    <r>
      <rPr>
        <sz val="12"/>
        <color indexed="8"/>
        <rFont val="標楷體"/>
        <family val="4"/>
        <charset val="136"/>
      </rPr>
      <t>平衡型基金及多重資產型基金</t>
    </r>
    <r>
      <rPr>
        <sz val="12"/>
        <color indexed="8"/>
        <rFont val="Times New Roman"/>
        <family val="1"/>
      </rPr>
      <t>, D.</t>
    </r>
    <r>
      <rPr>
        <sz val="12"/>
        <color indexed="8"/>
        <rFont val="標楷體"/>
        <family val="4"/>
        <charset val="136"/>
      </rPr>
      <t>國內避險型基金</t>
    </r>
    <r>
      <rPr>
        <sz val="12"/>
        <color indexed="8"/>
        <rFont val="Times New Roman"/>
        <family val="1"/>
      </rPr>
      <t>, E.</t>
    </r>
    <r>
      <rPr>
        <sz val="12"/>
        <color indexed="8"/>
        <rFont val="標楷體"/>
        <family val="4"/>
        <charset val="136"/>
      </rPr>
      <t>貨幣型基金</t>
    </r>
    <r>
      <rPr>
        <sz val="12"/>
        <color indexed="8"/>
        <rFont val="Times New Roman"/>
        <family val="1"/>
      </rPr>
      <t>, F1.</t>
    </r>
    <r>
      <rPr>
        <sz val="12"/>
        <color indexed="8"/>
        <rFont val="標楷體"/>
        <family val="4"/>
        <charset val="136"/>
      </rPr>
      <t>國家級投資公司所設立之國內私募股權基金</t>
    </r>
    <r>
      <rPr>
        <sz val="12"/>
        <color indexed="8"/>
        <rFont val="Times New Roman"/>
        <family val="1"/>
      </rPr>
      <t>, F2a.</t>
    </r>
    <r>
      <rPr>
        <sz val="12"/>
        <color indexed="8"/>
        <rFont val="標楷體"/>
        <family val="4"/>
        <charset val="136"/>
      </rPr>
      <t>證投信及證券商轉投資子公司擔任普通合夥人設立之國內私募股權基金【公共投資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F2b.</t>
    </r>
    <r>
      <rPr>
        <sz val="12"/>
        <color indexed="8"/>
        <rFont val="標楷體"/>
        <family val="4"/>
        <charset val="136"/>
      </rPr>
      <t>證投信及證券商轉投資子公司擔任普通合夥人設立之國內私募股權基金【公共投資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t>
    </r>
    <phoneticPr fontId="9" type="noConversion"/>
  </si>
  <si>
    <r>
      <t xml:space="preserve"> F3a.</t>
    </r>
    <r>
      <rPr>
        <sz val="12"/>
        <color indexed="8"/>
        <rFont val="標楷體"/>
        <family val="4"/>
        <charset val="136"/>
      </rPr>
      <t>取得國家發展委員會資格函之國內私募股權基金【公共投資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F3b.</t>
    </r>
    <r>
      <rPr>
        <sz val="12"/>
        <color indexed="8"/>
        <rFont val="標楷體"/>
        <family val="4"/>
        <charset val="136"/>
      </rPr>
      <t>取得國家發展委員會資格函之國內私募股權基金【公共投資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  F4.</t>
    </r>
    <r>
      <rPr>
        <sz val="12"/>
        <color indexed="8"/>
        <rFont val="標楷體"/>
        <family val="4"/>
        <charset val="136"/>
      </rPr>
      <t>其他國內私募基金</t>
    </r>
    <r>
      <rPr>
        <sz val="12"/>
        <color indexed="8"/>
        <rFont val="Times New Roman"/>
        <family val="1"/>
      </rPr>
      <t>, G.</t>
    </r>
    <r>
      <rPr>
        <sz val="12"/>
        <color indexed="8"/>
        <rFont val="標楷體"/>
        <family val="4"/>
        <charset val="136"/>
      </rPr>
      <t>指數型基金</t>
    </r>
    <r>
      <rPr>
        <sz val="12"/>
        <color indexed="8"/>
        <rFont val="Times New Roman"/>
        <family val="1"/>
      </rPr>
      <t>, H.</t>
    </r>
    <r>
      <rPr>
        <sz val="12"/>
        <color indexed="8"/>
        <rFont val="標楷體"/>
        <family val="4"/>
        <charset val="136"/>
      </rPr>
      <t>國外不動產投資信託基金</t>
    </r>
    <r>
      <rPr>
        <sz val="12"/>
        <color indexed="8"/>
        <rFont val="Times New Roman"/>
        <family val="1"/>
      </rPr>
      <t>, I.</t>
    </r>
    <r>
      <rPr>
        <sz val="12"/>
        <color indexed="8"/>
        <rFont val="標楷體"/>
        <family val="4"/>
        <charset val="136"/>
      </rPr>
      <t>國外對沖基金</t>
    </r>
    <r>
      <rPr>
        <sz val="12"/>
        <color indexed="8"/>
        <rFont val="Times New Roman"/>
        <family val="1"/>
      </rPr>
      <t>,</t>
    </r>
    <phoneticPr fontId="9" type="noConversion"/>
  </si>
  <si>
    <r>
      <t>J1.</t>
    </r>
    <r>
      <rPr>
        <sz val="12"/>
        <color indexed="8"/>
        <rFont val="標楷體"/>
        <family val="4"/>
        <charset val="136"/>
      </rPr>
      <t>國外私募股權基金</t>
    </r>
    <r>
      <rPr>
        <sz val="12"/>
        <color indexed="8"/>
        <rFont val="Times New Roman"/>
        <family val="1"/>
      </rPr>
      <t>, J2.</t>
    </r>
    <r>
      <rPr>
        <sz val="12"/>
        <color indexed="8"/>
        <rFont val="標楷體"/>
        <family val="4"/>
        <charset val="136"/>
      </rPr>
      <t>國外私募債權基金</t>
    </r>
    <r>
      <rPr>
        <sz val="12"/>
        <color indexed="8"/>
        <rFont val="Times New Roman"/>
        <family val="1"/>
      </rPr>
      <t>, J3.</t>
    </r>
    <r>
      <rPr>
        <sz val="12"/>
        <color indexed="8"/>
        <rFont val="標楷體"/>
        <family val="4"/>
        <charset val="136"/>
      </rPr>
      <t>國外不動產私募基金</t>
    </r>
    <r>
      <rPr>
        <sz val="12"/>
        <color indexed="8"/>
        <rFont val="Times New Roman"/>
        <family val="1"/>
      </rPr>
      <t>, K.</t>
    </r>
    <r>
      <rPr>
        <sz val="12"/>
        <color indexed="8"/>
        <rFont val="標楷體"/>
        <family val="4"/>
        <charset val="136"/>
      </rPr>
      <t>基礎建設基金</t>
    </r>
    <r>
      <rPr>
        <sz val="12"/>
        <color indexed="8"/>
        <rFont val="Times New Roman"/>
        <family val="1"/>
      </rPr>
      <t>, L.</t>
    </r>
    <r>
      <rPr>
        <sz val="12"/>
        <color indexed="8"/>
        <rFont val="標楷體"/>
        <family val="4"/>
        <charset val="136"/>
      </rPr>
      <t>商品基金</t>
    </r>
    <r>
      <rPr>
        <sz val="12"/>
        <color indexed="8"/>
        <rFont val="Times New Roman"/>
        <family val="1"/>
      </rPr>
      <t>, M.</t>
    </r>
    <r>
      <rPr>
        <sz val="12"/>
        <color indexed="8"/>
        <rFont val="標楷體"/>
        <family val="4"/>
        <charset val="136"/>
      </rPr>
      <t>其他；國內基金分類請參考填報手冊中表</t>
    </r>
    <r>
      <rPr>
        <sz val="12"/>
        <color indexed="8"/>
        <rFont val="Times New Roman"/>
        <family val="1"/>
      </rPr>
      <t>05-1</t>
    </r>
    <r>
      <rPr>
        <sz val="12"/>
        <color indexed="8"/>
        <rFont val="標楷體"/>
        <family val="4"/>
        <charset val="136"/>
      </rPr>
      <t>第</t>
    </r>
    <r>
      <rPr>
        <sz val="12"/>
        <color indexed="8"/>
        <rFont val="Times New Roman"/>
        <family val="1"/>
      </rPr>
      <t>50</t>
    </r>
    <r>
      <rPr>
        <sz val="12"/>
        <color indexed="8"/>
        <rFont val="標楷體"/>
        <family val="4"/>
        <charset val="136"/>
      </rPr>
      <t>列之說明。</t>
    </r>
    <r>
      <rPr>
        <sz val="12"/>
        <color indexed="8"/>
        <rFont val="Times New Roman"/>
        <family val="1"/>
      </rPr>
      <t>(</t>
    </r>
    <r>
      <rPr>
        <sz val="12"/>
        <color indexed="8"/>
        <rFont val="標楷體"/>
        <family val="4"/>
        <charset val="136"/>
      </rPr>
      <t>若係屬於國內私募基金者，請直接填列</t>
    </r>
    <r>
      <rPr>
        <sz val="12"/>
        <color indexed="8"/>
        <rFont val="Times New Roman"/>
        <family val="1"/>
      </rPr>
      <t>F1~F4</t>
    </r>
    <r>
      <rPr>
        <sz val="12"/>
        <color indexed="8"/>
        <rFont val="標楷體"/>
        <family val="4"/>
        <charset val="136"/>
      </rPr>
      <t>，而不需考慮</t>
    </r>
    <r>
      <rPr>
        <sz val="12"/>
        <color indexed="8"/>
        <rFont val="Times New Roman"/>
        <family val="1"/>
      </rPr>
      <t>A</t>
    </r>
    <r>
      <rPr>
        <sz val="12"/>
        <color indexed="8"/>
        <rFont val="標楷體"/>
        <family val="4"/>
        <charset val="136"/>
      </rPr>
      <t>至</t>
    </r>
    <r>
      <rPr>
        <sz val="12"/>
        <color indexed="8"/>
        <rFont val="Times New Roman"/>
        <family val="1"/>
      </rPr>
      <t>E</t>
    </r>
    <r>
      <rPr>
        <sz val="12"/>
        <color indexed="8"/>
        <rFont val="標楷體"/>
        <family val="4"/>
        <charset val="136"/>
      </rPr>
      <t>之證券種類。</t>
    </r>
    <r>
      <rPr>
        <sz val="12"/>
        <color indexed="8"/>
        <rFont val="Times New Roman"/>
        <family val="1"/>
      </rPr>
      <t>)</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</si>
  <si>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</si>
  <si>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</si>
  <si>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,D.</t>
    </r>
    <r>
      <rPr>
        <sz val="12"/>
        <color indexed="8"/>
        <rFont val="標楷體"/>
        <family val="4"/>
        <charset val="136"/>
      </rPr>
      <t>其他金融資產。</t>
    </r>
    <phoneticPr fontId="7" type="noConversion"/>
  </si>
  <si>
    <r>
      <rPr>
        <sz val="12"/>
        <color indexed="8"/>
        <rFont val="標楷體"/>
        <family val="4"/>
        <charset val="136"/>
      </rPr>
      <t>管理機構規模欄請填列管理機構所管理基金總資產淨值幾億美元（請以期末匯率換算</t>
    </r>
    <r>
      <rPr>
        <sz val="12"/>
        <color indexed="8"/>
        <rFont val="Times New Roman"/>
        <family val="1"/>
      </rPr>
      <t>,</t>
    </r>
    <r>
      <rPr>
        <sz val="12"/>
        <color indexed="8"/>
        <rFont val="標楷體"/>
        <family val="4"/>
        <charset val="136"/>
      </rPr>
      <t>若屬非美元資產請換算為美元資產），國內投資免填。</t>
    </r>
    <phoneticPr fontId="7" type="noConversion"/>
  </si>
  <si>
    <r>
      <rPr>
        <sz val="12"/>
        <color indexed="8"/>
        <rFont val="標楷體"/>
        <family val="4"/>
        <charset val="136"/>
      </rPr>
      <t>基金規模與管理機構規模及成立年期均以購買時點認計，並得自九十三年一月一日以後新購之標的予以填列，國內投資免填。</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</si>
  <si>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</si>
  <si>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保管情形請填保管機構名稱及帳號，若屬集保帳戶請填集保。</t>
    </r>
    <phoneticPr fontId="7" type="noConversion"/>
  </si>
  <si>
    <r>
      <rPr>
        <sz val="10"/>
        <color indexed="8"/>
        <rFont val="標楷體"/>
        <family val="4"/>
        <charset val="136"/>
      </rPr>
      <t>信用評等機構填列如</t>
    </r>
    <r>
      <rPr>
        <sz val="10"/>
        <color indexed="8"/>
        <rFont val="Times New Roman"/>
        <family val="1"/>
      </rPr>
      <t>(A).S&amp;P (B).AM Best   (C).Moody's  (D).Fitch   (E).</t>
    </r>
    <r>
      <rPr>
        <sz val="10"/>
        <color indexed="8"/>
        <rFont val="標楷體"/>
        <family val="4"/>
        <charset val="136"/>
      </rPr>
      <t>中華信評</t>
    </r>
    <r>
      <rPr>
        <sz val="10"/>
        <color indexed="8"/>
        <rFont val="Times New Roman"/>
        <family val="1"/>
      </rPr>
      <t xml:space="preserve">  (F).KBRA  (G).</t>
    </r>
    <r>
      <rPr>
        <sz val="10"/>
        <color indexed="8"/>
        <rFont val="標楷體"/>
        <family val="4"/>
        <charset val="136"/>
      </rPr>
      <t>其他；若無請填無。</t>
    </r>
    <phoneticPr fontId="9" type="noConversion"/>
  </si>
  <si>
    <r>
      <rPr>
        <sz val="10"/>
        <color indexed="8"/>
        <rFont val="標楷體"/>
        <family val="4"/>
        <charset val="136"/>
      </rPr>
      <t>本欄填列評等等級請依資產負債日時之最新信用評等機構評定填寫，若無信用評等者請填無。</t>
    </r>
    <phoneticPr fontId="9" type="noConversion"/>
  </si>
  <si>
    <r>
      <rPr>
        <sz val="10"/>
        <color indexed="8"/>
        <rFont val="標楷體"/>
        <family val="4"/>
        <charset val="136"/>
      </rPr>
      <t>為資產負債表應收再保往來款項－淨額。</t>
    </r>
    <phoneticPr fontId="9" type="noConversion"/>
  </si>
  <si>
    <r>
      <rPr>
        <sz val="10"/>
        <color indexed="8"/>
        <rFont val="標楷體"/>
        <family val="4"/>
        <charset val="136"/>
      </rPr>
      <t>為資產負債表應攤回再保賠款與給付－淨額</t>
    </r>
    <phoneticPr fontId="9" type="noConversion"/>
  </si>
  <si>
    <r>
      <rPr>
        <sz val="10"/>
        <color indexed="8"/>
        <rFont val="標楷體"/>
        <family val="4"/>
        <charset val="136"/>
      </rPr>
      <t>各欄之小計數應與資產負債表數核對相符。</t>
    </r>
    <phoneticPr fontId="9" type="noConversion"/>
  </si>
  <si>
    <r>
      <rPr>
        <sz val="10"/>
        <color indexed="8"/>
        <rFont val="標楷體"/>
        <family val="4"/>
        <charset val="136"/>
      </rPr>
      <t>僅需填列合計數。</t>
    </r>
    <phoneticPr fontId="9" type="noConversion"/>
  </si>
  <si>
    <r>
      <rPr>
        <sz val="10"/>
        <color indexed="8"/>
        <rFont val="標楷體"/>
        <family val="4"/>
        <charset val="136"/>
      </rPr>
      <t>本欄為已扣除備抵損失之催收款項的淨認許金額，且應不大於欄</t>
    </r>
    <r>
      <rPr>
        <sz val="10"/>
        <color indexed="8"/>
        <rFont val="Times New Roman"/>
        <family val="1"/>
      </rPr>
      <t>(5b)-</t>
    </r>
    <r>
      <rPr>
        <sz val="10"/>
        <color indexed="8"/>
        <rFont val="標楷體"/>
        <family val="4"/>
        <charset val="136"/>
      </rPr>
      <t>欄</t>
    </r>
    <r>
      <rPr>
        <sz val="10"/>
        <color indexed="8"/>
        <rFont val="Times New Roman"/>
        <family val="1"/>
      </rPr>
      <t>(5d)+</t>
    </r>
    <r>
      <rPr>
        <sz val="10"/>
        <color indexed="8"/>
        <rFont val="標楷體"/>
        <family val="4"/>
        <charset val="136"/>
      </rPr>
      <t>欄</t>
    </r>
    <r>
      <rPr>
        <sz val="10"/>
        <color indexed="8"/>
        <rFont val="Times New Roman"/>
        <family val="1"/>
      </rPr>
      <t>(6b)-</t>
    </r>
    <r>
      <rPr>
        <sz val="10"/>
        <color indexed="8"/>
        <rFont val="標楷體"/>
        <family val="4"/>
        <charset val="136"/>
      </rPr>
      <t>欄</t>
    </r>
    <r>
      <rPr>
        <sz val="10"/>
        <color indexed="8"/>
        <rFont val="Times New Roman"/>
        <family val="1"/>
      </rPr>
      <t>(6d)</t>
    </r>
    <r>
      <rPr>
        <sz val="10"/>
        <color indexed="8"/>
        <rFont val="標楷體"/>
        <family val="4"/>
        <charset val="136"/>
      </rPr>
      <t>。</t>
    </r>
    <phoneticPr fontId="9" type="noConversion"/>
  </si>
  <si>
    <r>
      <rPr>
        <sz val="10"/>
        <color indexed="8"/>
        <rFont val="標楷體"/>
        <family val="4"/>
        <charset val="136"/>
      </rPr>
      <t>單位：新台幣元</t>
    </r>
    <phoneticPr fontId="9" type="noConversion"/>
  </si>
  <si>
    <r>
      <rPr>
        <sz val="10"/>
        <color indexed="8"/>
        <rFont val="標楷體"/>
        <family val="4"/>
        <charset val="136"/>
      </rPr>
      <t>因</t>
    </r>
    <r>
      <rPr>
        <sz val="10"/>
        <color indexed="8"/>
        <rFont val="Times New Roman"/>
        <family val="1"/>
      </rPr>
      <t>COVID-19</t>
    </r>
    <r>
      <rPr>
        <sz val="10"/>
        <color indexed="8"/>
        <rFont val="標楷體"/>
        <family val="4"/>
        <charset val="136"/>
      </rPr>
      <t>防疫保單產生之應攤回再保賠款與給付或應收再保往來款項所轉列之催收款</t>
    </r>
    <r>
      <rPr>
        <sz val="10"/>
        <color indexed="8"/>
        <rFont val="Times New Roman"/>
        <family val="1"/>
      </rPr>
      <t>(</t>
    </r>
    <r>
      <rPr>
        <sz val="10"/>
        <color indexed="8"/>
        <rFont val="標楷體"/>
        <family val="4"/>
        <charset val="136"/>
      </rPr>
      <t>淨認許</t>
    </r>
    <r>
      <rPr>
        <sz val="10"/>
        <color indexed="8"/>
        <rFont val="Times New Roman"/>
        <family val="1"/>
      </rPr>
      <t>)
(</t>
    </r>
    <r>
      <rPr>
        <sz val="10"/>
        <color indexed="8"/>
        <rFont val="標楷體"/>
        <family val="4"/>
        <charset val="136"/>
      </rPr>
      <t>註</t>
    </r>
    <r>
      <rPr>
        <sz val="10"/>
        <color indexed="8"/>
        <rFont val="Times New Roman"/>
        <family val="1"/>
      </rPr>
      <t>7)</t>
    </r>
    <phoneticPr fontId="9" type="noConversion"/>
  </si>
  <si>
    <r>
      <rPr>
        <sz val="12"/>
        <color indexed="8"/>
        <rFont val="標楷體"/>
        <family val="4"/>
        <charset val="136"/>
      </rPr>
      <t>表</t>
    </r>
    <r>
      <rPr>
        <sz val="12"/>
        <color indexed="8"/>
        <rFont val="Times New Roman"/>
        <family val="1"/>
      </rPr>
      <t>30-2</t>
    </r>
    <r>
      <rPr>
        <sz val="12"/>
        <color indexed="8"/>
        <rFont val="標楷體"/>
        <family val="4"/>
        <charset val="136"/>
      </rPr>
      <t>：</t>
    </r>
    <r>
      <rPr>
        <sz val="12"/>
        <color indexed="8"/>
        <rFont val="Times New Roman"/>
        <family val="1"/>
      </rPr>
      <t>R0</t>
    </r>
    <r>
      <rPr>
        <sz val="12"/>
        <color indexed="8"/>
        <rFont val="標楷體"/>
        <family val="4"/>
        <charset val="136"/>
      </rPr>
      <t>：資產風險</t>
    </r>
    <r>
      <rPr>
        <sz val="12"/>
        <color indexed="8"/>
        <rFont val="Times New Roman"/>
        <family val="1"/>
      </rPr>
      <t>--</t>
    </r>
    <r>
      <rPr>
        <sz val="12"/>
        <color indexed="8"/>
        <rFont val="標楷體"/>
        <family val="4"/>
        <charset val="136"/>
      </rPr>
      <t>關係人風險計算表</t>
    </r>
    <phoneticPr fontId="9" type="noConversion"/>
  </si>
  <si>
    <r>
      <rPr>
        <sz val="12"/>
        <color indexed="8"/>
        <rFont val="標楷體"/>
        <family val="4"/>
        <charset val="136"/>
      </rPr>
      <t>單位：新台幣元</t>
    </r>
  </si>
  <si>
    <r>
      <rPr>
        <b/>
        <sz val="12"/>
        <color indexed="8"/>
        <rFont val="標楷體"/>
        <family val="4"/>
        <charset val="136"/>
      </rPr>
      <t>列號</t>
    </r>
    <phoneticPr fontId="7" type="noConversion"/>
  </si>
  <si>
    <r>
      <rPr>
        <b/>
        <sz val="12"/>
        <color indexed="8"/>
        <rFont val="標楷體"/>
        <family val="4"/>
        <charset val="136"/>
      </rPr>
      <t>風險項目</t>
    </r>
  </si>
  <si>
    <r>
      <rPr>
        <b/>
        <sz val="12"/>
        <color indexed="8"/>
        <rFont val="標楷體"/>
        <family val="4"/>
        <charset val="136"/>
      </rPr>
      <t>資料來源</t>
    </r>
  </si>
  <si>
    <r>
      <rPr>
        <b/>
        <sz val="12"/>
        <color indexed="8"/>
        <rFont val="標楷體"/>
        <family val="4"/>
        <charset val="136"/>
      </rPr>
      <t>金額</t>
    </r>
  </si>
  <si>
    <r>
      <rPr>
        <b/>
        <sz val="12"/>
        <color indexed="8"/>
        <rFont val="標楷體"/>
        <family val="4"/>
        <charset val="136"/>
      </rPr>
      <t>風險係數</t>
    </r>
    <phoneticPr fontId="9" type="noConversion"/>
  </si>
  <si>
    <r>
      <rPr>
        <b/>
        <sz val="12"/>
        <color indexed="8"/>
        <rFont val="標楷體"/>
        <family val="4"/>
        <charset val="136"/>
      </rPr>
      <t>風險資本額</t>
    </r>
    <phoneticPr fontId="9" type="noConversion"/>
  </si>
  <si>
    <r>
      <t xml:space="preserve">0.1 </t>
    </r>
    <r>
      <rPr>
        <sz val="12"/>
        <color indexed="8"/>
        <rFont val="標楷體"/>
        <family val="4"/>
        <charset val="136"/>
      </rPr>
      <t>與具控制與從屬關係之關係人交易</t>
    </r>
    <phoneticPr fontId="9" type="noConversion"/>
  </si>
  <si>
    <r>
      <t xml:space="preserve">0.1.1 </t>
    </r>
    <r>
      <rPr>
        <sz val="12"/>
        <color indexed="8"/>
        <rFont val="標楷體"/>
        <family val="4"/>
        <charset val="136"/>
      </rPr>
      <t>投資股票</t>
    </r>
    <phoneticPr fontId="9" type="noConversion"/>
  </si>
  <si>
    <r>
      <t xml:space="preserve">0.1.1.1 </t>
    </r>
    <r>
      <rPr>
        <sz val="12"/>
        <color indexed="8"/>
        <rFont val="標楷體"/>
        <family val="4"/>
        <charset val="136"/>
      </rPr>
      <t>投資保險相關事業</t>
    </r>
    <phoneticPr fontId="9" type="noConversion"/>
  </si>
  <si>
    <r>
      <t xml:space="preserve">0.1.1.1.1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</si>
  <si>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</si>
  <si>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</si>
  <si>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(3+4)</t>
    </r>
    <r>
      <rPr>
        <sz val="12"/>
        <color indexed="8"/>
        <rFont val="標楷體"/>
        <family val="4"/>
        <charset val="136"/>
      </rPr>
      <t>列</t>
    </r>
    <phoneticPr fontId="7" type="noConversion"/>
  </si>
  <si>
    <r>
      <t xml:space="preserve">0.1.1.1.3 </t>
    </r>
    <r>
      <rPr>
        <sz val="12"/>
        <color indexed="8"/>
        <rFont val="標楷體"/>
        <family val="4"/>
        <charset val="136"/>
      </rPr>
      <t>國外保險相關事業</t>
    </r>
    <r>
      <rPr>
        <b/>
        <sz val="12"/>
        <rFont val="Times New Roman"/>
        <family val="1"/>
      </rPr>
      <t/>
    </r>
    <phoneticPr fontId="7" type="noConversion"/>
  </si>
  <si>
    <r>
      <t xml:space="preserve">0.1.1.2 </t>
    </r>
    <r>
      <rPr>
        <sz val="12"/>
        <color indexed="8"/>
        <rFont val="標楷體"/>
        <family val="4"/>
        <charset val="136"/>
      </rPr>
      <t>投資非保險相關事業</t>
    </r>
    <phoneticPr fontId="9" type="noConversion"/>
  </si>
  <si>
    <r>
      <t xml:space="preserve">0.1.1.2.1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</si>
  <si>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(9+10+11)</t>
    </r>
    <r>
      <rPr>
        <sz val="12"/>
        <color indexed="8"/>
        <rFont val="標楷體"/>
        <family val="4"/>
        <charset val="136"/>
      </rPr>
      <t>列</t>
    </r>
    <phoneticPr fontId="7" type="noConversion"/>
  </si>
  <si>
    <r>
      <t xml:space="preserve">0.1.1.2.2 </t>
    </r>
    <r>
      <rPr>
        <sz val="12"/>
        <color indexed="8"/>
        <rFont val="標楷體"/>
        <family val="4"/>
        <charset val="136"/>
      </rPr>
      <t>國外非保險相關事業</t>
    </r>
    <r>
      <rPr>
        <b/>
        <sz val="12"/>
        <rFont val="Times New Roman"/>
        <family val="1"/>
      </rPr>
      <t/>
    </r>
    <phoneticPr fontId="7" type="noConversion"/>
  </si>
  <si>
    <r>
      <t xml:space="preserve">0.1.1.2.2.1 </t>
    </r>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</si>
  <si>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(10)</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</si>
  <si>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0.1.1.2.2.2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</si>
  <si>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</si>
  <si>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 </t>
    </r>
    <r>
      <rPr>
        <sz val="12"/>
        <color indexed="8"/>
        <rFont val="標楷體"/>
        <family val="4"/>
        <charset val="136"/>
      </rPr>
      <t>投資其他資產</t>
    </r>
    <phoneticPr fontId="9" type="noConversion"/>
  </si>
  <si>
    <r>
      <t xml:space="preserve">0.1.2.1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</si>
  <si>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(4+168)</t>
    </r>
    <r>
      <rPr>
        <sz val="12"/>
        <color indexed="8"/>
        <rFont val="標楷體"/>
        <family val="4"/>
        <charset val="136"/>
      </rPr>
      <t>列</t>
    </r>
    <phoneticPr fontId="7" type="noConversion"/>
  </si>
  <si>
    <r>
      <t xml:space="preserve">0.1.2.2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</si>
  <si>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0.1.2.2.1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</si>
  <si>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</si>
  <si>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0.1.2.2.2   </t>
    </r>
    <r>
      <rPr>
        <sz val="12"/>
        <color indexed="8"/>
        <rFont val="標楷體"/>
        <family val="4"/>
        <charset val="136"/>
      </rPr>
      <t>非屬「實質互相投資」之具資本性質債券」</t>
    </r>
    <phoneticPr fontId="7" type="noConversion"/>
  </si>
  <si>
    <r>
      <t xml:space="preserve">0.1.2.2.2.1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</si>
  <si>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(4)</t>
    </r>
    <r>
      <rPr>
        <sz val="12"/>
        <color indexed="8"/>
        <rFont val="標楷體"/>
        <family val="4"/>
        <charset val="136"/>
      </rPr>
      <t>列</t>
    </r>
    <phoneticPr fontId="7" type="noConversion"/>
  </si>
  <si>
    <r>
      <t xml:space="preserve">0.1.2.2.2.2 </t>
    </r>
    <r>
      <rPr>
        <sz val="12"/>
        <color indexed="8"/>
        <rFont val="標楷體"/>
        <family val="4"/>
        <charset val="136"/>
      </rPr>
      <t>國外保險相關事業</t>
    </r>
    <phoneticPr fontId="7" type="noConversion"/>
  </si>
  <si>
    <r>
      <t xml:space="preserve">0.1.2.2.3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</si>
  <si>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(28+48+170)</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(16)</t>
    </r>
    <r>
      <rPr>
        <sz val="12"/>
        <color indexed="8"/>
        <rFont val="標楷體"/>
        <family val="4"/>
        <charset val="136"/>
      </rPr>
      <t>列</t>
    </r>
    <phoneticPr fontId="7" type="noConversion"/>
  </si>
  <si>
    <r>
      <t xml:space="preserve">0.1.2.3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</si>
  <si>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0.1.2.3.1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</si>
  <si>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</si>
  <si>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</si>
  <si>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</si>
  <si>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</si>
  <si>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(63)</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</si>
  <si>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</si>
  <si>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(65)</t>
    </r>
    <r>
      <rPr>
        <sz val="12"/>
        <color indexed="8"/>
        <rFont val="標楷體"/>
        <family val="4"/>
        <charset val="136"/>
      </rPr>
      <t>列</t>
    </r>
    <phoneticPr fontId="9" type="noConversion"/>
  </si>
  <si>
    <r>
      <t xml:space="preserve">0.1.2.3.5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</si>
  <si>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</si>
  <si>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 </t>
    </r>
    <r>
      <rPr>
        <sz val="12"/>
        <color indexed="8"/>
        <rFont val="標楷體"/>
        <family val="4"/>
        <charset val="136"/>
      </rPr>
      <t>國外投資受益憑證</t>
    </r>
    <phoneticPr fontId="9" type="noConversion"/>
  </si>
  <si>
    <r>
      <t xml:space="preserve">0.1.2.3.6.1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</si>
  <si>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</si>
  <si>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</si>
  <si>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</si>
  <si>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</si>
  <si>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</si>
  <si>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</si>
  <si>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(29)</t>
    </r>
    <r>
      <rPr>
        <sz val="12"/>
        <color indexed="8"/>
        <rFont val="標楷體"/>
        <family val="4"/>
        <charset val="136"/>
      </rPr>
      <t>列</t>
    </r>
    <phoneticPr fontId="7" type="noConversion"/>
  </si>
  <si>
    <r>
      <t xml:space="preserve">0.1.2.3.6.5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</si>
  <si>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</si>
  <si>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</si>
  <si>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(31)</t>
    </r>
    <r>
      <rPr>
        <sz val="12"/>
        <color indexed="8"/>
        <rFont val="標楷體"/>
        <family val="4"/>
        <charset val="136"/>
      </rPr>
      <t>列</t>
    </r>
    <phoneticPr fontId="7" type="noConversion"/>
  </si>
  <si>
    <r>
      <t xml:space="preserve">0.1.2.3.6.7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</si>
  <si>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</si>
  <si>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</si>
  <si>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(175)</t>
    </r>
    <r>
      <rPr>
        <sz val="12"/>
        <color indexed="8"/>
        <rFont val="標楷體"/>
        <family val="4"/>
        <charset val="136"/>
      </rPr>
      <t>列</t>
    </r>
    <phoneticPr fontId="7" type="noConversion"/>
  </si>
  <si>
    <r>
      <t xml:space="preserve">0.1.2.3.6.9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</si>
  <si>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(177)</t>
    </r>
    <r>
      <rPr>
        <sz val="12"/>
        <color indexed="8"/>
        <rFont val="標楷體"/>
        <family val="4"/>
        <charset val="136"/>
      </rPr>
      <t>列</t>
    </r>
    <phoneticPr fontId="7" type="noConversion"/>
  </si>
  <si>
    <r>
      <t xml:space="preserve">0.1.2.4 </t>
    </r>
    <r>
      <rPr>
        <sz val="12"/>
        <color indexed="8"/>
        <rFont val="標楷體"/>
        <family val="4"/>
        <charset val="136"/>
      </rPr>
      <t>不動產</t>
    </r>
    <phoneticPr fontId="9" type="noConversion"/>
  </si>
  <si>
    <r>
      <t xml:space="preserve">0.1.2.4.1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0.1.2.4.2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</si>
  <si>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(15+16)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(9+10)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</si>
  <si>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</si>
  <si>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</si>
  <si>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0.1.2.5 </t>
    </r>
    <r>
      <rPr>
        <sz val="12"/>
        <color indexed="8"/>
        <rFont val="標楷體"/>
        <family val="4"/>
        <charset val="136"/>
      </rPr>
      <t>放款</t>
    </r>
    <phoneticPr fontId="9" type="noConversion"/>
  </si>
  <si>
    <r>
      <t xml:space="preserve">0.1.2.5.1 </t>
    </r>
    <r>
      <rPr>
        <sz val="12"/>
        <color indexed="8"/>
        <rFont val="標楷體"/>
        <family val="4"/>
        <charset val="136"/>
      </rPr>
      <t>放款</t>
    </r>
    <r>
      <rPr>
        <sz val="12"/>
        <color indexed="8"/>
        <rFont val="Times New Roman"/>
        <family val="1"/>
      </rPr>
      <t>(</t>
    </r>
    <r>
      <rPr>
        <sz val="12"/>
        <color indexed="8"/>
        <rFont val="標楷體"/>
        <family val="4"/>
        <charset val="136"/>
      </rPr>
      <t>除</t>
    </r>
    <r>
      <rPr>
        <sz val="12"/>
        <color indexed="8"/>
        <rFont val="Times New Roman"/>
        <family val="1"/>
      </rPr>
      <t>0.1.2.5.2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</si>
  <si>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(102+169+216)</t>
    </r>
    <r>
      <rPr>
        <sz val="12"/>
        <color indexed="8"/>
        <rFont val="標楷體"/>
        <family val="4"/>
        <charset val="136"/>
      </rPr>
      <t>列－「表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</si>
  <si>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0.1.2.5.2 </t>
    </r>
    <r>
      <rPr>
        <sz val="12"/>
        <color indexed="8"/>
        <rFont val="標楷體"/>
        <family val="4"/>
        <charset val="136"/>
      </rPr>
      <t>經由投資特定目的公司以貸款方式取得國外及大陸地區不動產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</si>
  <si>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</si>
  <si>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</si>
  <si>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(5)</t>
    </r>
    <r>
      <rPr>
        <sz val="12"/>
        <color indexed="8"/>
        <rFont val="標楷體"/>
        <family val="4"/>
        <charset val="136"/>
      </rPr>
      <t>列</t>
    </r>
    <phoneticPr fontId="7" type="noConversion"/>
  </si>
  <si>
    <r>
      <t>0.1.2.7.1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</si>
  <si>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(24)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</si>
  <si>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</si>
  <si>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(25)</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</si>
  <si>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</si>
  <si>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</si>
  <si>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 xml:space="preserve">0.1.2.7.4 </t>
    </r>
    <r>
      <rPr>
        <sz val="12"/>
        <color indexed="8"/>
        <rFont val="標楷體"/>
        <family val="4"/>
        <charset val="136"/>
      </rPr>
      <t>國外</t>
    </r>
    <r>
      <rPr>
        <sz val="12"/>
        <color indexed="8"/>
        <rFont val="Times New Roman"/>
        <family val="1"/>
      </rPr>
      <t>ETF</t>
    </r>
  </si>
  <si>
    <r>
      <t>0.1.2.7.4.1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</si>
  <si>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</si>
  <si>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0.1.2.7.4.2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</si>
  <si>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</si>
  <si>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0.1.2.7.4.3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</si>
  <si>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</si>
  <si>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0.1.2.8.1 ETN-</t>
    </r>
    <r>
      <rPr>
        <sz val="12"/>
        <color indexed="8"/>
        <rFont val="標楷體"/>
        <family val="4"/>
        <charset val="136"/>
      </rPr>
      <t>投資標的市場於國內</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</si>
  <si>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</si>
  <si>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0.1.2.8.2 ETN-</t>
    </r>
    <r>
      <rPr>
        <sz val="12"/>
        <color indexed="8"/>
        <rFont val="標楷體"/>
        <family val="4"/>
        <charset val="136"/>
      </rPr>
      <t>投資標的市場於國外</t>
    </r>
  </si>
  <si>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</si>
  <si>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 xml:space="preserve">0.1.2.9 </t>
    </r>
    <r>
      <rPr>
        <sz val="12"/>
        <color indexed="8"/>
        <rFont val="標楷體"/>
        <family val="4"/>
        <charset val="136"/>
      </rPr>
      <t>其他投資</t>
    </r>
    <phoneticPr fontId="9" type="noConversion"/>
  </si>
  <si>
    <r>
      <t xml:space="preserve">0.1.2.9.1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</si>
  <si>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phoneticPr fontId="7" type="noConversion"/>
  </si>
  <si>
    <r>
      <t xml:space="preserve">0.1.2.9.2 </t>
    </r>
    <r>
      <rPr>
        <sz val="12"/>
        <color indexed="8"/>
        <rFont val="標楷體"/>
        <family val="4"/>
        <charset val="136"/>
      </rPr>
      <t>組合式存款</t>
    </r>
    <phoneticPr fontId="9" type="noConversion"/>
  </si>
  <si>
    <r>
      <t>0.1.2.9.2.1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</si>
  <si>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</si>
  <si>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0.1.2.9.2.2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</si>
  <si>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</si>
  <si>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0.1.2.9.3 </t>
    </r>
    <r>
      <rPr>
        <sz val="12"/>
        <color indexed="8"/>
        <rFont val="標楷體"/>
        <family val="4"/>
        <charset val="136"/>
      </rPr>
      <t>其他</t>
    </r>
    <phoneticPr fontId="9" type="noConversion"/>
  </si>
  <si>
    <r>
      <t xml:space="preserve">0.1.2.9.3.1 </t>
    </r>
    <r>
      <rPr>
        <sz val="12"/>
        <color indexed="8"/>
        <rFont val="標楷體"/>
        <family val="4"/>
        <charset val="136"/>
      </rPr>
      <t>專案運用、公共及社會福利事業與其他主管機關核准項目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</si>
  <si>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(211)</t>
    </r>
    <r>
      <rPr>
        <sz val="12"/>
        <color indexed="8"/>
        <rFont val="標楷體"/>
        <family val="4"/>
        <charset val="136"/>
      </rPr>
      <t>列</t>
    </r>
    <phoneticPr fontId="7" type="noConversion"/>
  </si>
  <si>
    <r>
      <t xml:space="preserve">0.1.2.9.3.2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</si>
  <si>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0.1.2.9.3.2.1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</si>
  <si>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(219-1)</t>
    </r>
    <r>
      <rPr>
        <sz val="12"/>
        <color indexed="8"/>
        <rFont val="標楷體"/>
        <family val="4"/>
        <charset val="136"/>
      </rPr>
      <t>列</t>
    </r>
    <phoneticPr fontId="7" type="noConversion"/>
  </si>
  <si>
    <r>
      <t xml:space="preserve">     0.1.2.9.3.2.2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</si>
  <si>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(219-2)</t>
    </r>
    <r>
      <rPr>
        <sz val="12"/>
        <color indexed="8"/>
        <rFont val="標楷體"/>
        <family val="4"/>
        <charset val="136"/>
      </rPr>
      <t>列</t>
    </r>
    <phoneticPr fontId="7" type="noConversion"/>
  </si>
  <si>
    <r>
      <t xml:space="preserve">0.1.2.9.3.3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</si>
  <si>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(64+67+181+222+229)</t>
    </r>
    <r>
      <rPr>
        <sz val="12"/>
        <color indexed="8"/>
        <rFont val="標楷體"/>
        <family val="4"/>
        <charset val="136"/>
      </rPr>
      <t>列</t>
    </r>
    <phoneticPr fontId="7" type="noConversion"/>
  </si>
  <si>
    <r>
      <t xml:space="preserve">0.2 </t>
    </r>
    <r>
      <rPr>
        <sz val="12"/>
        <color indexed="8"/>
        <rFont val="標楷體"/>
        <family val="4"/>
        <charset val="136"/>
      </rPr>
      <t>非控制與從屬關係之關係人交易</t>
    </r>
    <phoneticPr fontId="9" type="noConversion"/>
  </si>
  <si>
    <r>
      <t xml:space="preserve">0.2.1 </t>
    </r>
    <r>
      <rPr>
        <sz val="12"/>
        <color indexed="8"/>
        <rFont val="標楷體"/>
        <family val="4"/>
        <charset val="136"/>
      </rPr>
      <t>投資股票</t>
    </r>
    <phoneticPr fontId="9" type="noConversion"/>
  </si>
  <si>
    <r>
      <t xml:space="preserve">0.2.1.1 </t>
    </r>
    <r>
      <rPr>
        <sz val="12"/>
        <color indexed="8"/>
        <rFont val="標楷體"/>
        <family val="4"/>
        <charset val="136"/>
      </rPr>
      <t>投資保險相關事業</t>
    </r>
    <phoneticPr fontId="9" type="noConversion"/>
  </si>
  <si>
    <r>
      <t xml:space="preserve">0.2.1.1.1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</si>
  <si>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</si>
  <si>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</si>
  <si>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(13)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</si>
  <si>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0.2.1.1.3 </t>
    </r>
    <r>
      <rPr>
        <sz val="12"/>
        <color indexed="8"/>
        <rFont val="標楷體"/>
        <family val="4"/>
        <charset val="136"/>
      </rPr>
      <t>國外保險相關事業</t>
    </r>
    <r>
      <rPr>
        <b/>
        <sz val="12"/>
        <rFont val="Times New Roman"/>
        <family val="1"/>
      </rPr>
      <t/>
    </r>
    <phoneticPr fontId="7" type="noConversion"/>
  </si>
  <si>
    <r>
      <t xml:space="preserve">0.2.1.2 </t>
    </r>
    <r>
      <rPr>
        <sz val="12"/>
        <color indexed="8"/>
        <rFont val="標楷體"/>
        <family val="4"/>
        <charset val="136"/>
      </rPr>
      <t>投資非保險相關事業</t>
    </r>
    <phoneticPr fontId="9" type="noConversion"/>
  </si>
  <si>
    <r>
      <t xml:space="preserve">0.2.1.2.1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</si>
  <si>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(19+21+22)</t>
    </r>
    <r>
      <rPr>
        <sz val="12"/>
        <color indexed="8"/>
        <rFont val="標楷體"/>
        <family val="4"/>
        <charset val="136"/>
      </rPr>
      <t>列</t>
    </r>
    <phoneticPr fontId="7" type="noConversion"/>
  </si>
  <si>
    <r>
      <t xml:space="preserve">0.2.1.2.2 </t>
    </r>
    <r>
      <rPr>
        <sz val="12"/>
        <color indexed="8"/>
        <rFont val="標楷體"/>
        <family val="4"/>
        <charset val="136"/>
      </rPr>
      <t>國外非保險相關事業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</si>
  <si>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(35)</t>
    </r>
    <r>
      <rPr>
        <sz val="12"/>
        <color indexed="8"/>
        <rFont val="標楷體"/>
        <family val="4"/>
        <charset val="136"/>
      </rPr>
      <t>列</t>
    </r>
    <r>
      <rPr>
        <b/>
        <sz val="12"/>
        <rFont val="Times New Roman"/>
        <family val="1"/>
      </rPr>
      <t/>
    </r>
    <phoneticPr fontId="7" type="noConversion"/>
  </si>
  <si>
    <r>
      <t xml:space="preserve">0.2.2 </t>
    </r>
    <r>
      <rPr>
        <sz val="12"/>
        <color indexed="8"/>
        <rFont val="標楷體"/>
        <family val="4"/>
        <charset val="136"/>
      </rPr>
      <t>投資其他資產</t>
    </r>
    <phoneticPr fontId="9" type="noConversion"/>
  </si>
  <si>
    <r>
      <t xml:space="preserve">0.2.2.1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</si>
  <si>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(5+183)</t>
    </r>
    <r>
      <rPr>
        <sz val="12"/>
        <color indexed="8"/>
        <rFont val="標楷體"/>
        <family val="4"/>
        <charset val="136"/>
      </rPr>
      <t>列</t>
    </r>
    <phoneticPr fontId="7" type="noConversion"/>
  </si>
  <si>
    <r>
      <t xml:space="preserve">0.2.2.2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</si>
  <si>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0.2.2.2.1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</si>
  <si>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</si>
  <si>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0.2.2.2.2   </t>
    </r>
    <r>
      <rPr>
        <sz val="12"/>
        <color indexed="8"/>
        <rFont val="標楷體"/>
        <family val="4"/>
        <charset val="136"/>
      </rPr>
      <t>非屬「實質互相投資」之具資本性質債券」</t>
    </r>
    <phoneticPr fontId="7" type="noConversion"/>
  </si>
  <si>
    <r>
      <t xml:space="preserve">0.2.2.2.2.1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</si>
  <si>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(9)</t>
    </r>
    <r>
      <rPr>
        <sz val="12"/>
        <color indexed="8"/>
        <rFont val="標楷體"/>
        <family val="4"/>
        <charset val="136"/>
      </rPr>
      <t>列</t>
    </r>
    <phoneticPr fontId="7" type="noConversion"/>
  </si>
  <si>
    <r>
      <t xml:space="preserve">0.2.2.2.2.2 </t>
    </r>
    <r>
      <rPr>
        <sz val="12"/>
        <color indexed="8"/>
        <rFont val="標楷體"/>
        <family val="4"/>
        <charset val="136"/>
      </rPr>
      <t>國外保險相關事業</t>
    </r>
    <phoneticPr fontId="7" type="noConversion"/>
  </si>
  <si>
    <r>
      <t xml:space="preserve">0.2.2.2.3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</si>
  <si>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(34+49+185)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(76)</t>
    </r>
    <r>
      <rPr>
        <sz val="12"/>
        <color indexed="8"/>
        <rFont val="標楷體"/>
        <family val="4"/>
        <charset val="136"/>
      </rPr>
      <t>列</t>
    </r>
    <phoneticPr fontId="7" type="noConversion"/>
  </si>
  <si>
    <r>
      <t xml:space="preserve">0.2.2.3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</si>
  <si>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0.2.2.3.1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</si>
  <si>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</si>
  <si>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</si>
  <si>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</si>
  <si>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</si>
  <si>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</si>
  <si>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</si>
  <si>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(73)</t>
    </r>
    <r>
      <rPr>
        <sz val="12"/>
        <color indexed="8"/>
        <rFont val="標楷體"/>
        <family val="4"/>
        <charset val="136"/>
      </rPr>
      <t>列</t>
    </r>
    <phoneticPr fontId="7" type="noConversion"/>
  </si>
  <si>
    <r>
      <t xml:space="preserve">0.2.2.3.5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</si>
  <si>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</si>
  <si>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 </t>
    </r>
    <r>
      <rPr>
        <sz val="12"/>
        <color indexed="8"/>
        <rFont val="標楷體"/>
        <family val="4"/>
        <charset val="136"/>
      </rPr>
      <t>國外投資受益憑證</t>
    </r>
    <phoneticPr fontId="9" type="noConversion"/>
  </si>
  <si>
    <r>
      <t xml:space="preserve">0.2.2.3.6.1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</si>
  <si>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</si>
  <si>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</si>
  <si>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</si>
  <si>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</si>
  <si>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</si>
  <si>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</si>
  <si>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(37)</t>
    </r>
    <r>
      <rPr>
        <sz val="12"/>
        <color indexed="8"/>
        <rFont val="標楷體"/>
        <family val="4"/>
        <charset val="136"/>
      </rPr>
      <t>列</t>
    </r>
    <phoneticPr fontId="7" type="noConversion"/>
  </si>
  <si>
    <r>
      <t xml:space="preserve">0.2.2.3.6.5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</si>
  <si>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</si>
  <si>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</si>
  <si>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</si>
  <si>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t xml:space="preserve">0.2.2.3.6.7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</si>
  <si>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(40)</t>
    </r>
    <r>
      <rPr>
        <sz val="12"/>
        <color indexed="8"/>
        <rFont val="標楷體"/>
        <family val="4"/>
        <charset val="136"/>
      </rPr>
      <t>列</t>
    </r>
    <phoneticPr fontId="7" type="noConversion"/>
  </si>
  <si>
    <r>
      <t xml:space="preserve">0.2.2.3.6.8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</si>
  <si>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(190)</t>
    </r>
    <r>
      <rPr>
        <sz val="12"/>
        <color indexed="8"/>
        <rFont val="標楷體"/>
        <family val="4"/>
        <charset val="136"/>
      </rPr>
      <t>列</t>
    </r>
    <phoneticPr fontId="7" type="noConversion"/>
  </si>
  <si>
    <r>
      <t xml:space="preserve">0.2.2.3.6.9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</si>
  <si>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(192)</t>
    </r>
    <r>
      <rPr>
        <sz val="12"/>
        <color indexed="8"/>
        <rFont val="標楷體"/>
        <family val="4"/>
        <charset val="136"/>
      </rPr>
      <t>列</t>
    </r>
    <phoneticPr fontId="7" type="noConversion"/>
  </si>
  <si>
    <r>
      <t xml:space="preserve">0.2.2.4 </t>
    </r>
    <r>
      <rPr>
        <sz val="12"/>
        <color indexed="8"/>
        <rFont val="標楷體"/>
        <family val="4"/>
        <charset val="136"/>
      </rPr>
      <t>不動產</t>
    </r>
    <phoneticPr fontId="9" type="noConversion"/>
  </si>
  <si>
    <r>
      <t xml:space="preserve">0.2.2.4.1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0.2.2.4.2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</si>
  <si>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(17+18)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(11+12)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</si>
  <si>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</si>
  <si>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</si>
  <si>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0.2.2.5 </t>
    </r>
    <r>
      <rPr>
        <sz val="12"/>
        <color indexed="8"/>
        <rFont val="標楷體"/>
        <family val="4"/>
        <charset val="136"/>
      </rPr>
      <t>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</si>
  <si>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(103+184+217)</t>
    </r>
    <r>
      <rPr>
        <sz val="12"/>
        <color indexed="8"/>
        <rFont val="標楷體"/>
        <family val="4"/>
        <charset val="136"/>
      </rPr>
      <t>列</t>
    </r>
    <phoneticPr fontId="7" type="noConversion"/>
  </si>
  <si>
    <r>
      <t xml:space="preserve">0.2.2.6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</si>
  <si>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</si>
  <si>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0.2.2.7.1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</si>
  <si>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(30)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</si>
  <si>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</si>
  <si>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</si>
  <si>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</si>
  <si>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</si>
  <si>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 xml:space="preserve">0.2.2.7.4 </t>
    </r>
    <r>
      <rPr>
        <sz val="12"/>
        <color indexed="8"/>
        <rFont val="標楷體"/>
        <family val="4"/>
        <charset val="136"/>
      </rPr>
      <t>國外</t>
    </r>
    <r>
      <rPr>
        <sz val="12"/>
        <color indexed="8"/>
        <rFont val="Times New Roman"/>
        <family val="1"/>
      </rPr>
      <t>ETF</t>
    </r>
    <phoneticPr fontId="9" type="noConversion"/>
  </si>
  <si>
    <r>
      <t>0.2.2.7.4.1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</si>
  <si>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(193)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</si>
  <si>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0.2.2.7.4.2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</si>
  <si>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</si>
  <si>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0.2.2.7.4.3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</si>
  <si>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</si>
  <si>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0.2.2.8.1 ETN-</t>
    </r>
    <r>
      <rPr>
        <sz val="12"/>
        <color indexed="8"/>
        <rFont val="標楷體"/>
        <family val="4"/>
        <charset val="136"/>
      </rPr>
      <t>投資標的市場於國內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</si>
  <si>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</si>
  <si>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0.2.2.8.2 ETN-</t>
    </r>
    <r>
      <rPr>
        <sz val="12"/>
        <color indexed="8"/>
        <rFont val="標楷體"/>
        <family val="4"/>
        <charset val="136"/>
      </rPr>
      <t>投資標的市場於國外</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</si>
  <si>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</si>
  <si>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 xml:space="preserve">0.2.2.9 </t>
    </r>
    <r>
      <rPr>
        <sz val="12"/>
        <color indexed="8"/>
        <rFont val="標楷體"/>
        <family val="4"/>
        <charset val="136"/>
      </rPr>
      <t>其他投資</t>
    </r>
    <phoneticPr fontId="9" type="noConversion"/>
  </si>
  <si>
    <r>
      <t xml:space="preserve">0.2.2.9.1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</si>
  <si>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(231)</t>
    </r>
    <r>
      <rPr>
        <sz val="12"/>
        <color indexed="8"/>
        <rFont val="標楷體"/>
        <family val="4"/>
        <charset val="136"/>
      </rPr>
      <t>列</t>
    </r>
    <phoneticPr fontId="7" type="noConversion"/>
  </si>
  <si>
    <r>
      <t xml:space="preserve">0.2.2.9.2 </t>
    </r>
    <r>
      <rPr>
        <sz val="12"/>
        <color indexed="8"/>
        <rFont val="標楷體"/>
        <family val="4"/>
        <charset val="136"/>
      </rPr>
      <t>組合式存款</t>
    </r>
    <phoneticPr fontId="9" type="noConversion"/>
  </si>
  <si>
    <r>
      <t>0.2.2.9.2.1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</si>
  <si>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</si>
  <si>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0.2.2.9.2.2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</si>
  <si>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</si>
  <si>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0.2.2.9.3 </t>
    </r>
    <r>
      <rPr>
        <sz val="12"/>
        <color indexed="8"/>
        <rFont val="標楷體"/>
        <family val="4"/>
        <charset val="136"/>
      </rPr>
      <t>其他</t>
    </r>
    <phoneticPr fontId="9" type="noConversion"/>
  </si>
  <si>
    <r>
      <t xml:space="preserve">0.2.2.9.3.1 </t>
    </r>
    <r>
      <rPr>
        <sz val="12"/>
        <color indexed="8"/>
        <rFont val="標楷體"/>
        <family val="4"/>
        <charset val="136"/>
      </rPr>
      <t>專案運用、公共及社會福利事業與其他主管機關核准項目</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</si>
  <si>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(212)</t>
    </r>
    <r>
      <rPr>
        <sz val="12"/>
        <color indexed="8"/>
        <rFont val="標楷體"/>
        <family val="4"/>
        <charset val="136"/>
      </rPr>
      <t>列</t>
    </r>
    <phoneticPr fontId="7" type="noConversion"/>
  </si>
  <si>
    <r>
      <t xml:space="preserve">0.2.2.9.3.2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</si>
  <si>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0.2.2.9.3.2.1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</si>
  <si>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(220-1)</t>
    </r>
    <r>
      <rPr>
        <sz val="12"/>
        <color indexed="8"/>
        <rFont val="標楷體"/>
        <family val="4"/>
        <charset val="136"/>
      </rPr>
      <t>列</t>
    </r>
    <phoneticPr fontId="7" type="noConversion"/>
  </si>
  <si>
    <r>
      <t xml:space="preserve">     0.2.2.9.3.2.2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</si>
  <si>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(220-2)</t>
    </r>
    <r>
      <rPr>
        <sz val="12"/>
        <color indexed="8"/>
        <rFont val="標楷體"/>
        <family val="4"/>
        <charset val="136"/>
      </rPr>
      <t>列</t>
    </r>
    <phoneticPr fontId="7" type="noConversion"/>
  </si>
  <si>
    <r>
      <t xml:space="preserve">0.2.2.9.3.3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</si>
  <si>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(72+75+196+223+233)</t>
    </r>
    <r>
      <rPr>
        <sz val="12"/>
        <color indexed="8"/>
        <rFont val="標楷體"/>
        <family val="4"/>
        <charset val="136"/>
      </rPr>
      <t>列</t>
    </r>
    <phoneticPr fontId="7" type="noConversion"/>
  </si>
  <si>
    <r>
      <t xml:space="preserve">0.3 </t>
    </r>
    <r>
      <rPr>
        <sz val="12"/>
        <color indexed="8"/>
        <rFont val="標楷體"/>
        <family val="4"/>
        <charset val="136"/>
      </rPr>
      <t>匯率風險</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</si>
  <si>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值計算表」國內發行其投資區域包含國外之受益憑證</t>
    </r>
    <r>
      <rPr>
        <sz val="12"/>
        <color indexed="8"/>
        <rFont val="Times New Roman"/>
        <family val="1"/>
      </rPr>
      <t>(</t>
    </r>
    <r>
      <rPr>
        <sz val="12"/>
        <color indexed="8"/>
        <rFont val="標楷體"/>
        <family val="4"/>
        <charset val="136"/>
      </rPr>
      <t>關係人</t>
    </r>
    <r>
      <rPr>
        <sz val="12"/>
        <color indexed="8"/>
        <rFont val="Times New Roman"/>
        <family val="1"/>
      </rPr>
      <t>)</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</si>
  <si>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關係人風險》總計</t>
    </r>
    <phoneticPr fontId="9" type="noConversion"/>
  </si>
  <si>
    <r>
      <rPr>
        <sz val="12"/>
        <color indexed="8"/>
        <rFont val="標楷體"/>
        <family val="4"/>
        <charset val="136"/>
      </rPr>
      <t>註</t>
    </r>
    <phoneticPr fontId="9" type="noConversion"/>
  </si>
  <si>
    <r>
      <t>相關信用評等規範詳「保險業計算資本適足率之信用評等資訊係數調整規範」。但不包括以</t>
    </r>
    <r>
      <rPr>
        <sz val="12"/>
        <color indexed="8"/>
        <rFont val="Calibri"/>
        <family val="2"/>
      </rPr>
      <t>β</t>
    </r>
    <r>
      <rPr>
        <sz val="12"/>
        <color indexed="8"/>
        <rFont val="標楷體"/>
        <family val="4"/>
        <charset val="136"/>
      </rPr>
      <t>值計算係數之受益憑證。</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</si>
  <si>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</si>
  <si>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t>
    </r>
    <phoneticPr fontId="9" type="noConversion"/>
  </si>
  <si>
    <r>
      <rPr>
        <sz val="12"/>
        <color indexed="8"/>
        <rFont val="標楷體"/>
        <family val="4"/>
        <charset val="136"/>
      </rPr>
      <t>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款投資國家級投資公司、證投信及證券商轉投資子公司擔任普通合夥人設立之國內私募股權基金</t>
    </r>
    <r>
      <rPr>
        <sz val="12"/>
        <color indexed="8"/>
        <rFont val="微軟正黑體"/>
        <family val="2"/>
        <charset val="136"/>
      </rPr>
      <t>、</t>
    </r>
    <r>
      <rPr>
        <sz val="12"/>
        <color indexed="8"/>
        <rFont val="標楷體"/>
        <family val="4"/>
        <charset val="136"/>
      </rPr>
      <t>或取得國家發展委員會資格函之國內私募股權基金</t>
    </r>
  </si>
  <si>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</si>
  <si>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表</t>
    </r>
    <r>
      <rPr>
        <sz val="12"/>
        <color indexed="8"/>
        <rFont val="Times New Roman"/>
        <family val="1"/>
      </rPr>
      <t>30-3</t>
    </r>
    <r>
      <rPr>
        <sz val="12"/>
        <color indexed="8"/>
        <rFont val="標楷體"/>
        <family val="4"/>
        <charset val="136"/>
      </rPr>
      <t>：</t>
    </r>
    <r>
      <rPr>
        <sz val="12"/>
        <color indexed="8"/>
        <rFont val="Times New Roman"/>
        <family val="1"/>
      </rPr>
      <t>R1</t>
    </r>
    <r>
      <rPr>
        <sz val="12"/>
        <color indexed="8"/>
        <rFont val="標楷體"/>
        <family val="4"/>
        <charset val="136"/>
      </rPr>
      <t>：資產風險</t>
    </r>
    <r>
      <rPr>
        <sz val="12"/>
        <color indexed="8"/>
        <rFont val="Times New Roman"/>
        <family val="1"/>
      </rPr>
      <t>--</t>
    </r>
    <r>
      <rPr>
        <sz val="12"/>
        <color indexed="8"/>
        <rFont val="標楷體"/>
        <family val="4"/>
        <charset val="136"/>
      </rPr>
      <t>非關係人風險計算表</t>
    </r>
    <phoneticPr fontId="7" type="noConversion"/>
  </si>
  <si>
    <r>
      <t xml:space="preserve">R1a </t>
    </r>
    <r>
      <rPr>
        <sz val="12"/>
        <color indexed="8"/>
        <rFont val="標楷體"/>
        <family val="4"/>
        <charset val="136"/>
      </rPr>
      <t>國內資產風險</t>
    </r>
    <phoneticPr fontId="9" type="noConversion"/>
  </si>
  <si>
    <r>
      <t xml:space="preserve">1.1 </t>
    </r>
    <r>
      <rPr>
        <sz val="12"/>
        <color indexed="8"/>
        <rFont val="標楷體"/>
        <family val="4"/>
        <charset val="136"/>
      </rPr>
      <t>現金及銀行存款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</si>
  <si>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</si>
  <si>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 </t>
    </r>
    <r>
      <rPr>
        <sz val="12"/>
        <color indexed="8"/>
        <rFont val="標楷體"/>
        <family val="4"/>
        <charset val="136"/>
      </rPr>
      <t>有價證券</t>
    </r>
    <phoneticPr fontId="9" type="noConversion"/>
  </si>
  <si>
    <r>
      <t xml:space="preserve">1.2.1 </t>
    </r>
    <r>
      <rPr>
        <sz val="12"/>
        <color indexed="8"/>
        <rFont val="標楷體"/>
        <family val="4"/>
        <charset val="136"/>
      </rPr>
      <t>債券</t>
    </r>
    <phoneticPr fontId="9" type="noConversion"/>
  </si>
  <si>
    <r>
      <t xml:space="preserve">1.2.1.1 </t>
    </r>
    <r>
      <rPr>
        <sz val="12"/>
        <color indexed="8"/>
        <rFont val="標楷體"/>
        <family val="4"/>
        <charset val="136"/>
      </rPr>
      <t>公債及國庫券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</si>
  <si>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t>
    </r>
    <r>
      <rPr>
        <sz val="12"/>
        <color indexed="8"/>
        <rFont val="標楷體"/>
        <family val="4"/>
        <charset val="136"/>
      </rPr>
      <t>列</t>
    </r>
    <phoneticPr fontId="9" type="noConversion"/>
  </si>
  <si>
    <r>
      <t xml:space="preserve">1.2.1.2 </t>
    </r>
    <r>
      <rPr>
        <sz val="12"/>
        <color indexed="8"/>
        <rFont val="標楷體"/>
        <family val="4"/>
        <charset val="136"/>
      </rPr>
      <t>公司債</t>
    </r>
    <phoneticPr fontId="9" type="noConversion"/>
  </si>
  <si>
    <r>
      <t xml:space="preserve">1.2.1.2.1 </t>
    </r>
    <r>
      <rPr>
        <sz val="12"/>
        <color indexed="8"/>
        <rFont val="標楷體"/>
        <family val="4"/>
        <charset val="136"/>
      </rPr>
      <t>屬保險業實質互相投資之具資本性質債券</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</si>
  <si>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</si>
  <si>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1.2.1.2.2 </t>
    </r>
    <r>
      <rPr>
        <sz val="12"/>
        <color indexed="8"/>
        <rFont val="標楷體"/>
        <family val="4"/>
        <charset val="136"/>
      </rPr>
      <t>非「屬保險業實質互相投資之具資本性質債券」</t>
    </r>
    <phoneticPr fontId="9" type="noConversion"/>
  </si>
  <si>
    <r>
      <t xml:space="preserve">1.2.1.2.2.1 </t>
    </r>
    <r>
      <rPr>
        <sz val="12"/>
        <color indexed="8"/>
        <rFont val="標楷體"/>
        <family val="4"/>
        <charset val="136"/>
      </rPr>
      <t>有評等公司債</t>
    </r>
    <r>
      <rPr>
        <sz val="12"/>
        <color indexed="8"/>
        <rFont val="Times New Roman"/>
        <family val="1"/>
      </rPr>
      <t xml:space="preserve"> </t>
    </r>
    <phoneticPr fontId="9" type="noConversion"/>
  </si>
  <si>
    <r>
      <t xml:space="preserve">1.2.1.2.2.2 </t>
    </r>
    <r>
      <rPr>
        <sz val="12"/>
        <color indexed="8"/>
        <rFont val="標楷體"/>
        <family val="4"/>
        <charset val="136"/>
      </rPr>
      <t>無評等公司債但提供保證的機構有評等</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</si>
  <si>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(38)</t>
    </r>
    <r>
      <rPr>
        <sz val="12"/>
        <color indexed="8"/>
        <rFont val="標楷體"/>
        <family val="4"/>
        <charset val="136"/>
      </rPr>
      <t>列</t>
    </r>
    <phoneticPr fontId="9" type="noConversion"/>
  </si>
  <si>
    <r>
      <t xml:space="preserve">1.2.1.2.2.3 </t>
    </r>
    <r>
      <rPr>
        <sz val="12"/>
        <color indexed="8"/>
        <rFont val="標楷體"/>
        <family val="4"/>
        <charset val="136"/>
      </rPr>
      <t>可轉換公司債及附認股權公司債</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</si>
  <si>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(39)</t>
    </r>
    <r>
      <rPr>
        <sz val="12"/>
        <color indexed="8"/>
        <rFont val="標楷體"/>
        <family val="4"/>
        <charset val="136"/>
      </rPr>
      <t>列</t>
    </r>
    <phoneticPr fontId="9" type="noConversion"/>
  </si>
  <si>
    <r>
      <t xml:space="preserve">1.2.1.3 </t>
    </r>
    <r>
      <rPr>
        <sz val="12"/>
        <color indexed="8"/>
        <rFont val="標楷體"/>
        <family val="4"/>
        <charset val="136"/>
      </rPr>
      <t>金融債券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</si>
  <si>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(58)</t>
    </r>
    <r>
      <rPr>
        <sz val="12"/>
        <color indexed="8"/>
        <rFont val="標楷體"/>
        <family val="4"/>
        <charset val="136"/>
      </rPr>
      <t>列</t>
    </r>
    <phoneticPr fontId="9" type="noConversion"/>
  </si>
  <si>
    <r>
      <t xml:space="preserve">1.2.1.4 </t>
    </r>
    <r>
      <rPr>
        <sz val="12"/>
        <color indexed="8"/>
        <rFont val="標楷體"/>
        <family val="4"/>
        <charset val="136"/>
      </rPr>
      <t>不動產及金融資產受益證券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</si>
  <si>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1.2.1.4.1 </t>
    </r>
    <r>
      <rPr>
        <sz val="12"/>
        <color indexed="8"/>
        <rFont val="標楷體"/>
        <family val="4"/>
        <charset val="136"/>
      </rPr>
      <t>有評等不動產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</si>
  <si>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(77)</t>
    </r>
    <r>
      <rPr>
        <sz val="12"/>
        <color indexed="8"/>
        <rFont val="標楷體"/>
        <family val="4"/>
        <charset val="136"/>
      </rPr>
      <t>列</t>
    </r>
    <phoneticPr fontId="9" type="noConversion"/>
  </si>
  <si>
    <r>
      <t xml:space="preserve">1.2.1.4.2 </t>
    </r>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</si>
  <si>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(78)</t>
    </r>
    <r>
      <rPr>
        <sz val="12"/>
        <color indexed="8"/>
        <rFont val="標楷體"/>
        <family val="4"/>
        <charset val="136"/>
      </rPr>
      <t>列</t>
    </r>
    <phoneticPr fontId="9" type="noConversion"/>
  </si>
  <si>
    <r>
      <t xml:space="preserve">1.2.1.4.3 </t>
    </r>
    <r>
      <rPr>
        <sz val="12"/>
        <color indexed="8"/>
        <rFont val="標楷體"/>
        <family val="4"/>
        <charset val="136"/>
      </rPr>
      <t>不動產投資信託受益證券</t>
    </r>
    <r>
      <rPr>
        <sz val="12"/>
        <color indexed="8"/>
        <rFont val="Times New Roman"/>
        <family val="1"/>
      </rPr>
      <t>(REIT)</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</si>
  <si>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(79)</t>
    </r>
    <r>
      <rPr>
        <sz val="12"/>
        <color indexed="8"/>
        <rFont val="標楷體"/>
        <family val="4"/>
        <charset val="136"/>
      </rPr>
      <t>列</t>
    </r>
    <phoneticPr fontId="9" type="noConversion"/>
  </si>
  <si>
    <r>
      <t xml:space="preserve">1.2.2 </t>
    </r>
    <r>
      <rPr>
        <sz val="12"/>
        <color indexed="8"/>
        <rFont val="標楷體"/>
        <family val="4"/>
        <charset val="136"/>
      </rPr>
      <t>票券</t>
    </r>
    <phoneticPr fontId="9" type="noConversion"/>
  </si>
  <si>
    <r>
      <t xml:space="preserve">1.2.2.1 </t>
    </r>
    <r>
      <rPr>
        <sz val="12"/>
        <color indexed="8"/>
        <rFont val="標楷體"/>
        <family val="4"/>
        <charset val="136"/>
      </rPr>
      <t>可轉讓定期存單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</si>
  <si>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t>
    </r>
    <r>
      <rPr>
        <sz val="12"/>
        <color indexed="8"/>
        <rFont val="標楷體"/>
        <family val="4"/>
        <charset val="136"/>
      </rPr>
      <t>列</t>
    </r>
    <phoneticPr fontId="9" type="noConversion"/>
  </si>
  <si>
    <r>
      <t xml:space="preserve">1.2.2.2 </t>
    </r>
    <r>
      <rPr>
        <sz val="12"/>
        <color indexed="8"/>
        <rFont val="標楷體"/>
        <family val="4"/>
        <charset val="136"/>
      </rPr>
      <t>銀行承兌匯票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</si>
  <si>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</si>
  <si>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1.2.2.3 </t>
    </r>
    <r>
      <rPr>
        <sz val="12"/>
        <color indexed="8"/>
        <rFont val="標楷體"/>
        <family val="4"/>
        <charset val="136"/>
      </rPr>
      <t>金融機構保證商業本票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</si>
  <si>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</si>
  <si>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t xml:space="preserve">1.2.2.4 </t>
    </r>
    <r>
      <rPr>
        <sz val="12"/>
        <color indexed="8"/>
        <rFont val="標楷體"/>
        <family val="4"/>
        <charset val="136"/>
      </rPr>
      <t>附買回條件之債券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</si>
  <si>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t>
    </r>
    <r>
      <rPr>
        <sz val="12"/>
        <color indexed="8"/>
        <rFont val="標楷體"/>
        <family val="4"/>
        <charset val="136"/>
      </rPr>
      <t>列</t>
    </r>
  </si>
  <si>
    <r>
      <t xml:space="preserve">1.2.3 </t>
    </r>
    <r>
      <rPr>
        <sz val="12"/>
        <color indexed="8"/>
        <rFont val="標楷體"/>
        <family val="4"/>
        <charset val="136"/>
      </rPr>
      <t>股票</t>
    </r>
    <phoneticPr fontId="9" type="noConversion"/>
  </si>
  <si>
    <r>
      <t xml:space="preserve">1.2.3.1 </t>
    </r>
    <r>
      <rPr>
        <sz val="12"/>
        <color indexed="8"/>
        <rFont val="標楷體"/>
        <family val="4"/>
        <charset val="136"/>
      </rPr>
      <t>上市普通股</t>
    </r>
    <phoneticPr fontId="9" type="noConversion"/>
  </si>
  <si>
    <r>
      <t xml:space="preserve">1.2.3.1.1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</si>
  <si>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(3+19)</t>
    </r>
    <r>
      <rPr>
        <sz val="12"/>
        <color indexed="8"/>
        <rFont val="標楷體"/>
        <family val="4"/>
        <charset val="136"/>
      </rPr>
      <t>列</t>
    </r>
    <phoneticPr fontId="7" type="noConversion"/>
  </si>
  <si>
    <r>
      <t xml:space="preserve">1.2.3.1.2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</si>
  <si>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(4+20)</t>
    </r>
    <r>
      <rPr>
        <sz val="12"/>
        <color indexed="8"/>
        <rFont val="標楷體"/>
        <family val="4"/>
        <charset val="136"/>
      </rPr>
      <t>列</t>
    </r>
    <r>
      <rPr>
        <sz val="12"/>
        <color indexed="8"/>
        <rFont val="Times New Roman"/>
        <family val="1"/>
      </rPr>
      <t xml:space="preserve"> - </t>
    </r>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(16)</t>
    </r>
    <r>
      <rPr>
        <sz val="12"/>
        <color indexed="8"/>
        <rFont val="標楷體"/>
        <family val="4"/>
        <charset val="136"/>
      </rPr>
      <t>欄第</t>
    </r>
    <r>
      <rPr>
        <sz val="12"/>
        <color indexed="8"/>
        <rFont val="Times New Roman"/>
        <family val="1"/>
      </rPr>
      <t>(35)</t>
    </r>
    <r>
      <rPr>
        <sz val="12"/>
        <color indexed="8"/>
        <rFont val="標楷體"/>
        <family val="4"/>
        <charset val="136"/>
      </rPr>
      <t>列</t>
    </r>
    <phoneticPr fontId="7" type="noConversion"/>
  </si>
  <si>
    <r>
      <t xml:space="preserve">1.2.3.2 </t>
    </r>
    <r>
      <rPr>
        <sz val="12"/>
        <color indexed="8"/>
        <rFont val="標楷體"/>
        <family val="4"/>
        <charset val="136"/>
      </rPr>
      <t>上櫃普通股</t>
    </r>
    <phoneticPr fontId="9" type="noConversion"/>
  </si>
  <si>
    <r>
      <t xml:space="preserve">1.2.3.2.1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</si>
  <si>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(6+22)</t>
    </r>
    <r>
      <rPr>
        <sz val="12"/>
        <color indexed="8"/>
        <rFont val="標楷體"/>
        <family val="4"/>
        <charset val="136"/>
      </rPr>
      <t>列</t>
    </r>
    <phoneticPr fontId="7" type="noConversion"/>
  </si>
  <si>
    <r>
      <t xml:space="preserve">1.2.3.2.2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</si>
  <si>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(7+23)</t>
    </r>
    <r>
      <rPr>
        <sz val="12"/>
        <color indexed="8"/>
        <rFont val="標楷體"/>
        <family val="4"/>
        <charset val="136"/>
      </rPr>
      <t>列</t>
    </r>
    <phoneticPr fontId="7" type="noConversion"/>
  </si>
  <si>
    <r>
      <t xml:space="preserve">1.2.3.3 </t>
    </r>
    <r>
      <rPr>
        <sz val="12"/>
        <color indexed="8"/>
        <rFont val="標楷體"/>
        <family val="4"/>
        <charset val="136"/>
      </rPr>
      <t>非上市上櫃普通股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</si>
  <si>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(8+24)</t>
    </r>
    <r>
      <rPr>
        <sz val="12"/>
        <color indexed="8"/>
        <rFont val="標楷體"/>
        <family val="4"/>
        <charset val="136"/>
      </rPr>
      <t>列</t>
    </r>
    <phoneticPr fontId="7" type="noConversion"/>
  </si>
  <si>
    <r>
      <t xml:space="preserve">1.2.3.4 </t>
    </r>
    <r>
      <rPr>
        <sz val="12"/>
        <color indexed="8"/>
        <rFont val="標楷體"/>
        <family val="4"/>
        <charset val="136"/>
      </rPr>
      <t>特別股</t>
    </r>
    <phoneticPr fontId="9" type="noConversion"/>
  </si>
  <si>
    <r>
      <t xml:space="preserve">1.2.3.4.1 </t>
    </r>
    <r>
      <rPr>
        <sz val="12"/>
        <color indexed="8"/>
        <rFont val="標楷體"/>
        <family val="4"/>
        <charset val="136"/>
      </rPr>
      <t>屬保險業實質互相投資之負債型特別股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</si>
  <si>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</si>
  <si>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1.2.3.4.2 </t>
    </r>
    <r>
      <rPr>
        <sz val="12"/>
        <color indexed="8"/>
        <rFont val="標楷體"/>
        <family val="4"/>
        <charset val="136"/>
      </rPr>
      <t>非「屬保險業實質互相投資之負債型特別股」</t>
    </r>
    <phoneticPr fontId="9" type="noConversion"/>
  </si>
  <si>
    <r>
      <t xml:space="preserve">1.2.3.4.2.1 </t>
    </r>
    <r>
      <rPr>
        <sz val="12"/>
        <color indexed="8"/>
        <rFont val="標楷體"/>
        <family val="4"/>
        <charset val="136"/>
      </rPr>
      <t>固定收益特別股</t>
    </r>
    <phoneticPr fontId="9" type="noConversion"/>
  </si>
  <si>
    <r>
      <t xml:space="preserve">1.2.3.4.2.2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</si>
  <si>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(12+28)</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(13+29)</t>
    </r>
    <r>
      <rPr>
        <sz val="12"/>
        <color indexed="8"/>
        <rFont val="標楷體"/>
        <family val="4"/>
        <charset val="136"/>
      </rPr>
      <t>列之合計數</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(29)</t>
    </r>
    <r>
      <rPr>
        <sz val="12"/>
        <color indexed="8"/>
        <rFont val="標楷體"/>
        <family val="4"/>
        <charset val="136"/>
      </rPr>
      <t>欄第</t>
    </r>
    <r>
      <rPr>
        <sz val="12"/>
        <color indexed="8"/>
        <rFont val="Times New Roman"/>
        <family val="1"/>
      </rPr>
      <t>(12)</t>
    </r>
    <r>
      <rPr>
        <sz val="12"/>
        <color indexed="8"/>
        <rFont val="標楷體"/>
        <family val="4"/>
        <charset val="136"/>
      </rPr>
      <t>列</t>
    </r>
    <phoneticPr fontId="7" type="noConversion"/>
  </si>
  <si>
    <r>
      <t xml:space="preserve">1.2.4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</si>
  <si>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t xml:space="preserve">1.2.4.1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</si>
  <si>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phoneticPr fontId="9" type="noConversion"/>
  </si>
  <si>
    <r>
      <t xml:space="preserve">1.2.4.2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</si>
  <si>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(53</t>
    </r>
    <r>
      <rPr>
        <b/>
        <sz val="12"/>
        <color indexed="8"/>
        <rFont val="Times New Roman"/>
        <family val="1"/>
      </rPr>
      <t>)</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phoneticPr fontId="9" type="noConversion"/>
  </si>
  <si>
    <r>
      <t xml:space="preserve">1.2.4.3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</si>
  <si>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phoneticPr fontId="9" type="noConversion"/>
  </si>
  <si>
    <r>
      <t>1.2.4.4</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</si>
  <si>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</si>
  <si>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1.2.4.5 </t>
    </r>
    <r>
      <rPr>
        <sz val="12"/>
        <color indexed="8"/>
        <rFont val="標楷體"/>
        <family val="4"/>
        <charset val="136"/>
      </rPr>
      <t>私募基金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</si>
  <si>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Calibri"/>
        <family val="2"/>
      </rPr>
      <t>β</t>
    </r>
    <r>
      <rPr>
        <sz val="12"/>
        <color indexed="8"/>
        <rFont val="標楷體"/>
        <family val="4"/>
        <charset val="136"/>
      </rPr>
      <t>值計算表」國內發行其投資區域包含國外之私募基金</t>
    </r>
    <phoneticPr fontId="9" type="noConversion"/>
  </si>
  <si>
    <r>
      <t>1.2.5.1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</si>
  <si>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phoneticPr fontId="9" type="noConversion"/>
  </si>
  <si>
    <r>
      <t>1.2.5.2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</si>
  <si>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phoneticPr fontId="9" type="noConversion"/>
  </si>
  <si>
    <r>
      <t>1.2.5.3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</si>
  <si>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</si>
  <si>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phoneticPr fontId="9" type="noConversion"/>
  </si>
  <si>
    <r>
      <t xml:space="preserve">1.3 </t>
    </r>
    <r>
      <rPr>
        <sz val="12"/>
        <color indexed="8"/>
        <rFont val="標楷體"/>
        <family val="4"/>
        <charset val="136"/>
      </rPr>
      <t>不動產</t>
    </r>
    <phoneticPr fontId="9" type="noConversion"/>
  </si>
  <si>
    <r>
      <t xml:space="preserve">1.3.1 </t>
    </r>
    <r>
      <rPr>
        <sz val="12"/>
        <color indexed="8"/>
        <rFont val="標楷體"/>
        <family val="4"/>
        <charset val="136"/>
      </rPr>
      <t>投資用不動產</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</si>
  <si>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1.3.1.1 </t>
    </r>
    <r>
      <rPr>
        <sz val="12"/>
        <color indexed="8"/>
        <rFont val="標楷體"/>
        <family val="4"/>
        <charset val="136"/>
      </rPr>
      <t>不動產投資</t>
    </r>
    <phoneticPr fontId="9" type="noConversion"/>
  </si>
  <si>
    <r>
      <t xml:space="preserve">1.3.1.1.1 </t>
    </r>
    <r>
      <rPr>
        <sz val="12"/>
        <color indexed="8"/>
        <rFont val="標楷體"/>
        <family val="4"/>
        <charset val="136"/>
      </rPr>
      <t>不動產投資</t>
    </r>
    <r>
      <rPr>
        <sz val="12"/>
        <color indexed="8"/>
        <rFont val="Times New Roman"/>
        <family val="1"/>
      </rPr>
      <t>(</t>
    </r>
    <r>
      <rPr>
        <sz val="12"/>
        <color indexed="8"/>
        <rFont val="標楷體"/>
        <family val="4"/>
        <charset val="136"/>
      </rPr>
      <t>除</t>
    </r>
    <r>
      <rPr>
        <sz val="12"/>
        <color indexed="8"/>
        <rFont val="Times New Roman"/>
        <family val="1"/>
      </rPr>
      <t>1.3.1.1.2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</si>
  <si>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(2+3)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</si>
  <si>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</si>
  <si>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</si>
  <si>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1.3.1.2 </t>
    </r>
    <r>
      <rPr>
        <sz val="12"/>
        <color indexed="8"/>
        <rFont val="標楷體"/>
        <family val="4"/>
        <charset val="136"/>
      </rPr>
      <t>承受擔保品</t>
    </r>
    <phoneticPr fontId="9" type="noConversion"/>
  </si>
  <si>
    <r>
      <t xml:space="preserve">1.3.1.2.1 </t>
    </r>
    <r>
      <rPr>
        <sz val="12"/>
        <color indexed="8"/>
        <rFont val="標楷體"/>
        <family val="4"/>
        <charset val="136"/>
      </rPr>
      <t>協議取得</t>
    </r>
    <phoneticPr fontId="9" type="noConversion"/>
  </si>
  <si>
    <r>
      <t xml:space="preserve">1.3.1.2.1.1 </t>
    </r>
    <r>
      <rPr>
        <sz val="12"/>
        <color indexed="8"/>
        <rFont val="標楷體"/>
        <family val="4"/>
        <charset val="136"/>
      </rPr>
      <t>協議取得</t>
    </r>
    <r>
      <rPr>
        <sz val="12"/>
        <color indexed="8"/>
        <rFont val="Times New Roman"/>
        <family val="1"/>
      </rPr>
      <t>(</t>
    </r>
    <r>
      <rPr>
        <sz val="12"/>
        <color indexed="8"/>
        <rFont val="標楷體"/>
        <family val="4"/>
        <charset val="136"/>
      </rPr>
      <t>除</t>
    </r>
    <r>
      <rPr>
        <sz val="12"/>
        <color indexed="8"/>
        <rFont val="Times New Roman"/>
        <family val="1"/>
      </rPr>
      <t>1.3.1.2.1.2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</si>
  <si>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</si>
  <si>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</si>
  <si>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</si>
  <si>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1.3.1.2.2 </t>
    </r>
    <r>
      <rPr>
        <sz val="12"/>
        <color indexed="8"/>
        <rFont val="標楷體"/>
        <family val="4"/>
        <charset val="136"/>
      </rPr>
      <t>經法院拍賣取得</t>
    </r>
    <phoneticPr fontId="9" type="noConversion"/>
  </si>
  <si>
    <r>
      <t xml:space="preserve">1.3.1.2.2.1 </t>
    </r>
    <r>
      <rPr>
        <sz val="12"/>
        <color indexed="8"/>
        <rFont val="標楷體"/>
        <family val="4"/>
        <charset val="136"/>
      </rPr>
      <t>經法院拍賣取得</t>
    </r>
    <r>
      <rPr>
        <sz val="12"/>
        <color indexed="8"/>
        <rFont val="Times New Roman"/>
        <family val="1"/>
      </rPr>
      <t>(</t>
    </r>
    <r>
      <rPr>
        <sz val="12"/>
        <color indexed="8"/>
        <rFont val="標楷體"/>
        <family val="4"/>
        <charset val="136"/>
      </rPr>
      <t>除</t>
    </r>
    <r>
      <rPr>
        <sz val="12"/>
        <color indexed="8"/>
        <rFont val="Times New Roman"/>
        <family val="1"/>
      </rPr>
      <t>1.3.1.2.2.2)</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</si>
  <si>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</si>
  <si>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1.3.1.2.2.2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</si>
  <si>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</si>
  <si>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1.3.2 </t>
    </r>
    <r>
      <rPr>
        <sz val="12"/>
        <color indexed="8"/>
        <rFont val="標楷體"/>
        <family val="4"/>
        <charset val="136"/>
      </rPr>
      <t>自用不動產</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</si>
  <si>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</si>
  <si>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1.4 </t>
    </r>
    <r>
      <rPr>
        <sz val="12"/>
        <color indexed="8"/>
        <rFont val="標楷體"/>
        <family val="4"/>
        <charset val="136"/>
      </rPr>
      <t>放款</t>
    </r>
    <phoneticPr fontId="9" type="noConversion"/>
  </si>
  <si>
    <r>
      <t xml:space="preserve">1.4.1 </t>
    </r>
    <r>
      <rPr>
        <sz val="12"/>
        <color indexed="8"/>
        <rFont val="標楷體"/>
        <family val="4"/>
        <charset val="136"/>
      </rPr>
      <t>擔保放款</t>
    </r>
    <phoneticPr fontId="9" type="noConversion"/>
  </si>
  <si>
    <r>
      <t xml:space="preserve">1.4.1.1 </t>
    </r>
    <r>
      <rPr>
        <sz val="12"/>
        <color indexed="8"/>
        <rFont val="標楷體"/>
        <family val="4"/>
        <charset val="136"/>
      </rPr>
      <t>不動產擔保放款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</si>
  <si>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(97+203)</t>
    </r>
    <r>
      <rPr>
        <sz val="12"/>
        <color indexed="8"/>
        <rFont val="標楷體"/>
        <family val="4"/>
        <charset val="136"/>
      </rPr>
      <t>列</t>
    </r>
    <phoneticPr fontId="9" type="noConversion"/>
  </si>
  <si>
    <r>
      <t xml:space="preserve">1.4.1.2 </t>
    </r>
    <r>
      <rPr>
        <sz val="12"/>
        <color indexed="8"/>
        <rFont val="標楷體"/>
        <family val="4"/>
        <charset val="136"/>
      </rPr>
      <t>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</si>
  <si>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(98+204)</t>
    </r>
    <r>
      <rPr>
        <sz val="12"/>
        <color indexed="8"/>
        <rFont val="標楷體"/>
        <family val="4"/>
        <charset val="136"/>
      </rPr>
      <t>列</t>
    </r>
    <phoneticPr fontId="9" type="noConversion"/>
  </si>
  <si>
    <r>
      <t xml:space="preserve">1.4.1.3 </t>
    </r>
    <r>
      <rPr>
        <sz val="12"/>
        <color indexed="8"/>
        <rFont val="標楷體"/>
        <family val="4"/>
        <charset val="136"/>
      </rPr>
      <t>有價證券質押放款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</si>
  <si>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(99+205)</t>
    </r>
    <r>
      <rPr>
        <sz val="12"/>
        <color indexed="8"/>
        <rFont val="標楷體"/>
        <family val="4"/>
        <charset val="136"/>
      </rPr>
      <t>列</t>
    </r>
    <phoneticPr fontId="9" type="noConversion"/>
  </si>
  <si>
    <r>
      <t xml:space="preserve">1.4.1.4 </t>
    </r>
    <r>
      <rPr>
        <sz val="12"/>
        <color indexed="8"/>
        <rFont val="標楷體"/>
        <family val="4"/>
        <charset val="136"/>
      </rPr>
      <t>銀行保證放款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</si>
  <si>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(100+206)</t>
    </r>
    <r>
      <rPr>
        <sz val="12"/>
        <color indexed="8"/>
        <rFont val="標楷體"/>
        <family val="4"/>
        <charset val="136"/>
      </rPr>
      <t>列</t>
    </r>
    <phoneticPr fontId="9" type="noConversion"/>
  </si>
  <si>
    <r>
      <t xml:space="preserve">1.5 </t>
    </r>
    <r>
      <rPr>
        <sz val="12"/>
        <color indexed="8"/>
        <rFont val="標楷體"/>
        <family val="4"/>
        <charset val="136"/>
      </rPr>
      <t>其他投資資產</t>
    </r>
    <phoneticPr fontId="9" type="noConversion"/>
  </si>
  <si>
    <r>
      <t>1.5.1</t>
    </r>
    <r>
      <rPr>
        <sz val="12"/>
        <color indexed="8"/>
        <rFont val="標楷體"/>
        <family val="4"/>
        <charset val="136"/>
      </rPr>
      <t>專案運用、公共及社會福利事業與其他主管機關核准項目</t>
    </r>
    <r>
      <rPr>
        <sz val="12"/>
        <color indexed="8"/>
        <rFont val="Times New Roman"/>
        <family val="1"/>
      </rPr>
      <t>(</t>
    </r>
    <r>
      <rPr>
        <sz val="12"/>
        <color indexed="8"/>
        <rFont val="標楷體"/>
        <family val="4"/>
        <charset val="136"/>
      </rPr>
      <t>註</t>
    </r>
    <r>
      <rPr>
        <sz val="12"/>
        <color indexed="8"/>
        <rFont val="Times New Roman"/>
        <family val="1"/>
      </rPr>
      <t>3)</t>
    </r>
    <phoneticPr fontId="9" type="noConversion"/>
  </si>
  <si>
    <r>
      <t>1.5.1.1</t>
    </r>
    <r>
      <rPr>
        <sz val="12"/>
        <color indexed="8"/>
        <rFont val="標楷體"/>
        <family val="4"/>
        <charset val="136"/>
      </rPr>
      <t>政策性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</si>
  <si>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(199)</t>
    </r>
    <r>
      <rPr>
        <sz val="12"/>
        <color indexed="8"/>
        <rFont val="標楷體"/>
        <family val="4"/>
        <charset val="136"/>
      </rPr>
      <t>列</t>
    </r>
    <phoneticPr fontId="9" type="noConversion"/>
  </si>
  <si>
    <r>
      <t>1.5.1.2</t>
    </r>
    <r>
      <rPr>
        <sz val="12"/>
        <color indexed="8"/>
        <rFont val="標楷體"/>
        <family val="4"/>
        <charset val="136"/>
      </rPr>
      <t>創業投資</t>
    </r>
    <phoneticPr fontId="9" type="noConversion"/>
  </si>
  <si>
    <r>
      <t xml:space="preserve">   </t>
    </r>
    <r>
      <rPr>
        <sz val="12"/>
        <color indexed="8"/>
        <rFont val="Times New Roman"/>
        <family val="1"/>
      </rPr>
      <t xml:space="preserve"> 1.5.1.2.1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</si>
  <si>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(16-1)</t>
    </r>
    <r>
      <rPr>
        <sz val="12"/>
        <color indexed="8"/>
        <rFont val="標楷體"/>
        <family val="4"/>
        <charset val="136"/>
      </rPr>
      <t>列</t>
    </r>
    <phoneticPr fontId="9" type="noConversion"/>
  </si>
  <si>
    <r>
      <t xml:space="preserve">    1.5.1.2.2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</si>
  <si>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phoneticPr fontId="9" type="noConversion"/>
  </si>
  <si>
    <r>
      <t xml:space="preserve">    1.5.1.2.3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</si>
  <si>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(16-3)</t>
    </r>
    <r>
      <rPr>
        <sz val="12"/>
        <color indexed="8"/>
        <rFont val="標楷體"/>
        <family val="4"/>
        <charset val="136"/>
      </rPr>
      <t>列</t>
    </r>
    <phoneticPr fontId="9" type="noConversion"/>
  </si>
  <si>
    <r>
      <t>1.5.1.3</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t>
    </r>
    <phoneticPr fontId="9" type="noConversion"/>
  </si>
  <si>
    <r>
      <t xml:space="preserve">   </t>
    </r>
    <r>
      <rPr>
        <sz val="12"/>
        <color indexed="8"/>
        <rFont val="Times New Roman"/>
        <family val="1"/>
      </rPr>
      <t xml:space="preserve"> 1.5.1.3.1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</si>
  <si>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</si>
  <si>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    1.5.1.3.2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</si>
  <si>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</si>
  <si>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1.5.2</t>
    </r>
    <r>
      <rPr>
        <sz val="12"/>
        <color indexed="8"/>
        <rFont val="標楷體"/>
        <family val="4"/>
        <charset val="136"/>
      </rPr>
      <t>其他投資</t>
    </r>
    <phoneticPr fontId="9" type="noConversion"/>
  </si>
  <si>
    <r>
      <t xml:space="preserve">1.5.2.1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</si>
  <si>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(235)</t>
    </r>
    <r>
      <rPr>
        <sz val="12"/>
        <color indexed="8"/>
        <rFont val="標楷體"/>
        <family val="4"/>
        <charset val="136"/>
      </rPr>
      <t>列</t>
    </r>
    <phoneticPr fontId="9" type="noConversion"/>
  </si>
  <si>
    <r>
      <t xml:space="preserve">1.5.2.2 </t>
    </r>
    <r>
      <rPr>
        <sz val="12"/>
        <color indexed="8"/>
        <rFont val="標楷體"/>
        <family val="4"/>
        <charset val="136"/>
      </rPr>
      <t>組合式存款</t>
    </r>
    <phoneticPr fontId="9" type="noConversion"/>
  </si>
  <si>
    <r>
      <t>1.5.2.2.1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</si>
  <si>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</si>
  <si>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1.5.2.2.2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</si>
  <si>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</si>
  <si>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1.5.2.3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</si>
  <si>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(21+55+58+208+237)</t>
    </r>
    <r>
      <rPr>
        <sz val="12"/>
        <color indexed="8"/>
        <rFont val="標楷體"/>
        <family val="4"/>
        <charset val="136"/>
      </rPr>
      <t>列－「表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t>
    </r>
    <phoneticPr fontId="9" type="noConversion"/>
  </si>
  <si>
    <r>
      <t xml:space="preserve">1.6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國內部份</t>
    </r>
    <phoneticPr fontId="9" type="noConversion"/>
  </si>
  <si>
    <r>
      <t xml:space="preserve">R1b </t>
    </r>
    <r>
      <rPr>
        <sz val="12"/>
        <color indexed="8"/>
        <rFont val="標楷體"/>
        <family val="4"/>
        <charset val="136"/>
      </rPr>
      <t>國外資產風險</t>
    </r>
    <phoneticPr fontId="9" type="noConversion"/>
  </si>
  <si>
    <r>
      <t xml:space="preserve">1b.1 </t>
    </r>
    <r>
      <rPr>
        <sz val="12"/>
        <color indexed="8"/>
        <rFont val="標楷體"/>
        <family val="4"/>
        <charset val="136"/>
      </rPr>
      <t>已開發國家</t>
    </r>
    <phoneticPr fontId="9" type="noConversion"/>
  </si>
  <si>
    <r>
      <t xml:space="preserve">1b.1.1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</si>
  <si>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(107)</t>
    </r>
    <r>
      <rPr>
        <sz val="12"/>
        <color indexed="8"/>
        <rFont val="標楷體"/>
        <family val="4"/>
        <charset val="136"/>
      </rPr>
      <t>列</t>
    </r>
    <phoneticPr fontId="7" type="noConversion"/>
  </si>
  <si>
    <r>
      <t xml:space="preserve">1b.1.2 </t>
    </r>
    <r>
      <rPr>
        <sz val="12"/>
        <color indexed="8"/>
        <rFont val="標楷體"/>
        <family val="4"/>
        <charset val="136"/>
      </rPr>
      <t>固定型收益投資</t>
    </r>
    <phoneticPr fontId="9" type="noConversion"/>
  </si>
  <si>
    <r>
      <t xml:space="preserve">1b.1.2.1 </t>
    </r>
    <r>
      <rPr>
        <sz val="12"/>
        <color indexed="8"/>
        <rFont val="標楷體"/>
        <family val="4"/>
        <charset val="136"/>
      </rPr>
      <t>公債(註4)</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</si>
  <si>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</si>
  <si>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1b.1.2.2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</si>
  <si>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</si>
  <si>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1b.1.2.3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</si>
  <si>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(66)</t>
    </r>
    <r>
      <rPr>
        <sz val="12"/>
        <color indexed="8"/>
        <rFont val="標楷體"/>
        <family val="4"/>
        <charset val="136"/>
      </rPr>
      <t>列</t>
    </r>
    <phoneticPr fontId="9" type="noConversion"/>
  </si>
  <si>
    <r>
      <t xml:space="preserve">1b.1.2.4 </t>
    </r>
    <r>
      <rPr>
        <sz val="12"/>
        <color indexed="8"/>
        <rFont val="標楷體"/>
        <family val="4"/>
        <charset val="136"/>
      </rPr>
      <t>其他</t>
    </r>
    <phoneticPr fontId="9" type="noConversion"/>
  </si>
  <si>
    <r>
      <t xml:space="preserve">1b.1.2.4.1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</si>
  <si>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</si>
  <si>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1b.1.2.4.2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</si>
  <si>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(115)</t>
    </r>
    <r>
      <rPr>
        <sz val="12"/>
        <color indexed="8"/>
        <rFont val="標楷體"/>
        <family val="4"/>
        <charset val="136"/>
      </rPr>
      <t>列</t>
    </r>
    <phoneticPr fontId="9" type="noConversion"/>
  </si>
  <si>
    <r>
      <t xml:space="preserve">1b.1.3 </t>
    </r>
    <r>
      <rPr>
        <sz val="12"/>
        <color indexed="8"/>
        <rFont val="標楷體"/>
        <family val="4"/>
        <charset val="136"/>
      </rPr>
      <t>股票</t>
    </r>
    <phoneticPr fontId="9" type="noConversion"/>
  </si>
  <si>
    <r>
      <t xml:space="preserve">1b.1.3.1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</si>
  <si>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(31+36)</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(37)</t>
    </r>
    <r>
      <rPr>
        <sz val="12"/>
        <color indexed="8"/>
        <rFont val="標楷體"/>
        <family val="4"/>
        <charset val="136"/>
      </rPr>
      <t>列之合計數</t>
    </r>
    <phoneticPr fontId="9" type="noConversion"/>
  </si>
  <si>
    <r>
      <t xml:space="preserve">1b.1.3.2 </t>
    </r>
    <r>
      <rPr>
        <sz val="12"/>
        <color indexed="8"/>
        <rFont val="標楷體"/>
        <family val="4"/>
        <charset val="136"/>
      </rPr>
      <t>特別股</t>
    </r>
    <phoneticPr fontId="9" type="noConversion"/>
  </si>
  <si>
    <r>
      <t xml:space="preserve">1b.1.3.2.1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</si>
  <si>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</si>
  <si>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1b.1.3.2.2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</si>
  <si>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列之合計數</t>
    </r>
    <phoneticPr fontId="9" type="noConversion"/>
  </si>
  <si>
    <r>
      <t xml:space="preserve">1b.1.4 </t>
    </r>
    <r>
      <rPr>
        <sz val="12"/>
        <color indexed="8"/>
        <rFont val="標楷體"/>
        <family val="4"/>
        <charset val="136"/>
      </rPr>
      <t>受益憑證及信託資金</t>
    </r>
    <phoneticPr fontId="9" type="noConversion"/>
  </si>
  <si>
    <r>
      <t xml:space="preserve">1b.1.4.1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</si>
  <si>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已開發國家</t>
    </r>
    <r>
      <rPr>
        <sz val="10"/>
        <rFont val="Book Antiqua"/>
        <family val="1"/>
      </rPr>
      <t/>
    </r>
    <phoneticPr fontId="9" type="noConversion"/>
  </si>
  <si>
    <r>
      <t xml:space="preserve">1b.1.4.2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</si>
  <si>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已開發國家</t>
    </r>
    <phoneticPr fontId="9" type="noConversion"/>
  </si>
  <si>
    <r>
      <t xml:space="preserve">1b.1.4.3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</si>
  <si>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已開發國家</t>
    </r>
    <phoneticPr fontId="9" type="noConversion"/>
  </si>
  <si>
    <r>
      <t xml:space="preserve">1b.1.4.4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</si>
  <si>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(46)</t>
    </r>
    <r>
      <rPr>
        <sz val="12"/>
        <color indexed="8"/>
        <rFont val="標楷體"/>
        <family val="4"/>
        <charset val="136"/>
      </rPr>
      <t>列</t>
    </r>
    <phoneticPr fontId="9" type="noConversion"/>
  </si>
  <si>
    <r>
      <t xml:space="preserve">1b.1.4.5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</si>
  <si>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值計算表」國內發行其投資區域包含國外之私募基金-已開發國家</t>
    </r>
    <phoneticPr fontId="9" type="noConversion"/>
  </si>
  <si>
    <r>
      <t xml:space="preserve">1b.1.4.6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</si>
  <si>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(48)</t>
    </r>
    <r>
      <rPr>
        <sz val="12"/>
        <color indexed="8"/>
        <rFont val="標楷體"/>
        <family val="4"/>
        <charset val="136"/>
      </rPr>
      <t>列</t>
    </r>
    <phoneticPr fontId="9" type="noConversion"/>
  </si>
  <si>
    <r>
      <t xml:space="preserve">1b.1.4.7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</si>
  <si>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(49)</t>
    </r>
    <r>
      <rPr>
        <sz val="12"/>
        <color indexed="8"/>
        <rFont val="標楷體"/>
        <family val="4"/>
        <charset val="136"/>
      </rPr>
      <t>列</t>
    </r>
    <phoneticPr fontId="9" type="noConversion"/>
  </si>
  <si>
    <r>
      <t xml:space="preserve">1b.1.4.8 </t>
    </r>
    <r>
      <rPr>
        <sz val="12"/>
        <color indexed="8"/>
        <rFont val="標楷體"/>
        <family val="4"/>
        <charset val="136"/>
      </rPr>
      <t>基礎建設基金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</si>
  <si>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phoneticPr fontId="9" type="noConversion"/>
  </si>
  <si>
    <r>
      <t xml:space="preserve">1b.1.5 </t>
    </r>
    <r>
      <rPr>
        <sz val="12"/>
        <color indexed="8"/>
        <rFont val="標楷體"/>
        <family val="4"/>
        <charset val="136"/>
      </rPr>
      <t>放款</t>
    </r>
    <phoneticPr fontId="9" type="noConversion"/>
  </si>
  <si>
    <r>
      <t xml:space="preserve">1b.1.5.1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</si>
  <si>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(123)</t>
    </r>
    <r>
      <rPr>
        <sz val="12"/>
        <color indexed="8"/>
        <rFont val="標楷體"/>
        <family val="4"/>
        <charset val="136"/>
      </rPr>
      <t>列</t>
    </r>
    <phoneticPr fontId="7" type="noConversion"/>
  </si>
  <si>
    <r>
      <t xml:space="preserve">1b.1.5.2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</si>
  <si>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(124)</t>
    </r>
    <r>
      <rPr>
        <sz val="12"/>
        <color indexed="8"/>
        <rFont val="標楷體"/>
        <family val="4"/>
        <charset val="136"/>
      </rPr>
      <t>列</t>
    </r>
    <phoneticPr fontId="7" type="noConversion"/>
  </si>
  <si>
    <r>
      <t xml:space="preserve">1b.1.6 </t>
    </r>
    <r>
      <rPr>
        <sz val="12"/>
        <color indexed="8"/>
        <rFont val="標楷體"/>
        <family val="4"/>
        <charset val="136"/>
      </rPr>
      <t>不動產</t>
    </r>
    <phoneticPr fontId="9" type="noConversion"/>
  </si>
  <si>
    <r>
      <t xml:space="preserve">1b.1.6.1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1b.1.6.2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</si>
  <si>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(8+11)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：投資用不動產為素地或自</t>
    </r>
    <r>
      <rPr>
        <sz val="12"/>
        <color indexed="8"/>
        <rFont val="Times New Roman"/>
        <family val="1"/>
      </rPr>
      <t>100</t>
    </r>
    <r>
      <rPr>
        <sz val="12"/>
        <color indexed="8"/>
        <rFont val="標楷體"/>
        <family val="4"/>
        <charset val="136"/>
      </rPr>
      <t>年</t>
    </r>
    <r>
      <rPr>
        <sz val="12"/>
        <color indexed="8"/>
        <rFont val="Times New Roman"/>
        <family val="1"/>
      </rPr>
      <t>2</t>
    </r>
    <r>
      <rPr>
        <sz val="12"/>
        <color indexed="8"/>
        <rFont val="標楷體"/>
        <family val="4"/>
        <charset val="136"/>
      </rPr>
      <t>月</t>
    </r>
    <r>
      <rPr>
        <sz val="12"/>
        <color indexed="8"/>
        <rFont val="Times New Roman"/>
        <family val="1"/>
      </rPr>
      <t>24</t>
    </r>
    <r>
      <rPr>
        <sz val="12"/>
        <color indexed="8"/>
        <rFont val="標楷體"/>
        <family val="4"/>
        <charset val="136"/>
      </rPr>
      <t>日起未能符合即時利用並有收益認定基準且報經主管機關核准展延期限者加計風險資本額調整計算表」第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</si>
  <si>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1b.1.6.2  </t>
    </r>
    <r>
      <rPr>
        <sz val="12"/>
        <color indexed="8"/>
        <rFont val="標楷體"/>
        <family val="4"/>
        <charset val="136"/>
      </rPr>
      <t>不動產投資為素地或未能符合</t>
    </r>
    <r>
      <rPr>
        <sz val="12"/>
        <color indexed="8"/>
        <rFont val="Times New Roman"/>
        <family val="1"/>
      </rPr>
      <t xml:space="preserve">
          </t>
    </r>
    <r>
      <rPr>
        <sz val="12"/>
        <color indexed="8"/>
        <rFont val="標楷體"/>
        <family val="4"/>
        <charset val="136"/>
      </rPr>
      <t>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</si>
  <si>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</si>
  <si>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</si>
  <si>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(126)</t>
    </r>
    <r>
      <rPr>
        <sz val="12"/>
        <color indexed="8"/>
        <rFont val="標楷體"/>
        <family val="4"/>
        <charset val="136"/>
      </rPr>
      <t>列</t>
    </r>
    <phoneticPr fontId="7" type="noConversion"/>
  </si>
  <si>
    <r>
      <t xml:space="preserve">1b.1.8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</si>
  <si>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已開發國家</t>
    </r>
    <phoneticPr fontId="9" type="noConversion"/>
  </si>
  <si>
    <r>
      <t xml:space="preserve">1b.1.9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</si>
  <si>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已開發國家</t>
    </r>
    <phoneticPr fontId="9" type="noConversion"/>
  </si>
  <si>
    <r>
      <t xml:space="preserve">1b.1.10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</si>
  <si>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已開發國家</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</si>
  <si>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已開發國家</t>
    </r>
    <phoneticPr fontId="9" type="noConversion"/>
  </si>
  <si>
    <r>
      <t xml:space="preserve">1b.1.12 </t>
    </r>
    <r>
      <rPr>
        <sz val="12"/>
        <color indexed="8"/>
        <rFont val="標楷體"/>
        <family val="4"/>
        <charset val="136"/>
      </rPr>
      <t>組合式存款</t>
    </r>
    <phoneticPr fontId="9" type="noConversion"/>
  </si>
  <si>
    <r>
      <t>1b.1.12.1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</si>
  <si>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</si>
  <si>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1b.1.12.2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</si>
  <si>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</si>
  <si>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1b.1.13 </t>
    </r>
    <r>
      <rPr>
        <sz val="12"/>
        <color indexed="8"/>
        <rFont val="標楷體"/>
        <family val="4"/>
        <charset val="136"/>
      </rPr>
      <t>其他</t>
    </r>
    <phoneticPr fontId="9" type="noConversion"/>
  </si>
  <si>
    <r>
      <t xml:space="preserve">1b.1.13.1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1b.1.13.2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</si>
  <si>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9" type="noConversion"/>
  </si>
  <si>
    <r>
      <t xml:space="preserve">1b.1.13.2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</si>
  <si>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7" type="noConversion"/>
  </si>
  <si>
    <r>
      <t xml:space="preserve">1b.1.13.3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</si>
  <si>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1b.1.13.3.1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</si>
  <si>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</si>
  <si>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1b.1.13.3.2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</si>
  <si>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</si>
  <si>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1b.2 </t>
    </r>
    <r>
      <rPr>
        <sz val="12"/>
        <color indexed="8"/>
        <rFont val="標楷體"/>
        <family val="4"/>
        <charset val="136"/>
      </rPr>
      <t>新興市場</t>
    </r>
    <phoneticPr fontId="9" type="noConversion"/>
  </si>
  <si>
    <r>
      <t xml:space="preserve">1b.2.1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</si>
  <si>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(137)</t>
    </r>
    <r>
      <rPr>
        <sz val="12"/>
        <color indexed="8"/>
        <rFont val="標楷體"/>
        <family val="4"/>
        <charset val="136"/>
      </rPr>
      <t>列</t>
    </r>
    <phoneticPr fontId="7" type="noConversion"/>
  </si>
  <si>
    <r>
      <t xml:space="preserve">1b.2.2 </t>
    </r>
    <r>
      <rPr>
        <sz val="12"/>
        <color indexed="8"/>
        <rFont val="標楷體"/>
        <family val="4"/>
        <charset val="136"/>
      </rPr>
      <t>固定型收益投資</t>
    </r>
    <phoneticPr fontId="9" type="noConversion"/>
  </si>
  <si>
    <r>
      <t xml:space="preserve">1b.2.2.1 </t>
    </r>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</si>
  <si>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</si>
  <si>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1b.2.2.2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</si>
  <si>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</si>
  <si>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1b.2.2.3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</si>
  <si>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(66)</t>
    </r>
    <r>
      <rPr>
        <sz val="12"/>
        <color indexed="8"/>
        <rFont val="標楷體"/>
        <family val="4"/>
        <charset val="136"/>
      </rPr>
      <t>列</t>
    </r>
  </si>
  <si>
    <r>
      <t xml:space="preserve">1b.2.2.4 </t>
    </r>
    <r>
      <rPr>
        <sz val="12"/>
        <color indexed="8"/>
        <rFont val="標楷體"/>
        <family val="4"/>
        <charset val="136"/>
      </rPr>
      <t>其他</t>
    </r>
    <phoneticPr fontId="9" type="noConversion"/>
  </si>
  <si>
    <r>
      <t xml:space="preserve">1b.2.2.4.1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</si>
  <si>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</si>
  <si>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1b.2.2.4.2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</si>
  <si>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(145)</t>
    </r>
    <r>
      <rPr>
        <sz val="12"/>
        <color indexed="8"/>
        <rFont val="標楷體"/>
        <family val="4"/>
        <charset val="136"/>
      </rPr>
      <t>列</t>
    </r>
    <phoneticPr fontId="9" type="noConversion"/>
  </si>
  <si>
    <r>
      <t xml:space="preserve">1b.2.3 </t>
    </r>
    <r>
      <rPr>
        <sz val="12"/>
        <color indexed="8"/>
        <rFont val="標楷體"/>
        <family val="4"/>
        <charset val="136"/>
      </rPr>
      <t>股票</t>
    </r>
    <phoneticPr fontId="9" type="noConversion"/>
  </si>
  <si>
    <r>
      <t xml:space="preserve">1b.2.3.1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</si>
  <si>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(32+44)</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(45)</t>
    </r>
    <r>
      <rPr>
        <sz val="12"/>
        <color indexed="8"/>
        <rFont val="標楷體"/>
        <family val="4"/>
        <charset val="136"/>
      </rPr>
      <t>列之合計數</t>
    </r>
    <phoneticPr fontId="9" type="noConversion"/>
  </si>
  <si>
    <r>
      <t xml:space="preserve">1b.2.3.2 </t>
    </r>
    <r>
      <rPr>
        <sz val="12"/>
        <color indexed="8"/>
        <rFont val="標楷體"/>
        <family val="4"/>
        <charset val="136"/>
      </rPr>
      <t>特別股</t>
    </r>
    <phoneticPr fontId="9" type="noConversion"/>
  </si>
  <si>
    <r>
      <t xml:space="preserve">1b.2.3.2.1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</si>
  <si>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</si>
  <si>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1b.2.3.2.2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</si>
  <si>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(49)</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(50)</t>
    </r>
    <r>
      <rPr>
        <sz val="12"/>
        <color indexed="8"/>
        <rFont val="標楷體"/>
        <family val="4"/>
        <charset val="136"/>
      </rPr>
      <t>列之合計數</t>
    </r>
    <phoneticPr fontId="9" type="noConversion"/>
  </si>
  <si>
    <r>
      <t xml:space="preserve">1b.2.4 </t>
    </r>
    <r>
      <rPr>
        <sz val="12"/>
        <color indexed="8"/>
        <rFont val="標楷體"/>
        <family val="4"/>
        <charset val="136"/>
      </rPr>
      <t>受益憑證及信託資金</t>
    </r>
    <phoneticPr fontId="9" type="noConversion"/>
  </si>
  <si>
    <r>
      <t xml:space="preserve">1b.2.4.1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</si>
  <si>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新興市場</t>
    </r>
    <phoneticPr fontId="9" type="noConversion"/>
  </si>
  <si>
    <r>
      <t xml:space="preserve">1b.2.4.2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</si>
  <si>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新興市場</t>
    </r>
    <phoneticPr fontId="9" type="noConversion"/>
  </si>
  <si>
    <r>
      <t xml:space="preserve">1b.2.4.3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</si>
  <si>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新興市場</t>
    </r>
    <phoneticPr fontId="9" type="noConversion"/>
  </si>
  <si>
    <r>
      <t xml:space="preserve">1b.2.4.4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</si>
  <si>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(54)</t>
    </r>
    <r>
      <rPr>
        <sz val="12"/>
        <color indexed="8"/>
        <rFont val="標楷體"/>
        <family val="4"/>
        <charset val="136"/>
      </rPr>
      <t>列</t>
    </r>
    <phoneticPr fontId="9" type="noConversion"/>
  </si>
  <si>
    <r>
      <t xml:space="preserve">1b.2.4.5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</si>
  <si>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新興市場</t>
    </r>
    <phoneticPr fontId="9" type="noConversion"/>
  </si>
  <si>
    <r>
      <t xml:space="preserve">1b.2.4.6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</si>
  <si>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</si>
  <si>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1b.2.4.7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</si>
  <si>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(57)</t>
    </r>
    <r>
      <rPr>
        <sz val="12"/>
        <color indexed="8"/>
        <rFont val="標楷體"/>
        <family val="4"/>
        <charset val="136"/>
      </rPr>
      <t>列</t>
    </r>
    <phoneticPr fontId="9" type="noConversion"/>
  </si>
  <si>
    <r>
      <t xml:space="preserve">1b.2.5 </t>
    </r>
    <r>
      <rPr>
        <sz val="12"/>
        <color indexed="8"/>
        <rFont val="標楷體"/>
        <family val="4"/>
        <charset val="136"/>
      </rPr>
      <t>放款</t>
    </r>
    <phoneticPr fontId="9" type="noConversion"/>
  </si>
  <si>
    <r>
      <t xml:space="preserve">1b.2.5.1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</si>
  <si>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(153)</t>
    </r>
    <r>
      <rPr>
        <sz val="12"/>
        <color indexed="8"/>
        <rFont val="標楷體"/>
        <family val="4"/>
        <charset val="136"/>
      </rPr>
      <t>列</t>
    </r>
    <phoneticPr fontId="7" type="noConversion"/>
  </si>
  <si>
    <r>
      <t xml:space="preserve">1b.2.5.2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</si>
  <si>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(154)</t>
    </r>
    <r>
      <rPr>
        <sz val="12"/>
        <color indexed="8"/>
        <rFont val="標楷體"/>
        <family val="4"/>
        <charset val="136"/>
      </rPr>
      <t>列</t>
    </r>
    <phoneticPr fontId="7" type="noConversion"/>
  </si>
  <si>
    <r>
      <t xml:space="preserve">1b.2.6 </t>
    </r>
    <r>
      <rPr>
        <sz val="12"/>
        <color indexed="8"/>
        <rFont val="標楷體"/>
        <family val="4"/>
        <charset val="136"/>
      </rPr>
      <t>不動產</t>
    </r>
    <phoneticPr fontId="9" type="noConversion"/>
  </si>
  <si>
    <r>
      <t xml:space="preserve">1b.2.6.1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1b.2.6.2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</si>
  <si>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(9+12)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</si>
  <si>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1b.2.6.2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</si>
  <si>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</si>
  <si>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</si>
  <si>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(156)</t>
    </r>
    <r>
      <rPr>
        <sz val="12"/>
        <color indexed="8"/>
        <rFont val="標楷體"/>
        <family val="4"/>
        <charset val="136"/>
      </rPr>
      <t>列</t>
    </r>
    <phoneticPr fontId="7" type="noConversion"/>
  </si>
  <si>
    <r>
      <t xml:space="preserve">1b.2.8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</si>
  <si>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(157)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新興市場</t>
    </r>
    <phoneticPr fontId="9" type="noConversion"/>
  </si>
  <si>
    <r>
      <t xml:space="preserve">1b.2.9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</si>
  <si>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新興市場</t>
    </r>
    <phoneticPr fontId="7" type="noConversion"/>
  </si>
  <si>
    <r>
      <t xml:space="preserve">1b.2.10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</si>
  <si>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新興市場</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</si>
  <si>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新興市場</t>
    </r>
    <phoneticPr fontId="9" type="noConversion"/>
  </si>
  <si>
    <r>
      <t xml:space="preserve">1b.2.12 </t>
    </r>
    <r>
      <rPr>
        <sz val="12"/>
        <color indexed="8"/>
        <rFont val="標楷體"/>
        <family val="4"/>
        <charset val="136"/>
      </rPr>
      <t>組合式存款</t>
    </r>
    <phoneticPr fontId="9" type="noConversion"/>
  </si>
  <si>
    <r>
      <t>1b.2.12.1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</si>
  <si>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</si>
  <si>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1b.2.12.2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</si>
  <si>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</si>
  <si>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1b.2.13</t>
    </r>
    <r>
      <rPr>
        <sz val="12"/>
        <color indexed="8"/>
        <rFont val="標楷體"/>
        <family val="4"/>
        <charset val="136"/>
      </rPr>
      <t>其他</t>
    </r>
    <phoneticPr fontId="9" type="noConversion"/>
  </si>
  <si>
    <r>
      <t xml:space="preserve">1b.2.13.1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1b.2.13.2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</si>
  <si>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9" type="noConversion"/>
  </si>
  <si>
    <r>
      <t xml:space="preserve">1b.2.13.2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</si>
  <si>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7" type="noConversion"/>
  </si>
  <si>
    <r>
      <t xml:space="preserve">1b.2.13.3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</si>
  <si>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1b.2.13.3.1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</si>
  <si>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</si>
  <si>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1b.2.13.3.2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</si>
  <si>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</si>
  <si>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1b.3 </t>
    </r>
    <r>
      <rPr>
        <sz val="12"/>
        <color indexed="8"/>
        <rFont val="標楷體"/>
        <family val="4"/>
        <charset val="136"/>
      </rPr>
      <t>外匯風險</t>
    </r>
    <phoneticPr fontId="9" type="noConversion"/>
  </si>
  <si>
    <r>
      <rPr>
        <sz val="12"/>
        <color indexed="8"/>
        <rFont val="標楷體"/>
        <family val="4"/>
        <charset val="136"/>
      </rPr>
      <t>本表</t>
    </r>
    <r>
      <rPr>
        <sz val="12"/>
        <color indexed="8"/>
        <rFont val="Times New Roman"/>
        <family val="1"/>
      </rPr>
      <t>1b.1.1~1b.1.13</t>
    </r>
    <r>
      <rPr>
        <sz val="12"/>
        <color indexed="8"/>
        <rFont val="標楷體"/>
        <family val="4"/>
        <charset val="136"/>
      </rPr>
      <t>金額合計</t>
    </r>
    <r>
      <rPr>
        <sz val="12"/>
        <color indexed="8"/>
        <rFont val="Times New Roman"/>
        <family val="1"/>
      </rPr>
      <t>+</t>
    </r>
    <r>
      <rPr>
        <sz val="12"/>
        <color indexed="8"/>
        <rFont val="標楷體"/>
        <family val="4"/>
        <charset val="136"/>
      </rPr>
      <t>本表</t>
    </r>
    <r>
      <rPr>
        <sz val="12"/>
        <color indexed="8"/>
        <rFont val="Times New Roman"/>
        <family val="1"/>
      </rPr>
      <t>1b.2.1~1b.2.13</t>
    </r>
    <r>
      <rPr>
        <sz val="12"/>
        <color indexed="8"/>
        <rFont val="標楷體"/>
        <family val="4"/>
        <charset val="136"/>
      </rPr>
      <t>金額合計－「表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(5)</t>
    </r>
    <r>
      <rPr>
        <sz val="12"/>
        <color indexed="8"/>
        <rFont val="標楷體"/>
        <family val="4"/>
        <charset val="136"/>
      </rPr>
      <t>欄第</t>
    </r>
    <r>
      <rPr>
        <sz val="12"/>
        <color indexed="8"/>
        <rFont val="Times New Roman"/>
        <family val="1"/>
      </rPr>
      <t>(6)</t>
    </r>
    <r>
      <rPr>
        <sz val="12"/>
        <color indexed="8"/>
        <rFont val="標楷體"/>
        <family val="4"/>
        <charset val="136"/>
      </rPr>
      <t>列－「表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(8)</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</si>
  <si>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 xml:space="preserve">1b.4 </t>
    </r>
    <r>
      <rPr>
        <sz val="12"/>
        <color indexed="8"/>
        <rFont val="標楷體"/>
        <family val="4"/>
        <charset val="136"/>
      </rPr>
      <t>借券再投資風險</t>
    </r>
    <phoneticPr fontId="9" type="noConversion"/>
  </si>
  <si>
    <r>
      <rPr>
        <sz val="12"/>
        <color indexed="8"/>
        <rFont val="標楷體"/>
        <family val="4"/>
        <charset val="136"/>
      </rPr>
      <t>風險資本額計算來源「表</t>
    </r>
    <r>
      <rPr>
        <sz val="12"/>
        <color indexed="8"/>
        <rFont val="Times New Roman"/>
        <family val="1"/>
      </rPr>
      <t>30-16</t>
    </r>
    <r>
      <rPr>
        <sz val="12"/>
        <color indexed="8"/>
        <rFont val="標楷體"/>
        <family val="4"/>
        <charset val="136"/>
      </rPr>
      <t>：國外借券再投資風險資本額計算表」第</t>
    </r>
    <r>
      <rPr>
        <sz val="12"/>
        <color indexed="8"/>
        <rFont val="Times New Roman"/>
        <family val="1"/>
      </rPr>
      <t>(9)</t>
    </r>
    <r>
      <rPr>
        <sz val="12"/>
        <color indexed="8"/>
        <rFont val="標楷體"/>
        <family val="4"/>
        <charset val="136"/>
      </rPr>
      <t>欄合計數</t>
    </r>
    <phoneticPr fontId="9" type="noConversion"/>
  </si>
  <si>
    <r>
      <t xml:space="preserve">1b.5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國外部份</t>
    </r>
    <phoneticPr fontId="9" type="noConversion"/>
  </si>
  <si>
    <r>
      <t xml:space="preserve">R1c </t>
    </r>
    <r>
      <rPr>
        <sz val="12"/>
        <color indexed="8"/>
        <rFont val="標楷體"/>
        <family val="4"/>
        <charset val="136"/>
      </rPr>
      <t>不計入風險資本額計算之項目</t>
    </r>
    <phoneticPr fontId="9" type="noConversion"/>
  </si>
  <si>
    <r>
      <t xml:space="preserve">1c.1 </t>
    </r>
    <r>
      <rPr>
        <sz val="12"/>
        <color indexed="8"/>
        <rFont val="標楷體"/>
        <family val="4"/>
        <charset val="136"/>
      </rPr>
      <t>或有負債</t>
    </r>
    <phoneticPr fontId="9" type="noConversion"/>
  </si>
  <si>
    <r>
      <rPr>
        <sz val="12"/>
        <color indexed="8"/>
        <rFont val="標楷體"/>
        <family val="4"/>
        <charset val="136"/>
      </rPr>
      <t>經會計師簽證之財務報表附註揭露事項之確定額度</t>
    </r>
  </si>
  <si>
    <r>
      <t xml:space="preserve">1c.2 </t>
    </r>
    <r>
      <rPr>
        <sz val="12"/>
        <color indexed="8"/>
        <rFont val="標楷體"/>
        <family val="4"/>
        <charset val="136"/>
      </rPr>
      <t>衍生性金融商品</t>
    </r>
    <phoneticPr fontId="9" type="noConversion"/>
  </si>
  <si>
    <r>
      <t xml:space="preserve">1c.2.1 </t>
    </r>
    <r>
      <rPr>
        <sz val="12"/>
        <color indexed="8"/>
        <rFont val="標楷體"/>
        <family val="4"/>
        <charset val="136"/>
      </rPr>
      <t>以避險為目的</t>
    </r>
    <phoneticPr fontId="9" type="noConversion"/>
  </si>
  <si>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(34)</t>
    </r>
    <r>
      <rPr>
        <sz val="12"/>
        <color indexed="8"/>
        <rFont val="標楷體"/>
        <family val="4"/>
        <charset val="136"/>
      </rPr>
      <t>列第</t>
    </r>
    <r>
      <rPr>
        <sz val="12"/>
        <color indexed="8"/>
        <rFont val="Times New Roman"/>
        <family val="1"/>
      </rPr>
      <t>(5+8)</t>
    </r>
    <r>
      <rPr>
        <sz val="12"/>
        <color indexed="8"/>
        <rFont val="標楷體"/>
        <family val="4"/>
        <charset val="136"/>
      </rPr>
      <t>欄</t>
    </r>
    <phoneticPr fontId="7" type="noConversion"/>
  </si>
  <si>
    <r>
      <t xml:space="preserve">1c.2.2 </t>
    </r>
    <r>
      <rPr>
        <sz val="12"/>
        <color indexed="8"/>
        <rFont val="標楷體"/>
        <family val="4"/>
        <charset val="136"/>
      </rPr>
      <t>以增加收益為目的</t>
    </r>
    <phoneticPr fontId="9" type="noConversion"/>
  </si>
  <si>
    <r>
      <rPr>
        <sz val="12"/>
        <color indexed="8"/>
        <rFont val="標楷體"/>
        <family val="4"/>
        <charset val="136"/>
      </rPr>
      <t>「表</t>
    </r>
    <r>
      <rPr>
        <sz val="12"/>
        <color indexed="8"/>
        <rFont val="Times New Roman"/>
        <family val="1"/>
      </rPr>
      <t>16-2-2</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買入衍生性商品</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列第</t>
    </r>
    <r>
      <rPr>
        <sz val="12"/>
        <color indexed="8"/>
        <rFont val="Times New Roman"/>
        <family val="1"/>
      </rPr>
      <t>(2+5+8)</t>
    </r>
    <r>
      <rPr>
        <sz val="12"/>
        <color indexed="8"/>
        <rFont val="標楷體"/>
        <family val="4"/>
        <charset val="136"/>
      </rPr>
      <t>欄</t>
    </r>
    <r>
      <rPr>
        <sz val="12"/>
        <color indexed="8"/>
        <rFont val="Times New Roman"/>
        <family val="1"/>
      </rPr>
      <t xml:space="preserve"> + </t>
    </r>
    <r>
      <rPr>
        <sz val="12"/>
        <color indexed="8"/>
        <rFont val="標楷體"/>
        <family val="4"/>
        <charset val="136"/>
      </rPr>
      <t>「表</t>
    </r>
    <r>
      <rPr>
        <sz val="12"/>
        <color indexed="8"/>
        <rFont val="Times New Roman"/>
        <family val="1"/>
      </rPr>
      <t>16-2-3</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賣出衍生性商品</t>
    </r>
    <r>
      <rPr>
        <sz val="12"/>
        <color indexed="8"/>
        <rFont val="Times New Roman"/>
        <family val="1"/>
      </rPr>
      <t>)</t>
    </r>
    <r>
      <rPr>
        <sz val="12"/>
        <color indexed="8"/>
        <rFont val="標楷體"/>
        <family val="4"/>
        <charset val="136"/>
      </rPr>
      <t>」第</t>
    </r>
    <r>
      <rPr>
        <sz val="12"/>
        <color indexed="8"/>
        <rFont val="Times New Roman"/>
        <family val="1"/>
      </rPr>
      <t>(13)</t>
    </r>
    <r>
      <rPr>
        <sz val="12"/>
        <color indexed="8"/>
        <rFont val="標楷體"/>
        <family val="4"/>
        <charset val="136"/>
      </rPr>
      <t>列第</t>
    </r>
    <r>
      <rPr>
        <sz val="12"/>
        <color indexed="8"/>
        <rFont val="Times New Roman"/>
        <family val="1"/>
      </rPr>
      <t>(2+5+8)</t>
    </r>
    <r>
      <rPr>
        <sz val="12"/>
        <color indexed="8"/>
        <rFont val="標楷體"/>
        <family val="4"/>
        <charset val="136"/>
      </rPr>
      <t>欄</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</si>
  <si>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非關係人風險》總計</t>
    </r>
    <phoneticPr fontId="9" type="noConversion"/>
  </si>
  <si>
    <r>
      <rPr>
        <sz val="12"/>
        <color indexed="8"/>
        <rFont val="標楷體"/>
        <family val="4"/>
        <charset val="136"/>
      </rPr>
      <t>若投資受益憑證且該標的已經信用評等機構評定達一定程度以上者，公司可提供該項信評資料，以作為係數上扣減之憑據，但不包括以</t>
    </r>
    <r>
      <rPr>
        <sz val="12"/>
        <color indexed="8"/>
        <rFont val="Times New Roman"/>
        <family val="1"/>
      </rPr>
      <t>β</t>
    </r>
    <r>
      <rPr>
        <sz val="12"/>
        <color indexed="8"/>
        <rFont val="標楷體"/>
        <family val="4"/>
        <charset val="136"/>
      </rPr>
      <t>值計算係數之受益憑證。</t>
    </r>
    <phoneticPr fontId="9" type="noConversion"/>
  </si>
  <si>
    <r>
      <rPr>
        <sz val="12"/>
        <color indexed="8"/>
        <rFont val="標楷體"/>
        <family val="4"/>
        <charset val="136"/>
      </rPr>
      <t>本項專案運用、公共及社會福利事業與其他主管機關核准項目含政策性、創業投資、公共投資、</t>
    </r>
    <r>
      <rPr>
        <sz val="12"/>
        <color indexed="8"/>
        <rFont val="Times New Roman"/>
        <family val="1"/>
      </rPr>
      <t>5+2</t>
    </r>
    <r>
      <rPr>
        <sz val="12"/>
        <color indexed="8"/>
        <rFont val="標楷體"/>
        <family val="4"/>
        <charset val="136"/>
      </rPr>
      <t>及六大核心產業部分，其他專案運用公共及社會福利事業投資依其投資類別歸類於各項資產中。</t>
    </r>
  </si>
  <si>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t>
    </r>
    <phoneticPr fontId="9" type="noConversion"/>
  </si>
  <si>
    <r>
      <rPr>
        <sz val="12"/>
        <color indexed="8"/>
        <rFont val="標楷體"/>
        <family val="4"/>
        <charset val="136"/>
      </rPr>
      <t>對於因從事國外投資所進行之避險行為，除匯率相關</t>
    </r>
    <r>
      <rPr>
        <sz val="12"/>
        <color indexed="8"/>
        <rFont val="Times New Roman"/>
        <family val="1"/>
      </rPr>
      <t>(</t>
    </r>
    <r>
      <rPr>
        <sz val="12"/>
        <color indexed="8"/>
        <rFont val="標楷體"/>
        <family val="4"/>
        <charset val="136"/>
      </rPr>
      <t>標準避險</t>
    </r>
    <r>
      <rPr>
        <sz val="12"/>
        <color indexed="8"/>
        <rFont val="Times New Roman"/>
        <family val="1"/>
      </rPr>
      <t>)</t>
    </r>
    <r>
      <rPr>
        <sz val="12"/>
        <color indexed="8"/>
        <rFont val="標楷體"/>
        <family val="4"/>
        <charset val="136"/>
      </rPr>
      <t>外，暫不作風險資本額之扣抵，本項僅列示從事衍生性金融商品之部位金額。</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</si>
  <si>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</si>
  <si>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</si>
  <si>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7" type="noConversion"/>
  </si>
  <si>
    <r>
      <rPr>
        <b/>
        <sz val="12"/>
        <color indexed="8"/>
        <rFont val="標楷體"/>
        <family val="4"/>
        <charset val="136"/>
      </rPr>
      <t>資產項目</t>
    </r>
    <phoneticPr fontId="7" type="noConversion"/>
  </si>
  <si>
    <r>
      <rPr>
        <b/>
        <sz val="12"/>
        <color indexed="8"/>
        <rFont val="標楷體"/>
        <family val="4"/>
        <charset val="136"/>
      </rPr>
      <t>信用評等</t>
    </r>
    <phoneticPr fontId="7" type="noConversion"/>
  </si>
  <si>
    <r>
      <rPr>
        <b/>
        <sz val="12"/>
        <color indexed="8"/>
        <rFont val="標楷體"/>
        <family val="4"/>
        <charset val="136"/>
      </rPr>
      <t>風險係數</t>
    </r>
    <phoneticPr fontId="7" type="noConversion"/>
  </si>
  <si>
    <r>
      <rPr>
        <b/>
        <sz val="12"/>
        <color indexed="8"/>
        <rFont val="標楷體"/>
        <family val="4"/>
        <charset val="136"/>
      </rPr>
      <t>風險資本額</t>
    </r>
    <phoneticPr fontId="7" type="noConversion"/>
  </si>
  <si>
    <r>
      <rPr>
        <b/>
        <sz val="12"/>
        <color indexed="8"/>
        <rFont val="標楷體"/>
        <family val="4"/>
        <charset val="136"/>
      </rPr>
      <t>中華信評</t>
    </r>
    <phoneticPr fontId="7" type="noConversion"/>
  </si>
  <si>
    <r>
      <rPr>
        <sz val="12"/>
        <color indexed="8"/>
        <rFont val="標楷體"/>
        <family val="4"/>
        <charset val="136"/>
      </rPr>
      <t>公司債</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</si>
  <si>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有評等公司債合計數</t>
    </r>
  </si>
  <si>
    <r>
      <rPr>
        <sz val="12"/>
        <color indexed="8"/>
        <rFont val="標楷體"/>
        <family val="4"/>
        <charset val="136"/>
      </rPr>
      <t>無評等公司債但提供保證的機構有評等</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</si>
  <si>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無評等公司債但提供保證的機構有評等合計數</t>
    </r>
  </si>
  <si>
    <r>
      <rPr>
        <sz val="12"/>
        <color indexed="8"/>
        <rFont val="標楷體"/>
        <family val="4"/>
        <charset val="136"/>
      </rPr>
      <t>可轉換公司債及附認股權公司債</t>
    </r>
    <r>
      <rPr>
        <sz val="12"/>
        <color indexed="8"/>
        <rFont val="Times New Roman"/>
        <family val="1"/>
      </rPr>
      <t>(</t>
    </r>
    <r>
      <rPr>
        <sz val="12"/>
        <color indexed="8"/>
        <rFont val="標楷體"/>
        <family val="4"/>
        <charset val="136"/>
      </rPr>
      <t>篩選自表</t>
    </r>
    <r>
      <rPr>
        <sz val="12"/>
        <color indexed="8"/>
        <rFont val="Times New Roman"/>
        <family val="1"/>
      </rPr>
      <t xml:space="preserve">11-1 </t>
    </r>
    <r>
      <rPr>
        <sz val="12"/>
        <color indexed="8"/>
        <rFont val="標楷體"/>
        <family val="4"/>
        <charset val="136"/>
      </rPr>
      <t>第</t>
    </r>
    <r>
      <rPr>
        <sz val="12"/>
        <color indexed="8"/>
        <rFont val="Times New Roman"/>
        <family val="1"/>
      </rPr>
      <t>17</t>
    </r>
    <r>
      <rPr>
        <sz val="12"/>
        <color indexed="8"/>
        <rFont val="標楷體"/>
        <family val="4"/>
        <charset val="136"/>
      </rPr>
      <t>欄</t>
    </r>
    <r>
      <rPr>
        <sz val="12"/>
        <color indexed="8"/>
        <rFont val="Times New Roman"/>
        <family val="1"/>
      </rPr>
      <t>C</t>
    </r>
    <r>
      <rPr>
        <sz val="12"/>
        <color indexed="8"/>
        <rFont val="標楷體"/>
        <family val="4"/>
        <charset val="136"/>
      </rPr>
      <t>選項之國內非關係人投資</t>
    </r>
    <r>
      <rPr>
        <sz val="12"/>
        <color indexed="8"/>
        <rFont val="Times New Roman"/>
        <family val="1"/>
      </rPr>
      <t>)</t>
    </r>
  </si>
  <si>
    <r>
      <rPr>
        <sz val="12"/>
        <color indexed="8"/>
        <rFont val="標楷體"/>
        <family val="4"/>
        <charset val="136"/>
      </rPr>
      <t>金融債劵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</si>
  <si>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金融債劵合計數</t>
    </r>
  </si>
  <si>
    <r>
      <rPr>
        <sz val="12"/>
        <color indexed="8"/>
        <rFont val="標楷體"/>
        <family val="4"/>
        <charset val="136"/>
      </rPr>
      <t>不動產受益證劵及金融資產受益證券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</si>
  <si>
    <r>
      <rPr>
        <sz val="12"/>
        <color indexed="8"/>
        <rFont val="標楷體"/>
        <family val="4"/>
        <charset val="136"/>
      </rPr>
      <t>有評等不動產及金融資產受益證券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r>
      <rPr>
        <sz val="12"/>
        <color indexed="8"/>
        <rFont val="標楷體"/>
        <family val="4"/>
        <charset val="136"/>
      </rPr>
      <t>合計數</t>
    </r>
  </si>
  <si>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</si>
  <si>
    <r>
      <rPr>
        <sz val="12"/>
        <color indexed="8"/>
        <rFont val="標楷體"/>
        <family val="4"/>
        <charset val="136"/>
      </rPr>
      <t>固定收益特別股</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6)</t>
    </r>
    <phoneticPr fontId="7" type="noConversion"/>
  </si>
  <si>
    <r>
      <rPr>
        <sz val="12"/>
        <color indexed="8"/>
        <rFont val="標楷體"/>
        <family val="4"/>
        <charset val="136"/>
      </rPr>
      <t>固定收益特別股合計數</t>
    </r>
  </si>
  <si>
    <r>
      <rPr>
        <sz val="12"/>
        <color indexed="8"/>
        <rFont val="標楷體"/>
        <family val="4"/>
        <charset val="136"/>
      </rPr>
      <t>可減除計算風險資本之金額</t>
    </r>
    <r>
      <rPr>
        <sz val="12"/>
        <color indexed="8"/>
        <rFont val="Times New Roman"/>
        <family val="1"/>
      </rPr>
      <t xml:space="preserve"> - </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註</t>
    </r>
    <r>
      <rPr>
        <sz val="12"/>
        <color indexed="8"/>
        <rFont val="Times New Roman"/>
        <family val="1"/>
      </rPr>
      <t>9)</t>
    </r>
    <phoneticPr fontId="7" type="noConversion"/>
  </si>
  <si>
    <r>
      <rPr>
        <sz val="12"/>
        <color indexed="8"/>
        <rFont val="標楷體"/>
        <family val="4"/>
        <charset val="136"/>
      </rPr>
      <t>由風險資本扣除之金額</t>
    </r>
    <r>
      <rPr>
        <sz val="12"/>
        <color indexed="8"/>
        <rFont val="Times New Roman"/>
        <family val="1"/>
      </rPr>
      <t xml:space="preserve"> - </t>
    </r>
    <r>
      <rPr>
        <sz val="12"/>
        <color indexed="8"/>
        <rFont val="標楷體"/>
        <family val="4"/>
        <charset val="136"/>
      </rPr>
      <t>非屬實質互相投資之具資本性質債券合計數</t>
    </r>
    <phoneticPr fontId="7" type="noConversion"/>
  </si>
  <si>
    <r>
      <rPr>
        <sz val="12"/>
        <color indexed="8"/>
        <rFont val="標楷體"/>
        <family val="4"/>
        <charset val="136"/>
      </rPr>
      <t>註</t>
    </r>
    <r>
      <rPr>
        <sz val="12"/>
        <color indexed="8"/>
        <rFont val="Times New Roman"/>
        <family val="1"/>
      </rPr>
      <t>1</t>
    </r>
  </si>
  <si>
    <r>
      <rPr>
        <sz val="12"/>
        <color indexed="8"/>
        <rFont val="標楷體"/>
        <family val="4"/>
        <charset val="136"/>
      </rPr>
      <t>若無法取得投資標的之信用評等等級者，則按最低評等等級所對應之數值作為風險係數。債券投資因信用風險顯著增加已依</t>
    </r>
    <r>
      <rPr>
        <sz val="12"/>
        <color indexed="8"/>
        <rFont val="Times New Roman"/>
        <family val="1"/>
      </rPr>
      <t>IFRS9</t>
    </r>
    <r>
      <rPr>
        <sz val="12"/>
        <color indexed="8"/>
        <rFont val="標楷體"/>
        <family val="4"/>
        <charset val="136"/>
      </rPr>
      <t>規定計算其存續期間之預期信用損失者，</t>
    </r>
    <phoneticPr fontId="7" type="noConversion"/>
  </si>
  <si>
    <r>
      <rPr>
        <sz val="12"/>
        <color indexed="8"/>
        <rFont val="標楷體"/>
        <family val="4"/>
        <charset val="136"/>
      </rPr>
      <t>可採最高信評等級係數計算本表信用風險。</t>
    </r>
    <phoneticPr fontId="7" type="noConversion"/>
  </si>
  <si>
    <r>
      <rPr>
        <sz val="12"/>
        <color indexed="8"/>
        <rFont val="標楷體"/>
        <family val="4"/>
        <charset val="136"/>
      </rPr>
      <t>註</t>
    </r>
    <r>
      <rPr>
        <sz val="12"/>
        <color indexed="8"/>
        <rFont val="Times New Roman"/>
        <family val="1"/>
      </rPr>
      <t>2</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</si>
  <si>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(19+38+39)</t>
    </r>
    <r>
      <rPr>
        <sz val="12"/>
        <color indexed="8"/>
        <rFont val="標楷體"/>
        <family val="4"/>
        <charset val="136"/>
      </rPr>
      <t>列加計表</t>
    </r>
    <r>
      <rPr>
        <sz val="12"/>
        <color indexed="8"/>
        <rFont val="Times New Roman"/>
        <family val="1"/>
      </rPr>
      <t>30-3</t>
    </r>
    <r>
      <rPr>
        <sz val="12"/>
        <color indexed="8"/>
        <rFont val="標楷體"/>
        <family val="4"/>
        <charset val="136"/>
      </rPr>
      <t>第</t>
    </r>
    <r>
      <rPr>
        <sz val="12"/>
        <color indexed="8"/>
        <rFont val="Times New Roman"/>
        <family val="1"/>
      </rPr>
      <t>(1)</t>
    </r>
    <r>
      <rPr>
        <sz val="12"/>
        <color indexed="8"/>
        <rFont val="標楷體"/>
        <family val="4"/>
        <charset val="136"/>
      </rPr>
      <t>欄第</t>
    </r>
    <r>
      <rPr>
        <sz val="12"/>
        <color indexed="8"/>
        <rFont val="Times New Roman"/>
        <family val="1"/>
      </rPr>
      <t>(7)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</si>
  <si>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3</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</si>
  <si>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(58)</t>
    </r>
    <r>
      <rPr>
        <sz val="12"/>
        <color indexed="8"/>
        <rFont val="標楷體"/>
        <family val="4"/>
        <charset val="136"/>
      </rPr>
      <t>列應與表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(10)</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</si>
  <si>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5</t>
    </r>
  </si>
  <si>
    <r>
      <rPr>
        <sz val="12"/>
        <color indexed="8"/>
        <rFont val="標楷體"/>
        <family val="4"/>
        <charset val="136"/>
      </rPr>
      <t>註</t>
    </r>
    <r>
      <rPr>
        <sz val="12"/>
        <color indexed="8"/>
        <rFont val="Times New Roman"/>
        <family val="1"/>
      </rPr>
      <t>6</t>
    </r>
  </si>
  <si>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</si>
  <si>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次順位公司債及次順位金融債券本身無信用評等採發行人評等計提風險資本者，調整以發行人評等降</t>
    </r>
    <r>
      <rPr>
        <sz val="12"/>
        <color indexed="8"/>
        <rFont val="Times New Roman"/>
        <family val="1"/>
      </rPr>
      <t>3</t>
    </r>
    <r>
      <rPr>
        <sz val="12"/>
        <color indexed="8"/>
        <rFont val="標楷體"/>
        <family val="4"/>
        <charset val="136"/>
      </rPr>
      <t>個評等等級計提風險資本。</t>
    </r>
    <phoneticPr fontId="7" type="noConversion"/>
  </si>
  <si>
    <r>
      <rPr>
        <sz val="12"/>
        <color indexed="8"/>
        <rFont val="標楷體"/>
        <family val="4"/>
        <charset val="136"/>
      </rPr>
      <t>表</t>
    </r>
    <r>
      <rPr>
        <sz val="12"/>
        <color indexed="8"/>
        <rFont val="Times New Roman"/>
        <family val="1"/>
      </rPr>
      <t>30-3-3</t>
    </r>
    <r>
      <rPr>
        <sz val="12"/>
        <color indexed="8"/>
        <rFont val="標楷體"/>
        <family val="4"/>
        <charset val="136"/>
      </rPr>
      <t>：組合式存款風險資本額計算表</t>
    </r>
    <phoneticPr fontId="7" type="noConversion"/>
  </si>
  <si>
    <r>
      <rPr>
        <b/>
        <sz val="12"/>
        <color indexed="8"/>
        <rFont val="標楷體"/>
        <family val="4"/>
        <charset val="136"/>
      </rPr>
      <t>資產項目</t>
    </r>
    <phoneticPr fontId="9" type="noConversion"/>
  </si>
  <si>
    <r>
      <rPr>
        <b/>
        <sz val="12"/>
        <color indexed="8"/>
        <rFont val="標楷體"/>
        <family val="4"/>
        <charset val="136"/>
      </rPr>
      <t>發行機構信用評等</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</si>
  <si>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金額</t>
    </r>
    <phoneticPr fontId="7" type="noConversion"/>
  </si>
  <si>
    <r>
      <t>(</t>
    </r>
    <r>
      <rPr>
        <b/>
        <sz val="12"/>
        <color indexed="8"/>
        <rFont val="標楷體"/>
        <family val="4"/>
        <charset val="136"/>
      </rPr>
      <t>非關係人、國內資產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</si>
  <si>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非關係人、國外資產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</si>
  <si>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風險資本額</t>
    </r>
    <phoneticPr fontId="7" type="noConversion"/>
  </si>
  <si>
    <r>
      <rPr>
        <b/>
        <sz val="12"/>
        <color indexed="8"/>
        <rFont val="標楷體"/>
        <family val="4"/>
        <charset val="136"/>
      </rPr>
      <t>具控制與從屬關係之關係人</t>
    </r>
    <phoneticPr fontId="9" type="noConversion"/>
  </si>
  <si>
    <r>
      <rPr>
        <b/>
        <sz val="12"/>
        <color indexed="8"/>
        <rFont val="標楷體"/>
        <family val="4"/>
        <charset val="136"/>
      </rPr>
      <t>非具控制與從屬關係之關係人</t>
    </r>
    <phoneticPr fontId="7" type="noConversion"/>
  </si>
  <si>
    <r>
      <rPr>
        <b/>
        <sz val="12"/>
        <color indexed="8"/>
        <rFont val="標楷體"/>
        <family val="4"/>
        <charset val="136"/>
      </rPr>
      <t>已開發國家</t>
    </r>
    <phoneticPr fontId="9" type="noConversion"/>
  </si>
  <si>
    <r>
      <rPr>
        <b/>
        <sz val="12"/>
        <color indexed="8"/>
        <rFont val="標楷體"/>
        <family val="4"/>
        <charset val="136"/>
      </rPr>
      <t>新興市場</t>
    </r>
    <phoneticPr fontId="9" type="noConversion"/>
  </si>
  <si>
    <r>
      <rPr>
        <sz val="12"/>
        <color indexed="8"/>
        <rFont val="標楷體"/>
        <family val="4"/>
        <charset val="136"/>
      </rPr>
      <t>組合式存款</t>
    </r>
    <r>
      <rPr>
        <sz val="12"/>
        <color indexed="8"/>
        <rFont val="Times New Roman"/>
        <family val="1"/>
      </rPr>
      <t>(100%</t>
    </r>
    <r>
      <rPr>
        <sz val="12"/>
        <color indexed="8"/>
        <rFont val="標楷體"/>
        <family val="4"/>
        <charset val="136"/>
      </rPr>
      <t>保本</t>
    </r>
    <r>
      <rPr>
        <sz val="12"/>
        <color indexed="8"/>
        <rFont val="Times New Roman"/>
        <family val="1"/>
      </rPr>
      <t>)</t>
    </r>
    <phoneticPr fontId="9" type="noConversion"/>
  </si>
  <si>
    <r>
      <t>100%</t>
    </r>
    <r>
      <rPr>
        <sz val="12"/>
        <color indexed="8"/>
        <rFont val="標楷體"/>
        <family val="4"/>
        <charset val="136"/>
      </rPr>
      <t>保本合計</t>
    </r>
    <phoneticPr fontId="7" type="noConversion"/>
  </si>
  <si>
    <r>
      <rPr>
        <sz val="12"/>
        <color indexed="8"/>
        <rFont val="標楷體"/>
        <family val="4"/>
        <charset val="136"/>
      </rPr>
      <t>組合式存款</t>
    </r>
    <r>
      <rPr>
        <sz val="12"/>
        <color indexed="8"/>
        <rFont val="Times New Roman"/>
        <family val="1"/>
      </rPr>
      <t>(90%</t>
    </r>
    <r>
      <rPr>
        <sz val="12"/>
        <color indexed="8"/>
        <rFont val="標楷體"/>
        <family val="4"/>
        <charset val="136"/>
      </rPr>
      <t>保本</t>
    </r>
    <r>
      <rPr>
        <sz val="12"/>
        <color indexed="8"/>
        <rFont val="Times New Roman"/>
        <family val="1"/>
      </rPr>
      <t>)</t>
    </r>
    <phoneticPr fontId="9" type="noConversion"/>
  </si>
  <si>
    <r>
      <t>90%</t>
    </r>
    <r>
      <rPr>
        <sz val="12"/>
        <color indexed="8"/>
        <rFont val="標楷體"/>
        <family val="4"/>
        <charset val="136"/>
      </rPr>
      <t>保本合計</t>
    </r>
    <phoneticPr fontId="7"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</si>
  <si>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7" type="noConversion"/>
  </si>
  <si>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</si>
  <si>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(3)</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(228)</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</si>
  <si>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(4)</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(232)</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</si>
  <si>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(5+6+7)</t>
    </r>
    <r>
      <rPr>
        <sz val="12"/>
        <color indexed="8"/>
        <rFont val="標楷體"/>
        <family val="4"/>
        <charset val="136"/>
      </rPr>
      <t>欄之合計數應與表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(236)</t>
    </r>
    <r>
      <rPr>
        <sz val="12"/>
        <color indexed="8"/>
        <rFont val="標楷體"/>
        <family val="4"/>
        <charset val="136"/>
      </rPr>
      <t>列之金額一致。</t>
    </r>
    <phoneticPr fontId="7" type="noConversion"/>
  </si>
  <si>
    <r>
      <rPr>
        <sz val="10"/>
        <color indexed="8"/>
        <rFont val="標楷體"/>
        <family val="4"/>
        <charset val="136"/>
      </rPr>
      <t>表</t>
    </r>
    <r>
      <rPr>
        <sz val="10"/>
        <color indexed="8"/>
        <rFont val="Book Antiqua"/>
        <family val="1"/>
      </rPr>
      <t>30-4</t>
    </r>
    <r>
      <rPr>
        <sz val="10"/>
        <color indexed="8"/>
        <rFont val="標楷體"/>
        <family val="4"/>
        <charset val="136"/>
      </rPr>
      <t>：</t>
    </r>
    <r>
      <rPr>
        <sz val="10"/>
        <color indexed="8"/>
        <rFont val="Book Antiqua"/>
        <family val="1"/>
      </rPr>
      <t>R2</t>
    </r>
    <r>
      <rPr>
        <sz val="10"/>
        <color indexed="8"/>
        <rFont val="標楷體"/>
        <family val="4"/>
        <charset val="136"/>
      </rPr>
      <t>：信用風險計算表</t>
    </r>
    <phoneticPr fontId="9"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</si>
  <si>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</si>
  <si>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</si>
  <si>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</si>
  <si>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2)</t>
    </r>
    <phoneticPr fontId="9" type="noConversion"/>
  </si>
  <si>
    <r>
      <rPr>
        <b/>
        <sz val="10"/>
        <color indexed="8"/>
        <rFont val="標楷體"/>
        <family val="4"/>
        <charset val="136"/>
      </rPr>
      <t>風險係數</t>
    </r>
  </si>
  <si>
    <r>
      <rPr>
        <b/>
        <sz val="10"/>
        <color indexed="8"/>
        <rFont val="標楷體"/>
        <family val="4"/>
        <charset val="136"/>
      </rPr>
      <t>風險資本額</t>
    </r>
  </si>
  <si>
    <r>
      <t xml:space="preserve"> 2.1 </t>
    </r>
    <r>
      <rPr>
        <sz val="10"/>
        <color indexed="8"/>
        <rFont val="標楷體"/>
        <family val="4"/>
        <charset val="136"/>
      </rPr>
      <t>應收保費</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</si>
  <si>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(8)</t>
    </r>
    <r>
      <rPr>
        <sz val="10"/>
        <color indexed="8"/>
        <rFont val="標楷體"/>
        <family val="4"/>
        <charset val="136"/>
      </rPr>
      <t>列</t>
    </r>
    <phoneticPr fontId="9" type="noConversion"/>
  </si>
  <si>
    <r>
      <t xml:space="preserve"> 2.2 </t>
    </r>
    <r>
      <rPr>
        <sz val="10"/>
        <color indexed="8"/>
        <rFont val="標楷體"/>
        <family val="4"/>
        <charset val="136"/>
      </rPr>
      <t>應收利息及收益</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</si>
  <si>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(10)</t>
    </r>
    <r>
      <rPr>
        <sz val="10"/>
        <color indexed="8"/>
        <rFont val="標楷體"/>
        <family val="4"/>
        <charset val="136"/>
      </rPr>
      <t>列</t>
    </r>
    <phoneticPr fontId="9" type="noConversion"/>
  </si>
  <si>
    <r>
      <t xml:space="preserve"> 2.3 </t>
    </r>
    <r>
      <rPr>
        <sz val="10"/>
        <color indexed="8"/>
        <rFont val="標楷體"/>
        <family val="4"/>
        <charset val="136"/>
      </rPr>
      <t>應收票據</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</si>
  <si>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(3)</t>
    </r>
    <r>
      <rPr>
        <sz val="10"/>
        <color indexed="8"/>
        <rFont val="標楷體"/>
        <family val="4"/>
        <charset val="136"/>
      </rPr>
      <t>列</t>
    </r>
    <phoneticPr fontId="9" type="noConversion"/>
  </si>
  <si>
    <r>
      <t xml:space="preserve"> 2.4 </t>
    </r>
    <r>
      <rPr>
        <sz val="10"/>
        <color indexed="8"/>
        <rFont val="標楷體"/>
        <family val="4"/>
        <charset val="136"/>
      </rPr>
      <t>催收款項</t>
    </r>
    <phoneticPr fontId="9" type="noConversion"/>
  </si>
  <si>
    <r>
      <t xml:space="preserve">2.4.1 </t>
    </r>
    <r>
      <rPr>
        <sz val="10"/>
        <color indexed="8"/>
        <rFont val="標楷體"/>
        <family val="4"/>
        <charset val="136"/>
      </rPr>
      <t>直接業務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</si>
  <si>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(7+9)</t>
    </r>
    <r>
      <rPr>
        <sz val="10"/>
        <color indexed="8"/>
        <rFont val="標楷體"/>
        <family val="4"/>
        <charset val="136"/>
      </rPr>
      <t>列</t>
    </r>
    <phoneticPr fontId="9" type="noConversion"/>
  </si>
  <si>
    <r>
      <t xml:space="preserve">2.4.2 </t>
    </r>
    <r>
      <rPr>
        <sz val="10"/>
        <color indexed="8"/>
        <rFont val="標楷體"/>
        <family val="4"/>
        <charset val="136"/>
      </rPr>
      <t>再保業務</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</si>
  <si>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(60+62)</t>
    </r>
    <r>
      <rPr>
        <sz val="10"/>
        <color indexed="8"/>
        <rFont val="標楷體"/>
        <family val="4"/>
        <charset val="136"/>
      </rPr>
      <t>列</t>
    </r>
    <r>
      <rPr>
        <sz val="10"/>
        <color indexed="8"/>
        <rFont val="Times New Roman"/>
        <family val="1"/>
      </rPr>
      <t xml:space="preserve"> -</t>
    </r>
    <r>
      <rPr>
        <sz val="10"/>
        <color indexed="8"/>
        <rFont val="標楷體"/>
        <family val="4"/>
        <charset val="136"/>
      </rPr>
      <t>「表</t>
    </r>
    <r>
      <rPr>
        <sz val="10"/>
        <color indexed="8"/>
        <rFont val="Times New Roman"/>
        <family val="1"/>
      </rPr>
      <t>19-4</t>
    </r>
    <r>
      <rPr>
        <sz val="10"/>
        <color indexed="8"/>
        <rFont val="標楷體"/>
        <family val="4"/>
        <charset val="136"/>
      </rPr>
      <t>：再保險資產－再保人別」第</t>
    </r>
    <r>
      <rPr>
        <sz val="10"/>
        <color indexed="8"/>
        <rFont val="Times New Roman"/>
        <family val="1"/>
      </rPr>
      <t>(14)</t>
    </r>
    <r>
      <rPr>
        <sz val="10"/>
        <color indexed="8"/>
        <rFont val="標楷體"/>
        <family val="4"/>
        <charset val="136"/>
      </rPr>
      <t>欄合計列</t>
    </r>
    <phoneticPr fontId="9" type="noConversion"/>
  </si>
  <si>
    <r>
      <t xml:space="preserve">2.4.2 </t>
    </r>
    <r>
      <rPr>
        <sz val="10"/>
        <color indexed="8"/>
        <rFont val="標楷體"/>
        <family val="4"/>
        <charset val="136"/>
      </rPr>
      <t>其他業務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</si>
  <si>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(11+13)</t>
    </r>
    <r>
      <rPr>
        <sz val="10"/>
        <color indexed="8"/>
        <rFont val="標楷體"/>
        <family val="4"/>
        <charset val="136"/>
      </rPr>
      <t>列</t>
    </r>
    <phoneticPr fontId="9" type="noConversion"/>
  </si>
  <si>
    <r>
      <t xml:space="preserve"> 2.5 </t>
    </r>
    <r>
      <rPr>
        <sz val="10"/>
        <color indexed="8"/>
        <rFont val="標楷體"/>
        <family val="4"/>
        <charset val="136"/>
      </rPr>
      <t>其他應收款項</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</si>
  <si>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(12+14)</t>
    </r>
    <r>
      <rPr>
        <sz val="10"/>
        <color indexed="8"/>
        <rFont val="標楷體"/>
        <family val="4"/>
        <charset val="136"/>
      </rPr>
      <t>列</t>
    </r>
    <phoneticPr fontId="7" type="noConversion"/>
  </si>
  <si>
    <r>
      <t xml:space="preserve"> 2.6 </t>
    </r>
    <r>
      <rPr>
        <sz val="10"/>
        <color indexed="8"/>
        <rFont val="標楷體"/>
        <family val="4"/>
        <charset val="136"/>
      </rPr>
      <t>再保險資產</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</si>
  <si>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phoneticPr fontId="7" type="noConversion"/>
  </si>
  <si>
    <r>
      <rPr>
        <b/>
        <sz val="10"/>
        <color indexed="8"/>
        <rFont val="標楷體"/>
        <family val="4"/>
        <charset val="136"/>
      </rPr>
      <t>《信用風險》總計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</si>
  <si>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</si>
  <si>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註</t>
    </r>
    <r>
      <rPr>
        <sz val="10"/>
        <color indexed="8"/>
        <rFont val="Times New Roman"/>
        <family val="1"/>
      </rPr>
      <t>2</t>
    </r>
    <r>
      <rPr>
        <sz val="10"/>
        <color indexed="8"/>
        <rFont val="標楷體"/>
        <family val="4"/>
        <charset val="136"/>
      </rPr>
      <t>：「</t>
    </r>
    <r>
      <rPr>
        <sz val="10"/>
        <color indexed="8"/>
        <rFont val="Times New Roman"/>
        <family val="1"/>
      </rPr>
      <t xml:space="preserve">2.4.2 </t>
    </r>
    <r>
      <rPr>
        <sz val="10"/>
        <color indexed="8"/>
        <rFont val="標楷體"/>
        <family val="4"/>
        <charset val="136"/>
      </rPr>
      <t>催收款項－再保業務」不包含因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</si>
  <si>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t>
    </r>
    <r>
      <rPr>
        <sz val="10"/>
        <color indexed="8"/>
        <rFont val="Times New Roman"/>
        <family val="1"/>
      </rPr>
      <t xml:space="preserve">2.6 </t>
    </r>
    <r>
      <rPr>
        <sz val="10"/>
        <color indexed="8"/>
        <rFont val="標楷體"/>
        <family val="4"/>
        <charset val="136"/>
      </rPr>
      <t>再保險資產」應依再保人信用評等計入因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</si>
  <si>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t>
    </r>
    <phoneticPr fontId="7" type="noConversion"/>
  </si>
  <si>
    <r>
      <rPr>
        <sz val="10"/>
        <color indexed="8"/>
        <rFont val="標楷體"/>
        <family val="4"/>
        <charset val="136"/>
      </rPr>
      <t>列號</t>
    </r>
    <phoneticPr fontId="9" type="noConversion"/>
  </si>
  <si>
    <r>
      <rPr>
        <sz val="10"/>
        <color indexed="8"/>
        <rFont val="標楷體"/>
        <family val="4"/>
        <charset val="136"/>
      </rPr>
      <t>發行機構信用評等</t>
    </r>
    <phoneticPr fontId="9" type="noConversion"/>
  </si>
  <si>
    <r>
      <rPr>
        <sz val="10"/>
        <color indexed="8"/>
        <rFont val="標楷體"/>
        <family val="4"/>
        <charset val="136"/>
      </rPr>
      <t xml:space="preserve">應列入本表計算風險資本額之再保險資產
</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</si>
  <si>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風險係數</t>
    </r>
    <phoneticPr fontId="9" type="noConversion"/>
  </si>
  <si>
    <r>
      <rPr>
        <sz val="10"/>
        <color indexed="8"/>
        <rFont val="標楷體"/>
        <family val="4"/>
        <charset val="136"/>
      </rPr>
      <t>再保險資產風險資本額</t>
    </r>
    <phoneticPr fontId="9"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</si>
  <si>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</si>
  <si>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註：</t>
    </r>
    <phoneticPr fontId="9" type="noConversion"/>
  </si>
  <si>
    <r>
      <rPr>
        <sz val="10"/>
        <color indexed="8"/>
        <rFont val="標楷體"/>
        <family val="4"/>
        <charset val="136"/>
      </rPr>
      <t>請按表</t>
    </r>
    <r>
      <rPr>
        <sz val="10"/>
        <color indexed="8"/>
        <rFont val="Times New Roman"/>
        <family val="1"/>
      </rPr>
      <t>19-4</t>
    </r>
    <r>
      <rPr>
        <sz val="10"/>
        <color indexed="8"/>
        <rFont val="標楷體"/>
        <family val="4"/>
        <charset val="136"/>
      </rPr>
      <t>第</t>
    </r>
    <r>
      <rPr>
        <sz val="10"/>
        <color indexed="8"/>
        <rFont val="Times New Roman"/>
        <family val="1"/>
      </rPr>
      <t>(13)</t>
    </r>
    <r>
      <rPr>
        <sz val="10"/>
        <color indexed="8"/>
        <rFont val="標楷體"/>
        <family val="4"/>
        <charset val="136"/>
      </rPr>
      <t>欄合計數依再保險人別的信用評等予以分類，並請依規定扣除催收款及非許認資產後之金額填列</t>
    </r>
    <r>
      <rPr>
        <sz val="10"/>
        <color indexed="8"/>
        <rFont val="Times New Roman"/>
        <family val="1"/>
      </rPr>
      <t>(</t>
    </r>
    <r>
      <rPr>
        <sz val="10"/>
        <color indexed="8"/>
        <rFont val="標楷體"/>
        <family val="4"/>
        <charset val="136"/>
      </rPr>
      <t>前述扣除金額如因主管機關另有規定而未列為非認許資產者，則不予扣除</t>
    </r>
    <r>
      <rPr>
        <sz val="10"/>
        <color indexed="8"/>
        <rFont val="Times New Roman"/>
        <family val="1"/>
      </rPr>
      <t>)</t>
    </r>
    <r>
      <rPr>
        <sz val="10"/>
        <color indexed="8"/>
        <rFont val="標楷體"/>
        <family val="4"/>
        <charset val="136"/>
      </rPr>
      <t>，</t>
    </r>
    <phoneticPr fontId="9" type="noConversion"/>
  </si>
  <si>
    <r>
      <rPr>
        <sz val="10"/>
        <color indexed="8"/>
        <rFont val="標楷體"/>
        <family val="4"/>
        <charset val="136"/>
      </rPr>
      <t>分出保費不足及分出負債適足準備項目，若無法拆分至各再保險人時，指定為最差信評等級</t>
    </r>
    <r>
      <rPr>
        <sz val="10"/>
        <color indexed="8"/>
        <rFont val="Book Antiqua"/>
        <family val="1"/>
      </rPr>
      <t>(</t>
    </r>
    <r>
      <rPr>
        <sz val="10"/>
        <color indexed="8"/>
        <rFont val="標楷體"/>
        <family val="4"/>
        <charset val="136"/>
      </rPr>
      <t>投資等級</t>
    </r>
    <r>
      <rPr>
        <sz val="10"/>
        <color indexed="8"/>
        <rFont val="Book Antiqua"/>
        <family val="1"/>
      </rPr>
      <t>Baa)</t>
    </r>
    <r>
      <rPr>
        <sz val="10"/>
        <color indexed="8"/>
        <rFont val="標楷體"/>
        <family val="4"/>
        <charset val="136"/>
      </rPr>
      <t>，</t>
    </r>
    <phoneticPr fontId="9" type="noConversion"/>
  </si>
  <si>
    <r>
      <rPr>
        <sz val="10"/>
        <color indexed="8"/>
        <rFont val="標楷體"/>
        <family val="4"/>
        <charset val="136"/>
      </rPr>
      <t>或按已有的各信用評等分配之比例予以拆分。</t>
    </r>
    <phoneticPr fontId="7" type="noConversion"/>
  </si>
  <si>
    <r>
      <rPr>
        <sz val="10"/>
        <color indexed="8"/>
        <rFont val="標楷體"/>
        <family val="4"/>
        <charset val="136"/>
      </rPr>
      <t>若再保險人為國內共保組織請分別依下列信用評等級予以填列：</t>
    </r>
    <phoneticPr fontId="9" type="noConversion"/>
  </si>
  <si>
    <r>
      <t>(1)</t>
    </r>
    <r>
      <rPr>
        <sz val="10"/>
        <color indexed="8"/>
        <rFont val="標楷體"/>
        <family val="4"/>
        <charset val="136"/>
      </rPr>
      <t>住宅地震保險共保</t>
    </r>
    <r>
      <rPr>
        <sz val="10"/>
        <color indexed="8"/>
        <rFont val="Book Antiqua"/>
        <family val="1"/>
      </rPr>
      <t>--&gt;Aaa</t>
    </r>
    <r>
      <rPr>
        <sz val="10"/>
        <color indexed="8"/>
        <rFont val="標楷體"/>
        <family val="4"/>
        <charset val="136"/>
      </rPr>
      <t>、</t>
    </r>
    <r>
      <rPr>
        <sz val="10"/>
        <color indexed="8"/>
        <rFont val="Book Antiqua"/>
        <family val="1"/>
      </rPr>
      <t>(2)</t>
    </r>
    <r>
      <rPr>
        <sz val="10"/>
        <color indexed="8"/>
        <rFont val="標楷體"/>
        <family val="4"/>
        <charset val="136"/>
      </rPr>
      <t>強制汽車責任保險共保</t>
    </r>
    <r>
      <rPr>
        <sz val="10"/>
        <color indexed="8"/>
        <rFont val="Book Antiqua"/>
        <family val="1"/>
      </rPr>
      <t>--&gt;Aa</t>
    </r>
    <r>
      <rPr>
        <sz val="10"/>
        <color indexed="8"/>
        <rFont val="標楷體"/>
        <family val="4"/>
        <charset val="136"/>
      </rPr>
      <t>、</t>
    </r>
    <r>
      <rPr>
        <sz val="10"/>
        <color indexed="8"/>
        <rFont val="Book Antiqua"/>
        <family val="1"/>
      </rPr>
      <t>(3)</t>
    </r>
    <r>
      <rPr>
        <sz val="10"/>
        <color indexed="8"/>
        <rFont val="標楷體"/>
        <family val="4"/>
        <charset val="136"/>
      </rPr>
      <t>其他</t>
    </r>
    <r>
      <rPr>
        <sz val="10"/>
        <color indexed="8"/>
        <rFont val="Book Antiqua"/>
        <family val="1"/>
      </rPr>
      <t>--&gt;A</t>
    </r>
    <r>
      <rPr>
        <sz val="10"/>
        <color indexed="8"/>
        <rFont val="標楷體"/>
        <family val="4"/>
        <charset val="136"/>
      </rPr>
      <t>。</t>
    </r>
    <phoneticPr fontId="7" type="noConversion"/>
  </si>
  <si>
    <r>
      <rPr>
        <sz val="10"/>
        <color indexed="8"/>
        <rFont val="標楷體"/>
        <family val="4"/>
        <charset val="136"/>
      </rPr>
      <t>若再保險人為國內依法設立之保險公司且未有信用評等者，請依該再保險人最近一期已公告之</t>
    </r>
    <r>
      <rPr>
        <sz val="10"/>
        <color indexed="8"/>
        <rFont val="Book Antiqua"/>
        <family val="1"/>
      </rPr>
      <t>RBC</t>
    </r>
    <r>
      <rPr>
        <sz val="10"/>
        <color indexed="8"/>
        <rFont val="標楷體"/>
        <family val="4"/>
        <charset val="136"/>
      </rPr>
      <t>比率等級予以填列：</t>
    </r>
    <phoneticPr fontId="9" type="noConversion"/>
  </si>
  <si>
    <r>
      <t xml:space="preserve">RBC </t>
    </r>
    <r>
      <rPr>
        <sz val="10"/>
        <color indexed="8"/>
        <rFont val="標楷體"/>
        <family val="4"/>
        <charset val="136"/>
      </rPr>
      <t>比率</t>
    </r>
  </si>
  <si>
    <r>
      <rPr>
        <sz val="10"/>
        <color indexed="8"/>
        <rFont val="標楷體"/>
        <family val="4"/>
        <charset val="136"/>
      </rPr>
      <t>風險係數</t>
    </r>
  </si>
  <si>
    <r>
      <rPr>
        <sz val="10"/>
        <color indexed="8"/>
        <rFont val="標楷體"/>
        <family val="4"/>
        <charset val="136"/>
      </rPr>
      <t>百分之三百以上</t>
    </r>
  </si>
  <si>
    <r>
      <rPr>
        <sz val="10"/>
        <color indexed="8"/>
        <rFont val="標楷體"/>
        <family val="4"/>
        <charset val="136"/>
      </rPr>
      <t>百分之二百以上，未達百分之三百</t>
    </r>
  </si>
  <si>
    <r>
      <rPr>
        <sz val="10"/>
        <color indexed="8"/>
        <rFont val="標楷體"/>
        <family val="4"/>
        <charset val="136"/>
      </rPr>
      <t>未達百分之二百</t>
    </r>
  </si>
  <si>
    <r>
      <rPr>
        <sz val="10"/>
        <color indexed="8"/>
        <rFont val="標楷體"/>
        <family val="4"/>
        <charset val="136"/>
      </rPr>
      <t>負值</t>
    </r>
  </si>
  <si>
    <r>
      <rPr>
        <sz val="10"/>
        <color indexed="8"/>
        <rFont val="標楷體"/>
        <family val="4"/>
        <charset val="136"/>
      </rPr>
      <t>本欄應依再保人信用評等計入因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</si>
  <si>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t>本表包含SPV國外籌資事業發行具資本性質債券所得之資金，其資金運用所投資之資產。公司應依該資金運用投資之項目類別填列於本表中。</t>
    <phoneticPr fontId="7" type="noConversion"/>
  </si>
  <si>
    <t>29-1</t>
    <phoneticPr fontId="9" type="noConversion"/>
  </si>
  <si>
    <t>國外籌資事業</t>
  </si>
  <si>
    <t>19</t>
    <phoneticPr fontId="7" type="noConversion"/>
  </si>
  <si>
    <t>10</t>
    <phoneticPr fontId="7" type="noConversion"/>
  </si>
  <si>
    <r>
      <rPr>
        <b/>
        <sz val="12"/>
        <color indexed="8"/>
        <rFont val="標楷體"/>
        <family val="4"/>
        <charset val="136"/>
      </rPr>
      <t>項目</t>
    </r>
    <phoneticPr fontId="9" type="noConversion"/>
  </si>
  <si>
    <r>
      <rPr>
        <b/>
        <sz val="12"/>
        <color indexed="8"/>
        <rFont val="標楷體"/>
        <family val="4"/>
        <charset val="136"/>
      </rPr>
      <t>資料來源</t>
    </r>
    <phoneticPr fontId="9" type="noConversion"/>
  </si>
  <si>
    <r>
      <rPr>
        <b/>
        <sz val="12"/>
        <color indexed="8"/>
        <rFont val="標楷體"/>
        <family val="4"/>
        <charset val="136"/>
      </rPr>
      <t>金額</t>
    </r>
    <phoneticPr fontId="9" type="noConversion"/>
  </si>
  <si>
    <r>
      <rPr>
        <b/>
        <sz val="12"/>
        <color indexed="8"/>
        <rFont val="標楷體"/>
        <family val="4"/>
        <charset val="136"/>
      </rPr>
      <t>比例</t>
    </r>
    <phoneticPr fontId="9" type="noConversion"/>
  </si>
  <si>
    <r>
      <rPr>
        <b/>
        <sz val="12"/>
        <color indexed="8"/>
        <rFont val="標楷體"/>
        <family val="4"/>
        <charset val="136"/>
      </rPr>
      <t>限額</t>
    </r>
  </si>
  <si>
    <r>
      <rPr>
        <sz val="12"/>
        <color indexed="8"/>
        <rFont val="標楷體"/>
        <family val="4"/>
        <charset val="136"/>
      </rPr>
      <t>風險資本總額</t>
    </r>
    <phoneticPr fontId="9" type="noConversion"/>
  </si>
  <si>
    <r>
      <rPr>
        <sz val="12"/>
        <color indexed="8"/>
        <rFont val="標楷體"/>
        <family val="4"/>
        <charset val="136"/>
      </rPr>
      <t>「表</t>
    </r>
    <r>
      <rPr>
        <sz val="12"/>
        <color indexed="8"/>
        <rFont val="Times New Roman"/>
        <family val="1"/>
      </rPr>
      <t>30-1</t>
    </r>
    <r>
      <rPr>
        <sz val="12"/>
        <color indexed="8"/>
        <rFont val="標楷體"/>
        <family val="4"/>
        <charset val="136"/>
      </rPr>
      <t>」風險資本總額</t>
    </r>
    <phoneticPr fontId="9" type="noConversion"/>
  </si>
  <si>
    <r>
      <rPr>
        <sz val="12"/>
        <color indexed="8"/>
        <rFont val="標楷體"/>
        <family val="4"/>
        <charset val="136"/>
      </rPr>
      <t>第一類限制性資本</t>
    </r>
    <r>
      <rPr>
        <sz val="12"/>
        <color indexed="8"/>
        <rFont val="Times New Roman"/>
        <family val="1"/>
      </rPr>
      <t>(T1L)</t>
    </r>
    <phoneticPr fontId="7" type="noConversion"/>
  </si>
  <si>
    <r>
      <rPr>
        <sz val="12"/>
        <color indexed="8"/>
        <rFont val="標楷體"/>
        <family val="4"/>
        <charset val="136"/>
      </rPr>
      <t>風險資本總額</t>
    </r>
    <r>
      <rPr>
        <sz val="12"/>
        <color indexed="8"/>
        <rFont val="Times New Roman"/>
        <family val="1"/>
      </rPr>
      <t>*20%</t>
    </r>
    <phoneticPr fontId="7" type="noConversion"/>
  </si>
  <si>
    <r>
      <rPr>
        <sz val="12"/>
        <color indexed="8"/>
        <rFont val="標楷體"/>
        <family val="4"/>
        <charset val="136"/>
      </rPr>
      <t>第二類資本</t>
    </r>
    <r>
      <rPr>
        <sz val="12"/>
        <color indexed="8"/>
        <rFont val="Times New Roman"/>
        <family val="1"/>
      </rPr>
      <t>(T2)</t>
    </r>
    <phoneticPr fontId="7" type="noConversion"/>
  </si>
  <si>
    <r>
      <rPr>
        <sz val="12"/>
        <color indexed="8"/>
        <rFont val="標楷體"/>
        <family val="4"/>
        <charset val="136"/>
      </rPr>
      <t>風險資本總額</t>
    </r>
    <r>
      <rPr>
        <sz val="12"/>
        <color indexed="8"/>
        <rFont val="Times New Roman"/>
        <family val="1"/>
      </rPr>
      <t>*100%</t>
    </r>
    <phoneticPr fontId="7" type="noConversion"/>
  </si>
  <si>
    <r>
      <rPr>
        <sz val="12"/>
        <color indexed="8"/>
        <rFont val="標楷體"/>
        <family val="4"/>
        <charset val="136"/>
      </rPr>
      <t>未上市櫃股票投資未實現評價利益</t>
    </r>
    <phoneticPr fontId="12"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</si>
  <si>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</si>
  <si>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rPr>
        <sz val="12"/>
        <color indexed="8"/>
        <rFont val="標楷體"/>
        <family val="4"/>
        <charset val="136"/>
      </rPr>
      <t>權益投資相關調整</t>
    </r>
    <phoneticPr fontId="7" type="noConversion"/>
  </si>
  <si>
    <r>
      <rPr>
        <sz val="12"/>
        <color indexed="8"/>
        <rFont val="標楷體"/>
        <family val="4"/>
        <charset val="136"/>
      </rPr>
      <t>「表</t>
    </r>
    <r>
      <rPr>
        <sz val="12"/>
        <color indexed="8"/>
        <rFont val="Times New Roman"/>
        <family val="1"/>
      </rPr>
      <t>25-1</t>
    </r>
    <r>
      <rPr>
        <sz val="12"/>
        <color indexed="8"/>
        <rFont val="標楷體"/>
        <family val="4"/>
        <charset val="136"/>
      </rPr>
      <t>：重大事故特別準備金明細表」第</t>
    </r>
    <r>
      <rPr>
        <sz val="12"/>
        <color indexed="8"/>
        <rFont val="Times New Roman"/>
        <family val="1"/>
      </rPr>
      <t>(17)</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</si>
  <si>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投資於屬實質互相投資之具資本性質債券及負債型特別股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</si>
  <si>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</si>
  <si>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rPr>
        <sz val="12"/>
        <color indexed="8"/>
        <rFont val="標楷體"/>
        <family val="4"/>
        <charset val="136"/>
      </rPr>
      <t>投資於非屬實質互相投資之具資本性質債券及負債型特別股合計超過淨值</t>
    </r>
    <r>
      <rPr>
        <sz val="12"/>
        <color indexed="8"/>
        <rFont val="Times New Roman"/>
        <family val="1"/>
      </rPr>
      <t>10%</t>
    </r>
    <r>
      <rPr>
        <sz val="12"/>
        <color indexed="8"/>
        <rFont val="標楷體"/>
        <family val="4"/>
        <charset val="136"/>
      </rPr>
      <t>金額</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</si>
  <si>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(23)</t>
    </r>
    <r>
      <rPr>
        <sz val="12"/>
        <color indexed="8"/>
        <rFont val="標楷體"/>
        <family val="4"/>
        <charset val="136"/>
      </rPr>
      <t>列</t>
    </r>
    <phoneticPr fontId="9" type="noConversion"/>
  </si>
  <si>
    <r>
      <rPr>
        <sz val="12"/>
        <color indexed="8"/>
        <rFont val="標楷體"/>
        <family val="4"/>
        <charset val="136"/>
      </rPr>
      <t>投資於關係人且屬於國外保險相關事業其該公司之法定資本不足數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</si>
  <si>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(7)</t>
    </r>
    <r>
      <rPr>
        <sz val="12"/>
        <color indexed="8"/>
        <rFont val="標楷體"/>
        <family val="4"/>
        <charset val="136"/>
      </rPr>
      <t>欄第</t>
    </r>
    <r>
      <rPr>
        <sz val="12"/>
        <color indexed="8"/>
        <rFont val="Times New Roman"/>
        <family val="1"/>
      </rPr>
      <t>(17)</t>
    </r>
    <r>
      <rPr>
        <sz val="12"/>
        <color indexed="8"/>
        <rFont val="標楷體"/>
        <family val="4"/>
        <charset val="136"/>
      </rPr>
      <t>列</t>
    </r>
    <phoneticPr fontId="9" type="noConversion"/>
  </si>
  <si>
    <r>
      <rPr>
        <sz val="12"/>
        <color indexed="8"/>
        <rFont val="標楷體"/>
        <family val="4"/>
        <charset val="136"/>
      </rPr>
      <t>特別盈餘公積</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</si>
  <si>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7" type="noConversion"/>
  </si>
  <si>
    <r>
      <t>113.1.1</t>
    </r>
    <r>
      <rPr>
        <sz val="12"/>
        <color indexed="8"/>
        <rFont val="標楷體"/>
        <family val="4"/>
        <charset val="136"/>
      </rPr>
      <t>起，投資於關係人且屬於國外保險相關事業</t>
    </r>
    <r>
      <rPr>
        <sz val="12"/>
        <color indexed="8"/>
        <rFont val="Times New Roman"/>
        <family val="1"/>
      </rPr>
      <t>_</t>
    </r>
    <r>
      <rPr>
        <sz val="12"/>
        <color indexed="8"/>
        <rFont val="標楷體"/>
        <family val="4"/>
        <charset val="136"/>
      </rPr>
      <t>評價日帳面金額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</si>
  <si>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</si>
  <si>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</si>
  <si>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</si>
  <si>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t>
    </r>
    <phoneticPr fontId="7" type="noConversion"/>
  </si>
  <si>
    <r>
      <rPr>
        <sz val="12"/>
        <color indexed="8"/>
        <rFont val="標楷體"/>
        <family val="4"/>
        <charset val="136"/>
      </rPr>
      <t>「第一類非限制性資本」合計</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</si>
  <si>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</si>
  <si>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</si>
  <si>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</si>
  <si>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</si>
  <si>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T1L</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</si>
  <si>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</si>
  <si>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</si>
  <si>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</si>
  <si>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</si>
  <si>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</si>
  <si>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</si>
  <si>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不受限制</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</si>
  <si>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受限制</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</si>
  <si>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</si>
  <si>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</si>
  <si>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</si>
  <si>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</si>
  <si>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負債型特別股：為累積或有利率加碼條件或其他提前贖回之誘因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</si>
  <si>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</si>
  <si>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具資本性資債券：為累積或有利率加碼條件或其他提前贖回之誘因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</si>
  <si>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</si>
  <si>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發行期限不低於五年且在十年以內之可轉換次順位債券</t>
    </r>
  </si>
  <si>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：發行具資本性質債券明細表」的「發行期限不低於五年且在十年以內之可轉換次順位債券」第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</si>
  <si>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「第一類限制性資本」因限額排除數</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</si>
  <si>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</si>
  <si>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</si>
  <si>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</si>
  <si>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</si>
  <si>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</si>
  <si>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T2</t>
    </r>
    <r>
      <rPr>
        <sz val="12"/>
        <color indexed="8"/>
        <rFont val="標楷體"/>
        <family val="4"/>
        <charset val="136"/>
      </rPr>
      <t>扣除</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</si>
  <si>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</si>
  <si>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</si>
  <si>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因限額排除數</t>
    </r>
    <phoneticPr fontId="7" type="noConversion"/>
  </si>
  <si>
    <r>
      <rPr>
        <sz val="12"/>
        <color indexed="8"/>
        <rFont val="標楷體"/>
        <family val="4"/>
        <charset val="136"/>
      </rPr>
      <t>《調整後自有資本》總計</t>
    </r>
    <phoneticPr fontId="7" type="noConversion"/>
  </si>
  <si>
    <r>
      <rPr>
        <b/>
        <sz val="12"/>
        <color indexed="8"/>
        <rFont val="標楷體"/>
        <family val="4"/>
        <charset val="136"/>
      </rPr>
      <t>不動產增值利益相關項目</t>
    </r>
    <phoneticPr fontId="7" type="noConversion"/>
  </si>
  <si>
    <r>
      <rPr>
        <b/>
        <sz val="12"/>
        <color indexed="8"/>
        <rFont val="標楷體"/>
        <family val="4"/>
        <charset val="136"/>
      </rPr>
      <t>不動產增值利益相關計入</t>
    </r>
    <r>
      <rPr>
        <b/>
        <sz val="12"/>
        <color indexed="8"/>
        <rFont val="Times New Roman"/>
        <family val="1"/>
      </rPr>
      <t>T2</t>
    </r>
    <r>
      <rPr>
        <b/>
        <sz val="12"/>
        <color indexed="8"/>
        <rFont val="標楷體"/>
        <family val="4"/>
        <charset val="136"/>
      </rPr>
      <t>受限制比例</t>
    </r>
    <phoneticPr fontId="7" type="noConversion"/>
  </si>
  <si>
    <r>
      <rPr>
        <b/>
        <sz val="12"/>
        <color indexed="8"/>
        <rFont val="標楷體"/>
        <family val="4"/>
        <charset val="136"/>
      </rPr>
      <t>項目</t>
    </r>
    <phoneticPr fontId="7" type="noConversion"/>
  </si>
  <si>
    <r>
      <rPr>
        <sz val="12"/>
        <color indexed="8"/>
        <rFont val="標楷體"/>
        <family val="4"/>
        <charset val="136"/>
      </rPr>
      <t>評價年</t>
    </r>
    <phoneticPr fontId="7" type="noConversion"/>
  </si>
  <si>
    <r>
      <rPr>
        <sz val="12"/>
        <color indexed="8"/>
        <rFont val="標楷體"/>
        <family val="4"/>
        <charset val="136"/>
      </rPr>
      <t>不動產投資評價調整數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</si>
  <si>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(3)</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</si>
  <si>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</si>
  <si>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(1)</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</si>
  <si>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</si>
  <si>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不動產增值利益相關金額合計</t>
    </r>
    <phoneticPr fontId="7" type="noConversion"/>
  </si>
  <si>
    <r>
      <rPr>
        <sz val="10"/>
        <color indexed="8"/>
        <rFont val="標楷體"/>
        <family val="4"/>
        <charset val="136"/>
      </rPr>
      <t>特別準備</t>
    </r>
    <r>
      <rPr>
        <sz val="10"/>
        <color indexed="8"/>
        <rFont val="Times New Roman"/>
        <family val="1"/>
      </rPr>
      <t>(</t>
    </r>
    <r>
      <rPr>
        <sz val="10"/>
        <color indexed="8"/>
        <rFont val="標楷體"/>
        <family val="4"/>
        <charset val="136"/>
      </rPr>
      <t>負債</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1)</t>
    </r>
    <phoneticPr fontId="9" type="noConversion"/>
  </si>
  <si>
    <r>
      <rPr>
        <sz val="10"/>
        <color indexed="8"/>
        <rFont val="標楷體"/>
        <family val="4"/>
        <charset val="136"/>
      </rPr>
      <t>特別盈餘公積</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2)</t>
    </r>
    <phoneticPr fontId="9" type="noConversion"/>
  </si>
  <si>
    <r>
      <rPr>
        <sz val="10"/>
        <color indexed="8"/>
        <rFont val="標楷體"/>
        <family val="4"/>
        <charset val="136"/>
      </rPr>
      <t>不動產種類</t>
    </r>
    <phoneticPr fontId="9" type="noConversion"/>
  </si>
  <si>
    <r>
      <rPr>
        <sz val="10"/>
        <color indexed="8"/>
        <rFont val="標楷體"/>
        <family val="4"/>
        <charset val="136"/>
      </rPr>
      <t>國內投資用不動產總計</t>
    </r>
    <phoneticPr fontId="9" type="noConversion"/>
  </si>
  <si>
    <r>
      <rPr>
        <sz val="10"/>
        <color indexed="8"/>
        <rFont val="標楷體"/>
        <family val="4"/>
        <charset val="136"/>
      </rPr>
      <t>投資用不動產投資</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</si>
  <si>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</si>
  <si>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9" type="noConversion"/>
  </si>
  <si>
    <r>
      <rPr>
        <sz val="10"/>
        <color indexed="8"/>
        <rFont val="標楷體"/>
        <family val="4"/>
        <charset val="136"/>
      </rPr>
      <t>小計</t>
    </r>
  </si>
  <si>
    <r>
      <rPr>
        <sz val="10"/>
        <color indexed="8"/>
        <rFont val="標楷體"/>
        <family val="4"/>
        <charset val="136"/>
      </rPr>
      <t>國外投資總計</t>
    </r>
    <phoneticPr fontId="9" type="noConversion"/>
  </si>
  <si>
    <r>
      <rPr>
        <sz val="10"/>
        <color indexed="8"/>
        <rFont val="標楷體"/>
        <family val="4"/>
        <charset val="136"/>
      </rPr>
      <t>五年內取自關係人之不動產總計</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</si>
  <si>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</si>
  <si>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</si>
  <si>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</si>
  <si>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</si>
  <si>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小計</t>
    </r>
    <phoneticPr fontId="9" type="noConversion"/>
  </si>
  <si>
    <r>
      <rPr>
        <sz val="10"/>
        <color indexed="8"/>
        <rFont val="標楷體"/>
        <family val="4"/>
        <charset val="136"/>
      </rPr>
      <t>投資用不動產合計</t>
    </r>
  </si>
  <si>
    <r>
      <rPr>
        <sz val="10"/>
        <color indexed="8"/>
        <rFont val="標楷體"/>
        <family val="4"/>
        <charset val="136"/>
      </rPr>
      <t>項</t>
    </r>
    <r>
      <rPr>
        <sz val="10"/>
        <color indexed="8"/>
        <rFont val="Book Antiqua"/>
        <family val="1"/>
      </rPr>
      <t xml:space="preserve"> </t>
    </r>
    <r>
      <rPr>
        <sz val="10"/>
        <color indexed="8"/>
        <rFont val="標楷體"/>
        <family val="4"/>
        <charset val="136"/>
      </rPr>
      <t>目</t>
    </r>
    <phoneticPr fontId="7" type="noConversion"/>
  </si>
  <si>
    <r>
      <rPr>
        <sz val="10"/>
        <color indexed="8"/>
        <rFont val="標楷體"/>
        <family val="4"/>
        <charset val="136"/>
      </rPr>
      <t>金</t>
    </r>
    <r>
      <rPr>
        <sz val="10"/>
        <color indexed="8"/>
        <rFont val="Times New Roman"/>
        <family val="1"/>
      </rPr>
      <t xml:space="preserve"> </t>
    </r>
    <r>
      <rPr>
        <sz val="10"/>
        <color indexed="8"/>
        <rFont val="標楷體"/>
        <family val="4"/>
        <charset val="136"/>
      </rPr>
      <t xml:space="preserve">額
</t>
    </r>
    <r>
      <rPr>
        <sz val="10"/>
        <color indexed="8"/>
        <rFont val="Times New Roman"/>
        <family val="1"/>
      </rPr>
      <t>(7)</t>
    </r>
    <phoneticPr fontId="7"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</si>
  <si>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</si>
  <si>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次發行公司債（原始發行金額</t>
    </r>
    <r>
      <rPr>
        <sz val="12"/>
        <color indexed="8"/>
        <rFont val="Times New Roman"/>
        <family val="1"/>
      </rPr>
      <t xml:space="preserve"> __________ </t>
    </r>
    <r>
      <rPr>
        <sz val="12"/>
        <color indexed="8"/>
        <rFont val="標楷體"/>
        <family val="4"/>
        <charset val="136"/>
      </rPr>
      <t>）</t>
    </r>
    <phoneticPr fontId="7" type="noConversion"/>
  </si>
  <si>
    <r>
      <rPr>
        <sz val="12"/>
        <color indexed="8"/>
        <rFont val="標楷體"/>
        <family val="4"/>
        <charset val="136"/>
      </rPr>
      <t>單位：新台幣元</t>
    </r>
    <r>
      <rPr>
        <sz val="12"/>
        <color indexed="8"/>
        <rFont val="Times New Roman"/>
        <family val="1"/>
      </rPr>
      <t>, %</t>
    </r>
    <phoneticPr fontId="7" type="noConversion"/>
  </si>
  <si>
    <r>
      <rPr>
        <b/>
        <sz val="12"/>
        <color indexed="8"/>
        <rFont val="標楷體"/>
        <family val="4"/>
        <charset val="136"/>
      </rPr>
      <t>債權人名稱</t>
    </r>
    <phoneticPr fontId="9" type="noConversion"/>
  </si>
  <si>
    <r>
      <rPr>
        <b/>
        <sz val="12"/>
        <color indexed="8"/>
        <rFont val="標楷體"/>
        <family val="4"/>
        <charset val="136"/>
      </rPr>
      <t>與本公司關係</t>
    </r>
    <phoneticPr fontId="9" type="noConversion"/>
  </si>
  <si>
    <r>
      <rPr>
        <b/>
        <sz val="12"/>
        <color indexed="8"/>
        <rFont val="標楷體"/>
        <family val="4"/>
        <charset val="136"/>
      </rPr>
      <t>是否為保險業實質互相投資</t>
    </r>
    <phoneticPr fontId="9" type="noConversion"/>
  </si>
  <si>
    <r>
      <rPr>
        <b/>
        <sz val="12"/>
        <color indexed="8"/>
        <rFont val="標楷體"/>
        <family val="4"/>
        <charset val="136"/>
      </rPr>
      <t>募集方式</t>
    </r>
    <phoneticPr fontId="9" type="noConversion"/>
  </si>
  <si>
    <r>
      <rPr>
        <b/>
        <sz val="12"/>
        <color indexed="8"/>
        <rFont val="標楷體"/>
        <family val="4"/>
        <charset val="136"/>
      </rPr>
      <t>發行日</t>
    </r>
    <phoneticPr fontId="9" type="noConversion"/>
  </si>
  <si>
    <r>
      <rPr>
        <b/>
        <sz val="12"/>
        <color indexed="8"/>
        <rFont val="標楷體"/>
        <family val="4"/>
        <charset val="136"/>
      </rPr>
      <t>到期日</t>
    </r>
    <phoneticPr fontId="9" type="noConversion"/>
  </si>
  <si>
    <r>
      <rPr>
        <b/>
        <sz val="12"/>
        <color indexed="8"/>
        <rFont val="標楷體"/>
        <family val="4"/>
        <charset val="136"/>
      </rPr>
      <t>剩餘年限</t>
    </r>
    <phoneticPr fontId="9" type="noConversion"/>
  </si>
  <si>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9" type="noConversion"/>
  </si>
  <si>
    <r>
      <rPr>
        <b/>
        <sz val="12"/>
        <color indexed="8"/>
        <rFont val="標楷體"/>
        <family val="4"/>
        <charset val="136"/>
      </rPr>
      <t>備註</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</si>
  <si>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次發行小計</t>
    </r>
    <phoneticPr fontId="7" type="noConversion"/>
  </si>
  <si>
    <r>
      <rPr>
        <sz val="12"/>
        <color indexed="8"/>
        <rFont val="標楷體"/>
        <family val="4"/>
        <charset val="136"/>
      </rPr>
      <t>（原始發行金額</t>
    </r>
    <r>
      <rPr>
        <sz val="12"/>
        <color indexed="8"/>
        <rFont val="Times New Roman"/>
        <family val="1"/>
      </rPr>
      <t xml:space="preserve"> __________ </t>
    </r>
    <r>
      <rPr>
        <sz val="12"/>
        <color indexed="8"/>
        <rFont val="標楷體"/>
        <family val="4"/>
        <charset val="136"/>
      </rPr>
      <t>）</t>
    </r>
    <phoneticPr fontId="7" type="noConversion"/>
  </si>
  <si>
    <t>具資本性資債券(無到期日)：為非累積且無利率加碼條件或其他提前贖回之誘因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</si>
  <si>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7" type="noConversion"/>
  </si>
  <si>
    <r>
      <rPr>
        <sz val="12"/>
        <color indexed="8"/>
        <rFont val="標楷體"/>
        <family val="4"/>
        <charset val="136"/>
      </rPr>
      <t>填表說明：</t>
    </r>
  </si>
  <si>
    <r>
      <t xml:space="preserve">(1) </t>
    </r>
    <r>
      <rPr>
        <sz val="12"/>
        <color indexed="8"/>
        <rFont val="標楷體"/>
        <family val="4"/>
        <charset val="136"/>
      </rPr>
      <t>與本公司之關係請填</t>
    </r>
    <r>
      <rPr>
        <sz val="12"/>
        <color indexed="8"/>
        <rFont val="Times New Roman"/>
        <family val="1"/>
      </rPr>
      <t>A.</t>
    </r>
    <r>
      <rPr>
        <sz val="12"/>
        <color indexed="8"/>
        <rFont val="標楷體"/>
        <family val="4"/>
        <charset val="136"/>
      </rPr>
      <t>保險業負責人</t>
    </r>
    <r>
      <rPr>
        <sz val="12"/>
        <color indexed="8"/>
        <rFont val="Times New Roman"/>
        <family val="1"/>
      </rPr>
      <t>(</t>
    </r>
    <r>
      <rPr>
        <sz val="12"/>
        <color indexed="8"/>
        <rFont val="標楷體"/>
        <family val="4"/>
        <charset val="136"/>
      </rPr>
      <t>依據保險業負責人應具備資格條件準則</t>
    </r>
    <r>
      <rPr>
        <sz val="12"/>
        <color indexed="8"/>
        <rFont val="Times New Roman"/>
        <family val="1"/>
      </rPr>
      <t>), B.</t>
    </r>
    <r>
      <rPr>
        <sz val="12"/>
        <color indexed="8"/>
        <rFont val="標楷體"/>
        <family val="4"/>
        <charset val="136"/>
      </rPr>
      <t>主要股東</t>
    </r>
    <r>
      <rPr>
        <sz val="12"/>
        <color indexed="8"/>
        <rFont val="Times New Roman"/>
        <family val="1"/>
      </rPr>
      <t>(</t>
    </r>
    <r>
      <rPr>
        <sz val="12"/>
        <color indexed="8"/>
        <rFont val="標楷體"/>
        <family val="4"/>
        <charset val="136"/>
      </rPr>
      <t>係指具有本公司已發行股</t>
    </r>
  </si>
  <si>
    <r>
      <rPr>
        <sz val="12"/>
        <color indexed="8"/>
        <rFont val="標楷體"/>
        <family val="4"/>
        <charset val="136"/>
      </rPr>
      <t>份總數</t>
    </r>
    <r>
      <rPr>
        <sz val="12"/>
        <color indexed="8"/>
        <rFont val="Times New Roman"/>
        <family val="1"/>
      </rPr>
      <t>10%</t>
    </r>
    <r>
      <rPr>
        <sz val="12"/>
        <color indexed="8"/>
        <rFont val="標楷體"/>
        <family val="4"/>
        <charset val="136"/>
      </rPr>
      <t>以上或前十大持股比率或有指派董監事之股東</t>
    </r>
    <r>
      <rPr>
        <sz val="12"/>
        <color indexed="8"/>
        <rFont val="Times New Roman"/>
        <family val="1"/>
      </rPr>
      <t>), C.</t>
    </r>
    <r>
      <rPr>
        <sz val="12"/>
        <color indexed="8"/>
        <rFont val="標楷體"/>
        <family val="4"/>
        <charset val="136"/>
      </rPr>
      <t>本公司對其有控制與從屬關係之公司</t>
    </r>
    <r>
      <rPr>
        <sz val="12"/>
        <color indexed="8"/>
        <rFont val="Times New Roman"/>
        <family val="1"/>
      </rPr>
      <t>(</t>
    </r>
    <r>
      <rPr>
        <sz val="12"/>
        <color indexed="8"/>
        <rFont val="標楷體"/>
        <family val="4"/>
        <charset val="136"/>
      </rPr>
      <t>請依公司法第六章</t>
    </r>
    <r>
      <rPr>
        <sz val="12"/>
        <color indexed="8"/>
        <rFont val="Times New Roman"/>
        <family val="1"/>
      </rPr>
      <t xml:space="preserve"> </t>
    </r>
    <phoneticPr fontId="7" type="noConversion"/>
  </si>
  <si>
    <r>
      <rPr>
        <sz val="12"/>
        <color indexed="8"/>
        <rFont val="標楷體"/>
        <family val="4"/>
        <charset val="136"/>
      </rPr>
      <t>之一關係企業章規定</t>
    </r>
    <r>
      <rPr>
        <sz val="12"/>
        <color indexed="8"/>
        <rFont val="Times New Roman"/>
        <family val="1"/>
      </rPr>
      <t>), D.</t>
    </r>
    <r>
      <rPr>
        <sz val="12"/>
        <color indexed="8"/>
        <rFont val="標楷體"/>
        <family val="4"/>
        <charset val="136"/>
      </rPr>
      <t>同一關係企業</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若為多重身分者</t>
    </r>
    <r>
      <rPr>
        <sz val="12"/>
        <color indexed="8"/>
        <rFont val="Times New Roman"/>
        <family val="1"/>
      </rPr>
      <t xml:space="preserve">, </t>
    </r>
    <r>
      <rPr>
        <sz val="12"/>
        <color indexed="8"/>
        <rFont val="標楷體"/>
        <family val="4"/>
        <charset val="136"/>
      </rPr>
      <t>填寫方式如</t>
    </r>
    <r>
      <rPr>
        <sz val="12"/>
        <color indexed="8"/>
        <rFont val="Times New Roman"/>
        <family val="1"/>
      </rPr>
      <t>B;C</t>
    </r>
  </si>
  <si>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為保險業實質互相投資之具資本性質債券</t>
    </r>
    <r>
      <rPr>
        <sz val="12"/>
        <color indexed="8"/>
        <rFont val="Times New Roman"/>
        <family val="1"/>
      </rPr>
      <t>, N.</t>
    </r>
    <r>
      <rPr>
        <sz val="12"/>
        <color indexed="8"/>
        <rFont val="標楷體"/>
        <family val="4"/>
        <charset val="136"/>
      </rPr>
      <t>非「保險業實質互相投資之具資本性質債券」</t>
    </r>
    <phoneticPr fontId="7" type="noConversion"/>
  </si>
  <si>
    <r>
      <t xml:space="preserve">(3) </t>
    </r>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</si>
  <si>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</si>
  <si>
    <r>
      <t xml:space="preserve">(5) </t>
    </r>
    <r>
      <rPr>
        <sz val="12"/>
        <color indexed="8"/>
        <rFont val="標楷體"/>
        <family val="4"/>
        <charset val="136"/>
      </rPr>
      <t>是否為累積公司債，請填列</t>
    </r>
    <r>
      <rPr>
        <sz val="12"/>
        <color indexed="8"/>
        <rFont val="Times New Roman"/>
        <family val="1"/>
      </rPr>
      <t>Y.</t>
    </r>
    <r>
      <rPr>
        <sz val="12"/>
        <color indexed="8"/>
        <rFont val="標楷體"/>
        <family val="4"/>
        <charset val="136"/>
      </rPr>
      <t>累積公司債</t>
    </r>
    <r>
      <rPr>
        <sz val="12"/>
        <color indexed="8"/>
        <rFont val="Times New Roman"/>
        <family val="1"/>
      </rPr>
      <t>, N.</t>
    </r>
    <r>
      <rPr>
        <sz val="12"/>
        <color indexed="8"/>
        <rFont val="標楷體"/>
        <family val="4"/>
        <charset val="136"/>
      </rPr>
      <t>非累積公司債</t>
    </r>
    <phoneticPr fontId="7" type="noConversion"/>
  </si>
  <si>
    <r>
      <t xml:space="preserve">(6) </t>
    </r>
    <r>
      <rPr>
        <sz val="12"/>
        <color indexed="8"/>
        <rFont val="標楷體"/>
        <family val="4"/>
        <charset val="136"/>
      </rPr>
      <t>是否有利率加碼條件或其他提前贖回之誘因，請填列</t>
    </r>
    <r>
      <rPr>
        <sz val="12"/>
        <color indexed="8"/>
        <rFont val="Times New Roman"/>
        <family val="1"/>
      </rPr>
      <t>Y.</t>
    </r>
    <r>
      <rPr>
        <sz val="12"/>
        <color indexed="8"/>
        <rFont val="標楷體"/>
        <family val="4"/>
        <charset val="136"/>
      </rPr>
      <t>有</t>
    </r>
    <r>
      <rPr>
        <sz val="12"/>
        <color indexed="8"/>
        <rFont val="Times New Roman"/>
        <family val="1"/>
      </rPr>
      <t>, N.</t>
    </r>
    <r>
      <rPr>
        <sz val="12"/>
        <color indexed="8"/>
        <rFont val="標楷體"/>
        <family val="4"/>
        <charset val="136"/>
      </rPr>
      <t>無</t>
    </r>
    <phoneticPr fontId="7" type="noConversion"/>
  </si>
  <si>
    <r>
      <t xml:space="preserve">(7) </t>
    </r>
    <r>
      <rPr>
        <sz val="12"/>
        <color indexed="8"/>
        <rFont val="標楷體"/>
        <family val="4"/>
        <charset val="136"/>
      </rPr>
      <t>若有分次發行公司債者，應分別填報</t>
    </r>
    <phoneticPr fontId="7" type="noConversion"/>
  </si>
  <si>
    <r>
      <t xml:space="preserve">(8) </t>
    </r>
    <r>
      <rPr>
        <sz val="12"/>
        <color indexed="8"/>
        <rFont val="標楷體"/>
        <family val="4"/>
        <charset val="136"/>
      </rPr>
      <t>可計入自有資本加計項之比例係指依金管保財字第</t>
    </r>
    <r>
      <rPr>
        <sz val="12"/>
        <color indexed="8"/>
        <rFont val="Times New Roman"/>
        <family val="1"/>
      </rPr>
      <t>10002517111</t>
    </r>
    <r>
      <rPr>
        <sz val="12"/>
        <color indexed="8"/>
        <rFont val="標楷體"/>
        <family val="4"/>
        <charset val="136"/>
      </rPr>
      <t>號函計算，依距到期日之時間進行本金比例調整，於</t>
    </r>
    <r>
      <rPr>
        <sz val="12"/>
        <color indexed="8"/>
        <rFont val="Times New Roman"/>
        <family val="1"/>
      </rPr>
      <t>5</t>
    </r>
    <r>
      <rPr>
        <sz val="12"/>
        <color indexed="8"/>
        <rFont val="標楷體"/>
        <family val="4"/>
        <charset val="136"/>
      </rPr>
      <t>年內逐年遞減至</t>
    </r>
    <r>
      <rPr>
        <sz val="12"/>
        <color indexed="8"/>
        <rFont val="Times New Roman"/>
        <family val="1"/>
      </rPr>
      <t>0%</t>
    </r>
    <r>
      <rPr>
        <sz val="12"/>
        <color indexed="8"/>
        <rFont val="標楷體"/>
        <family val="4"/>
        <charset val="136"/>
      </rPr>
      <t>。</t>
    </r>
    <phoneticPr fontId="7" type="noConversion"/>
  </si>
  <si>
    <r>
      <t xml:space="preserve">(9) </t>
    </r>
    <r>
      <rPr>
        <sz val="12"/>
        <color indexed="8"/>
        <rFont val="標楷體"/>
        <family val="4"/>
        <charset val="136"/>
      </rPr>
      <t>已發行負債型特別股及具資本性質債券得計入自有資本之總額上限，於表</t>
    </r>
    <r>
      <rPr>
        <sz val="12"/>
        <color indexed="8"/>
        <rFont val="Times New Roman"/>
        <family val="1"/>
      </rPr>
      <t>30-8</t>
    </r>
    <r>
      <rPr>
        <sz val="12"/>
        <color indexed="8"/>
        <rFont val="標楷體"/>
        <family val="4"/>
        <charset val="136"/>
      </rPr>
      <t>計算。</t>
    </r>
    <phoneticPr fontId="7"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</si>
  <si>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</si>
  <si>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次發行特別股（原始發行金額</t>
    </r>
    <r>
      <rPr>
        <sz val="12"/>
        <color indexed="8"/>
        <rFont val="Times New Roman"/>
        <family val="1"/>
      </rPr>
      <t xml:space="preserve"> __________ </t>
    </r>
    <r>
      <rPr>
        <sz val="12"/>
        <color indexed="8"/>
        <rFont val="標楷體"/>
        <family val="4"/>
        <charset val="136"/>
      </rPr>
      <t>）</t>
    </r>
    <phoneticPr fontId="7" type="noConversion"/>
  </si>
  <si>
    <r>
      <rPr>
        <b/>
        <sz val="12"/>
        <color indexed="8"/>
        <rFont val="標楷體"/>
        <family val="4"/>
        <charset val="136"/>
      </rPr>
      <t>股東名稱</t>
    </r>
    <phoneticPr fontId="9" type="noConversion"/>
  </si>
  <si>
    <r>
      <rPr>
        <b/>
        <sz val="12"/>
        <color indexed="8"/>
        <rFont val="標楷體"/>
        <family val="4"/>
        <charset val="136"/>
      </rPr>
      <t>募集方式</t>
    </r>
    <phoneticPr fontId="7" type="noConversion"/>
  </si>
  <si>
    <r>
      <rPr>
        <b/>
        <sz val="12"/>
        <color indexed="8"/>
        <rFont val="標楷體"/>
        <family val="4"/>
        <charset val="136"/>
      </rPr>
      <t>是否為累積特別股</t>
    </r>
    <phoneticPr fontId="7" type="noConversion"/>
  </si>
  <si>
    <r>
      <rPr>
        <b/>
        <sz val="12"/>
        <color indexed="8"/>
        <rFont val="標楷體"/>
        <family val="4"/>
        <charset val="136"/>
      </rPr>
      <t>是否有利率加碼條件或其他提前贖回之誘因</t>
    </r>
    <phoneticPr fontId="7" type="noConversion"/>
  </si>
  <si>
    <r>
      <rPr>
        <b/>
        <sz val="12"/>
        <color indexed="8"/>
        <rFont val="標楷體"/>
        <family val="4"/>
        <charset val="136"/>
      </rPr>
      <t>小計</t>
    </r>
    <phoneticPr fontId="7" type="noConversion"/>
  </si>
  <si>
    <t>負債型特別股(無到期日)：為非累積且無利率加碼條件或其他提前贖回之誘因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</si>
  <si>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9" type="noConversion"/>
  </si>
  <si>
    <r>
      <rPr>
        <sz val="12"/>
        <color indexed="8"/>
        <rFont val="標楷體"/>
        <family val="4"/>
        <charset val="136"/>
      </rPr>
      <t>填表說明：</t>
    </r>
    <phoneticPr fontId="9" type="noConversion"/>
  </si>
  <si>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為保險業實質互相投資之負債型特別股</t>
    </r>
    <r>
      <rPr>
        <sz val="12"/>
        <color indexed="8"/>
        <rFont val="Times New Roman"/>
        <family val="1"/>
      </rPr>
      <t>, N.</t>
    </r>
    <r>
      <rPr>
        <sz val="12"/>
        <color indexed="8"/>
        <rFont val="標楷體"/>
        <family val="4"/>
        <charset val="136"/>
      </rPr>
      <t>非「保險業實質互相投資之負債型特別股」</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</si>
  <si>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phoneticPr fontId="7" type="noConversion"/>
  </si>
  <si>
    <r>
      <t xml:space="preserve">(5) </t>
    </r>
    <r>
      <rPr>
        <sz val="12"/>
        <color indexed="8"/>
        <rFont val="標楷體"/>
        <family val="4"/>
        <charset val="136"/>
      </rPr>
      <t>是否為累積特別股，請填列</t>
    </r>
    <r>
      <rPr>
        <sz val="12"/>
        <color indexed="8"/>
        <rFont val="Times New Roman"/>
        <family val="1"/>
      </rPr>
      <t>Y.</t>
    </r>
    <r>
      <rPr>
        <sz val="12"/>
        <color indexed="8"/>
        <rFont val="標楷體"/>
        <family val="4"/>
        <charset val="136"/>
      </rPr>
      <t>累積特別股</t>
    </r>
    <r>
      <rPr>
        <sz val="12"/>
        <color indexed="8"/>
        <rFont val="Times New Roman"/>
        <family val="1"/>
      </rPr>
      <t>, N.</t>
    </r>
    <r>
      <rPr>
        <sz val="12"/>
        <color indexed="8"/>
        <rFont val="標楷體"/>
        <family val="4"/>
        <charset val="136"/>
      </rPr>
      <t>非累積特別股</t>
    </r>
    <phoneticPr fontId="7" type="noConversion"/>
  </si>
  <si>
    <r>
      <t xml:space="preserve">(7) </t>
    </r>
    <r>
      <rPr>
        <sz val="12"/>
        <color indexed="8"/>
        <rFont val="標楷體"/>
        <family val="4"/>
        <charset val="136"/>
      </rPr>
      <t>若有分次發行特別股者，應分別填報</t>
    </r>
    <phoneticPr fontId="7" type="noConversion"/>
  </si>
  <si>
    <r>
      <rPr>
        <sz val="10"/>
        <color indexed="8"/>
        <rFont val="標楷體"/>
        <family val="4"/>
        <charset val="136"/>
      </rPr>
      <t>本表第</t>
    </r>
    <r>
      <rPr>
        <sz val="10"/>
        <color indexed="8"/>
        <rFont val="Times New Roman"/>
        <family val="1"/>
      </rPr>
      <t>(1)</t>
    </r>
    <r>
      <rPr>
        <sz val="10"/>
        <color indexed="8"/>
        <rFont val="標楷體"/>
        <family val="4"/>
        <charset val="136"/>
      </rPr>
      <t>欄第</t>
    </r>
    <r>
      <rPr>
        <sz val="10"/>
        <color indexed="8"/>
        <rFont val="Times New Roman"/>
        <family val="1"/>
      </rPr>
      <t>(1)</t>
    </r>
    <r>
      <rPr>
        <sz val="10"/>
        <color indexed="8"/>
        <rFont val="標楷體"/>
        <family val="4"/>
        <charset val="136"/>
      </rPr>
      <t>列之金額應與「表</t>
    </r>
    <r>
      <rPr>
        <sz val="10"/>
        <color indexed="8"/>
        <rFont val="Times New Roman"/>
        <family val="1"/>
      </rPr>
      <t>25-7</t>
    </r>
    <r>
      <rPr>
        <sz val="10"/>
        <color indexed="8"/>
        <rFont val="標楷體"/>
        <family val="4"/>
        <charset val="136"/>
      </rPr>
      <t>：帳列負債之特別準備明細」第</t>
    </r>
    <r>
      <rPr>
        <sz val="10"/>
        <color indexed="8"/>
        <rFont val="Times New Roman"/>
        <family val="1"/>
      </rPr>
      <t>(1)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7" type="noConversion"/>
  </si>
  <si>
    <r>
      <rPr>
        <sz val="10"/>
        <color indexed="8"/>
        <rFont val="標楷體"/>
        <family val="4"/>
        <charset val="136"/>
      </rPr>
      <t>係依金管保財字第</t>
    </r>
    <r>
      <rPr>
        <sz val="10"/>
        <color indexed="8"/>
        <rFont val="Times New Roman"/>
        <family val="1"/>
      </rPr>
      <t>10102515281</t>
    </r>
    <r>
      <rPr>
        <sz val="10"/>
        <color indexed="8"/>
        <rFont val="標楷體"/>
        <family val="4"/>
        <charset val="136"/>
      </rPr>
      <t>號函收回第</t>
    </r>
    <r>
      <rPr>
        <sz val="10"/>
        <color indexed="8"/>
        <rFont val="Times New Roman"/>
        <family val="1"/>
      </rPr>
      <t>(2)</t>
    </r>
    <r>
      <rPr>
        <sz val="10"/>
        <color indexed="8"/>
        <rFont val="標楷體"/>
        <family val="4"/>
        <charset val="136"/>
      </rPr>
      <t>欄並提列於特別盈餘公積之金額</t>
    </r>
    <phoneticPr fontId="7"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</si>
  <si>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(2)</t>
    </r>
    <r>
      <rPr>
        <sz val="10"/>
        <color indexed="8"/>
        <rFont val="標楷體"/>
        <family val="4"/>
        <charset val="136"/>
      </rPr>
      <t>列之金額應等於「表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(2+3)</t>
    </r>
    <r>
      <rPr>
        <sz val="10"/>
        <color indexed="8"/>
        <rFont val="標楷體"/>
        <family val="4"/>
        <charset val="136"/>
      </rPr>
      <t>列之合計數。</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</si>
  <si>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(3)</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</si>
  <si>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(4)</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</si>
  <si>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(6)</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(11)</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</si>
  <si>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(7)</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(12)</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</si>
  <si>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(9)</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</si>
  <si>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(5)</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(16)</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</si>
  <si>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(11)</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(17)</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</si>
  <si>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(12)</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(18)</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</si>
  <si>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(7)</t>
    </r>
    <r>
      <rPr>
        <sz val="10"/>
        <color indexed="8"/>
        <rFont val="標楷體"/>
        <family val="4"/>
        <charset val="136"/>
      </rPr>
      <t>欄第</t>
    </r>
    <r>
      <rPr>
        <sz val="10"/>
        <color indexed="8"/>
        <rFont val="Times New Roman"/>
        <family val="1"/>
      </rPr>
      <t>(15)</t>
    </r>
    <r>
      <rPr>
        <sz val="10"/>
        <color indexed="8"/>
        <rFont val="標楷體"/>
        <family val="4"/>
        <charset val="136"/>
      </rPr>
      <t>列之金額應等於「表</t>
    </r>
    <r>
      <rPr>
        <sz val="10"/>
        <color indexed="8"/>
        <rFont val="Times New Roman"/>
        <family val="1"/>
      </rPr>
      <t>13-1</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(20)</t>
    </r>
    <r>
      <rPr>
        <sz val="10"/>
        <color indexed="8"/>
        <rFont val="標楷體"/>
        <family val="4"/>
        <charset val="136"/>
      </rPr>
      <t>欄之合計數。</t>
    </r>
    <phoneticPr fontId="7" type="noConversion"/>
  </si>
  <si>
    <r>
      <rPr>
        <sz val="16"/>
        <rFont val="標楷體"/>
        <family val="4"/>
        <charset val="136"/>
      </rPr>
      <t>表</t>
    </r>
    <r>
      <rPr>
        <sz val="16"/>
        <rFont val="Times New Roman"/>
        <family val="1"/>
      </rPr>
      <t>30-5-2-3-1</t>
    </r>
    <r>
      <rPr>
        <sz val="16"/>
        <rFont val="標楷體"/>
        <family val="4"/>
        <charset val="136"/>
      </rPr>
      <t>：特殊業務資料表</t>
    </r>
    <r>
      <rPr>
        <sz val="16"/>
        <rFont val="Times New Roman"/>
        <family val="1"/>
      </rPr>
      <t>(</t>
    </r>
    <r>
      <rPr>
        <sz val="16"/>
        <rFont val="標楷體"/>
        <family val="4"/>
        <charset val="136"/>
      </rPr>
      <t>地震</t>
    </r>
    <r>
      <rPr>
        <sz val="16"/>
        <rFont val="Times New Roman"/>
        <family val="1"/>
      </rPr>
      <t>)</t>
    </r>
    <phoneticPr fontId="9" type="noConversion"/>
  </si>
  <si>
    <r>
      <rPr>
        <sz val="16"/>
        <rFont val="標楷體"/>
        <family val="4"/>
        <charset val="136"/>
      </rPr>
      <t>表</t>
    </r>
    <r>
      <rPr>
        <sz val="16"/>
        <rFont val="Times New Roman"/>
        <family val="1"/>
      </rPr>
      <t>30-5-2-6</t>
    </r>
    <r>
      <rPr>
        <sz val="16"/>
        <rFont val="標楷體"/>
        <family val="4"/>
        <charset val="136"/>
      </rPr>
      <t>：特殊業務表填報範例</t>
    </r>
    <phoneticPr fontId="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</si>
  <si>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9"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</si>
  <si>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</si>
  <si>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</si>
  <si>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</si>
  <si>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</si>
  <si>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</si>
  <si>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</si>
  <si>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</si>
  <si>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</si>
  <si>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</si>
  <si>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</si>
  <si>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</si>
  <si>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</si>
  <si>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</si>
  <si>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</si>
  <si>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</si>
  <si>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</si>
  <si>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已開發國家</t>
    </r>
    <phoneticPr fontId="9" type="noConversion"/>
  </si>
  <si>
    <r>
      <t>5.2 ETF-</t>
    </r>
    <r>
      <rPr>
        <sz val="12"/>
        <rFont val="標楷體"/>
        <family val="4"/>
        <charset val="136"/>
      </rPr>
      <t>債券型帳載價值</t>
    </r>
    <r>
      <rPr>
        <sz val="12"/>
        <rFont val="Times New Roman"/>
        <family val="1"/>
      </rPr>
      <t>-</t>
    </r>
    <r>
      <rPr>
        <sz val="12"/>
        <rFont val="標楷體"/>
        <family val="4"/>
        <charset val="136"/>
      </rPr>
      <t>新興市場</t>
    </r>
    <phoneticPr fontId="9" type="noConversion"/>
  </si>
  <si>
    <r>
      <t>6.1 ETF-</t>
    </r>
    <r>
      <rPr>
        <sz val="12"/>
        <rFont val="標楷體"/>
        <family val="4"/>
        <charset val="136"/>
      </rPr>
      <t>其他型帳載價值</t>
    </r>
    <r>
      <rPr>
        <sz val="12"/>
        <rFont val="Times New Roman"/>
        <family val="1"/>
      </rPr>
      <t>-</t>
    </r>
    <r>
      <rPr>
        <sz val="12"/>
        <rFont val="標楷體"/>
        <family val="4"/>
        <charset val="136"/>
      </rPr>
      <t>已開發國家</t>
    </r>
    <phoneticPr fontId="9" type="noConversion"/>
  </si>
  <si>
    <r>
      <t>6.2 ETF-</t>
    </r>
    <r>
      <rPr>
        <sz val="12"/>
        <rFont val="標楷體"/>
        <family val="4"/>
        <charset val="136"/>
      </rPr>
      <t>其他型帳載價值</t>
    </r>
    <r>
      <rPr>
        <sz val="12"/>
        <rFont val="Times New Roman"/>
        <family val="1"/>
      </rPr>
      <t>-</t>
    </r>
    <r>
      <rPr>
        <sz val="12"/>
        <rFont val="標楷體"/>
        <family val="4"/>
        <charset val="136"/>
      </rPr>
      <t>新興市場</t>
    </r>
    <phoneticPr fontId="9" type="noConversion"/>
  </si>
  <si>
    <r>
      <t>7.1 ETN</t>
    </r>
    <r>
      <rPr>
        <sz val="12"/>
        <rFont val="標楷體"/>
        <family val="4"/>
        <charset val="136"/>
      </rPr>
      <t>帳載價值</t>
    </r>
    <r>
      <rPr>
        <sz val="12"/>
        <rFont val="Times New Roman"/>
        <family val="1"/>
      </rPr>
      <t>-</t>
    </r>
    <r>
      <rPr>
        <sz val="12"/>
        <rFont val="標楷體"/>
        <family val="4"/>
        <charset val="136"/>
      </rPr>
      <t>已開發國家</t>
    </r>
    <phoneticPr fontId="9" type="noConversion"/>
  </si>
  <si>
    <r>
      <t>7.2 ETN</t>
    </r>
    <r>
      <rPr>
        <sz val="12"/>
        <rFont val="標楷體"/>
        <family val="4"/>
        <charset val="136"/>
      </rPr>
      <t>帳載價值</t>
    </r>
    <r>
      <rPr>
        <sz val="12"/>
        <rFont val="Times New Roman"/>
        <family val="1"/>
      </rPr>
      <t>-</t>
    </r>
    <r>
      <rPr>
        <sz val="12"/>
        <rFont val="標楷體"/>
        <family val="4"/>
        <charset val="136"/>
      </rPr>
      <t>新興市場</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</si>
  <si>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</si>
  <si>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</si>
  <si>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9" type="noConversion"/>
  </si>
  <si>
    <r>
      <t xml:space="preserve">9.1.1 </t>
    </r>
    <r>
      <rPr>
        <sz val="12"/>
        <rFont val="標楷體"/>
        <family val="4"/>
        <charset val="136"/>
      </rPr>
      <t>公共投資</t>
    </r>
    <r>
      <rPr>
        <sz val="12"/>
        <rFont val="Times New Roman"/>
        <family val="1"/>
      </rPr>
      <t>100%</t>
    </r>
    <phoneticPr fontId="9" type="noConversion"/>
  </si>
  <si>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</si>
  <si>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9" type="noConversion"/>
  </si>
  <si>
    <r>
      <t xml:space="preserve">9.2.1 </t>
    </r>
    <r>
      <rPr>
        <sz val="12"/>
        <rFont val="標楷體"/>
        <family val="4"/>
        <charset val="136"/>
      </rPr>
      <t>公共投資</t>
    </r>
    <r>
      <rPr>
        <sz val="12"/>
        <rFont val="Times New Roman"/>
        <family val="1"/>
      </rPr>
      <t>100%</t>
    </r>
    <phoneticPr fontId="9" type="noConversion"/>
  </si>
  <si>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</si>
  <si>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9" type="noConversion"/>
  </si>
  <si>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</si>
  <si>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</si>
  <si>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</si>
  <si>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</si>
  <si>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</si>
  <si>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</si>
  <si>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</si>
  <si>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9" type="noConversion"/>
  </si>
  <si>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9" type="noConversion"/>
  </si>
  <si>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9" type="noConversion"/>
  </si>
  <si>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9" type="noConversion"/>
  </si>
  <si>
    <r>
      <t>7.1 ETN</t>
    </r>
    <r>
      <rPr>
        <sz val="12"/>
        <rFont val="標楷體"/>
        <family val="4"/>
        <charset val="136"/>
      </rPr>
      <t>帳載價值</t>
    </r>
    <r>
      <rPr>
        <sz val="12"/>
        <rFont val="Times New Roman"/>
        <family val="1"/>
      </rPr>
      <t>-</t>
    </r>
    <r>
      <rPr>
        <sz val="12"/>
        <rFont val="標楷體"/>
        <family val="4"/>
        <charset val="136"/>
      </rPr>
      <t>具控制與從屬關係</t>
    </r>
    <phoneticPr fontId="9" type="noConversion"/>
  </si>
  <si>
    <r>
      <t>7.2 ETN</t>
    </r>
    <r>
      <rPr>
        <sz val="12"/>
        <rFont val="標楷體"/>
        <family val="4"/>
        <charset val="136"/>
      </rPr>
      <t>帳載價值</t>
    </r>
    <r>
      <rPr>
        <sz val="12"/>
        <rFont val="Times New Roman"/>
        <family val="1"/>
      </rPr>
      <t>-</t>
    </r>
    <r>
      <rPr>
        <sz val="12"/>
        <rFont val="標楷體"/>
        <family val="4"/>
        <charset val="136"/>
      </rPr>
      <t>非控制與從屬關係</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</si>
  <si>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</si>
  <si>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</si>
  <si>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</si>
  <si>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9" type="noConversion"/>
  </si>
  <si>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</si>
  <si>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</si>
  <si>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</si>
  <si>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</si>
  <si>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9" type="noConversion"/>
  </si>
  <si>
    <r>
      <rPr>
        <b/>
        <sz val="12"/>
        <rFont val="標楷體"/>
        <family val="4"/>
        <charset val="136"/>
      </rPr>
      <t>證劵代號</t>
    </r>
    <phoneticPr fontId="9" type="noConversion"/>
  </si>
  <si>
    <r>
      <rPr>
        <b/>
        <sz val="12"/>
        <rFont val="標楷體"/>
        <family val="4"/>
        <charset val="136"/>
      </rPr>
      <t>證劵名稱</t>
    </r>
    <phoneticPr fontId="9" type="noConversion"/>
  </si>
  <si>
    <r>
      <rPr>
        <b/>
        <sz val="12"/>
        <rFont val="標楷體"/>
        <family val="4"/>
        <charset val="136"/>
      </rPr>
      <t>證劵種類</t>
    </r>
    <phoneticPr fontId="9"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</si>
  <si>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9"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</si>
  <si>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9"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</si>
  <si>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9"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</si>
  <si>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9" type="noConversion"/>
  </si>
  <si>
    <r>
      <rPr>
        <b/>
        <sz val="12"/>
        <rFont val="標楷體"/>
        <family val="4"/>
        <charset val="136"/>
      </rPr>
      <t>公司</t>
    </r>
    <r>
      <rPr>
        <b/>
        <sz val="12"/>
        <rFont val="Times New Roman"/>
        <family val="1"/>
      </rPr>
      <t>beta</t>
    </r>
    <r>
      <rPr>
        <b/>
        <sz val="12"/>
        <rFont val="標楷體"/>
        <family val="4"/>
        <charset val="136"/>
      </rPr>
      <t>值</t>
    </r>
    <phoneticPr fontId="9" type="noConversion"/>
  </si>
  <si>
    <r>
      <rPr>
        <sz val="12"/>
        <rFont val="標楷體"/>
        <family val="4"/>
        <charset val="136"/>
      </rPr>
      <t>合計</t>
    </r>
    <phoneticPr fontId="7" type="noConversion"/>
  </si>
  <si>
    <r>
      <rPr>
        <sz val="12"/>
        <rFont val="標楷體"/>
        <family val="4"/>
        <charset val="136"/>
      </rPr>
      <t>註：係指依資產負債表日之收盤價計算之總市值</t>
    </r>
    <phoneticPr fontId="9" type="noConversion"/>
  </si>
  <si>
    <r>
      <rPr>
        <sz val="12"/>
        <color indexed="8"/>
        <rFont val="標楷體"/>
        <family val="4"/>
        <charset val="136"/>
      </rPr>
      <t>表</t>
    </r>
    <r>
      <rPr>
        <sz val="12"/>
        <color indexed="8"/>
        <rFont val="Times New Roman"/>
        <family val="1"/>
      </rPr>
      <t>09-1</t>
    </r>
    <r>
      <rPr>
        <sz val="12"/>
        <color indexed="8"/>
        <rFont val="標楷體"/>
        <family val="4"/>
        <charset val="136"/>
      </rPr>
      <t>：金融債券及其他經主管機關核准購買之有價證券餘額明細表</t>
    </r>
    <phoneticPr fontId="7" type="noConversion"/>
  </si>
  <si>
    <r>
      <rPr>
        <sz val="10"/>
        <color indexed="8"/>
        <rFont val="標楷體"/>
        <family val="4"/>
        <charset val="136"/>
      </rPr>
      <t>表</t>
    </r>
    <r>
      <rPr>
        <sz val="10"/>
        <color indexed="8"/>
        <rFont val="Book Antiqua"/>
        <family val="1"/>
      </rPr>
      <t>13-4</t>
    </r>
    <r>
      <rPr>
        <sz val="10"/>
        <color indexed="8"/>
        <rFont val="標楷體"/>
        <family val="4"/>
        <charset val="136"/>
      </rPr>
      <t>：國外及大陸地區不動產投資情形明細表</t>
    </r>
    <phoneticPr fontId="9" type="noConversion"/>
  </si>
  <si>
    <t>以自己及國外籌資公司名義</t>
    <phoneticPr fontId="9" type="noConversion"/>
  </si>
  <si>
    <r>
      <rPr>
        <sz val="10"/>
        <color indexed="8"/>
        <rFont val="標楷體"/>
        <family val="4"/>
        <charset val="136"/>
      </rPr>
      <t>小計</t>
    </r>
    <phoneticPr fontId="7" type="noConversion"/>
  </si>
  <si>
    <r>
      <rPr>
        <sz val="10"/>
        <color indexed="8"/>
        <rFont val="標楷體"/>
        <family val="4"/>
        <charset val="136"/>
      </rPr>
      <t>已開發國家</t>
    </r>
    <phoneticPr fontId="7" type="noConversion"/>
  </si>
  <si>
    <r>
      <rPr>
        <sz val="10"/>
        <color indexed="8"/>
        <rFont val="標楷體"/>
        <family val="4"/>
        <charset val="136"/>
      </rPr>
      <t>新興市場</t>
    </r>
    <phoneticPr fontId="7" type="noConversion"/>
  </si>
  <si>
    <r>
      <rPr>
        <sz val="10"/>
        <color indexed="8"/>
        <rFont val="標楷體"/>
        <family val="4"/>
        <charset val="136"/>
      </rPr>
      <t>本表請依「保險業辦理國外投資管理辦法」第</t>
    </r>
    <r>
      <rPr>
        <sz val="10"/>
        <color indexed="8"/>
        <rFont val="Book Antiqua"/>
        <family val="1"/>
      </rPr>
      <t>11</t>
    </r>
    <r>
      <rPr>
        <sz val="10"/>
        <color indexed="8"/>
        <rFont val="標楷體"/>
        <family val="4"/>
        <charset val="136"/>
      </rPr>
      <t>條至第</t>
    </r>
    <r>
      <rPr>
        <sz val="10"/>
        <color indexed="8"/>
        <rFont val="Book Antiqua"/>
        <family val="1"/>
      </rPr>
      <t>11</t>
    </r>
    <r>
      <rPr>
        <sz val="10"/>
        <color indexed="8"/>
        <rFont val="標楷體"/>
        <family val="4"/>
        <charset val="136"/>
      </rPr>
      <t>條之</t>
    </r>
    <r>
      <rPr>
        <sz val="10"/>
        <color indexed="8"/>
        <rFont val="Book Antiqua"/>
        <family val="1"/>
      </rPr>
      <t>3</t>
    </r>
    <r>
      <rPr>
        <sz val="10"/>
        <color indexed="8"/>
        <rFont val="標楷體"/>
        <family val="4"/>
        <charset val="136"/>
      </rPr>
      <t>規定填報。</t>
    </r>
    <phoneticPr fontId="7" type="noConversion"/>
  </si>
  <si>
    <r>
      <rPr>
        <sz val="10"/>
        <color indexed="8"/>
        <rFont val="標楷體"/>
        <family val="4"/>
        <charset val="136"/>
      </rPr>
      <t>種類請依序填列</t>
    </r>
    <r>
      <rPr>
        <sz val="10"/>
        <color indexed="8"/>
        <rFont val="Book Antiqua"/>
        <family val="1"/>
      </rPr>
      <t xml:space="preserve"> A.</t>
    </r>
    <r>
      <rPr>
        <sz val="10"/>
        <color indexed="8"/>
        <rFont val="標楷體"/>
        <family val="4"/>
        <charset val="136"/>
      </rPr>
      <t>土地</t>
    </r>
    <r>
      <rPr>
        <sz val="10"/>
        <color indexed="8"/>
        <rFont val="Book Antiqua"/>
        <family val="1"/>
      </rPr>
      <t>, B.</t>
    </r>
    <r>
      <rPr>
        <sz val="10"/>
        <color indexed="8"/>
        <rFont val="標楷體"/>
        <family val="4"/>
        <charset val="136"/>
      </rPr>
      <t>房屋</t>
    </r>
    <r>
      <rPr>
        <sz val="10"/>
        <color indexed="8"/>
        <rFont val="Book Antiqua"/>
        <family val="1"/>
      </rPr>
      <t>, C.</t>
    </r>
    <r>
      <rPr>
        <sz val="10"/>
        <color indexed="8"/>
        <rFont val="標楷體"/>
        <family val="4"/>
        <charset val="136"/>
      </rPr>
      <t>預付房地款</t>
    </r>
    <r>
      <rPr>
        <sz val="10"/>
        <color indexed="8"/>
        <rFont val="Book Antiqua"/>
        <family val="1"/>
      </rPr>
      <t>, D.</t>
    </r>
    <r>
      <rPr>
        <sz val="10"/>
        <color indexed="8"/>
        <rFont val="標楷體"/>
        <family val="4"/>
        <charset val="136"/>
      </rPr>
      <t>投資特定目的事業預付款</t>
    </r>
    <r>
      <rPr>
        <sz val="10"/>
        <color indexed="8"/>
        <rFont val="Book Antiqua"/>
        <family val="1"/>
      </rPr>
      <t>, E.</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</si>
  <si>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</si>
  <si>
    <r>
      <rPr>
        <sz val="10"/>
        <color indexed="8"/>
        <rFont val="標楷體"/>
        <family val="4"/>
        <charset val="136"/>
      </rPr>
      <t>使用種類請依序填列</t>
    </r>
    <r>
      <rPr>
        <sz val="10"/>
        <color indexed="8"/>
        <rFont val="Book Antiqua"/>
        <family val="1"/>
      </rPr>
      <t xml:space="preserve"> A.</t>
    </r>
    <r>
      <rPr>
        <sz val="10"/>
        <color indexed="8"/>
        <rFont val="標楷體"/>
        <family val="4"/>
        <charset val="136"/>
      </rPr>
      <t>自用</t>
    </r>
    <r>
      <rPr>
        <sz val="10"/>
        <color indexed="8"/>
        <rFont val="Book Antiqua"/>
        <family val="1"/>
      </rPr>
      <t>, B.</t>
    </r>
    <r>
      <rPr>
        <sz val="10"/>
        <color indexed="8"/>
        <rFont val="標楷體"/>
        <family val="4"/>
        <charset val="136"/>
      </rPr>
      <t>投資用</t>
    </r>
    <r>
      <rPr>
        <sz val="10"/>
        <color indexed="8"/>
        <rFont val="Book Antiqua"/>
        <family val="1"/>
      </rPr>
      <t>, 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r>
      <rPr>
        <sz val="10"/>
        <color indexed="8"/>
        <rFont val="標楷體"/>
        <family val="4"/>
        <charset val="136"/>
      </rPr>
      <t>。</t>
    </r>
    <phoneticPr fontId="7" type="noConversion"/>
  </si>
  <si>
    <r>
      <rPr>
        <sz val="10"/>
        <color indexed="8"/>
        <rFont val="標楷體"/>
        <family val="4"/>
        <charset val="136"/>
      </rPr>
      <t>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phoneticPr fontId="7" type="noConversion"/>
  </si>
  <si>
    <r>
      <rPr>
        <sz val="10"/>
        <color indexed="8"/>
        <rFont val="標楷體"/>
        <family val="4"/>
        <charset val="136"/>
      </rPr>
      <t>第</t>
    </r>
    <r>
      <rPr>
        <sz val="10"/>
        <color indexed="8"/>
        <rFont val="Book Antiqua"/>
        <family val="1"/>
      </rPr>
      <t>(8)</t>
    </r>
    <r>
      <rPr>
        <sz val="10"/>
        <color indexed="8"/>
        <rFont val="標楷體"/>
        <family val="4"/>
        <charset val="136"/>
      </rPr>
      <t>欄到第</t>
    </r>
    <r>
      <rPr>
        <sz val="10"/>
        <color indexed="8"/>
        <rFont val="Book Antiqua"/>
        <family val="1"/>
      </rPr>
      <t>(12)</t>
    </r>
    <r>
      <rPr>
        <sz val="10"/>
        <color indexed="8"/>
        <rFont val="標楷體"/>
        <family val="4"/>
        <charset val="136"/>
      </rPr>
      <t>欄、及第</t>
    </r>
    <r>
      <rPr>
        <sz val="10"/>
        <color indexed="8"/>
        <rFont val="Book Antiqua"/>
        <family val="1"/>
      </rPr>
      <t>(15)</t>
    </r>
    <r>
      <rPr>
        <sz val="10"/>
        <color indexed="8"/>
        <rFont val="標楷體"/>
        <family val="4"/>
        <charset val="136"/>
      </rPr>
      <t>欄金額單位請以新臺幣元填列。</t>
    </r>
    <phoneticPr fontId="7" type="noConversion"/>
  </si>
  <si>
    <r>
      <rPr>
        <sz val="10"/>
        <color indexed="8"/>
        <rFont val="標楷體"/>
        <family val="4"/>
        <charset val="136"/>
      </rPr>
      <t>本表第</t>
    </r>
    <r>
      <rPr>
        <sz val="10"/>
        <color indexed="8"/>
        <rFont val="Book Antiqua"/>
        <family val="1"/>
      </rPr>
      <t>(9)</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r>
      <rPr>
        <sz val="10"/>
        <color indexed="8"/>
        <rFont val="標楷體"/>
        <family val="4"/>
        <charset val="136"/>
      </rPr>
      <t>第</t>
    </r>
    <r>
      <rPr>
        <sz val="10"/>
        <color indexed="8"/>
        <rFont val="Book Antiqua"/>
        <family val="1"/>
      </rPr>
      <t>(11)</t>
    </r>
    <r>
      <rPr>
        <sz val="10"/>
        <color indexed="8"/>
        <rFont val="標楷體"/>
        <family val="4"/>
        <charset val="136"/>
      </rPr>
      <t>欄第</t>
    </r>
    <r>
      <rPr>
        <sz val="10"/>
        <color indexed="8"/>
        <rFont val="Book Antiqua"/>
        <family val="1"/>
      </rPr>
      <t>(14)</t>
    </r>
    <r>
      <rPr>
        <sz val="10"/>
        <color indexed="8"/>
        <rFont val="標楷體"/>
        <family val="4"/>
        <charset val="136"/>
      </rPr>
      <t>列之金額相一致。</t>
    </r>
    <phoneticPr fontId="7" type="noConversion"/>
  </si>
  <si>
    <r>
      <rPr>
        <sz val="10"/>
        <color indexed="8"/>
        <rFont val="標楷體"/>
        <family val="4"/>
        <charset val="136"/>
      </rPr>
      <t>本表第</t>
    </r>
    <r>
      <rPr>
        <sz val="10"/>
        <color indexed="8"/>
        <rFont val="Book Antiqua"/>
        <family val="1"/>
      </rPr>
      <t>(10)</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10-3</t>
    </r>
    <r>
      <rPr>
        <sz val="10"/>
        <color indexed="8"/>
        <rFont val="標楷體"/>
        <family val="4"/>
        <charset val="136"/>
      </rPr>
      <t>：關係人股票投資明細表第</t>
    </r>
    <r>
      <rPr>
        <sz val="10"/>
        <color indexed="8"/>
        <rFont val="Book Antiqua"/>
        <family val="1"/>
      </rPr>
      <t>(6</t>
    </r>
    <r>
      <rPr>
        <sz val="10"/>
        <color indexed="8"/>
        <rFont val="標楷體"/>
        <family val="4"/>
        <charset val="136"/>
      </rPr>
      <t>＋</t>
    </r>
    <r>
      <rPr>
        <sz val="10"/>
        <color indexed="8"/>
        <rFont val="Book Antiqua"/>
        <family val="1"/>
      </rPr>
      <t>7)</t>
    </r>
    <r>
      <rPr>
        <sz val="10"/>
        <color indexed="8"/>
        <rFont val="標楷體"/>
        <family val="4"/>
        <charset val="136"/>
      </rPr>
      <t>欄第</t>
    </r>
    <r>
      <rPr>
        <sz val="10"/>
        <color indexed="8"/>
        <rFont val="Book Antiqua"/>
        <family val="1"/>
      </rPr>
      <t>(31)</t>
    </r>
    <r>
      <rPr>
        <sz val="10"/>
        <color indexed="8"/>
        <rFont val="標楷體"/>
        <family val="4"/>
        <charset val="136"/>
      </rPr>
      <t>列</t>
    </r>
    <r>
      <rPr>
        <sz val="10"/>
        <color indexed="8"/>
        <rFont val="Book Antiqua"/>
        <family val="1"/>
      </rPr>
      <t xml:space="preserve"> </t>
    </r>
    <r>
      <rPr>
        <sz val="10"/>
        <color indexed="8"/>
        <rFont val="標楷體"/>
        <family val="4"/>
        <charset val="136"/>
      </rPr>
      <t>之金額相一致。</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</si>
  <si>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</si>
  <si>
    <r>
      <rPr>
        <sz val="10"/>
        <color indexed="8"/>
        <rFont val="標楷體"/>
        <family val="4"/>
        <charset val="136"/>
      </rPr>
      <t>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phoneticPr fontId="9" type="noConversion"/>
  </si>
  <si>
    <r>
      <rPr>
        <sz val="10"/>
        <color indexed="8"/>
        <rFont val="標楷體"/>
        <family val="4"/>
        <charset val="136"/>
      </rPr>
      <t>單位</t>
    </r>
    <r>
      <rPr>
        <sz val="10"/>
        <color indexed="8"/>
        <rFont val="Book Antiqua"/>
        <family val="1"/>
      </rPr>
      <t>:</t>
    </r>
    <r>
      <rPr>
        <sz val="10"/>
        <color indexed="8"/>
        <rFont val="標楷體"/>
        <family val="4"/>
        <charset val="136"/>
      </rPr>
      <t>新台幣元</t>
    </r>
    <r>
      <rPr>
        <sz val="10"/>
        <color indexed="8"/>
        <rFont val="Book Antiqua"/>
        <family val="1"/>
      </rPr>
      <t>,%</t>
    </r>
  </si>
  <si>
    <r>
      <rPr>
        <sz val="10"/>
        <color indexed="8"/>
        <rFont val="標楷體"/>
        <family val="4"/>
        <charset val="136"/>
      </rPr>
      <t>列號</t>
    </r>
  </si>
  <si>
    <r>
      <rPr>
        <sz val="10"/>
        <color indexed="8"/>
        <rFont val="標楷體"/>
        <family val="4"/>
        <charset val="136"/>
      </rPr>
      <t>不動產種類</t>
    </r>
  </si>
  <si>
    <r>
      <rPr>
        <sz val="10"/>
        <color indexed="8"/>
        <rFont val="標楷體"/>
        <family val="4"/>
        <charset val="136"/>
      </rPr>
      <t>國內投資帳面淨額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</si>
  <si>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</si>
  <si>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國內外投資帳面淨額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r>
      <rPr>
        <sz val="10"/>
        <color indexed="8"/>
        <rFont val="標楷體"/>
        <family val="4"/>
        <charset val="136"/>
      </rPr>
      <t>合計</t>
    </r>
    <phoneticPr fontId="9" type="noConversion"/>
  </si>
  <si>
    <r>
      <rPr>
        <sz val="10"/>
        <color indexed="8"/>
        <rFont val="標楷體"/>
        <family val="4"/>
        <charset val="136"/>
      </rPr>
      <t>投資性不動產稅後增值或稅後減少之金額</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</si>
  <si>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備註</t>
    </r>
  </si>
  <si>
    <r>
      <rPr>
        <sz val="10"/>
        <color indexed="8"/>
        <rFont val="標楷體"/>
        <family val="4"/>
        <charset val="136"/>
      </rPr>
      <t>土地</t>
    </r>
  </si>
  <si>
    <r>
      <rPr>
        <sz val="10"/>
        <color indexed="8"/>
        <rFont val="標楷體"/>
        <family val="4"/>
        <charset val="136"/>
      </rPr>
      <t>房屋</t>
    </r>
  </si>
  <si>
    <r>
      <rPr>
        <sz val="10"/>
        <color indexed="8"/>
        <rFont val="標楷體"/>
        <family val="4"/>
        <charset val="136"/>
      </rPr>
      <t>地上權</t>
    </r>
  </si>
  <si>
    <r>
      <rPr>
        <sz val="10"/>
        <color indexed="8"/>
        <rFont val="標楷體"/>
        <family val="4"/>
        <charset val="136"/>
      </rPr>
      <t>其他</t>
    </r>
  </si>
  <si>
    <r>
      <rPr>
        <sz val="10"/>
        <color indexed="8"/>
        <rFont val="標楷體"/>
        <family val="4"/>
        <charset val="136"/>
      </rPr>
      <t>合計</t>
    </r>
  </si>
  <si>
    <r>
      <rPr>
        <sz val="10"/>
        <color indexed="8"/>
        <rFont val="標楷體"/>
        <family val="4"/>
        <charset val="136"/>
      </rPr>
      <t>占資金比率</t>
    </r>
    <r>
      <rPr>
        <sz val="10"/>
        <color indexed="8"/>
        <rFont val="Book Antiqua"/>
        <family val="1"/>
      </rPr>
      <t>%</t>
    </r>
  </si>
  <si>
    <r>
      <rPr>
        <sz val="10"/>
        <color indexed="8"/>
        <rFont val="標楷體"/>
        <family val="4"/>
        <charset val="136"/>
      </rPr>
      <t>占業主權益比率</t>
    </r>
    <r>
      <rPr>
        <sz val="10"/>
        <color indexed="8"/>
        <rFont val="Book Antiqua"/>
        <family val="1"/>
      </rPr>
      <t>%</t>
    </r>
  </si>
  <si>
    <r>
      <rPr>
        <sz val="10"/>
        <color indexed="8"/>
        <rFont val="標楷體"/>
        <family val="4"/>
        <charset val="136"/>
      </rPr>
      <t>國內</t>
    </r>
    <phoneticPr fontId="9" type="noConversion"/>
  </si>
  <si>
    <r>
      <rPr>
        <sz val="10"/>
        <color indexed="8"/>
        <rFont val="標楷體"/>
        <family val="4"/>
        <charset val="136"/>
      </rPr>
      <t>國外</t>
    </r>
    <phoneticPr fontId="9" type="noConversion"/>
  </si>
  <si>
    <r>
      <rPr>
        <sz val="10"/>
        <color indexed="8"/>
        <rFont val="標楷體"/>
        <family val="4"/>
        <charset val="136"/>
      </rPr>
      <t>合計</t>
    </r>
    <phoneticPr fontId="9" type="noConversion"/>
  </si>
  <si>
    <r>
      <rPr>
        <sz val="10"/>
        <color indexed="8"/>
        <rFont val="標楷體"/>
        <family val="4"/>
        <charset val="136"/>
      </rPr>
      <t>國內投資總計</t>
    </r>
  </si>
  <si>
    <r>
      <rPr>
        <sz val="10"/>
        <color indexed="8"/>
        <rFont val="標楷體"/>
        <family val="4"/>
        <charset val="136"/>
      </rPr>
      <t>自用</t>
    </r>
  </si>
  <si>
    <r>
      <rPr>
        <sz val="10"/>
        <color indexed="8"/>
        <rFont val="標楷體"/>
        <family val="4"/>
        <charset val="136"/>
      </rPr>
      <t>不動產</t>
    </r>
  </si>
  <si>
    <r>
      <rPr>
        <sz val="10"/>
        <color indexed="8"/>
        <rFont val="標楷體"/>
        <family val="4"/>
        <charset val="136"/>
      </rPr>
      <t>投資用</t>
    </r>
  </si>
  <si>
    <r>
      <rPr>
        <sz val="10"/>
        <color indexed="8"/>
        <rFont val="標楷體"/>
        <family val="4"/>
        <charset val="136"/>
      </rPr>
      <t>不動產投資</t>
    </r>
  </si>
  <si>
    <r>
      <rPr>
        <sz val="10"/>
        <color indexed="8"/>
        <rFont val="標楷體"/>
        <family val="4"/>
        <charset val="136"/>
      </rPr>
      <t>具有收益性不動產</t>
    </r>
  </si>
  <si>
    <r>
      <rPr>
        <sz val="10"/>
        <color indexed="8"/>
        <rFont val="標楷體"/>
        <family val="4"/>
        <charset val="136"/>
      </rPr>
      <t>其他不動產投資</t>
    </r>
  </si>
  <si>
    <r>
      <rPr>
        <sz val="10"/>
        <color indexed="8"/>
        <rFont val="標楷體"/>
        <family val="4"/>
        <charset val="136"/>
      </rPr>
      <t>承受擔保品</t>
    </r>
  </si>
  <si>
    <r>
      <rPr>
        <sz val="10"/>
        <color indexed="8"/>
        <rFont val="標楷體"/>
        <family val="4"/>
        <charset val="136"/>
      </rPr>
      <t>承受擔保品</t>
    </r>
    <r>
      <rPr>
        <sz val="10"/>
        <color indexed="8"/>
        <rFont val="Book Antiqua"/>
        <family val="1"/>
      </rPr>
      <t>---</t>
    </r>
    <r>
      <rPr>
        <sz val="10"/>
        <color indexed="8"/>
        <rFont val="標楷體"/>
        <family val="4"/>
        <charset val="136"/>
      </rPr>
      <t>協議取得</t>
    </r>
  </si>
  <si>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</si>
  <si>
    <r>
      <rPr>
        <sz val="10"/>
        <color indexed="8"/>
        <rFont val="標楷體"/>
        <family val="4"/>
        <charset val="136"/>
      </rPr>
      <t>國外投資總計</t>
    </r>
  </si>
  <si>
    <r>
      <rPr>
        <sz val="10"/>
        <color indexed="8"/>
        <rFont val="標楷體"/>
        <family val="4"/>
        <charset val="136"/>
      </rPr>
      <t>國外不動產</t>
    </r>
    <r>
      <rPr>
        <sz val="10"/>
        <color indexed="8"/>
        <rFont val="Book Antiqua"/>
        <family val="1"/>
      </rPr>
      <t>--</t>
    </r>
    <r>
      <rPr>
        <sz val="10"/>
        <color indexed="8"/>
        <rFont val="標楷體"/>
        <family val="4"/>
        <charset val="136"/>
      </rPr>
      <t>已開發國家</t>
    </r>
    <phoneticPr fontId="9" type="noConversion"/>
  </si>
  <si>
    <r>
      <rPr>
        <sz val="10"/>
        <color indexed="8"/>
        <rFont val="標楷體"/>
        <family val="4"/>
        <charset val="136"/>
      </rPr>
      <t>國外不動產</t>
    </r>
    <r>
      <rPr>
        <sz val="10"/>
        <color indexed="8"/>
        <rFont val="Book Antiqua"/>
        <family val="1"/>
      </rPr>
      <t>--</t>
    </r>
    <r>
      <rPr>
        <sz val="10"/>
        <color indexed="8"/>
        <rFont val="標楷體"/>
        <family val="4"/>
        <charset val="136"/>
      </rPr>
      <t>新興市場</t>
    </r>
    <phoneticPr fontId="9" type="noConversion"/>
  </si>
  <si>
    <r>
      <rPr>
        <sz val="10"/>
        <color indexed="8"/>
        <rFont val="標楷體"/>
        <family val="4"/>
        <charset val="136"/>
      </rPr>
      <t>五年內取自關係人之不動產總計</t>
    </r>
  </si>
  <si>
    <r>
      <rPr>
        <sz val="10"/>
        <color indexed="8"/>
        <rFont val="標楷體"/>
        <family val="4"/>
        <charset val="136"/>
      </rPr>
      <t>自用不動產合計</t>
    </r>
  </si>
  <si>
    <r>
      <rPr>
        <sz val="10"/>
        <color indexed="8"/>
        <rFont val="標楷體"/>
        <family val="4"/>
        <charset val="136"/>
      </rPr>
      <t>不動產合計</t>
    </r>
  </si>
  <si>
    <r>
      <rPr>
        <sz val="10"/>
        <color indexed="8"/>
        <rFont val="標楷體"/>
        <family val="4"/>
        <charset val="136"/>
      </rPr>
      <t>本表第</t>
    </r>
    <r>
      <rPr>
        <sz val="10"/>
        <color indexed="8"/>
        <rFont val="Book Antiqua"/>
        <family val="1"/>
      </rPr>
      <t>(21)</t>
    </r>
    <r>
      <rPr>
        <sz val="10"/>
        <color indexed="8"/>
        <rFont val="標楷體"/>
        <family val="4"/>
        <charset val="136"/>
      </rPr>
      <t>欄第</t>
    </r>
    <r>
      <rPr>
        <sz val="10"/>
        <color indexed="8"/>
        <rFont val="Book Antiqua"/>
        <family val="1"/>
      </rPr>
      <t>(21)</t>
    </r>
    <r>
      <rPr>
        <sz val="10"/>
        <color indexed="8"/>
        <rFont val="標楷體"/>
        <family val="4"/>
        <charset val="136"/>
      </rPr>
      <t>列之金額應等於「表</t>
    </r>
    <r>
      <rPr>
        <sz val="10"/>
        <color indexed="8"/>
        <rFont val="Book Antiqua"/>
        <family val="1"/>
      </rPr>
      <t>13-1</t>
    </r>
    <r>
      <rPr>
        <sz val="10"/>
        <color indexed="8"/>
        <rFont val="標楷體"/>
        <family val="4"/>
        <charset val="136"/>
      </rPr>
      <t>：不動產餘額明細表」第</t>
    </r>
    <r>
      <rPr>
        <sz val="10"/>
        <color indexed="8"/>
        <rFont val="Book Antiqua"/>
        <family val="1"/>
      </rPr>
      <t>(34)</t>
    </r>
    <r>
      <rPr>
        <sz val="10"/>
        <color indexed="8"/>
        <rFont val="標楷體"/>
        <family val="4"/>
        <charset val="136"/>
      </rPr>
      <t>欄合計</t>
    </r>
    <phoneticPr fontId="7" type="noConversion"/>
  </si>
  <si>
    <r>
      <rPr>
        <sz val="10"/>
        <color indexed="8"/>
        <rFont val="標楷體"/>
        <family val="4"/>
        <charset val="136"/>
      </rPr>
      <t>表</t>
    </r>
    <r>
      <rPr>
        <sz val="10"/>
        <color indexed="8"/>
        <rFont val="Book Antiqua"/>
        <family val="1"/>
      </rPr>
      <t>13-1</t>
    </r>
    <r>
      <rPr>
        <sz val="10"/>
        <color indexed="8"/>
        <rFont val="標楷體"/>
        <family val="4"/>
        <charset val="136"/>
      </rPr>
      <t>：不動產餘額明細表</t>
    </r>
    <phoneticPr fontId="7" type="noConversion"/>
  </si>
  <si>
    <r>
      <rPr>
        <sz val="10"/>
        <color indexed="8"/>
        <rFont val="標楷體"/>
        <family val="4"/>
        <charset val="136"/>
      </rPr>
      <t>種類</t>
    </r>
  </si>
  <si>
    <r>
      <rPr>
        <sz val="10"/>
        <color indexed="8"/>
        <rFont val="標楷體"/>
        <family val="4"/>
        <charset val="136"/>
      </rPr>
      <t>不動產座落地點</t>
    </r>
  </si>
  <si>
    <r>
      <rPr>
        <sz val="10"/>
        <color indexed="8"/>
        <rFont val="標楷體"/>
        <family val="4"/>
        <charset val="136"/>
      </rPr>
      <t>是否有收益性</t>
    </r>
  </si>
  <si>
    <r>
      <rPr>
        <sz val="10"/>
        <color indexed="8"/>
        <rFont val="標楷體"/>
        <family val="4"/>
        <charset val="136"/>
      </rPr>
      <t xml:space="preserve">面積
</t>
    </r>
    <r>
      <rPr>
        <sz val="10"/>
        <color indexed="8"/>
        <rFont val="Book Antiqua"/>
        <family val="1"/>
      </rPr>
      <t>(</t>
    </r>
    <r>
      <rPr>
        <sz val="10"/>
        <color indexed="8"/>
        <rFont val="標楷體"/>
        <family val="4"/>
        <charset val="136"/>
      </rPr>
      <t>平方公尺</t>
    </r>
    <r>
      <rPr>
        <sz val="10"/>
        <color indexed="8"/>
        <rFont val="Book Antiqua"/>
        <family val="1"/>
      </rPr>
      <t>)</t>
    </r>
  </si>
  <si>
    <r>
      <rPr>
        <sz val="10"/>
        <color indexed="8"/>
        <rFont val="標楷體"/>
        <family val="4"/>
        <charset val="136"/>
      </rPr>
      <t>使用種類</t>
    </r>
  </si>
  <si>
    <r>
      <rPr>
        <sz val="10"/>
        <color indexed="8"/>
        <rFont val="標楷體"/>
        <family val="4"/>
        <charset val="136"/>
      </rPr>
      <t>取得方式</t>
    </r>
  </si>
  <si>
    <r>
      <rPr>
        <sz val="10"/>
        <color indexed="8"/>
        <rFont val="標楷體"/>
        <family val="4"/>
        <charset val="136"/>
      </rPr>
      <t xml:space="preserve">取得年月日
</t>
    </r>
    <r>
      <rPr>
        <sz val="10"/>
        <color indexed="8"/>
        <rFont val="Book Antiqua"/>
        <family val="1"/>
      </rPr>
      <t>(</t>
    </r>
    <r>
      <rPr>
        <sz val="10"/>
        <color indexed="8"/>
        <rFont val="標楷體"/>
        <family val="4"/>
        <charset val="136"/>
      </rPr>
      <t>主排序</t>
    </r>
    <r>
      <rPr>
        <sz val="10"/>
        <color indexed="8"/>
        <rFont val="Book Antiqua"/>
        <family val="1"/>
      </rPr>
      <t>-</t>
    </r>
    <r>
      <rPr>
        <sz val="10"/>
        <color indexed="8"/>
        <rFont val="標楷體"/>
        <family val="4"/>
        <charset val="136"/>
      </rPr>
      <t>遞減</t>
    </r>
    <r>
      <rPr>
        <sz val="10"/>
        <color indexed="8"/>
        <rFont val="Book Antiqua"/>
        <family val="1"/>
      </rPr>
      <t>)</t>
    </r>
  </si>
  <si>
    <r>
      <rPr>
        <sz val="10"/>
        <color indexed="8"/>
        <rFont val="標楷體"/>
        <family val="4"/>
        <charset val="136"/>
      </rPr>
      <t>出賣人</t>
    </r>
  </si>
  <si>
    <r>
      <rPr>
        <sz val="10"/>
        <color indexed="8"/>
        <rFont val="標楷體"/>
        <family val="4"/>
        <charset val="136"/>
      </rPr>
      <t>持有資產幣別</t>
    </r>
  </si>
  <si>
    <r>
      <rPr>
        <sz val="10"/>
        <color indexed="8"/>
        <rFont val="標楷體"/>
        <family val="4"/>
        <charset val="136"/>
      </rPr>
      <t>取得時投入成本</t>
    </r>
  </si>
  <si>
    <r>
      <rPr>
        <sz val="10"/>
        <color indexed="8"/>
        <rFont val="標楷體"/>
        <family val="4"/>
        <charset val="136"/>
      </rPr>
      <t>重估增值
金額</t>
    </r>
  </si>
  <si>
    <r>
      <rPr>
        <sz val="10"/>
        <color indexed="8"/>
        <rFont val="標楷體"/>
        <family val="4"/>
        <charset val="136"/>
      </rPr>
      <t>首次採用國際會計準則調整數</t>
    </r>
    <phoneticPr fontId="12" type="noConversion"/>
  </si>
  <si>
    <r>
      <rPr>
        <sz val="10"/>
        <color indexed="8"/>
        <rFont val="標楷體"/>
        <family val="4"/>
        <charset val="136"/>
      </rPr>
      <t>後續衡量採用公允價值模式之影響金額</t>
    </r>
    <phoneticPr fontId="12" type="noConversion"/>
  </si>
  <si>
    <r>
      <rPr>
        <sz val="10"/>
        <color indexed="8"/>
        <rFont val="標楷體"/>
        <family val="4"/>
        <charset val="136"/>
      </rPr>
      <t>帳面金額</t>
    </r>
  </si>
  <si>
    <r>
      <rPr>
        <sz val="10"/>
        <color indexed="8"/>
        <rFont val="標楷體"/>
        <family val="4"/>
        <charset val="136"/>
      </rPr>
      <t>抵減項目</t>
    </r>
  </si>
  <si>
    <r>
      <rPr>
        <sz val="10"/>
        <color indexed="8"/>
        <rFont val="標楷體"/>
        <family val="4"/>
        <charset val="136"/>
      </rPr>
      <t>帳面淨額</t>
    </r>
  </si>
  <si>
    <r>
      <rPr>
        <sz val="10"/>
        <color indexed="8"/>
        <rFont val="標楷體"/>
        <family val="4"/>
        <charset val="136"/>
      </rPr>
      <t>後續衡量採用公允價值模式之影響淨額</t>
    </r>
    <phoneticPr fontId="12" type="noConversion"/>
  </si>
  <si>
    <r>
      <rPr>
        <sz val="10"/>
        <color indexed="8"/>
        <rFont val="標楷體"/>
        <family val="4"/>
        <charset val="136"/>
      </rPr>
      <t>後續衡量未採用公允價值模式之帳面淨額</t>
    </r>
    <phoneticPr fontId="12" type="noConversion"/>
  </si>
  <si>
    <r>
      <rPr>
        <sz val="10"/>
        <color indexed="8"/>
        <rFont val="標楷體"/>
        <family val="4"/>
        <charset val="136"/>
      </rPr>
      <t>取得時鑑價公司</t>
    </r>
  </si>
  <si>
    <r>
      <rPr>
        <sz val="10"/>
        <color indexed="8"/>
        <rFont val="標楷體"/>
        <family val="4"/>
        <charset val="136"/>
      </rPr>
      <t>首次採用</t>
    </r>
    <r>
      <rPr>
        <sz val="10"/>
        <color indexed="8"/>
        <rFont val="Book Antiqua"/>
        <family val="1"/>
      </rPr>
      <t>IFRSs</t>
    </r>
    <r>
      <rPr>
        <sz val="10"/>
        <color indexed="8"/>
        <rFont val="標楷體"/>
        <family val="4"/>
        <charset val="136"/>
      </rPr>
      <t>依公允價值調整認定成本時之鑑價公司</t>
    </r>
    <phoneticPr fontId="7" type="noConversion"/>
  </si>
  <si>
    <r>
      <rPr>
        <sz val="10"/>
        <color indexed="8"/>
        <rFont val="標楷體"/>
        <family val="4"/>
        <charset val="136"/>
      </rPr>
      <t>是否符合計入自有資本調整項之規範</t>
    </r>
    <phoneticPr fontId="7" type="noConversion"/>
  </si>
  <si>
    <r>
      <rPr>
        <sz val="10"/>
        <color indexed="8"/>
        <rFont val="標楷體"/>
        <family val="4"/>
        <charset val="136"/>
      </rPr>
      <t>最近三個月內之鑑價結果</t>
    </r>
    <phoneticPr fontId="7" type="noConversion"/>
  </si>
  <si>
    <r>
      <rPr>
        <sz val="10"/>
        <color indexed="8"/>
        <rFont val="標楷體"/>
        <family val="4"/>
        <charset val="136"/>
      </rPr>
      <t>未實現增值應負擔之稅負</t>
    </r>
    <phoneticPr fontId="7" type="noConversion"/>
  </si>
  <si>
    <r>
      <rPr>
        <sz val="10"/>
        <color indexed="8"/>
        <rFont val="標楷體"/>
        <family val="4"/>
        <charset val="136"/>
      </rPr>
      <t>稅後增值或稅後減少之金額</t>
    </r>
    <phoneticPr fontId="7" type="noConversion"/>
  </si>
  <si>
    <r>
      <rPr>
        <sz val="10"/>
        <color indexed="8"/>
        <rFont val="標楷體"/>
        <family val="4"/>
        <charset val="136"/>
      </rPr>
      <t>年</t>
    </r>
  </si>
  <si>
    <r>
      <rPr>
        <sz val="10"/>
        <color indexed="8"/>
        <rFont val="標楷體"/>
        <family val="4"/>
        <charset val="136"/>
      </rPr>
      <t>代號</t>
    </r>
  </si>
  <si>
    <r>
      <rPr>
        <sz val="10"/>
        <color indexed="8"/>
        <rFont val="標楷體"/>
        <family val="4"/>
        <charset val="136"/>
      </rPr>
      <t>名稱</t>
    </r>
  </si>
  <si>
    <r>
      <rPr>
        <sz val="10"/>
        <color indexed="8"/>
        <rFont val="標楷體"/>
        <family val="4"/>
        <charset val="136"/>
      </rPr>
      <t>是否為關係人</t>
    </r>
  </si>
  <si>
    <r>
      <rPr>
        <sz val="10"/>
        <color indexed="8"/>
        <rFont val="標楷體"/>
        <family val="4"/>
        <charset val="136"/>
      </rPr>
      <t>後續衡量未採用公允價值模式</t>
    </r>
    <phoneticPr fontId="7" type="noConversion"/>
  </si>
  <si>
    <r>
      <rPr>
        <sz val="10"/>
        <color indexed="8"/>
        <rFont val="標楷體"/>
        <family val="4"/>
        <charset val="136"/>
      </rPr>
      <t>後續衡量採用公允價值模式之差異數</t>
    </r>
    <phoneticPr fontId="7" type="noConversion"/>
  </si>
  <si>
    <r>
      <rPr>
        <sz val="10"/>
        <color indexed="8"/>
        <rFont val="標楷體"/>
        <family val="4"/>
        <charset val="136"/>
      </rPr>
      <t>鑑價價格</t>
    </r>
  </si>
  <si>
    <r>
      <rPr>
        <sz val="10"/>
        <color indexed="8"/>
        <rFont val="標楷體"/>
        <family val="4"/>
        <charset val="136"/>
      </rPr>
      <t>合計</t>
    </r>
    <phoneticPr fontId="7" type="noConversion"/>
  </si>
  <si>
    <r>
      <rPr>
        <sz val="10"/>
        <color indexed="8"/>
        <rFont val="標楷體"/>
        <family val="4"/>
        <charset val="136"/>
      </rPr>
      <t>註：</t>
    </r>
  </si>
  <si>
    <r>
      <rPr>
        <sz val="10"/>
        <color indexed="8"/>
        <rFont val="標楷體"/>
        <family val="4"/>
        <charset val="136"/>
      </rPr>
      <t>各項代號係指統一編號或洽由財團法人保險事業發展中心統一配賦</t>
    </r>
  </si>
  <si>
    <r>
      <rPr>
        <sz val="10"/>
        <color indexed="8"/>
        <rFont val="標楷體"/>
        <family val="4"/>
        <charset val="136"/>
      </rPr>
      <t>種類請依序填列</t>
    </r>
    <r>
      <rPr>
        <sz val="10"/>
        <color indexed="8"/>
        <rFont val="Book Antiqua"/>
        <family val="1"/>
      </rPr>
      <t>A.</t>
    </r>
    <r>
      <rPr>
        <sz val="10"/>
        <color indexed="8"/>
        <rFont val="標楷體"/>
        <family val="4"/>
        <charset val="136"/>
      </rPr>
      <t>土地</t>
    </r>
    <r>
      <rPr>
        <sz val="10"/>
        <color indexed="8"/>
        <rFont val="Book Antiqua"/>
        <family val="1"/>
      </rPr>
      <t>B.</t>
    </r>
    <r>
      <rPr>
        <sz val="10"/>
        <color indexed="8"/>
        <rFont val="標楷體"/>
        <family val="4"/>
        <charset val="136"/>
      </rPr>
      <t>房屋</t>
    </r>
    <r>
      <rPr>
        <sz val="10"/>
        <color indexed="8"/>
        <rFont val="Book Antiqua"/>
        <family val="1"/>
      </rPr>
      <t>,C.</t>
    </r>
    <r>
      <rPr>
        <sz val="10"/>
        <color indexed="8"/>
        <rFont val="標楷體"/>
        <family val="4"/>
        <charset val="136"/>
      </rPr>
      <t>地上權</t>
    </r>
    <r>
      <rPr>
        <sz val="10"/>
        <color indexed="8"/>
        <rFont val="Book Antiqua"/>
        <family val="1"/>
      </rPr>
      <t>,D.</t>
    </r>
    <r>
      <rPr>
        <sz val="10"/>
        <color indexed="8"/>
        <rFont val="標楷體"/>
        <family val="4"/>
        <charset val="136"/>
      </rPr>
      <t>預付房地款</t>
    </r>
    <r>
      <rPr>
        <sz val="10"/>
        <color indexed="8"/>
        <rFont val="Book Antiqua"/>
        <family val="1"/>
      </rPr>
      <t>,E.</t>
    </r>
    <r>
      <rPr>
        <sz val="10"/>
        <color indexed="8"/>
        <rFont val="標楷體"/>
        <family val="4"/>
        <charset val="136"/>
      </rPr>
      <t>未完工程</t>
    </r>
    <r>
      <rPr>
        <sz val="10"/>
        <color indexed="8"/>
        <rFont val="Book Antiqua"/>
        <family val="1"/>
      </rPr>
      <t>,F.</t>
    </r>
    <r>
      <rPr>
        <sz val="10"/>
        <color indexed="8"/>
        <rFont val="標楷體"/>
        <family val="4"/>
        <charset val="136"/>
      </rPr>
      <t>其他</t>
    </r>
    <r>
      <rPr>
        <sz val="10"/>
        <color indexed="8"/>
        <rFont val="Book Antiqua"/>
        <family val="1"/>
      </rPr>
      <t>,</t>
    </r>
    <r>
      <rPr>
        <sz val="10"/>
        <color indexed="8"/>
        <rFont val="標楷體"/>
        <family val="4"/>
        <charset val="136"/>
      </rPr>
      <t>本表含在建工程或未完工程等項目</t>
    </r>
  </si>
  <si>
    <r>
      <rPr>
        <sz val="10"/>
        <color indexed="8"/>
        <rFont val="標楷體"/>
        <family val="4"/>
        <charset val="136"/>
      </rPr>
      <t>座落地點於土地請填詳細地號，於房屋請填詳細地址及建號</t>
    </r>
    <r>
      <rPr>
        <sz val="10"/>
        <color indexed="8"/>
        <rFont val="Book Antiqua"/>
        <family val="1"/>
      </rPr>
      <t xml:space="preserve"> </t>
    </r>
  </si>
  <si>
    <r>
      <rPr>
        <sz val="10"/>
        <color indexed="8"/>
        <rFont val="標楷體"/>
        <family val="4"/>
        <charset val="136"/>
      </rPr>
      <t>所稱收益性係指不動產有出租事實並有現金流入者</t>
    </r>
    <r>
      <rPr>
        <sz val="10"/>
        <color indexed="8"/>
        <rFont val="Book Antiqua"/>
        <family val="1"/>
      </rPr>
      <t>,</t>
    </r>
    <r>
      <rPr>
        <sz val="10"/>
        <color indexed="8"/>
        <rFont val="標楷體"/>
        <family val="4"/>
        <charset val="136"/>
      </rPr>
      <t>有收益者請填</t>
    </r>
    <r>
      <rPr>
        <sz val="10"/>
        <color indexed="8"/>
        <rFont val="Book Antiqua"/>
        <family val="1"/>
      </rPr>
      <t>Y,</t>
    </r>
    <r>
      <rPr>
        <sz val="10"/>
        <color indexed="8"/>
        <rFont val="標楷體"/>
        <family val="4"/>
        <charset val="136"/>
      </rPr>
      <t>若無請填</t>
    </r>
    <r>
      <rPr>
        <sz val="10"/>
        <color indexed="8"/>
        <rFont val="Book Antiqua"/>
        <family val="1"/>
      </rPr>
      <t>N</t>
    </r>
  </si>
  <si>
    <r>
      <rPr>
        <sz val="10"/>
        <color indexed="8"/>
        <rFont val="標楷體"/>
        <family val="4"/>
        <charset val="136"/>
      </rPr>
      <t>所稱面積於土地係指土地面積</t>
    </r>
    <r>
      <rPr>
        <sz val="10"/>
        <color indexed="8"/>
        <rFont val="Book Antiqua"/>
        <family val="1"/>
      </rPr>
      <t>,</t>
    </r>
    <r>
      <rPr>
        <sz val="10"/>
        <color indexed="8"/>
        <rFont val="標楷體"/>
        <family val="4"/>
        <charset val="136"/>
      </rPr>
      <t>於房屋係指建物面積</t>
    </r>
    <r>
      <rPr>
        <sz val="10"/>
        <color indexed="8"/>
        <rFont val="Book Antiqua"/>
        <family val="1"/>
      </rPr>
      <t>,</t>
    </r>
    <r>
      <rPr>
        <sz val="10"/>
        <color indexed="8"/>
        <rFont val="標楷體"/>
        <family val="4"/>
        <charset val="136"/>
      </rPr>
      <t>單位為平方公尺</t>
    </r>
    <r>
      <rPr>
        <sz val="10"/>
        <color indexed="8"/>
        <rFont val="Book Antiqua"/>
        <family val="1"/>
      </rPr>
      <t xml:space="preserve"> </t>
    </r>
  </si>
  <si>
    <r>
      <rPr>
        <sz val="10"/>
        <color indexed="8"/>
        <rFont val="標楷體"/>
        <family val="4"/>
        <charset val="136"/>
      </rPr>
      <t>使用種類請依序填列</t>
    </r>
    <r>
      <rPr>
        <sz val="10"/>
        <color indexed="8"/>
        <rFont val="Book Antiqua"/>
        <family val="1"/>
      </rPr>
      <t>A.</t>
    </r>
    <r>
      <rPr>
        <sz val="10"/>
        <color indexed="8"/>
        <rFont val="標楷體"/>
        <family val="4"/>
        <charset val="136"/>
      </rPr>
      <t>自用</t>
    </r>
    <r>
      <rPr>
        <sz val="10"/>
        <color indexed="8"/>
        <rFont val="Book Antiqua"/>
        <family val="1"/>
      </rPr>
      <t>,B.</t>
    </r>
    <r>
      <rPr>
        <sz val="10"/>
        <color indexed="8"/>
        <rFont val="標楷體"/>
        <family val="4"/>
        <charset val="136"/>
      </rPr>
      <t>投資用</t>
    </r>
    <r>
      <rPr>
        <sz val="10"/>
        <color indexed="8"/>
        <rFont val="Book Antiqua"/>
        <family val="1"/>
      </rPr>
      <t>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</si>
  <si>
    <r>
      <rPr>
        <sz val="10"/>
        <color indexed="8"/>
        <rFont val="標楷體"/>
        <family val="4"/>
        <charset val="136"/>
      </rPr>
      <t>取得方式請填</t>
    </r>
    <r>
      <rPr>
        <sz val="10"/>
        <color indexed="8"/>
        <rFont val="Book Antiqua"/>
        <family val="1"/>
      </rPr>
      <t>A.</t>
    </r>
    <r>
      <rPr>
        <sz val="10"/>
        <color indexed="8"/>
        <rFont val="標楷體"/>
        <family val="4"/>
        <charset val="136"/>
      </rPr>
      <t>買賣</t>
    </r>
    <r>
      <rPr>
        <sz val="10"/>
        <color indexed="8"/>
        <rFont val="Book Antiqua"/>
        <family val="1"/>
      </rPr>
      <t>,B.</t>
    </r>
    <r>
      <rPr>
        <sz val="10"/>
        <color indexed="8"/>
        <rFont val="標楷體"/>
        <family val="4"/>
        <charset val="136"/>
      </rPr>
      <t>承受擔保</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</si>
  <si>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r>
      <rPr>
        <sz val="10"/>
        <color indexed="8"/>
        <rFont val="Book Antiqua"/>
        <family val="1"/>
      </rPr>
      <t>,</t>
    </r>
    <r>
      <rPr>
        <sz val="10"/>
        <color indexed="8"/>
        <rFont val="標楷體"/>
        <family val="4"/>
        <charset val="136"/>
      </rPr>
      <t>在建工程或未完工程請填無</t>
    </r>
  </si>
  <si>
    <r>
      <rPr>
        <sz val="10"/>
        <color indexed="8"/>
        <rFont val="標楷體"/>
        <family val="4"/>
        <charset val="136"/>
      </rPr>
      <t>是否為關係人請依序填列</t>
    </r>
    <r>
      <rPr>
        <sz val="10"/>
        <color indexed="8"/>
        <rFont val="Book Antiqua"/>
        <family val="1"/>
      </rPr>
      <t>A.</t>
    </r>
    <r>
      <rPr>
        <sz val="10"/>
        <color indexed="8"/>
        <rFont val="標楷體"/>
        <family val="4"/>
        <charset val="136"/>
      </rPr>
      <t>否</t>
    </r>
    <r>
      <rPr>
        <sz val="10"/>
        <color indexed="8"/>
        <rFont val="Book Antiqua"/>
        <family val="1"/>
      </rPr>
      <t>,B.</t>
    </r>
    <r>
      <rPr>
        <sz val="10"/>
        <color indexed="8"/>
        <rFont val="標楷體"/>
        <family val="4"/>
        <charset val="136"/>
      </rPr>
      <t>關係人</t>
    </r>
    <r>
      <rPr>
        <sz val="10"/>
        <color indexed="8"/>
        <rFont val="Book Antiqua"/>
        <family val="1"/>
      </rPr>
      <t>-</t>
    </r>
    <r>
      <rPr>
        <sz val="10"/>
        <color indexed="8"/>
        <rFont val="標楷體"/>
        <family val="4"/>
        <charset val="136"/>
      </rPr>
      <t>非控制與從屬關係</t>
    </r>
    <r>
      <rPr>
        <sz val="10"/>
        <color indexed="8"/>
        <rFont val="Book Antiqua"/>
        <family val="1"/>
      </rPr>
      <t>,C.</t>
    </r>
    <r>
      <rPr>
        <sz val="10"/>
        <color indexed="8"/>
        <rFont val="標楷體"/>
        <family val="4"/>
        <charset val="136"/>
      </rPr>
      <t>關係人</t>
    </r>
    <r>
      <rPr>
        <sz val="10"/>
        <color indexed="8"/>
        <rFont val="Book Antiqua"/>
        <family val="1"/>
      </rPr>
      <t>-</t>
    </r>
    <r>
      <rPr>
        <sz val="10"/>
        <color indexed="8"/>
        <rFont val="標楷體"/>
        <family val="4"/>
        <charset val="136"/>
      </rPr>
      <t>具控制與從屬關係；所稱關係人係依國際會計準則第二十四號公報及公司法第</t>
    </r>
    <r>
      <rPr>
        <sz val="10"/>
        <color indexed="8"/>
        <rFont val="Book Antiqua"/>
        <family val="1"/>
      </rPr>
      <t>369-1~369-3</t>
    </r>
    <r>
      <rPr>
        <sz val="10"/>
        <color indexed="8"/>
        <rFont val="標楷體"/>
        <family val="4"/>
        <charset val="136"/>
      </rPr>
      <t>條、第</t>
    </r>
    <r>
      <rPr>
        <sz val="10"/>
        <color indexed="8"/>
        <rFont val="Book Antiqua"/>
        <family val="1"/>
      </rPr>
      <t>369-9</t>
    </r>
    <r>
      <rPr>
        <sz val="10"/>
        <color indexed="8"/>
        <rFont val="標楷體"/>
        <family val="4"/>
        <charset val="136"/>
      </rPr>
      <t>條、及第</t>
    </r>
    <r>
      <rPr>
        <sz val="10"/>
        <color indexed="8"/>
        <rFont val="Book Antiqua"/>
        <family val="1"/>
      </rPr>
      <t>369-11</t>
    </r>
    <r>
      <rPr>
        <sz val="10"/>
        <color indexed="8"/>
        <rFont val="標楷體"/>
        <family val="4"/>
        <charset val="136"/>
      </rPr>
      <t>條及關係企業合併營業報告書關係企業合併財務報表及關係報告書編製準則第六條之規定</t>
    </r>
    <phoneticPr fontId="7" type="noConversion"/>
  </si>
  <si>
    <r>
      <rPr>
        <sz val="10"/>
        <color indexed="8"/>
        <rFont val="標楷體"/>
        <family val="4"/>
        <charset val="136"/>
      </rPr>
      <t>買賣人代號請填其統一編號或身分證字號</t>
    </r>
    <r>
      <rPr>
        <sz val="10"/>
        <color indexed="8"/>
        <rFont val="Book Antiqua"/>
        <family val="1"/>
      </rPr>
      <t>,</t>
    </r>
    <r>
      <rPr>
        <sz val="10"/>
        <color indexed="8"/>
        <rFont val="標楷體"/>
        <family val="4"/>
        <charset val="136"/>
      </rPr>
      <t>若現所持有不動產係五年內購自於關係人者</t>
    </r>
    <r>
      <rPr>
        <sz val="10"/>
        <color indexed="8"/>
        <rFont val="Book Antiqua"/>
        <family val="1"/>
      </rPr>
      <t>,</t>
    </r>
    <r>
      <rPr>
        <sz val="10"/>
        <color indexed="8"/>
        <rFont val="標楷體"/>
        <family val="4"/>
        <charset val="136"/>
      </rPr>
      <t>應於出賣人欄填列出賣人名稱及代號</t>
    </r>
    <r>
      <rPr>
        <sz val="10"/>
        <color indexed="8"/>
        <rFont val="Book Antiqua"/>
        <family val="1"/>
      </rPr>
      <t>,</t>
    </r>
    <r>
      <rPr>
        <sz val="10"/>
        <color indexed="8"/>
        <rFont val="標楷體"/>
        <family val="4"/>
        <charset val="136"/>
      </rPr>
      <t>餘若不可考者免填</t>
    </r>
  </si>
  <si>
    <r>
      <rPr>
        <sz val="10"/>
        <color indexed="8"/>
        <rFont val="標楷體"/>
        <family val="4"/>
        <charset val="136"/>
      </rPr>
      <t>本表均含國內外投資</t>
    </r>
    <r>
      <rPr>
        <sz val="10"/>
        <color indexed="8"/>
        <rFont val="Book Antiqua"/>
        <family val="1"/>
      </rPr>
      <t>,</t>
    </r>
    <r>
      <rPr>
        <sz val="10"/>
        <color indexed="8"/>
        <rFont val="標楷體"/>
        <family val="4"/>
        <charset val="136"/>
      </rPr>
      <t>若屬國外投資者於持有資產幣別請填該幣別代號如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r>
      <rPr>
        <sz val="10"/>
        <color indexed="8"/>
        <rFont val="Book Antiqua"/>
        <family val="1"/>
      </rPr>
      <t>;</t>
    </r>
    <r>
      <rPr>
        <sz val="10"/>
        <color indexed="8"/>
        <rFont val="標楷體"/>
        <family val="4"/>
        <charset val="136"/>
      </rPr>
      <t>若屬國外投資</t>
    </r>
    <r>
      <rPr>
        <sz val="10"/>
        <color indexed="8"/>
        <rFont val="Book Antiqua"/>
        <family val="1"/>
      </rPr>
      <t>,</t>
    </r>
    <r>
      <rPr>
        <sz val="10"/>
        <color indexed="8"/>
        <rFont val="標楷體"/>
        <family val="4"/>
        <charset val="136"/>
      </rPr>
      <t>請以期末匯率換算為新台幣帳面淨額</t>
    </r>
    <phoneticPr fontId="7" type="noConversion"/>
  </si>
  <si>
    <r>
      <rPr>
        <sz val="10"/>
        <color indexed="8"/>
        <rFont val="標楷體"/>
        <family val="4"/>
        <charset val="136"/>
      </rPr>
      <t>取得時投入成本含修繕不動產之資本支出</t>
    </r>
  </si>
  <si>
    <r>
      <rPr>
        <sz val="10"/>
        <color indexed="8"/>
        <rFont val="標楷體"/>
        <family val="4"/>
        <charset val="136"/>
      </rPr>
      <t>抵減項目於房屋部分指累計折舊、累計減損及建物增值稅</t>
    </r>
    <r>
      <rPr>
        <sz val="10"/>
        <color indexed="8"/>
        <rFont val="Book Antiqua"/>
        <family val="1"/>
      </rPr>
      <t>,</t>
    </r>
    <r>
      <rPr>
        <sz val="10"/>
        <color indexed="8"/>
        <rFont val="標楷體"/>
        <family val="4"/>
        <charset val="136"/>
      </rPr>
      <t>土地部分指土地增值稅準備及累計減損；以及不動產採用國際財務報導準則第</t>
    </r>
    <r>
      <rPr>
        <sz val="10"/>
        <color indexed="8"/>
        <rFont val="Book Antiqua"/>
        <family val="1"/>
      </rPr>
      <t xml:space="preserve">16 </t>
    </r>
    <r>
      <rPr>
        <sz val="10"/>
        <color indexed="8"/>
        <rFont val="標楷體"/>
        <family val="4"/>
        <charset val="136"/>
      </rPr>
      <t>號「租賃」</t>
    </r>
    <r>
      <rPr>
        <sz val="10"/>
        <color indexed="8"/>
        <rFont val="Book Antiqua"/>
        <family val="1"/>
      </rPr>
      <t>(IFRS 16)</t>
    </r>
    <r>
      <rPr>
        <sz val="10"/>
        <color indexed="8"/>
        <rFont val="標楷體"/>
        <family val="4"/>
        <charset val="136"/>
      </rPr>
      <t>產生之租賃負債。有「不動產採用</t>
    </r>
    <r>
      <rPr>
        <sz val="10"/>
        <color indexed="8"/>
        <rFont val="Book Antiqua"/>
        <family val="1"/>
      </rPr>
      <t>IFRS16</t>
    </r>
    <r>
      <rPr>
        <sz val="10"/>
        <color indexed="8"/>
        <rFont val="標楷體"/>
        <family val="4"/>
        <charset val="136"/>
      </rPr>
      <t>產生之租賃負債」抵減項目者，應於備註欄位註明抵減金額數。</t>
    </r>
    <phoneticPr fontId="9" type="noConversion"/>
  </si>
  <si>
    <r>
      <rPr>
        <sz val="10"/>
        <color indexed="8"/>
        <rFont val="標楷體"/>
        <family val="4"/>
        <charset val="136"/>
      </rPr>
      <t>鑑價公司係指九十年以後取得</t>
    </r>
    <r>
      <rPr>
        <sz val="10"/>
        <color indexed="8"/>
        <rFont val="Book Antiqua"/>
        <family val="1"/>
      </rPr>
      <t>(</t>
    </r>
    <r>
      <rPr>
        <sz val="10"/>
        <color indexed="8"/>
        <rFont val="標楷體"/>
        <family val="4"/>
        <charset val="136"/>
      </rPr>
      <t>買賣交易</t>
    </r>
    <r>
      <rPr>
        <sz val="10"/>
        <color indexed="8"/>
        <rFont val="Book Antiqua"/>
        <family val="1"/>
      </rPr>
      <t>)</t>
    </r>
    <r>
      <rPr>
        <sz val="10"/>
        <color indexed="8"/>
        <rFont val="標楷體"/>
        <family val="4"/>
        <charset val="136"/>
      </rPr>
      <t>不動產時之鑑價公司</t>
    </r>
  </si>
  <si>
    <r>
      <rPr>
        <sz val="10"/>
        <color indexed="8"/>
        <rFont val="標楷體"/>
        <family val="4"/>
        <charset val="136"/>
      </rPr>
      <t>是否符合計入自有資本調整項之適用範圍，係依「填報手冊表</t>
    </r>
    <r>
      <rPr>
        <sz val="10"/>
        <color indexed="8"/>
        <rFont val="Times New Roman"/>
        <family val="1"/>
      </rPr>
      <t>30-</t>
    </r>
    <r>
      <rPr>
        <sz val="10"/>
        <color indexed="8"/>
        <rFont val="Book Antiqua"/>
        <family val="1"/>
      </rPr>
      <t>8</t>
    </r>
    <r>
      <rPr>
        <sz val="10"/>
        <color indexed="8"/>
        <rFont val="Times New Roman"/>
        <family val="1"/>
      </rPr>
      <t>-3</t>
    </r>
    <r>
      <rPr>
        <sz val="10"/>
        <color indexed="8"/>
        <rFont val="標楷體"/>
        <family val="4"/>
        <charset val="136"/>
      </rPr>
      <t>：不動產投資採公允價值評價計入自有資本調整計算表：一、適用範圍」判斷之。請填列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7" type="noConversion"/>
  </si>
  <si>
    <r>
      <rPr>
        <sz val="10"/>
        <color indexed="8"/>
        <rFont val="標楷體"/>
        <family val="4"/>
        <charset val="136"/>
      </rPr>
      <t>第</t>
    </r>
    <r>
      <rPr>
        <sz val="10"/>
        <color indexed="8"/>
        <rFont val="Book Antiqua"/>
        <family val="1"/>
      </rPr>
      <t>(28)</t>
    </r>
    <r>
      <rPr>
        <sz val="10"/>
        <color indexed="8"/>
        <rFont val="標楷體"/>
        <family val="4"/>
        <charset val="136"/>
      </rPr>
      <t>欄填列為</t>
    </r>
    <r>
      <rPr>
        <sz val="10"/>
        <color indexed="8"/>
        <rFont val="Book Antiqua"/>
        <family val="1"/>
      </rPr>
      <t>N</t>
    </r>
    <r>
      <rPr>
        <sz val="10"/>
        <color indexed="8"/>
        <rFont val="標楷體"/>
        <family val="4"/>
        <charset val="136"/>
      </rPr>
      <t>者，得不需填列第</t>
    </r>
    <r>
      <rPr>
        <sz val="10"/>
        <color indexed="8"/>
        <rFont val="Book Antiqua"/>
        <family val="1"/>
      </rPr>
      <t>(29)</t>
    </r>
    <r>
      <rPr>
        <sz val="10"/>
        <color indexed="8"/>
        <rFont val="標楷體"/>
        <family val="4"/>
        <charset val="136"/>
      </rPr>
      <t>欄到</t>
    </r>
    <r>
      <rPr>
        <sz val="10"/>
        <color indexed="8"/>
        <rFont val="Book Antiqua"/>
        <family val="1"/>
      </rPr>
      <t>(34)</t>
    </r>
    <r>
      <rPr>
        <sz val="10"/>
        <color indexed="8"/>
        <rFont val="標楷體"/>
        <family val="4"/>
        <charset val="136"/>
      </rPr>
      <t>欄</t>
    </r>
    <phoneticPr fontId="7" type="noConversion"/>
  </si>
  <si>
    <r>
      <rPr>
        <sz val="10"/>
        <color indexed="8"/>
        <rFont val="標楷體"/>
        <family val="4"/>
        <charset val="136"/>
      </rPr>
      <t>調整後不動產稅後增值或稅後減少之金額，第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</si>
  <si>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r>
      <rPr>
        <sz val="10"/>
        <color indexed="8"/>
        <rFont val="Times New Roman"/>
        <family val="1"/>
      </rPr>
      <t>(</t>
    </r>
    <r>
      <rPr>
        <sz val="10"/>
        <color indexed="8"/>
        <rFont val="標楷體"/>
        <family val="4"/>
        <charset val="136"/>
      </rPr>
      <t>請備註：國外籌資事業投資</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</si>
  <si>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得計入自有資本之最大金額，第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</si>
  <si>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</si>
  <si>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受益憑證</t>
    </r>
    <r>
      <rPr>
        <b/>
        <sz val="12"/>
        <color indexed="8"/>
        <rFont val="Times New Roman"/>
        <family val="1"/>
      </rPr>
      <t>(</t>
    </r>
    <r>
      <rPr>
        <b/>
        <sz val="12"/>
        <color indexed="8"/>
        <rFont val="標楷體"/>
        <family val="4"/>
        <charset val="136"/>
      </rPr>
      <t>基金</t>
    </r>
    <r>
      <rPr>
        <b/>
        <sz val="12"/>
        <color indexed="8"/>
        <rFont val="Times New Roman"/>
        <family val="1"/>
      </rPr>
      <t>)</t>
    </r>
    <r>
      <rPr>
        <b/>
        <sz val="12"/>
        <color indexed="8"/>
        <rFont val="標楷體"/>
        <family val="4"/>
        <charset val="136"/>
      </rPr>
      <t>種類</t>
    </r>
    <phoneticPr fontId="7" type="noConversion"/>
  </si>
  <si>
    <r>
      <rPr>
        <b/>
        <sz val="12"/>
        <color indexed="8"/>
        <rFont val="標楷體"/>
        <family val="4"/>
        <charset val="136"/>
      </rPr>
      <t>國內外投資合計</t>
    </r>
  </si>
  <si>
    <r>
      <rPr>
        <b/>
        <sz val="12"/>
        <color indexed="8"/>
        <rFont val="標楷體"/>
        <family val="4"/>
        <charset val="136"/>
      </rPr>
      <t>備註</t>
    </r>
  </si>
  <si>
    <r>
      <rPr>
        <b/>
        <sz val="12"/>
        <color indexed="8"/>
        <rFont val="標楷體"/>
        <family val="4"/>
        <charset val="136"/>
      </rPr>
      <t>最近公允價值或淨值總金額</t>
    </r>
    <phoneticPr fontId="7" type="noConversion"/>
  </si>
  <si>
    <r>
      <rPr>
        <sz val="12"/>
        <color indexed="8"/>
        <rFont val="標楷體"/>
        <family val="4"/>
        <charset val="136"/>
      </rPr>
      <t>非關係人股票型受益憑證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</si>
  <si>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</si>
  <si>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</si>
  <si>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具控制與從屬關係之關係人受益憑證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</si>
  <si>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</si>
  <si>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上市受益憑證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</si>
  <si>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</si>
  <si>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興櫃受益憑證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</si>
  <si>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非屬上市上櫃興櫃之其他受益憑證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</si>
  <si>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</si>
  <si>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</si>
  <si>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</si>
  <si>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國內避險型受益憑證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</si>
  <si>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phoneticPr fontId="9" type="noConversion"/>
  </si>
  <si>
    <r>
      <rPr>
        <sz val="12"/>
        <color indexed="8"/>
        <rFont val="標楷體"/>
        <family val="4"/>
        <charset val="136"/>
      </rPr>
      <t>國家級投資公司所設立之國內私募股權基金</t>
    </r>
    <phoneticPr fontId="7" type="noConversion"/>
  </si>
  <si>
    <r>
      <rPr>
        <sz val="12"/>
        <color indexed="8"/>
        <rFont val="標楷體"/>
        <family val="4"/>
        <charset val="136"/>
      </rPr>
      <t>證投信及證券商轉投資子公司擔任普通合夥人設立之國內私募股權基金</t>
    </r>
    <phoneticPr fontId="7" type="noConversion"/>
  </si>
  <si>
    <r>
      <rPr>
        <sz val="12"/>
        <color indexed="8"/>
        <rFont val="標楷體"/>
        <family val="4"/>
        <charset val="136"/>
      </rPr>
      <t>其他國內私募受益憑證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</si>
  <si>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指數型基金</t>
    </r>
    <phoneticPr fontId="7" type="noConversion"/>
  </si>
  <si>
    <r>
      <rPr>
        <sz val="12"/>
        <color indexed="8"/>
        <rFont val="標楷體"/>
        <family val="4"/>
        <charset val="136"/>
      </rPr>
      <t>國外不動產投資信託基金</t>
    </r>
    <phoneticPr fontId="7" type="noConversion"/>
  </si>
  <si>
    <r>
      <rPr>
        <sz val="12"/>
        <color indexed="8"/>
        <rFont val="標楷體"/>
        <family val="4"/>
        <charset val="136"/>
      </rPr>
      <t>國外對沖基金</t>
    </r>
    <phoneticPr fontId="7" type="noConversion"/>
  </si>
  <si>
    <r>
      <rPr>
        <sz val="12"/>
        <color indexed="8"/>
        <rFont val="標楷體"/>
        <family val="4"/>
        <charset val="136"/>
      </rPr>
      <t>國外私募股權基金</t>
    </r>
    <phoneticPr fontId="7" type="noConversion"/>
  </si>
  <si>
    <r>
      <rPr>
        <sz val="12"/>
        <color indexed="8"/>
        <rFont val="標楷體"/>
        <family val="4"/>
        <charset val="136"/>
      </rPr>
      <t>國外私募債權基金</t>
    </r>
    <phoneticPr fontId="7" type="noConversion"/>
  </si>
  <si>
    <r>
      <rPr>
        <sz val="12"/>
        <color indexed="8"/>
        <rFont val="標楷體"/>
        <family val="4"/>
        <charset val="136"/>
      </rPr>
      <t>國外不動產私募基金</t>
    </r>
    <phoneticPr fontId="7" type="noConversion"/>
  </si>
  <si>
    <r>
      <rPr>
        <sz val="12"/>
        <color indexed="8"/>
        <rFont val="標楷體"/>
        <family val="4"/>
        <charset val="136"/>
      </rPr>
      <t>基礎建設基金</t>
    </r>
    <phoneticPr fontId="7" type="noConversion"/>
  </si>
  <si>
    <r>
      <rPr>
        <sz val="12"/>
        <color indexed="8"/>
        <rFont val="標楷體"/>
        <family val="4"/>
        <charset val="136"/>
      </rPr>
      <t>商品基金</t>
    </r>
    <phoneticPr fontId="7" type="noConversion"/>
  </si>
  <si>
    <r>
      <rPr>
        <sz val="12"/>
        <color indexed="8"/>
        <rFont val="標楷體"/>
        <family val="4"/>
        <charset val="136"/>
      </rPr>
      <t>其他</t>
    </r>
    <phoneticPr fontId="7" type="noConversion"/>
  </si>
  <si>
    <r>
      <rPr>
        <sz val="12"/>
        <color indexed="8"/>
        <rFont val="標楷體"/>
        <family val="4"/>
        <charset val="136"/>
      </rPr>
      <t>期末受益憑證</t>
    </r>
    <r>
      <rPr>
        <sz val="12"/>
        <color indexed="8"/>
        <rFont val="Times New Roman"/>
        <family val="1"/>
      </rPr>
      <t>(</t>
    </r>
    <r>
      <rPr>
        <sz val="12"/>
        <color indexed="8"/>
        <rFont val="標楷體"/>
        <family val="4"/>
        <charset val="136"/>
      </rPr>
      <t>基金</t>
    </r>
    <r>
      <rPr>
        <sz val="12"/>
        <color indexed="8"/>
        <rFont val="Times New Roman"/>
        <family val="1"/>
      </rPr>
      <t>)</t>
    </r>
    <r>
      <rPr>
        <sz val="12"/>
        <color indexed="8"/>
        <rFont val="標楷體"/>
        <family val="4"/>
        <charset val="136"/>
      </rPr>
      <t>投資餘額</t>
    </r>
    <r>
      <rPr>
        <sz val="12"/>
        <color indexed="8"/>
        <rFont val="Times New Roman"/>
        <family val="1"/>
      </rPr>
      <t>(</t>
    </r>
    <r>
      <rPr>
        <sz val="12"/>
        <color indexed="8"/>
        <rFont val="標楷體"/>
        <family val="4"/>
        <charset val="136"/>
      </rPr>
      <t>列</t>
    </r>
    <r>
      <rPr>
        <sz val="12"/>
        <color indexed="8"/>
        <rFont val="Times New Roman"/>
        <family val="1"/>
      </rPr>
      <t>6-9</t>
    </r>
    <r>
      <rPr>
        <sz val="12"/>
        <color indexed="8"/>
        <rFont val="標楷體"/>
        <family val="4"/>
        <charset val="136"/>
      </rPr>
      <t>合計</t>
    </r>
    <r>
      <rPr>
        <sz val="12"/>
        <color indexed="8"/>
        <rFont val="Times New Roman"/>
        <family val="1"/>
      </rPr>
      <t>)</t>
    </r>
    <phoneticPr fontId="7" type="noConversion"/>
  </si>
  <si>
    <r>
      <rPr>
        <b/>
        <sz val="12"/>
        <color indexed="8"/>
        <rFont val="標楷體"/>
        <family val="4"/>
        <charset val="136"/>
      </rPr>
      <t>半年收盤平均價</t>
    </r>
    <phoneticPr fontId="7" type="noConversion"/>
  </si>
  <si>
    <r>
      <rPr>
        <sz val="12"/>
        <color indexed="8"/>
        <rFont val="標楷體"/>
        <family val="4"/>
        <charset val="136"/>
      </rPr>
      <t>一、國外關係人投資</t>
    </r>
    <phoneticPr fontId="7" type="noConversion"/>
  </si>
  <si>
    <r>
      <t>(</t>
    </r>
    <r>
      <rPr>
        <sz val="12"/>
        <color indexed="8"/>
        <rFont val="標楷體"/>
        <family val="4"/>
        <charset val="136"/>
      </rPr>
      <t>一</t>
    </r>
    <r>
      <rPr>
        <sz val="12"/>
        <color indexed="8"/>
        <rFont val="Times New Roman"/>
        <family val="1"/>
      </rPr>
      <t xml:space="preserve">) </t>
    </r>
    <r>
      <rPr>
        <sz val="12"/>
        <color indexed="8"/>
        <rFont val="標楷體"/>
        <family val="4"/>
        <charset val="136"/>
      </rPr>
      <t>具控制與從屬關係</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</si>
  <si>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</si>
  <si>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</si>
  <si>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</si>
  <si>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國外私募股權基金</t>
    </r>
  </si>
  <si>
    <r>
      <rPr>
        <sz val="12"/>
        <color indexed="8"/>
        <rFont val="標楷體"/>
        <family val="4"/>
        <charset val="136"/>
      </rPr>
      <t>國外私募債權基金</t>
    </r>
  </si>
  <si>
    <r>
      <rPr>
        <sz val="12"/>
        <color indexed="8"/>
        <rFont val="標楷體"/>
        <family val="4"/>
        <charset val="136"/>
      </rPr>
      <t>國外不動產私募基金</t>
    </r>
  </si>
  <si>
    <r>
      <t>(</t>
    </r>
    <r>
      <rPr>
        <sz val="12"/>
        <color indexed="8"/>
        <rFont val="標楷體"/>
        <family val="4"/>
        <charset val="136"/>
      </rPr>
      <t>二</t>
    </r>
    <r>
      <rPr>
        <sz val="12"/>
        <color indexed="8"/>
        <rFont val="Times New Roman"/>
        <family val="1"/>
      </rPr>
      <t xml:space="preserve">) </t>
    </r>
    <r>
      <rPr>
        <sz val="12"/>
        <color indexed="8"/>
        <rFont val="標楷體"/>
        <family val="4"/>
        <charset val="136"/>
      </rPr>
      <t>非具控制與從屬關係</t>
    </r>
    <phoneticPr fontId="7" type="noConversion"/>
  </si>
  <si>
    <r>
      <rPr>
        <sz val="12"/>
        <color indexed="8"/>
        <rFont val="標楷體"/>
        <family val="4"/>
        <charset val="136"/>
      </rPr>
      <t>二、國外非關係人投資</t>
    </r>
    <phoneticPr fontId="7"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</si>
  <si>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已關發國家</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</si>
  <si>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新興市場</t>
    </r>
    <phoneticPr fontId="7" type="noConversion"/>
  </si>
  <si>
    <r>
      <rPr>
        <sz val="12"/>
        <color indexed="8"/>
        <rFont val="標楷體"/>
        <family val="4"/>
        <charset val="136"/>
      </rPr>
      <t>註</t>
    </r>
    <r>
      <rPr>
        <sz val="12"/>
        <color indexed="8"/>
        <rFont val="Times New Roman"/>
        <family val="1"/>
      </rPr>
      <t>:</t>
    </r>
    <phoneticPr fontId="7" type="noConversion"/>
  </si>
  <si>
    <r>
      <rPr>
        <sz val="12"/>
        <color indexed="8"/>
        <rFont val="標楷體"/>
        <family val="4"/>
        <charset val="136"/>
      </rPr>
      <t>各列屬於屬性分類無需加總</t>
    </r>
  </si>
  <si>
    <r>
      <rPr>
        <sz val="12"/>
        <color indexed="8"/>
        <rFont val="標楷體"/>
        <family val="4"/>
        <charset val="136"/>
      </rPr>
      <t>半年收盤平均價係指依資產負債表日前半年每日收盤價計算之算術平均價格</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</si>
  <si>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(26+27+28+29)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(173)</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</si>
  <si>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(34+35+36+37)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(188)</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</si>
  <si>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(43+44+45+46)</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(121)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</si>
  <si>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(51+52+53+54)</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(151)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</si>
  <si>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(30+31+32)</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(176)</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</si>
  <si>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(38+39+40)</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</si>
  <si>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(47+48+49)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(132)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</si>
  <si>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(55+56+57)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(162)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</si>
  <si>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</si>
  <si>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9" type="noConversion"/>
  </si>
  <si>
    <r>
      <rPr>
        <b/>
        <sz val="12"/>
        <color indexed="8"/>
        <rFont val="標楷體"/>
        <family val="4"/>
        <charset val="136"/>
      </rPr>
      <t>持有資產幣別</t>
    </r>
  </si>
  <si>
    <r>
      <rPr>
        <b/>
        <sz val="12"/>
        <color indexed="8"/>
        <rFont val="標楷體"/>
        <family val="4"/>
        <charset val="136"/>
      </rPr>
      <t>持有單位數</t>
    </r>
  </si>
  <si>
    <r>
      <rPr>
        <b/>
        <sz val="12"/>
        <color indexed="8"/>
        <rFont val="標楷體"/>
        <family val="4"/>
        <charset val="136"/>
      </rPr>
      <t>帳載金額占該基金規模比率</t>
    </r>
    <phoneticPr fontId="7" type="noConversion"/>
  </si>
  <si>
    <r>
      <rPr>
        <b/>
        <sz val="12"/>
        <color indexed="8"/>
        <rFont val="標楷體"/>
        <family val="4"/>
        <charset val="136"/>
      </rPr>
      <t>本期增加帳載金額</t>
    </r>
    <phoneticPr fontId="7" type="noConversion"/>
  </si>
  <si>
    <r>
      <rPr>
        <b/>
        <sz val="12"/>
        <color indexed="8"/>
        <rFont val="標楷體"/>
        <family val="4"/>
        <charset val="136"/>
      </rPr>
      <t>本期減少帳載金額</t>
    </r>
    <phoneticPr fontId="7" type="noConversion"/>
  </si>
  <si>
    <r>
      <rPr>
        <b/>
        <sz val="12"/>
        <color indexed="8"/>
        <rFont val="標楷體"/>
        <family val="4"/>
        <charset val="136"/>
      </rPr>
      <t>期末帳載金額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</si>
  <si>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最近收盤日公允價值或淨值總金額</t>
    </r>
    <phoneticPr fontId="9" type="noConversion"/>
  </si>
  <si>
    <r>
      <rPr>
        <b/>
        <sz val="12"/>
        <color indexed="8"/>
        <rFont val="標楷體"/>
        <family val="4"/>
        <charset val="136"/>
      </rPr>
      <t>未實現損益</t>
    </r>
    <phoneticPr fontId="12" type="noConversion"/>
  </si>
  <si>
    <r>
      <rPr>
        <b/>
        <sz val="12"/>
        <color indexed="8"/>
        <rFont val="標楷體"/>
        <family val="4"/>
        <charset val="136"/>
      </rPr>
      <t>帳載金額占資金總額比率</t>
    </r>
    <phoneticPr fontId="7" type="noConversion"/>
  </si>
  <si>
    <r>
      <rPr>
        <b/>
        <sz val="12"/>
        <color indexed="8"/>
        <rFont val="標楷體"/>
        <family val="4"/>
        <charset val="136"/>
      </rPr>
      <t>保管情形</t>
    </r>
  </si>
  <si>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</si>
  <si>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11)</t>
    </r>
    <phoneticPr fontId="7" type="noConversion"/>
  </si>
  <si>
    <r>
      <rPr>
        <b/>
        <sz val="12"/>
        <color indexed="8"/>
        <rFont val="標楷體"/>
        <family val="4"/>
        <charset val="136"/>
      </rPr>
      <t>非以公允價值評價者</t>
    </r>
    <phoneticPr fontId="9" type="noConversion"/>
  </si>
  <si>
    <r>
      <rPr>
        <b/>
        <sz val="12"/>
        <color indexed="8"/>
        <rFont val="標楷體"/>
        <family val="4"/>
        <charset val="136"/>
      </rPr>
      <t>以公允價值評價者</t>
    </r>
  </si>
  <si>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r>
      <rPr>
        <sz val="12"/>
        <color indexed="8"/>
        <rFont val="Times New Roman"/>
        <family val="1"/>
      </rPr>
      <t>(</t>
    </r>
    <r>
      <rPr>
        <sz val="12"/>
        <color indexed="8"/>
        <rFont val="標楷體"/>
        <family val="4"/>
        <charset val="136"/>
      </rPr>
      <t>請備註：國外籌資事業投資</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</si>
  <si>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具資本性質債</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</si>
  <si>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</si>
  <si>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</si>
  <si>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phoneticPr fontId="7" type="noConversion"/>
  </si>
  <si>
    <r>
      <rPr>
        <sz val="12"/>
        <color indexed="8"/>
        <rFont val="標楷體"/>
        <family val="4"/>
        <charset val="136"/>
      </rPr>
      <t>單位</t>
    </r>
    <r>
      <rPr>
        <sz val="12"/>
        <color indexed="8"/>
        <rFont val="Times New Roman"/>
        <family val="1"/>
      </rPr>
      <t>:</t>
    </r>
    <r>
      <rPr>
        <sz val="12"/>
        <color indexed="8"/>
        <rFont val="標楷體"/>
        <family val="4"/>
        <charset val="136"/>
      </rPr>
      <t>新台幣元</t>
    </r>
    <r>
      <rPr>
        <sz val="12"/>
        <color indexed="8"/>
        <rFont val="Times New Roman"/>
        <family val="1"/>
      </rPr>
      <t>, %</t>
    </r>
    <phoneticPr fontId="7" type="noConversion"/>
  </si>
  <si>
    <r>
      <rPr>
        <b/>
        <sz val="12"/>
        <color indexed="8"/>
        <rFont val="標楷體"/>
        <family val="4"/>
        <charset val="136"/>
      </rPr>
      <t>證券標的</t>
    </r>
  </si>
  <si>
    <r>
      <rPr>
        <b/>
        <sz val="12"/>
        <color indexed="8"/>
        <rFont val="標楷體"/>
        <family val="4"/>
        <charset val="136"/>
      </rPr>
      <t>是否為專案運用公共及社會福利事業投資</t>
    </r>
    <phoneticPr fontId="7" type="noConversion"/>
  </si>
  <si>
    <r>
      <rPr>
        <b/>
        <sz val="12"/>
        <color indexed="8"/>
        <rFont val="標楷體"/>
        <family val="4"/>
        <charset val="136"/>
      </rPr>
      <t>是否為具資本性質債券</t>
    </r>
    <phoneticPr fontId="7" type="noConversion"/>
  </si>
  <si>
    <r>
      <rPr>
        <b/>
        <sz val="12"/>
        <color indexed="8"/>
        <rFont val="標楷體"/>
        <family val="4"/>
        <charset val="136"/>
      </rPr>
      <t>是否屬實質互相投資之具資本性質債券</t>
    </r>
    <phoneticPr fontId="7" type="noConversion"/>
  </si>
  <si>
    <r>
      <rPr>
        <b/>
        <sz val="12"/>
        <color indexed="8"/>
        <rFont val="標楷體"/>
        <family val="4"/>
        <charset val="136"/>
      </rPr>
      <t>發行公司隸屬國家</t>
    </r>
  </si>
  <si>
    <r>
      <rPr>
        <b/>
        <sz val="12"/>
        <color indexed="8"/>
        <rFont val="標楷體"/>
        <family val="4"/>
        <charset val="136"/>
      </rPr>
      <t>是否為擔保公司債</t>
    </r>
  </si>
  <si>
    <r>
      <rPr>
        <b/>
        <sz val="12"/>
        <color indexed="8"/>
        <rFont val="標楷體"/>
        <family val="4"/>
        <charset val="136"/>
      </rPr>
      <t>交易市場型態</t>
    </r>
  </si>
  <si>
    <r>
      <rPr>
        <b/>
        <sz val="12"/>
        <color indexed="8"/>
        <rFont val="標楷體"/>
        <family val="4"/>
        <charset val="136"/>
      </rPr>
      <t>到期
年月日</t>
    </r>
  </si>
  <si>
    <r>
      <rPr>
        <b/>
        <sz val="12"/>
        <color indexed="8"/>
        <rFont val="標楷體"/>
        <family val="4"/>
        <charset val="136"/>
      </rPr>
      <t>票面年利率</t>
    </r>
  </si>
  <si>
    <r>
      <rPr>
        <b/>
        <sz val="12"/>
        <color indexed="8"/>
        <rFont val="標楷體"/>
        <family val="4"/>
        <charset val="136"/>
      </rPr>
      <t>帳載金額占該發行公司債之公司業主權益比率</t>
    </r>
    <r>
      <rPr>
        <b/>
        <sz val="12"/>
        <color indexed="8"/>
        <rFont val="Times New Roman"/>
        <family val="1"/>
      </rPr>
      <t>%</t>
    </r>
    <phoneticPr fontId="7" type="noConversion"/>
  </si>
  <si>
    <r>
      <rPr>
        <b/>
        <sz val="12"/>
        <color indexed="8"/>
        <rFont val="標楷體"/>
        <family val="4"/>
        <charset val="136"/>
      </rPr>
      <t>付息方式</t>
    </r>
  </si>
  <si>
    <r>
      <rPr>
        <b/>
        <sz val="12"/>
        <color indexed="8"/>
        <rFont val="標楷體"/>
        <family val="4"/>
        <charset val="136"/>
      </rPr>
      <t>面值總金額</t>
    </r>
  </si>
  <si>
    <r>
      <rPr>
        <b/>
        <sz val="12"/>
        <color indexed="8"/>
        <rFont val="標楷體"/>
        <family val="4"/>
        <charset val="136"/>
      </rPr>
      <t xml:space="preserve">期末帳載金額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</si>
  <si>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sz val="12"/>
        <color indexed="8"/>
        <rFont val="標楷體"/>
        <family val="4"/>
        <charset val="136"/>
      </rPr>
      <t>證券標的及發行公司代號請洽由財團法人保險事業發展中心統一配賦。</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</si>
  <si>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phoneticPr fontId="9" type="noConversion"/>
  </si>
  <si>
    <r>
      <rPr>
        <sz val="12"/>
        <color indexed="8"/>
        <rFont val="標楷體"/>
        <family val="4"/>
        <charset val="136"/>
      </rPr>
      <t>評等等級請依信用評等機構所列填寫，並以最近一年之評等資料填寫，若無信用評等者請填無。</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</si>
  <si>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</si>
  <si>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</si>
  <si>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t>C.</t>
    </r>
    <r>
      <rPr>
        <sz val="12"/>
        <color indexed="8"/>
        <rFont val="標楷體"/>
        <family val="4"/>
        <charset val="136"/>
      </rPr>
      <t>按攤銷後成本衡量之金融資產</t>
    </r>
    <r>
      <rPr>
        <sz val="12"/>
        <color indexed="8"/>
        <rFont val="Times New Roman"/>
        <family val="1"/>
      </rPr>
      <t>(</t>
    </r>
    <r>
      <rPr>
        <sz val="12"/>
        <color indexed="8"/>
        <rFont val="標楷體"/>
        <family val="4"/>
        <charset val="136"/>
      </rPr>
      <t>以上均含其他、存出抵繳保證金、財務危機之公司債券等</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</si>
  <si>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 B.</t>
    </r>
    <r>
      <rPr>
        <sz val="12"/>
        <color indexed="8"/>
        <rFont val="標楷體"/>
        <family val="4"/>
        <charset val="136"/>
      </rPr>
      <t>專案運用</t>
    </r>
    <r>
      <rPr>
        <sz val="12"/>
        <color indexed="8"/>
        <rFont val="Times New Roman"/>
        <family val="1"/>
      </rPr>
      <t>-</t>
    </r>
    <r>
      <rPr>
        <sz val="12"/>
        <color indexed="8"/>
        <rFont val="標楷體"/>
        <family val="4"/>
        <charset val="136"/>
      </rPr>
      <t>創業投資</t>
    </r>
    <r>
      <rPr>
        <sz val="12"/>
        <color indexed="8"/>
        <rFont val="Times New Roman"/>
        <family val="1"/>
      </rPr>
      <t>, C.</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D.</t>
    </r>
    <r>
      <rPr>
        <sz val="12"/>
        <color indexed="8"/>
        <rFont val="標楷體"/>
        <family val="4"/>
        <charset val="136"/>
      </rPr>
      <t>非屬專案運用公共及社會福利事業投資。</t>
    </r>
    <phoneticPr fontId="7" type="noConversion"/>
  </si>
  <si>
    <r>
      <rPr>
        <sz val="12"/>
        <color indexed="8"/>
        <rFont val="標楷體"/>
        <family val="4"/>
        <charset val="136"/>
      </rPr>
      <t>是否為擔保公司債請依序填列</t>
    </r>
    <r>
      <rPr>
        <sz val="12"/>
        <color indexed="8"/>
        <rFont val="Times New Roman"/>
        <family val="1"/>
      </rPr>
      <t>A.</t>
    </r>
    <r>
      <rPr>
        <sz val="12"/>
        <color indexed="8"/>
        <rFont val="標楷體"/>
        <family val="4"/>
        <charset val="136"/>
      </rPr>
      <t>有擔保公司債</t>
    </r>
    <r>
      <rPr>
        <sz val="12"/>
        <color indexed="8"/>
        <rFont val="Times New Roman"/>
        <family val="1"/>
      </rPr>
      <t>, B.</t>
    </r>
    <r>
      <rPr>
        <sz val="12"/>
        <color indexed="8"/>
        <rFont val="標楷體"/>
        <family val="4"/>
        <charset val="136"/>
      </rPr>
      <t>無擔保公司債</t>
    </r>
    <r>
      <rPr>
        <sz val="12"/>
        <color indexed="8"/>
        <rFont val="Times New Roman"/>
        <family val="1"/>
      </rPr>
      <t>, C.</t>
    </r>
    <r>
      <rPr>
        <sz val="12"/>
        <color indexed="8"/>
        <rFont val="標楷體"/>
        <family val="4"/>
        <charset val="136"/>
      </rPr>
      <t>可轉換公司債及附認股權公司債</t>
    </r>
    <r>
      <rPr>
        <sz val="12"/>
        <color indexed="8"/>
        <rFont val="Times New Roman"/>
        <family val="1"/>
      </rPr>
      <t>, D.</t>
    </r>
    <r>
      <rPr>
        <sz val="12"/>
        <color indexed="8"/>
        <rFont val="標楷體"/>
        <family val="4"/>
        <charset val="136"/>
      </rPr>
      <t>其他。</t>
    </r>
    <phoneticPr fontId="9"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</si>
  <si>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</si>
  <si>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到期年月日填寫方式為</t>
    </r>
    <r>
      <rPr>
        <sz val="12"/>
        <color indexed="8"/>
        <rFont val="Times New Roman"/>
        <family val="1"/>
      </rPr>
      <t>2005/06/25</t>
    </r>
    <r>
      <rPr>
        <sz val="12"/>
        <color indexed="8"/>
        <rFont val="標楷體"/>
        <family val="4"/>
        <charset val="136"/>
      </rPr>
      <t>。</t>
    </r>
    <phoneticPr fontId="7" type="noConversion"/>
  </si>
  <si>
    <r>
      <rPr>
        <sz val="12"/>
        <color indexed="8"/>
        <rFont val="標楷體"/>
        <family val="4"/>
        <charset val="136"/>
      </rPr>
      <t>付息方式請依序填列</t>
    </r>
    <r>
      <rPr>
        <sz val="12"/>
        <color indexed="8"/>
        <rFont val="Times New Roman"/>
        <family val="1"/>
      </rPr>
      <t>A.</t>
    </r>
    <r>
      <rPr>
        <sz val="12"/>
        <color indexed="8"/>
        <rFont val="標楷體"/>
        <family val="4"/>
        <charset val="136"/>
      </rPr>
      <t>每二年付息一次</t>
    </r>
    <r>
      <rPr>
        <sz val="12"/>
        <color indexed="8"/>
        <rFont val="Times New Roman"/>
        <family val="1"/>
      </rPr>
      <t>, B.</t>
    </r>
    <r>
      <rPr>
        <sz val="12"/>
        <color indexed="8"/>
        <rFont val="標楷體"/>
        <family val="4"/>
        <charset val="136"/>
      </rPr>
      <t>每一年付息一次</t>
    </r>
    <r>
      <rPr>
        <sz val="12"/>
        <color indexed="8"/>
        <rFont val="Times New Roman"/>
        <family val="1"/>
      </rPr>
      <t>, C.</t>
    </r>
    <r>
      <rPr>
        <sz val="12"/>
        <color indexed="8"/>
        <rFont val="標楷體"/>
        <family val="4"/>
        <charset val="136"/>
      </rPr>
      <t>每半年付息一次</t>
    </r>
    <r>
      <rPr>
        <sz val="12"/>
        <color indexed="8"/>
        <rFont val="Times New Roman"/>
        <family val="1"/>
      </rPr>
      <t>, D.</t>
    </r>
    <r>
      <rPr>
        <sz val="12"/>
        <color indexed="8"/>
        <rFont val="標楷體"/>
        <family val="4"/>
        <charset val="136"/>
      </rPr>
      <t>每季付息一次</t>
    </r>
    <r>
      <rPr>
        <sz val="12"/>
        <color indexed="8"/>
        <rFont val="Times New Roman"/>
        <family val="1"/>
      </rPr>
      <t>, E.</t>
    </r>
    <r>
      <rPr>
        <sz val="12"/>
        <color indexed="8"/>
        <rFont val="標楷體"/>
        <family val="4"/>
        <charset val="136"/>
      </rPr>
      <t>每月付息一次</t>
    </r>
    <r>
      <rPr>
        <sz val="12"/>
        <color indexed="8"/>
        <rFont val="Times New Roman"/>
        <family val="1"/>
      </rPr>
      <t>, F.</t>
    </r>
    <r>
      <rPr>
        <sz val="12"/>
        <color indexed="8"/>
        <rFont val="標楷體"/>
        <family val="4"/>
        <charset val="136"/>
      </rPr>
      <t>不付息</t>
    </r>
    <r>
      <rPr>
        <sz val="12"/>
        <color indexed="8"/>
        <rFont val="Times New Roman"/>
        <family val="1"/>
      </rPr>
      <t>, G.</t>
    </r>
    <r>
      <rPr>
        <sz val="12"/>
        <color indexed="8"/>
        <rFont val="標楷體"/>
        <family val="4"/>
        <charset val="136"/>
      </rPr>
      <t>其他。</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</si>
  <si>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請以期末匯率換算為新台幣帳面價值，並以該發行公司債之公司股東權益金額計算其投資比率。</t>
    </r>
    <phoneticPr fontId="7" type="noConversion"/>
  </si>
  <si>
    <r>
      <rPr>
        <sz val="12"/>
        <color indexed="8"/>
        <rFont val="標楷體"/>
        <family val="4"/>
        <charset val="136"/>
      </rPr>
      <t>是否為具資本性質債券，請填列</t>
    </r>
    <r>
      <rPr>
        <sz val="12"/>
        <color indexed="8"/>
        <rFont val="Times New Roman"/>
        <family val="1"/>
      </rPr>
      <t>Y.</t>
    </r>
    <r>
      <rPr>
        <sz val="12"/>
        <color indexed="8"/>
        <rFont val="標楷體"/>
        <family val="4"/>
        <charset val="136"/>
      </rPr>
      <t>具資本性質債券</t>
    </r>
    <r>
      <rPr>
        <sz val="12"/>
        <color indexed="8"/>
        <rFont val="Times New Roman"/>
        <family val="1"/>
      </rPr>
      <t>, N.</t>
    </r>
    <r>
      <rPr>
        <sz val="12"/>
        <color indexed="8"/>
        <rFont val="標楷體"/>
        <family val="4"/>
        <charset val="136"/>
      </rPr>
      <t>非具資本性質債券。</t>
    </r>
    <phoneticPr fontId="7"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</si>
  <si>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</si>
  <si>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：①保險業實質互相投資於「國內保險業」發行之具資本性質債券；或②自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日起保險業新增實質互相投資於「國內金控公司」發行之具資本性質債券。</t>
    </r>
    <phoneticPr fontId="7" type="noConversion"/>
  </si>
  <si>
    <r>
      <t>a.</t>
    </r>
    <r>
      <rPr>
        <sz val="12"/>
        <color indexed="8"/>
        <rFont val="標楷體"/>
        <family val="4"/>
        <charset val="136"/>
      </rPr>
      <t>擔任被投資公司之董監事</t>
    </r>
  </si>
  <si>
    <r>
      <t>b.</t>
    </r>
    <r>
      <rPr>
        <sz val="12"/>
        <color indexed="8"/>
        <rFont val="標楷體"/>
        <family val="4"/>
        <charset val="136"/>
      </rPr>
      <t>未擔任被投資公司之董監事</t>
    </r>
  </si>
  <si>
    <r>
      <t>a.</t>
    </r>
    <r>
      <rPr>
        <sz val="12"/>
        <color indexed="8"/>
        <rFont val="標楷體"/>
        <family val="4"/>
        <charset val="136"/>
      </rPr>
      <t>固定收益特別股</t>
    </r>
  </si>
  <si>
    <r>
      <t>b.</t>
    </r>
    <r>
      <rPr>
        <sz val="12"/>
        <color indexed="8"/>
        <rFont val="標楷體"/>
        <family val="4"/>
        <charset val="136"/>
      </rPr>
      <t>非固定收益特別股</t>
    </r>
  </si>
  <si>
    <r>
      <t>b-1</t>
    </r>
    <r>
      <rPr>
        <sz val="12"/>
        <color indexed="8"/>
        <rFont val="標楷體"/>
        <family val="4"/>
        <charset val="136"/>
      </rPr>
      <t>上市櫃</t>
    </r>
    <phoneticPr fontId="9" type="noConversion"/>
  </si>
  <si>
    <r>
      <t>b-2</t>
    </r>
    <r>
      <rPr>
        <sz val="12"/>
        <color indexed="8"/>
        <rFont val="標楷體"/>
        <family val="4"/>
        <charset val="136"/>
      </rPr>
      <t>非上市上櫃</t>
    </r>
    <phoneticPr fontId="9" type="noConversion"/>
  </si>
  <si>
    <r>
      <t>a.</t>
    </r>
    <r>
      <rPr>
        <sz val="12"/>
        <color indexed="8"/>
        <rFont val="標楷體"/>
        <family val="4"/>
        <charset val="136"/>
      </rPr>
      <t>上市櫃</t>
    </r>
  </si>
  <si>
    <r>
      <t>b.</t>
    </r>
    <r>
      <rPr>
        <sz val="12"/>
        <color indexed="8"/>
        <rFont val="標楷體"/>
        <family val="4"/>
        <charset val="136"/>
      </rPr>
      <t>非上市櫃</t>
    </r>
  </si>
  <si>
    <r>
      <rPr>
        <sz val="12"/>
        <color indexed="8"/>
        <rFont val="標楷體"/>
        <family val="4"/>
        <charset val="136"/>
      </rPr>
      <t>註</t>
    </r>
    <r>
      <rPr>
        <sz val="12"/>
        <color indexed="8"/>
        <rFont val="Times New Roman"/>
        <family val="1"/>
      </rPr>
      <t>14</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</si>
  <si>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</si>
  <si>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</si>
  <si>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(4+5+6+11)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(45)</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</si>
  <si>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(14+15+16+22)</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</si>
  <si>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(26)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(171)</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</si>
  <si>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(33)</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(186)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</si>
  <si>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(9+19+20)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(213)</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</si>
  <si>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(10+21)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t>
    </r>
    <r>
      <rPr>
        <sz val="12"/>
        <color indexed="8"/>
        <rFont val="Times New Roman"/>
        <family val="1"/>
      </rPr>
      <t>(214)</t>
    </r>
    <r>
      <rPr>
        <sz val="12"/>
        <color indexed="8"/>
        <rFont val="標楷體"/>
        <family val="4"/>
        <charset val="136"/>
      </rPr>
      <t>列之金額相一致。</t>
    </r>
    <phoneticPr fontId="9" type="noConversion"/>
  </si>
  <si>
    <r>
      <rPr>
        <sz val="12"/>
        <color indexed="8"/>
        <rFont val="標楷體"/>
        <family val="4"/>
        <charset val="136"/>
      </rPr>
      <t>係指依資產負債表日前半年每日收盤價計算之算術平均價格。本欄不包含採權益法評價之上市上櫃股票。</t>
    </r>
    <phoneticPr fontId="9" type="noConversion"/>
  </si>
  <si>
    <r>
      <rPr>
        <sz val="12"/>
        <color indexed="8"/>
        <rFont val="標楷體"/>
        <family val="4"/>
        <charset val="136"/>
      </rPr>
      <t>表</t>
    </r>
    <r>
      <rPr>
        <sz val="12"/>
        <color indexed="8"/>
        <rFont val="Times New Roman"/>
        <family val="1"/>
      </rPr>
      <t>10-2</t>
    </r>
    <r>
      <rPr>
        <sz val="12"/>
        <color indexed="8"/>
        <rFont val="標楷體"/>
        <family val="4"/>
        <charset val="136"/>
      </rPr>
      <t>：股票餘額明細表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</si>
  <si>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4)</t>
    </r>
    <phoneticPr fontId="7" type="noConversion"/>
  </si>
  <si>
    <r>
      <rPr>
        <sz val="12"/>
        <color indexed="8"/>
        <rFont val="標楷體"/>
        <family val="4"/>
        <charset val="136"/>
      </rPr>
      <t>關係人股票投資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</si>
  <si>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</si>
  <si>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</si>
  <si>
    <r>
      <rPr>
        <sz val="12"/>
        <color indexed="8"/>
        <rFont val="標楷體"/>
        <family val="4"/>
        <charset val="136"/>
      </rPr>
      <t>透過其他綜合損益按公允價值衡量之金融資產</t>
    </r>
  </si>
  <si>
    <r>
      <rPr>
        <sz val="12"/>
        <color indexed="8"/>
        <rFont val="標楷體"/>
        <family val="4"/>
        <charset val="136"/>
      </rPr>
      <t>按攤銷後成本衡量之金融資產</t>
    </r>
  </si>
  <si>
    <r>
      <rPr>
        <sz val="12"/>
        <color indexed="8"/>
        <rFont val="標楷體"/>
        <family val="4"/>
        <charset val="136"/>
      </rPr>
      <t>待出售資產</t>
    </r>
  </si>
  <si>
    <r>
      <rPr>
        <sz val="12"/>
        <color indexed="8"/>
        <rFont val="標楷體"/>
        <family val="4"/>
        <charset val="136"/>
      </rPr>
      <t>採用權益法之投資</t>
    </r>
  </si>
  <si>
    <r>
      <rPr>
        <sz val="12"/>
        <color indexed="8"/>
        <rFont val="標楷體"/>
        <family val="4"/>
        <charset val="136"/>
      </rPr>
      <t>非關係人股票投資</t>
    </r>
    <phoneticPr fontId="7" type="noConversion"/>
  </si>
  <si>
    <r>
      <rPr>
        <sz val="12"/>
        <color indexed="8"/>
        <rFont val="標楷體"/>
        <family val="4"/>
        <charset val="136"/>
      </rPr>
      <t>上市股票</t>
    </r>
  </si>
  <si>
    <r>
      <rPr>
        <sz val="12"/>
        <color indexed="8"/>
        <rFont val="標楷體"/>
        <family val="4"/>
        <charset val="136"/>
      </rPr>
      <t>上櫃股票</t>
    </r>
  </si>
  <si>
    <r>
      <rPr>
        <sz val="12"/>
        <color indexed="8"/>
        <rFont val="標楷體"/>
        <family val="4"/>
        <charset val="136"/>
      </rPr>
      <t>興櫃股票</t>
    </r>
  </si>
  <si>
    <r>
      <rPr>
        <sz val="12"/>
        <color indexed="8"/>
        <rFont val="標楷體"/>
        <family val="4"/>
        <charset val="136"/>
      </rPr>
      <t>非屬上市上櫃興櫃之其他股票</t>
    </r>
  </si>
  <si>
    <r>
      <rPr>
        <sz val="12"/>
        <color indexed="8"/>
        <rFont val="標楷體"/>
        <family val="4"/>
        <charset val="136"/>
      </rPr>
      <t>創業投資事業股票</t>
    </r>
  </si>
  <si>
    <r>
      <rPr>
        <sz val="12"/>
        <color indexed="8"/>
        <rFont val="標楷體"/>
        <family val="4"/>
        <charset val="136"/>
      </rPr>
      <t>普通股</t>
    </r>
  </si>
  <si>
    <r>
      <rPr>
        <sz val="12"/>
        <color indexed="8"/>
        <rFont val="標楷體"/>
        <family val="4"/>
        <charset val="136"/>
      </rPr>
      <t>特別股</t>
    </r>
  </si>
  <si>
    <r>
      <rPr>
        <sz val="12"/>
        <color indexed="8"/>
        <rFont val="標楷體"/>
        <family val="4"/>
        <charset val="136"/>
      </rPr>
      <t>存託憑證</t>
    </r>
    <phoneticPr fontId="7" type="noConversion"/>
  </si>
  <si>
    <r>
      <rPr>
        <sz val="12"/>
        <color indexed="8"/>
        <rFont val="標楷體"/>
        <family val="4"/>
        <charset val="136"/>
      </rPr>
      <t>專案運用股票</t>
    </r>
  </si>
  <si>
    <r>
      <rPr>
        <sz val="12"/>
        <color indexed="8"/>
        <rFont val="標楷體"/>
        <family val="4"/>
        <charset val="136"/>
      </rPr>
      <t>公共投資股票</t>
    </r>
  </si>
  <si>
    <r>
      <rPr>
        <sz val="12"/>
        <color indexed="8"/>
        <rFont val="標楷體"/>
        <family val="4"/>
        <charset val="136"/>
      </rPr>
      <t>保險相關事業股票</t>
    </r>
  </si>
  <si>
    <r>
      <rPr>
        <sz val="12"/>
        <color indexed="8"/>
        <rFont val="標楷體"/>
        <family val="4"/>
        <charset val="136"/>
      </rPr>
      <t>私募股票</t>
    </r>
  </si>
  <si>
    <r>
      <rPr>
        <sz val="12"/>
        <color indexed="8"/>
        <rFont val="標楷體"/>
        <family val="4"/>
        <charset val="136"/>
      </rPr>
      <t>總計</t>
    </r>
    <r>
      <rPr>
        <sz val="12"/>
        <color indexed="8"/>
        <rFont val="Times New Roman"/>
        <family val="1"/>
      </rPr>
      <t>(</t>
    </r>
    <r>
      <rPr>
        <sz val="12"/>
        <color indexed="8"/>
        <rFont val="標楷體"/>
        <family val="4"/>
        <charset val="136"/>
      </rPr>
      <t>屬實質互相投資之負債型特別股</t>
    </r>
    <r>
      <rPr>
        <sz val="12"/>
        <color indexed="8"/>
        <rFont val="Times New Roman"/>
        <family val="1"/>
      </rPr>
      <t>)</t>
    </r>
    <phoneticPr fontId="7" type="noConversion"/>
  </si>
  <si>
    <r>
      <rPr>
        <sz val="12"/>
        <color indexed="8"/>
        <rFont val="標楷體"/>
        <family val="4"/>
        <charset val="136"/>
      </rPr>
      <t>關係人</t>
    </r>
    <phoneticPr fontId="7" type="noConversion"/>
  </si>
  <si>
    <r>
      <rPr>
        <sz val="12"/>
        <color indexed="8"/>
        <rFont val="標楷體"/>
        <family val="4"/>
        <charset val="136"/>
      </rPr>
      <t>非關係人</t>
    </r>
    <phoneticPr fontId="7" type="noConversion"/>
  </si>
  <si>
    <r>
      <rPr>
        <sz val="12"/>
        <color indexed="8"/>
        <rFont val="標楷體"/>
        <family val="4"/>
        <charset val="136"/>
      </rPr>
      <t>固定收益特別股</t>
    </r>
  </si>
  <si>
    <r>
      <rPr>
        <sz val="12"/>
        <color indexed="8"/>
        <rFont val="標楷體"/>
        <family val="4"/>
        <charset val="136"/>
      </rPr>
      <t>非固定收益特別股</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</si>
  <si>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3)</t>
    </r>
    <phoneticPr fontId="7" type="noConversion"/>
  </si>
  <si>
    <r>
      <rPr>
        <sz val="12"/>
        <color indexed="8"/>
        <rFont val="標楷體"/>
        <family val="4"/>
        <charset val="136"/>
      </rPr>
      <t>期末股票投資餘額</t>
    </r>
    <r>
      <rPr>
        <sz val="12"/>
        <color indexed="8"/>
        <rFont val="Times New Roman"/>
        <family val="1"/>
      </rPr>
      <t>(</t>
    </r>
    <r>
      <rPr>
        <sz val="12"/>
        <color indexed="8"/>
        <rFont val="標楷體"/>
        <family val="4"/>
        <charset val="136"/>
      </rPr>
      <t>列</t>
    </r>
    <r>
      <rPr>
        <sz val="12"/>
        <color indexed="8"/>
        <rFont val="Times New Roman"/>
        <family val="1"/>
      </rPr>
      <t>15</t>
    </r>
    <r>
      <rPr>
        <sz val="12"/>
        <color indexed="8"/>
        <rFont val="標楷體"/>
        <family val="4"/>
        <charset val="136"/>
      </rPr>
      <t>或列</t>
    </r>
    <r>
      <rPr>
        <sz val="12"/>
        <color indexed="8"/>
        <rFont val="Times New Roman"/>
        <family val="1"/>
      </rPr>
      <t>20)</t>
    </r>
    <phoneticPr fontId="7" type="noConversion"/>
  </si>
  <si>
    <r>
      <rPr>
        <sz val="12"/>
        <color indexed="8"/>
        <rFont val="標楷體"/>
        <family val="4"/>
        <charset val="136"/>
      </rPr>
      <t>所稱保險相關事業於國內投資係指依保險法第一百四十六條之六規定之投資</t>
    </r>
    <r>
      <rPr>
        <sz val="12"/>
        <color indexed="8"/>
        <rFont val="Times New Roman"/>
        <family val="1"/>
      </rPr>
      <t>,</t>
    </r>
    <r>
      <rPr>
        <sz val="12"/>
        <color indexed="8"/>
        <rFont val="標楷體"/>
        <family val="4"/>
        <charset val="136"/>
      </rPr>
      <t>於國外投資係指依保險業辦理國外投資範圍及內容準則第三條第一項第三款及至大陸地區及香港澳門地區之投資。</t>
    </r>
    <phoneticPr fontId="7" type="noConversion"/>
  </si>
  <si>
    <r>
      <rPr>
        <sz val="12"/>
        <color indexed="8"/>
        <rFont val="標楷體"/>
        <family val="4"/>
        <charset val="136"/>
      </rPr>
      <t>列</t>
    </r>
    <r>
      <rPr>
        <sz val="12"/>
        <color indexed="8"/>
        <rFont val="Times New Roman"/>
        <family val="1"/>
      </rPr>
      <t>21</t>
    </r>
    <r>
      <rPr>
        <sz val="12"/>
        <color indexed="8"/>
        <rFont val="標楷體"/>
        <family val="4"/>
        <charset val="136"/>
      </rPr>
      <t>至列</t>
    </r>
    <r>
      <rPr>
        <sz val="12"/>
        <color indexed="8"/>
        <rFont val="Times New Roman"/>
        <family val="1"/>
      </rPr>
      <t>28</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</si>
  <si>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10-1</t>
    </r>
    <r>
      <rPr>
        <sz val="12"/>
        <color indexed="8"/>
        <rFont val="標楷體"/>
        <family val="4"/>
        <charset val="136"/>
      </rPr>
      <t>：股票餘額明細表」第</t>
    </r>
    <r>
      <rPr>
        <sz val="12"/>
        <color indexed="8"/>
        <rFont val="Times New Roman"/>
        <family val="1"/>
      </rPr>
      <t>(11)</t>
    </r>
    <r>
      <rPr>
        <sz val="12"/>
        <color indexed="8"/>
        <rFont val="標楷體"/>
        <family val="4"/>
        <charset val="136"/>
      </rPr>
      <t>欄填列為</t>
    </r>
    <r>
      <rPr>
        <sz val="12"/>
        <color indexed="8"/>
        <rFont val="Times New Roman"/>
        <family val="1"/>
      </rPr>
      <t>"A"</t>
    </r>
    <r>
      <rPr>
        <sz val="12"/>
        <color indexed="8"/>
        <rFont val="標楷體"/>
        <family val="4"/>
        <charset val="136"/>
      </rPr>
      <t>者之期末帳載金額合計數相同。</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</si>
  <si>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報表時，大陸地區之分公司、子公司或參股投資之大陸地區保險業應填列於「國外保險相關事業」相關欄位。</t>
    </r>
    <phoneticPr fontId="7" type="noConversion"/>
  </si>
  <si>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7" type="noConversion"/>
  </si>
  <si>
    <r>
      <rPr>
        <b/>
        <sz val="12"/>
        <color indexed="8"/>
        <rFont val="標楷體"/>
        <family val="4"/>
        <charset val="136"/>
      </rPr>
      <t>是否屬實質互相投資之負債型特別股</t>
    </r>
    <phoneticPr fontId="7" type="noConversion"/>
  </si>
  <si>
    <r>
      <rPr>
        <b/>
        <sz val="12"/>
        <color indexed="8"/>
        <rFont val="標楷體"/>
        <family val="4"/>
        <charset val="136"/>
      </rPr>
      <t>占有董監事席次比率</t>
    </r>
  </si>
  <si>
    <r>
      <rPr>
        <b/>
        <sz val="12"/>
        <color indexed="8"/>
        <rFont val="標楷體"/>
        <family val="4"/>
        <charset val="136"/>
      </rPr>
      <t>持有股數</t>
    </r>
  </si>
  <si>
    <r>
      <rPr>
        <b/>
        <sz val="12"/>
        <color indexed="8"/>
        <rFont val="標楷體"/>
        <family val="4"/>
        <charset val="136"/>
      </rPr>
      <t>持股比率</t>
    </r>
    <r>
      <rPr>
        <b/>
        <sz val="12"/>
        <color indexed="8"/>
        <rFont val="Times New Roman"/>
        <family val="1"/>
      </rPr>
      <t>%</t>
    </r>
  </si>
  <si>
    <r>
      <rPr>
        <b/>
        <sz val="12"/>
        <color indexed="8"/>
        <rFont val="標楷體"/>
        <family val="4"/>
        <charset val="136"/>
      </rPr>
      <t>最近公允價值</t>
    </r>
    <r>
      <rPr>
        <b/>
        <sz val="12"/>
        <color indexed="8"/>
        <rFont val="Times New Roman"/>
        <family val="1"/>
      </rPr>
      <t>/</t>
    </r>
    <r>
      <rPr>
        <b/>
        <sz val="12"/>
        <color indexed="8"/>
        <rFont val="標楷體"/>
        <family val="4"/>
        <charset val="136"/>
      </rPr>
      <t>淨值總金額</t>
    </r>
    <r>
      <rPr>
        <b/>
        <sz val="12"/>
        <color indexed="8"/>
        <rFont val="Times New Roman"/>
        <family val="1"/>
      </rPr>
      <t>(</t>
    </r>
    <r>
      <rPr>
        <b/>
        <sz val="12"/>
        <color indexed="8"/>
        <rFont val="標楷體"/>
        <family val="4"/>
        <charset val="136"/>
      </rPr>
      <t>註</t>
    </r>
    <r>
      <rPr>
        <b/>
        <sz val="12"/>
        <color indexed="8"/>
        <rFont val="Times New Roman"/>
        <family val="1"/>
      </rPr>
      <t>:</t>
    </r>
    <r>
      <rPr>
        <b/>
        <sz val="12"/>
        <color indexed="8"/>
        <rFont val="標楷體"/>
        <family val="4"/>
        <charset val="136"/>
      </rPr>
      <t>未上市櫃股填淨值</t>
    </r>
    <r>
      <rPr>
        <b/>
        <sz val="12"/>
        <color indexed="8"/>
        <rFont val="Times New Roman"/>
        <family val="1"/>
      </rPr>
      <t>)</t>
    </r>
    <phoneticPr fontId="7" type="noConversion"/>
  </si>
  <si>
    <r>
      <rPr>
        <b/>
        <sz val="12"/>
        <color indexed="8"/>
        <rFont val="標楷體"/>
        <family val="4"/>
        <charset val="136"/>
      </rPr>
      <t>帳載金額占資金總額比率％</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</si>
  <si>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18)</t>
    </r>
    <phoneticPr fontId="7" type="noConversion"/>
  </si>
  <si>
    <r>
      <rPr>
        <b/>
        <sz val="12"/>
        <color indexed="8"/>
        <rFont val="標楷體"/>
        <family val="4"/>
        <charset val="136"/>
      </rPr>
      <t>本期增加</t>
    </r>
  </si>
  <si>
    <r>
      <rPr>
        <b/>
        <sz val="12"/>
        <color indexed="8"/>
        <rFont val="標楷體"/>
        <family val="4"/>
        <charset val="136"/>
      </rPr>
      <t>本期減少</t>
    </r>
  </si>
  <si>
    <r>
      <rPr>
        <b/>
        <sz val="12"/>
        <color indexed="8"/>
        <rFont val="標楷體"/>
        <family val="4"/>
        <charset val="136"/>
      </rPr>
      <t xml:space="preserve">期末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</si>
  <si>
    <t>係指依資產負債表日前半年每日收盤價計算之算術平均價格(不包含非上市上櫃經驗區間)。</t>
    <phoneticPr fontId="7" type="noConversion"/>
  </si>
  <si>
    <r>
      <rPr>
        <sz val="12"/>
        <color indexed="8"/>
        <rFont val="標楷體"/>
        <family val="4"/>
        <charset val="136"/>
      </rPr>
      <t>若為特定目的公司投資預付款則無須填列發行公司相關欄位。</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</si>
  <si>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</si>
  <si>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t xml:space="preserve"> </t>
    </r>
    <r>
      <rPr>
        <b/>
        <sz val="12"/>
        <color indexed="8"/>
        <rFont val="標楷體"/>
        <family val="4"/>
        <charset val="136"/>
      </rPr>
      <t>國內外投資合計</t>
    </r>
    <r>
      <rPr>
        <b/>
        <sz val="12"/>
        <color indexed="8"/>
        <rFont val="Times New Roman"/>
        <family val="1"/>
      </rPr>
      <t xml:space="preserve">     </t>
    </r>
  </si>
  <si>
    <r>
      <rPr>
        <b/>
        <sz val="12"/>
        <color indexed="8"/>
        <rFont val="標楷體"/>
        <family val="4"/>
        <charset val="136"/>
      </rPr>
      <t>占資金總額比率</t>
    </r>
  </si>
  <si>
    <r>
      <rPr>
        <sz val="12"/>
        <color indexed="8"/>
        <rFont val="標楷體"/>
        <family val="4"/>
        <charset val="136"/>
      </rPr>
      <t>總計</t>
    </r>
    <r>
      <rPr>
        <sz val="12"/>
        <color indexed="8"/>
        <rFont val="Times New Roman"/>
        <family val="1"/>
      </rPr>
      <t>(</t>
    </r>
    <r>
      <rPr>
        <sz val="12"/>
        <color indexed="8"/>
        <rFont val="標楷體"/>
        <family val="4"/>
        <charset val="136"/>
      </rPr>
      <t>種類</t>
    </r>
    <r>
      <rPr>
        <sz val="12"/>
        <color indexed="8"/>
        <rFont val="Times New Roman"/>
        <family val="1"/>
      </rPr>
      <t>)</t>
    </r>
  </si>
  <si>
    <r>
      <rPr>
        <sz val="12"/>
        <color indexed="8"/>
        <rFont val="標楷體"/>
        <family val="4"/>
        <charset val="136"/>
      </rPr>
      <t>金融債券</t>
    </r>
  </si>
  <si>
    <r>
      <rPr>
        <sz val="12"/>
        <color indexed="8"/>
        <rFont val="標楷體"/>
        <family val="4"/>
        <charset val="136"/>
      </rPr>
      <t>可轉讓定期存單</t>
    </r>
  </si>
  <si>
    <r>
      <rPr>
        <sz val="12"/>
        <color indexed="8"/>
        <rFont val="標楷體"/>
        <family val="4"/>
        <charset val="136"/>
      </rPr>
      <t>銀行承兌匯票</t>
    </r>
  </si>
  <si>
    <r>
      <rPr>
        <sz val="12"/>
        <color indexed="8"/>
        <rFont val="標楷體"/>
        <family val="4"/>
        <charset val="136"/>
      </rPr>
      <t>金融機構保證商業本票</t>
    </r>
  </si>
  <si>
    <r>
      <rPr>
        <sz val="12"/>
        <color indexed="8"/>
        <rFont val="標楷體"/>
        <family val="4"/>
        <charset val="136"/>
      </rPr>
      <t>附買回條件債券投資</t>
    </r>
    <phoneticPr fontId="9" type="noConversion"/>
  </si>
  <si>
    <r>
      <rPr>
        <sz val="12"/>
        <color indexed="8"/>
        <rFont val="標楷體"/>
        <family val="4"/>
        <charset val="136"/>
      </rPr>
      <t>結構型債券</t>
    </r>
  </si>
  <si>
    <r>
      <rPr>
        <sz val="12"/>
        <color indexed="8"/>
        <rFont val="標楷體"/>
        <family val="4"/>
        <charset val="136"/>
      </rPr>
      <t>金融資產受益證券及資產基礎證券</t>
    </r>
    <phoneticPr fontId="9" type="noConversion"/>
  </si>
  <si>
    <r>
      <rPr>
        <sz val="12"/>
        <color indexed="8"/>
        <rFont val="標楷體"/>
        <family val="4"/>
        <charset val="136"/>
      </rPr>
      <t>不動產資產信託受益證券</t>
    </r>
    <r>
      <rPr>
        <sz val="12"/>
        <color indexed="8"/>
        <rFont val="Times New Roman"/>
        <family val="1"/>
      </rPr>
      <t>(REAT)</t>
    </r>
    <phoneticPr fontId="9" type="noConversion"/>
  </si>
  <si>
    <r>
      <rPr>
        <sz val="12"/>
        <color indexed="8"/>
        <rFont val="標楷體"/>
        <family val="4"/>
        <charset val="136"/>
      </rPr>
      <t>不動產投資信託受益證券</t>
    </r>
    <r>
      <rPr>
        <sz val="12"/>
        <color indexed="8"/>
        <rFont val="Times New Roman"/>
        <family val="1"/>
      </rPr>
      <t>(REIT)</t>
    </r>
  </si>
  <si>
    <r>
      <t>ETF-</t>
    </r>
    <r>
      <rPr>
        <sz val="12"/>
        <color indexed="8"/>
        <rFont val="標楷體"/>
        <family val="4"/>
        <charset val="136"/>
      </rPr>
      <t>股票型</t>
    </r>
    <phoneticPr fontId="7" type="noConversion"/>
  </si>
  <si>
    <r>
      <t>ETF-</t>
    </r>
    <r>
      <rPr>
        <sz val="12"/>
        <color indexed="8"/>
        <rFont val="標楷體"/>
        <family val="4"/>
        <charset val="136"/>
      </rPr>
      <t>債券型</t>
    </r>
    <phoneticPr fontId="7" type="noConversion"/>
  </si>
  <si>
    <r>
      <t>ETF-</t>
    </r>
    <r>
      <rPr>
        <sz val="12"/>
        <color indexed="8"/>
        <rFont val="標楷體"/>
        <family val="4"/>
        <charset val="136"/>
      </rPr>
      <t>其他型</t>
    </r>
    <phoneticPr fontId="7" type="noConversion"/>
  </si>
  <si>
    <r>
      <rPr>
        <sz val="12"/>
        <color indexed="8"/>
        <rFont val="標楷體"/>
        <family val="4"/>
        <charset val="136"/>
      </rPr>
      <t>發行機構為關係人之金融債券交易</t>
    </r>
  </si>
  <si>
    <r>
      <rPr>
        <sz val="12"/>
        <color indexed="8"/>
        <rFont val="標楷體"/>
        <family val="4"/>
        <charset val="136"/>
      </rPr>
      <t>發行機構為非關係人之金融債券交易</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</si>
  <si>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</si>
  <si>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r>
      <rPr>
        <sz val="12"/>
        <color indexed="8"/>
        <rFont val="Times New Roman"/>
        <family val="1"/>
      </rPr>
      <t>(</t>
    </r>
    <r>
      <rPr>
        <sz val="12"/>
        <color indexed="8"/>
        <rFont val="標楷體"/>
        <family val="4"/>
        <charset val="136"/>
      </rPr>
      <t>列</t>
    </r>
    <r>
      <rPr>
        <sz val="12"/>
        <color indexed="8"/>
        <rFont val="Times New Roman"/>
        <family val="1"/>
      </rPr>
      <t>1-15)</t>
    </r>
    <phoneticPr fontId="7" type="noConversion"/>
  </si>
  <si>
    <t>具資本性質債券(註2)</t>
    <phoneticPr fontId="7" type="noConversion"/>
  </si>
  <si>
    <r>
      <t>113</t>
    </r>
    <r>
      <rPr>
        <sz val="12"/>
        <color indexed="8"/>
        <rFont val="標楷體"/>
        <family val="4"/>
        <charset val="136"/>
      </rPr>
      <t>年起，投資國外保險相關事業，與具控制與從屬關係之關係人交易</t>
    </r>
    <phoneticPr fontId="7" type="noConversion"/>
  </si>
  <si>
    <r>
      <t>113</t>
    </r>
    <r>
      <rPr>
        <sz val="12"/>
        <color indexed="8"/>
        <rFont val="標楷體"/>
        <family val="4"/>
        <charset val="136"/>
      </rPr>
      <t>年起，投資國外保險相關事業，與</t>
    </r>
    <r>
      <rPr>
        <sz val="16"/>
        <color indexed="8"/>
        <rFont val="標楷體"/>
        <family val="4"/>
        <charset val="136"/>
      </rPr>
      <t>非</t>
    </r>
    <r>
      <rPr>
        <sz val="12"/>
        <color indexed="8"/>
        <rFont val="標楷體"/>
        <family val="4"/>
        <charset val="136"/>
      </rPr>
      <t>控制與從屬關係之關係人交易</t>
    </r>
    <phoneticPr fontId="7" type="noConversion"/>
  </si>
  <si>
    <r>
      <rPr>
        <sz val="12"/>
        <color indexed="8"/>
        <rFont val="標楷體"/>
        <family val="4"/>
        <charset val="136"/>
      </rPr>
      <t>小計應與「表</t>
    </r>
    <r>
      <rPr>
        <sz val="12"/>
        <color indexed="8"/>
        <rFont val="Times New Roman"/>
        <family val="1"/>
      </rPr>
      <t>09-1</t>
    </r>
    <r>
      <rPr>
        <sz val="12"/>
        <color indexed="8"/>
        <rFont val="標楷體"/>
        <family val="4"/>
        <charset val="136"/>
      </rPr>
      <t>：金融債券及其他經主管機關核准購買之有價證券餘額明細表」第</t>
    </r>
    <r>
      <rPr>
        <sz val="12"/>
        <color indexed="8"/>
        <rFont val="Times New Roman"/>
        <family val="1"/>
      </rPr>
      <t>(8)</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</si>
  <si>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係本表第</t>
    </r>
    <r>
      <rPr>
        <sz val="12"/>
        <color indexed="8"/>
        <rFont val="Times New Roman"/>
        <family val="1"/>
      </rPr>
      <t>19</t>
    </r>
    <r>
      <rPr>
        <sz val="12"/>
        <color indexed="8"/>
        <rFont val="標楷體"/>
        <family val="4"/>
        <charset val="136"/>
      </rPr>
      <t>、</t>
    </r>
    <r>
      <rPr>
        <sz val="12"/>
        <color indexed="8"/>
        <rFont val="Times New Roman"/>
        <family val="1"/>
      </rPr>
      <t>20</t>
    </r>
    <r>
      <rPr>
        <sz val="12"/>
        <color indexed="8"/>
        <rFont val="標楷體"/>
        <family val="4"/>
        <charset val="136"/>
      </rPr>
      <t>列中屬</t>
    </r>
    <r>
      <rPr>
        <sz val="12"/>
        <color indexed="8"/>
        <rFont val="新細明體"/>
        <family val="1"/>
        <charset val="136"/>
      </rPr>
      <t>「</t>
    </r>
    <r>
      <rPr>
        <sz val="12"/>
        <color indexed="8"/>
        <rFont val="Times New Roman"/>
        <family val="1"/>
      </rPr>
      <t>113.1.1</t>
    </r>
    <r>
      <rPr>
        <sz val="12"/>
        <color indexed="8"/>
        <rFont val="標楷體"/>
        <family val="4"/>
        <charset val="136"/>
      </rPr>
      <t>起投資於關係人且屬於國外保險相關事業者</t>
    </r>
    <r>
      <rPr>
        <sz val="12"/>
        <color indexed="8"/>
        <rFont val="新細明體"/>
        <family val="1"/>
        <charset val="136"/>
      </rPr>
      <t>」</t>
    </r>
    <r>
      <rPr>
        <sz val="12"/>
        <color indexed="8"/>
        <rFont val="標楷體"/>
        <family val="4"/>
        <charset val="136"/>
      </rPr>
      <t>。</t>
    </r>
    <phoneticPr fontId="7" type="noConversion"/>
  </si>
  <si>
    <r>
      <rPr>
        <b/>
        <sz val="12"/>
        <color indexed="8"/>
        <rFont val="標楷體"/>
        <family val="4"/>
        <charset val="136"/>
      </rPr>
      <t>證券順位</t>
    </r>
  </si>
  <si>
    <r>
      <rPr>
        <b/>
        <sz val="12"/>
        <color indexed="8"/>
        <rFont val="標楷體"/>
        <family val="4"/>
        <charset val="136"/>
      </rPr>
      <t>是否為具資本性質債券</t>
    </r>
    <phoneticPr fontId="9" type="noConversion"/>
  </si>
  <si>
    <r>
      <rPr>
        <b/>
        <sz val="12"/>
        <color indexed="8"/>
        <rFont val="標楷體"/>
        <family val="4"/>
        <charset val="136"/>
      </rPr>
      <t>證券信用評等</t>
    </r>
  </si>
  <si>
    <r>
      <rPr>
        <b/>
        <sz val="12"/>
        <color indexed="8"/>
        <rFont val="標楷體"/>
        <family val="4"/>
        <charset val="136"/>
      </rPr>
      <t>保證機構</t>
    </r>
  </si>
  <si>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</si>
  <si>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帳載金額占資金總額比率</t>
    </r>
    <r>
      <rPr>
        <b/>
        <sz val="12"/>
        <color indexed="8"/>
        <rFont val="Times New Roman"/>
        <family val="1"/>
      </rPr>
      <t>%</t>
    </r>
    <phoneticPr fontId="7" type="noConversion"/>
  </si>
  <si>
    <r>
      <t xml:space="preserve"> </t>
    </r>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</si>
  <si>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15)</t>
    </r>
    <phoneticPr fontId="7" type="noConversion"/>
  </si>
  <si>
    <r>
      <rPr>
        <sz val="12"/>
        <color indexed="8"/>
        <rFont val="標楷體"/>
        <family val="4"/>
        <charset val="136"/>
      </rPr>
      <t>證券種類小計</t>
    </r>
    <phoneticPr fontId="12" type="noConversion"/>
  </si>
  <si>
    <r>
      <rPr>
        <sz val="12"/>
        <color indexed="8"/>
        <rFont val="標楷體"/>
        <family val="4"/>
        <charset val="136"/>
      </rPr>
      <t>證券種類請填列</t>
    </r>
    <r>
      <rPr>
        <sz val="12"/>
        <color indexed="8"/>
        <rFont val="Times New Roman"/>
        <family val="1"/>
      </rPr>
      <t>A.</t>
    </r>
    <r>
      <rPr>
        <sz val="12"/>
        <color indexed="8"/>
        <rFont val="標楷體"/>
        <family val="4"/>
        <charset val="136"/>
      </rPr>
      <t>金融債券</t>
    </r>
    <r>
      <rPr>
        <sz val="12"/>
        <color indexed="8"/>
        <rFont val="Times New Roman"/>
        <family val="1"/>
      </rPr>
      <t>, B.</t>
    </r>
    <r>
      <rPr>
        <sz val="12"/>
        <color indexed="8"/>
        <rFont val="標楷體"/>
        <family val="4"/>
        <charset val="136"/>
      </rPr>
      <t>可轉讓定期存單</t>
    </r>
    <r>
      <rPr>
        <sz val="12"/>
        <color indexed="8"/>
        <rFont val="Times New Roman"/>
        <family val="1"/>
      </rPr>
      <t>, C.</t>
    </r>
    <r>
      <rPr>
        <sz val="12"/>
        <color indexed="8"/>
        <rFont val="標楷體"/>
        <family val="4"/>
        <charset val="136"/>
      </rPr>
      <t>銀行承兌匯票</t>
    </r>
    <r>
      <rPr>
        <sz val="12"/>
        <color indexed="8"/>
        <rFont val="Times New Roman"/>
        <family val="1"/>
      </rPr>
      <t>, D.</t>
    </r>
    <r>
      <rPr>
        <sz val="12"/>
        <color indexed="8"/>
        <rFont val="標楷體"/>
        <family val="4"/>
        <charset val="136"/>
      </rPr>
      <t>金融機構保證商業本票</t>
    </r>
    <r>
      <rPr>
        <sz val="12"/>
        <color indexed="8"/>
        <rFont val="Times New Roman"/>
        <family val="1"/>
      </rPr>
      <t>, E.</t>
    </r>
    <r>
      <rPr>
        <sz val="12"/>
        <color indexed="8"/>
        <rFont val="標楷體"/>
        <family val="4"/>
        <charset val="136"/>
      </rPr>
      <t>附買回條件債券投資</t>
    </r>
    <r>
      <rPr>
        <sz val="12"/>
        <color indexed="8"/>
        <rFont val="Times New Roman"/>
        <family val="1"/>
      </rPr>
      <t>, F.</t>
    </r>
    <r>
      <rPr>
        <sz val="12"/>
        <color indexed="8"/>
        <rFont val="標楷體"/>
        <family val="4"/>
        <charset val="136"/>
      </rPr>
      <t>結構型債券</t>
    </r>
    <r>
      <rPr>
        <sz val="12"/>
        <color indexed="8"/>
        <rFont val="Times New Roman"/>
        <family val="1"/>
      </rPr>
      <t>, G.</t>
    </r>
    <r>
      <rPr>
        <sz val="12"/>
        <color indexed="8"/>
        <rFont val="標楷體"/>
        <family val="4"/>
        <charset val="136"/>
      </rPr>
      <t>金融資產受益證券及資產基礎證券</t>
    </r>
    <r>
      <rPr>
        <sz val="12"/>
        <color indexed="8"/>
        <rFont val="Times New Roman"/>
        <family val="1"/>
      </rPr>
      <t xml:space="preserve">, </t>
    </r>
    <phoneticPr fontId="9" type="noConversion"/>
  </si>
  <si>
    <r>
      <rPr>
        <sz val="12"/>
        <color indexed="8"/>
        <rFont val="標楷體"/>
        <family val="4"/>
        <charset val="136"/>
      </rPr>
      <t>另依台財保字第</t>
    </r>
    <r>
      <rPr>
        <sz val="12"/>
        <color indexed="8"/>
        <rFont val="Times New Roman"/>
        <family val="1"/>
      </rPr>
      <t xml:space="preserve"> 0900700387 </t>
    </r>
    <r>
      <rPr>
        <sz val="12"/>
        <color indexed="8"/>
        <rFont val="標楷體"/>
        <family val="4"/>
        <charset val="136"/>
      </rPr>
      <t>號函投資之台灣存託憑證請填列於「表</t>
    </r>
    <r>
      <rPr>
        <sz val="12"/>
        <color indexed="8"/>
        <rFont val="Times New Roman"/>
        <family val="1"/>
      </rPr>
      <t>10-1</t>
    </r>
    <r>
      <rPr>
        <sz val="12"/>
        <color indexed="8"/>
        <rFont val="標楷體"/>
        <family val="4"/>
        <charset val="136"/>
      </rPr>
      <t>：股票餘額明細表」。</t>
    </r>
    <phoneticPr fontId="9" type="noConversion"/>
  </si>
  <si>
    <r>
      <rPr>
        <sz val="12"/>
        <color indexed="8"/>
        <rFont val="標楷體"/>
        <family val="4"/>
        <charset val="136"/>
      </rPr>
      <t>債券順位若屬第一順位請填</t>
    </r>
    <r>
      <rPr>
        <sz val="12"/>
        <color indexed="8"/>
        <rFont val="Times New Roman"/>
        <family val="1"/>
      </rPr>
      <t>1</t>
    </r>
    <r>
      <rPr>
        <sz val="12"/>
        <color indexed="8"/>
        <rFont val="標楷體"/>
        <family val="4"/>
        <charset val="136"/>
      </rPr>
      <t>，若屬第二順位請填</t>
    </r>
    <r>
      <rPr>
        <sz val="12"/>
        <color indexed="8"/>
        <rFont val="Times New Roman"/>
        <family val="1"/>
      </rPr>
      <t>2</t>
    </r>
    <r>
      <rPr>
        <sz val="12"/>
        <color indexed="8"/>
        <rFont val="標楷體"/>
        <family val="4"/>
        <charset val="136"/>
      </rPr>
      <t>，以下類推</t>
    </r>
    <r>
      <rPr>
        <sz val="12"/>
        <color indexed="8"/>
        <rFont val="Times New Roman"/>
        <family val="1"/>
      </rPr>
      <t>,</t>
    </r>
    <r>
      <rPr>
        <sz val="12"/>
        <color indexed="8"/>
        <rFont val="標楷體"/>
        <family val="4"/>
        <charset val="136"/>
      </rPr>
      <t>無順位者請填無。</t>
    </r>
    <phoneticPr fontId="7" type="noConversion"/>
  </si>
  <si>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</si>
  <si>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rPr>
        <sz val="12"/>
        <color indexed="8"/>
        <rFont val="標楷體"/>
        <family val="4"/>
        <charset val="136"/>
      </rPr>
      <t>交易種類請依序填</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</si>
  <si>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投資型態請填</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 D.</t>
    </r>
    <r>
      <rPr>
        <sz val="12"/>
        <color indexed="8"/>
        <rFont val="標楷體"/>
        <family val="4"/>
        <charset val="136"/>
      </rPr>
      <t>約當現金</t>
    </r>
    <r>
      <rPr>
        <sz val="12"/>
        <color indexed="8"/>
        <rFont val="Times New Roman"/>
        <family val="1"/>
      </rPr>
      <t>, E.</t>
    </r>
    <r>
      <rPr>
        <sz val="12"/>
        <color indexed="8"/>
        <rFont val="標楷體"/>
        <family val="4"/>
        <charset val="136"/>
      </rPr>
      <t>其他金融資產。</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</si>
  <si>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r>
      <rPr>
        <sz val="12"/>
        <color indexed="8"/>
        <rFont val="Times New Roman"/>
        <family val="1"/>
      </rPr>
      <t xml:space="preserve">, </t>
    </r>
    <r>
      <rPr>
        <sz val="12"/>
        <color indexed="8"/>
        <rFont val="標楷體"/>
        <family val="4"/>
        <charset val="136"/>
      </rPr>
      <t>若無信用評等者請填無。</t>
    </r>
    <phoneticPr fontId="9" type="noConversion"/>
  </si>
  <si>
    <r>
      <rPr>
        <sz val="12"/>
        <color indexed="8"/>
        <rFont val="標楷體"/>
        <family val="4"/>
        <charset val="136"/>
      </rPr>
      <t>評等等級請依信用評等機構所列填寫</t>
    </r>
    <r>
      <rPr>
        <sz val="12"/>
        <color indexed="8"/>
        <rFont val="Times New Roman"/>
        <family val="1"/>
      </rPr>
      <t>,</t>
    </r>
    <r>
      <rPr>
        <sz val="12"/>
        <color indexed="8"/>
        <rFont val="標楷體"/>
        <family val="4"/>
        <charset val="136"/>
      </rPr>
      <t>並以最近一年之評等資料填寫</t>
    </r>
    <r>
      <rPr>
        <sz val="12"/>
        <color indexed="8"/>
        <rFont val="Times New Roman"/>
        <family val="1"/>
      </rPr>
      <t>,</t>
    </r>
    <r>
      <rPr>
        <sz val="12"/>
        <color indexed="8"/>
        <rFont val="標楷體"/>
        <family val="4"/>
        <charset val="136"/>
      </rPr>
      <t>若無信用評等者請填無。</t>
    </r>
    <phoneticPr fontId="7"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</si>
  <si>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</si>
  <si>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到期年月日填寫方式為</t>
    </r>
    <r>
      <rPr>
        <sz val="12"/>
        <color indexed="8"/>
        <rFont val="Times New Roman"/>
        <family val="1"/>
      </rPr>
      <t>2005/06/25</t>
    </r>
    <phoneticPr fontId="7" type="noConversion"/>
  </si>
  <si>
    <r>
      <rPr>
        <sz val="12"/>
        <color indexed="8"/>
        <rFont val="標楷體"/>
        <family val="4"/>
        <charset val="136"/>
      </rPr>
      <t>金融債到期日如為永久，按</t>
    </r>
    <r>
      <rPr>
        <sz val="12"/>
        <color indexed="8"/>
        <rFont val="Times New Roman"/>
        <family val="1"/>
      </rPr>
      <t>9999/99/99</t>
    </r>
    <r>
      <rPr>
        <sz val="12"/>
        <color indexed="8"/>
        <rFont val="標楷體"/>
        <family val="4"/>
        <charset val="136"/>
      </rPr>
      <t>填列。</t>
    </r>
    <phoneticPr fontId="7" type="noConversion"/>
  </si>
  <si>
    <r>
      <rPr>
        <sz val="10"/>
        <color indexed="8"/>
        <rFont val="標楷體"/>
        <family val="4"/>
        <charset val="136"/>
      </rPr>
      <t>表</t>
    </r>
    <r>
      <rPr>
        <sz val="10"/>
        <color indexed="8"/>
        <rFont val="Times New Roman"/>
        <family val="1"/>
      </rPr>
      <t>06</t>
    </r>
    <r>
      <rPr>
        <sz val="10"/>
        <color indexed="8"/>
        <rFont val="標楷體"/>
        <family val="4"/>
        <charset val="136"/>
      </rPr>
      <t>：資金運用收益表</t>
    </r>
    <phoneticPr fontId="7" type="noConversion"/>
  </si>
  <si>
    <r>
      <rPr>
        <sz val="10"/>
        <color indexed="8"/>
        <rFont val="標楷體"/>
        <family val="4"/>
        <charset val="136"/>
      </rPr>
      <t>單位：新台幣元</t>
    </r>
    <r>
      <rPr>
        <sz val="10"/>
        <color indexed="8"/>
        <rFont val="Times New Roman"/>
        <family val="1"/>
      </rPr>
      <t>,%</t>
    </r>
    <phoneticPr fontId="7" type="noConversion"/>
  </si>
  <si>
    <r>
      <rPr>
        <sz val="10"/>
        <color indexed="8"/>
        <rFont val="標楷體"/>
        <family val="4"/>
        <charset val="136"/>
      </rPr>
      <t>項　　　　　　　　　　目</t>
    </r>
  </si>
  <si>
    <r>
      <rPr>
        <sz val="10"/>
        <color indexed="8"/>
        <rFont val="標楷體"/>
        <family val="4"/>
        <charset val="136"/>
      </rPr>
      <t>淨投資損益</t>
    </r>
    <phoneticPr fontId="12" type="noConversion"/>
  </si>
  <si>
    <r>
      <rPr>
        <sz val="10"/>
        <color indexed="8"/>
        <rFont val="標楷體"/>
        <family val="4"/>
        <charset val="136"/>
      </rPr>
      <t>其他綜合損益</t>
    </r>
    <phoneticPr fontId="12" type="noConversion"/>
  </si>
  <si>
    <r>
      <rPr>
        <sz val="10"/>
        <color indexed="8"/>
        <rFont val="標楷體"/>
        <family val="4"/>
        <charset val="136"/>
      </rPr>
      <t>未分配盈餘</t>
    </r>
    <phoneticPr fontId="12" type="noConversion"/>
  </si>
  <si>
    <r>
      <rPr>
        <sz val="10"/>
        <color indexed="8"/>
        <rFont val="標楷體"/>
        <family val="4"/>
        <charset val="136"/>
      </rPr>
      <t>直接業管費用</t>
    </r>
    <phoneticPr fontId="7" type="noConversion"/>
  </si>
  <si>
    <r>
      <rPr>
        <sz val="10"/>
        <color indexed="8"/>
        <rFont val="標楷體"/>
        <family val="4"/>
        <charset val="136"/>
      </rPr>
      <t>本期投資損益</t>
    </r>
    <phoneticPr fontId="7" type="noConversion"/>
  </si>
  <si>
    <r>
      <rPr>
        <sz val="10"/>
        <color indexed="8"/>
        <rFont val="標楷體"/>
        <family val="4"/>
        <charset val="136"/>
      </rPr>
      <t>上期投資損益</t>
    </r>
    <phoneticPr fontId="7" type="noConversion"/>
  </si>
  <si>
    <r>
      <rPr>
        <sz val="10"/>
        <color indexed="8"/>
        <rFont val="標楷體"/>
        <family val="4"/>
        <charset val="136"/>
      </rPr>
      <t>比較增減</t>
    </r>
    <phoneticPr fontId="7"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</si>
  <si>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最近五年度</t>
    </r>
    <r>
      <rPr>
        <sz val="10"/>
        <color indexed="8"/>
        <rFont val="Times New Roman"/>
        <family val="1"/>
      </rPr>
      <t>)</t>
    </r>
    <phoneticPr fontId="7" type="noConversion"/>
  </si>
  <si>
    <r>
      <t>__</t>
    </r>
    <r>
      <rPr>
        <sz val="10"/>
        <color indexed="8"/>
        <rFont val="標楷體"/>
        <family val="4"/>
        <charset val="136"/>
      </rPr>
      <t>下半年度資金運用收益</t>
    </r>
    <phoneticPr fontId="7" type="noConversion"/>
  </si>
  <si>
    <r>
      <rPr>
        <sz val="10"/>
        <color indexed="8"/>
        <rFont val="標楷體"/>
        <family val="4"/>
        <charset val="136"/>
      </rPr>
      <t>備註</t>
    </r>
    <phoneticPr fontId="7" type="noConversion"/>
  </si>
  <si>
    <r>
      <rPr>
        <sz val="10"/>
        <color indexed="8"/>
        <rFont val="標楷體"/>
        <family val="4"/>
        <charset val="136"/>
      </rPr>
      <t>利息收入</t>
    </r>
    <phoneticPr fontId="12" type="noConversion"/>
  </si>
  <si>
    <r>
      <rPr>
        <sz val="10"/>
        <color indexed="8"/>
        <rFont val="標楷體"/>
        <family val="4"/>
        <charset val="136"/>
      </rPr>
      <t>透過損益按公允價值衡量之金融資產損益</t>
    </r>
    <phoneticPr fontId="12" type="noConversion"/>
  </si>
  <si>
    <r>
      <rPr>
        <sz val="10"/>
        <color indexed="8"/>
        <rFont val="標楷體"/>
        <family val="4"/>
        <charset val="136"/>
      </rPr>
      <t>透過其他綜合損益按公允價值衡量之金融資產已實現損益</t>
    </r>
    <phoneticPr fontId="12" type="noConversion"/>
  </si>
  <si>
    <r>
      <rPr>
        <sz val="10"/>
        <color indexed="8"/>
        <rFont val="標楷體"/>
        <family val="4"/>
        <charset val="136"/>
      </rPr>
      <t>除列按攤銷後成本衡量之金融資產淨損益</t>
    </r>
    <phoneticPr fontId="12" type="noConversion"/>
  </si>
  <si>
    <r>
      <rPr>
        <sz val="10"/>
        <color indexed="8"/>
        <rFont val="標楷體"/>
        <family val="4"/>
        <charset val="136"/>
      </rPr>
      <t>採用權益法認列之關聯企業及合資損益之份額</t>
    </r>
    <phoneticPr fontId="12" type="noConversion"/>
  </si>
  <si>
    <r>
      <rPr>
        <sz val="10"/>
        <color indexed="8"/>
        <rFont val="標楷體"/>
        <family val="4"/>
        <charset val="136"/>
      </rPr>
      <t>兌換損益</t>
    </r>
    <phoneticPr fontId="12" type="noConversion"/>
  </si>
  <si>
    <r>
      <rPr>
        <sz val="10"/>
        <color indexed="8"/>
        <rFont val="標楷體"/>
        <family val="4"/>
        <charset val="136"/>
      </rPr>
      <t>投資性不動產損益</t>
    </r>
    <phoneticPr fontId="12" type="noConversion"/>
  </si>
  <si>
    <r>
      <rPr>
        <sz val="10"/>
        <color indexed="8"/>
        <rFont val="標楷體"/>
        <family val="4"/>
        <charset val="136"/>
      </rPr>
      <t>投資之預期信用減損損失及迴轉利益</t>
    </r>
    <phoneticPr fontId="12" type="noConversion"/>
  </si>
  <si>
    <r>
      <rPr>
        <sz val="10"/>
        <color indexed="8"/>
        <rFont val="標楷體"/>
        <family val="4"/>
        <charset val="136"/>
      </rPr>
      <t>其他投資減損損失及迴轉利益</t>
    </r>
    <phoneticPr fontId="12" type="noConversion"/>
  </si>
  <si>
    <r>
      <rPr>
        <sz val="10"/>
        <color indexed="8"/>
        <rFont val="標楷體"/>
        <family val="4"/>
        <charset val="136"/>
      </rPr>
      <t>金融資產重分類損益</t>
    </r>
    <phoneticPr fontId="12" type="noConversion"/>
  </si>
  <si>
    <r>
      <rPr>
        <sz val="10"/>
        <color indexed="8"/>
        <rFont val="標楷體"/>
        <family val="4"/>
        <charset val="136"/>
      </rPr>
      <t>其他淨投資損益</t>
    </r>
    <phoneticPr fontId="12" type="noConversion"/>
  </si>
  <si>
    <r>
      <rPr>
        <sz val="10"/>
        <color indexed="8"/>
        <rFont val="標楷體"/>
        <family val="4"/>
        <charset val="136"/>
      </rPr>
      <t>採用覆蓋法之重分類損益</t>
    </r>
    <phoneticPr fontId="12" type="noConversion"/>
  </si>
  <si>
    <r>
      <rPr>
        <sz val="10"/>
        <color indexed="8"/>
        <rFont val="標楷體"/>
        <family val="4"/>
        <charset val="136"/>
      </rPr>
      <t>透過其他綜合損益按公允價值衡量之權益工具評價損益</t>
    </r>
    <phoneticPr fontId="12" type="noConversion"/>
  </si>
  <si>
    <r>
      <rPr>
        <sz val="10"/>
        <color indexed="8"/>
        <rFont val="標楷體"/>
        <family val="4"/>
        <charset val="136"/>
      </rPr>
      <t>透過其他綜合損益按公允價值衡量之債務工具損益</t>
    </r>
    <phoneticPr fontId="12" type="noConversion"/>
  </si>
  <si>
    <r>
      <rPr>
        <sz val="10"/>
        <color indexed="8"/>
        <rFont val="標楷體"/>
        <family val="4"/>
        <charset val="136"/>
      </rPr>
      <t>避險工具之利益及損失</t>
    </r>
    <phoneticPr fontId="12" type="noConversion"/>
  </si>
  <si>
    <r>
      <rPr>
        <sz val="10"/>
        <color indexed="8"/>
        <rFont val="標楷體"/>
        <family val="4"/>
        <charset val="136"/>
      </rPr>
      <t>採用權益法之關聯企業及合資其他綜合損益之份額</t>
    </r>
    <phoneticPr fontId="12" type="noConversion"/>
  </si>
  <si>
    <r>
      <rPr>
        <sz val="10"/>
        <color indexed="8"/>
        <rFont val="標楷體"/>
        <family val="4"/>
        <charset val="136"/>
      </rPr>
      <t>採用覆蓋法之重分類其他綜合損益</t>
    </r>
    <phoneticPr fontId="12" type="noConversion"/>
  </si>
  <si>
    <r>
      <rPr>
        <sz val="10"/>
        <color indexed="8"/>
        <rFont val="標楷體"/>
        <family val="4"/>
        <charset val="136"/>
      </rPr>
      <t>透過其他綜合損益按公允價值衡量之權益工具處分損益</t>
    </r>
    <phoneticPr fontId="12" type="noConversion"/>
  </si>
  <si>
    <r>
      <rPr>
        <sz val="10"/>
        <color indexed="8"/>
        <rFont val="標楷體"/>
        <family val="4"/>
        <charset val="136"/>
      </rPr>
      <t>其他</t>
    </r>
    <phoneticPr fontId="12" type="noConversion"/>
  </si>
  <si>
    <r>
      <rPr>
        <sz val="10"/>
        <color indexed="8"/>
        <rFont val="標楷體"/>
        <family val="4"/>
        <charset val="136"/>
      </rPr>
      <t>金額</t>
    </r>
    <phoneticPr fontId="7" type="noConversion"/>
  </si>
  <si>
    <r>
      <rPr>
        <sz val="10"/>
        <color indexed="8"/>
        <rFont val="標楷體"/>
        <family val="4"/>
        <charset val="136"/>
      </rPr>
      <t>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年累積</t>
    </r>
    <phoneticPr fontId="7" type="noConversion"/>
  </si>
  <si>
    <r>
      <t>__</t>
    </r>
    <r>
      <rPr>
        <sz val="10"/>
        <color indexed="8"/>
        <rFont val="標楷體"/>
        <family val="4"/>
        <charset val="136"/>
      </rPr>
      <t>年</t>
    </r>
    <phoneticPr fontId="7" type="noConversion"/>
  </si>
  <si>
    <r>
      <t>__</t>
    </r>
    <r>
      <rPr>
        <sz val="10"/>
        <color indexed="8"/>
        <rFont val="標楷體"/>
        <family val="4"/>
        <charset val="136"/>
      </rPr>
      <t>年度投資損益</t>
    </r>
    <phoneticPr fontId="7" type="noConversion"/>
  </si>
  <si>
    <r>
      <t>__</t>
    </r>
    <r>
      <rPr>
        <sz val="10"/>
        <color indexed="8"/>
        <rFont val="標楷體"/>
        <family val="4"/>
        <charset val="136"/>
      </rPr>
      <t>年上半年度投資損益</t>
    </r>
    <phoneticPr fontId="7" type="noConversion"/>
  </si>
  <si>
    <r>
      <t>__</t>
    </r>
    <r>
      <rPr>
        <sz val="10"/>
        <color indexed="8"/>
        <rFont val="標楷體"/>
        <family val="4"/>
        <charset val="136"/>
      </rPr>
      <t>年下半年度投資損益</t>
    </r>
    <phoneticPr fontId="7" type="noConversion"/>
  </si>
  <si>
    <r>
      <t>__</t>
    </r>
    <r>
      <rPr>
        <sz val="10"/>
        <color indexed="8"/>
        <rFont val="標楷體"/>
        <family val="4"/>
        <charset val="136"/>
      </rPr>
      <t>年下半年資金運用收益率</t>
    </r>
    <phoneticPr fontId="7" type="noConversion"/>
  </si>
  <si>
    <r>
      <rPr>
        <sz val="10"/>
        <color indexed="8"/>
        <rFont val="標楷體"/>
        <family val="4"/>
        <charset val="136"/>
      </rPr>
      <t>存</t>
    </r>
    <phoneticPr fontId="7" type="noConversion"/>
  </si>
  <si>
    <r>
      <rPr>
        <sz val="10"/>
        <color indexed="8"/>
        <rFont val="標楷體"/>
        <family val="4"/>
        <charset val="136"/>
      </rPr>
      <t>金融機構存款</t>
    </r>
    <phoneticPr fontId="7" type="noConversion"/>
  </si>
  <si>
    <r>
      <rPr>
        <sz val="10"/>
        <color indexed="8"/>
        <rFont val="標楷體"/>
        <family val="4"/>
        <charset val="136"/>
      </rPr>
      <t>存出保證金及再保責任準備金</t>
    </r>
  </si>
  <si>
    <r>
      <rPr>
        <sz val="10"/>
        <color indexed="8"/>
        <rFont val="標楷體"/>
        <family val="4"/>
        <charset val="136"/>
      </rPr>
      <t>國</t>
    </r>
    <phoneticPr fontId="7" type="noConversion"/>
  </si>
  <si>
    <r>
      <rPr>
        <sz val="10"/>
        <color indexed="8"/>
        <rFont val="標楷體"/>
        <family val="4"/>
        <charset val="136"/>
      </rPr>
      <t>存入保證金及再保責任準備金</t>
    </r>
  </si>
  <si>
    <r>
      <rPr>
        <sz val="10"/>
        <color indexed="8"/>
        <rFont val="標楷體"/>
        <family val="4"/>
        <charset val="136"/>
      </rPr>
      <t>其他</t>
    </r>
    <phoneticPr fontId="7" type="noConversion"/>
  </si>
  <si>
    <r>
      <rPr>
        <sz val="10"/>
        <color indexed="8"/>
        <rFont val="標楷體"/>
        <family val="4"/>
        <charset val="136"/>
      </rPr>
      <t>款</t>
    </r>
  </si>
  <si>
    <r>
      <rPr>
        <sz val="10"/>
        <color indexed="8"/>
        <rFont val="標楷體"/>
        <family val="4"/>
        <charset val="136"/>
      </rPr>
      <t>公債國庫券</t>
    </r>
    <phoneticPr fontId="7" type="noConversion"/>
  </si>
  <si>
    <r>
      <rPr>
        <sz val="10"/>
        <color indexed="8"/>
        <rFont val="標楷體"/>
        <family val="4"/>
        <charset val="136"/>
      </rPr>
      <t>內</t>
    </r>
    <phoneticPr fontId="7" type="noConversion"/>
  </si>
  <si>
    <r>
      <rPr>
        <sz val="10"/>
        <color indexed="8"/>
        <rFont val="標楷體"/>
        <family val="4"/>
        <charset val="136"/>
      </rPr>
      <t>有</t>
    </r>
    <phoneticPr fontId="7" type="noConversion"/>
  </si>
  <si>
    <r>
      <rPr>
        <sz val="10"/>
        <color indexed="8"/>
        <rFont val="標楷體"/>
        <family val="4"/>
        <charset val="136"/>
      </rPr>
      <t>金融債券等</t>
    </r>
    <phoneticPr fontId="9" type="noConversion"/>
  </si>
  <si>
    <r>
      <rPr>
        <sz val="10"/>
        <color indexed="8"/>
        <rFont val="標楷體"/>
        <family val="4"/>
        <charset val="136"/>
      </rPr>
      <t>價</t>
    </r>
    <phoneticPr fontId="7" type="noConversion"/>
  </si>
  <si>
    <r>
      <rPr>
        <sz val="10"/>
        <color indexed="8"/>
        <rFont val="標楷體"/>
        <family val="4"/>
        <charset val="136"/>
      </rPr>
      <t>股票</t>
    </r>
    <phoneticPr fontId="7" type="noConversion"/>
  </si>
  <si>
    <r>
      <rPr>
        <sz val="10"/>
        <color indexed="8"/>
        <rFont val="標楷體"/>
        <family val="4"/>
        <charset val="136"/>
      </rPr>
      <t>證</t>
    </r>
    <phoneticPr fontId="7" type="noConversion"/>
  </si>
  <si>
    <r>
      <rPr>
        <sz val="10"/>
        <color indexed="8"/>
        <rFont val="標楷體"/>
        <family val="4"/>
        <charset val="136"/>
      </rPr>
      <t>公司債</t>
    </r>
    <phoneticPr fontId="7" type="noConversion"/>
  </si>
  <si>
    <r>
      <rPr>
        <sz val="10"/>
        <color indexed="8"/>
        <rFont val="標楷體"/>
        <family val="4"/>
        <charset val="136"/>
      </rPr>
      <t>券</t>
    </r>
    <phoneticPr fontId="7" type="noConversion"/>
  </si>
  <si>
    <r>
      <rPr>
        <sz val="10"/>
        <color indexed="8"/>
        <rFont val="標楷體"/>
        <family val="4"/>
        <charset val="136"/>
      </rPr>
      <t>受益憑證</t>
    </r>
    <phoneticPr fontId="7" type="noConversion"/>
  </si>
  <si>
    <r>
      <rPr>
        <sz val="10"/>
        <color indexed="8"/>
        <rFont val="標楷體"/>
        <family val="4"/>
        <charset val="136"/>
      </rPr>
      <t>投</t>
    </r>
    <phoneticPr fontId="7" type="noConversion"/>
  </si>
  <si>
    <r>
      <rPr>
        <sz val="10"/>
        <color indexed="8"/>
        <rFont val="標楷體"/>
        <family val="4"/>
        <charset val="136"/>
      </rPr>
      <t>不</t>
    </r>
    <phoneticPr fontId="7" type="noConversion"/>
  </si>
  <si>
    <r>
      <rPr>
        <sz val="10"/>
        <color indexed="8"/>
        <rFont val="標楷體"/>
        <family val="4"/>
        <charset val="136"/>
      </rPr>
      <t>非自用土地</t>
    </r>
    <phoneticPr fontId="7" type="noConversion"/>
  </si>
  <si>
    <r>
      <rPr>
        <sz val="10"/>
        <color indexed="8"/>
        <rFont val="標楷體"/>
        <family val="4"/>
        <charset val="136"/>
      </rPr>
      <t>動</t>
    </r>
    <phoneticPr fontId="7" type="noConversion"/>
  </si>
  <si>
    <r>
      <rPr>
        <sz val="10"/>
        <color indexed="8"/>
        <rFont val="標楷體"/>
        <family val="4"/>
        <charset val="136"/>
      </rPr>
      <t>非自用房屋及建築</t>
    </r>
    <phoneticPr fontId="7" type="noConversion"/>
  </si>
  <si>
    <r>
      <rPr>
        <sz val="10"/>
        <color indexed="8"/>
        <rFont val="標楷體"/>
        <family val="4"/>
        <charset val="136"/>
      </rPr>
      <t>產</t>
    </r>
    <phoneticPr fontId="7" type="noConversion"/>
  </si>
  <si>
    <r>
      <rPr>
        <sz val="10"/>
        <color indexed="8"/>
        <rFont val="標楷體"/>
        <family val="4"/>
        <charset val="136"/>
      </rPr>
      <t>資</t>
    </r>
    <phoneticPr fontId="7" type="noConversion"/>
  </si>
  <si>
    <r>
      <rPr>
        <sz val="10"/>
        <color indexed="8"/>
        <rFont val="標楷體"/>
        <family val="4"/>
        <charset val="136"/>
      </rPr>
      <t>放</t>
    </r>
    <phoneticPr fontId="7" type="noConversion"/>
  </si>
  <si>
    <r>
      <rPr>
        <sz val="10"/>
        <color indexed="8"/>
        <rFont val="標楷體"/>
        <family val="4"/>
        <charset val="136"/>
      </rPr>
      <t>抵</t>
    </r>
    <r>
      <rPr>
        <sz val="10"/>
        <color indexed="8"/>
        <rFont val="Times New Roman"/>
        <family val="1"/>
      </rPr>
      <t>(</t>
    </r>
    <r>
      <rPr>
        <sz val="10"/>
        <color indexed="8"/>
        <rFont val="標楷體"/>
        <family val="4"/>
        <charset val="136"/>
      </rPr>
      <t>質</t>
    </r>
    <r>
      <rPr>
        <sz val="10"/>
        <color indexed="8"/>
        <rFont val="Times New Roman"/>
        <family val="1"/>
      </rPr>
      <t>)</t>
    </r>
    <r>
      <rPr>
        <sz val="10"/>
        <color indexed="8"/>
        <rFont val="標楷體"/>
        <family val="4"/>
        <charset val="136"/>
      </rPr>
      <t>押放款</t>
    </r>
    <phoneticPr fontId="7" type="noConversion"/>
  </si>
  <si>
    <r>
      <rPr>
        <sz val="10"/>
        <color indexed="8"/>
        <rFont val="標楷體"/>
        <family val="4"/>
        <charset val="136"/>
      </rPr>
      <t>壽險貸款</t>
    </r>
    <phoneticPr fontId="7" type="noConversion"/>
  </si>
  <si>
    <r>
      <rPr>
        <sz val="10"/>
        <color indexed="8"/>
        <rFont val="標楷體"/>
        <family val="4"/>
        <charset val="136"/>
      </rPr>
      <t>款</t>
    </r>
    <phoneticPr fontId="7" type="noConversion"/>
  </si>
  <si>
    <r>
      <rPr>
        <sz val="10"/>
        <color indexed="8"/>
        <rFont val="標楷體"/>
        <family val="4"/>
        <charset val="136"/>
      </rPr>
      <t>衍生性商品交易</t>
    </r>
    <phoneticPr fontId="7" type="noConversion"/>
  </si>
  <si>
    <r>
      <rPr>
        <sz val="10"/>
        <color indexed="8"/>
        <rFont val="標楷體"/>
        <family val="4"/>
        <charset val="136"/>
      </rPr>
      <t>國內投資總計</t>
    </r>
    <phoneticPr fontId="7" type="noConversion"/>
  </si>
  <si>
    <r>
      <rPr>
        <sz val="10"/>
        <color indexed="8"/>
        <rFont val="標楷體"/>
        <family val="4"/>
        <charset val="136"/>
      </rPr>
      <t>外</t>
    </r>
    <phoneticPr fontId="7" type="noConversion"/>
  </si>
  <si>
    <r>
      <rPr>
        <sz val="10"/>
        <color indexed="8"/>
        <rFont val="標楷體"/>
        <family val="4"/>
        <charset val="136"/>
      </rPr>
      <t>受益憑證</t>
    </r>
    <r>
      <rPr>
        <sz val="10"/>
        <color indexed="8"/>
        <rFont val="Times New Roman"/>
        <family val="1"/>
      </rPr>
      <t>(</t>
    </r>
    <r>
      <rPr>
        <sz val="10"/>
        <color indexed="8"/>
        <rFont val="標楷體"/>
        <family val="4"/>
        <charset val="136"/>
      </rPr>
      <t>基金</t>
    </r>
    <r>
      <rPr>
        <sz val="10"/>
        <color indexed="8"/>
        <rFont val="Times New Roman"/>
        <family val="1"/>
      </rPr>
      <t>)</t>
    </r>
    <phoneticPr fontId="7" type="noConversion"/>
  </si>
  <si>
    <r>
      <rPr>
        <sz val="10"/>
        <color indexed="8"/>
        <rFont val="標楷體"/>
        <family val="4"/>
        <charset val="136"/>
      </rPr>
      <t>壽險保單質押放款</t>
    </r>
    <phoneticPr fontId="7" type="noConversion"/>
  </si>
  <si>
    <r>
      <rPr>
        <sz val="10"/>
        <color indexed="8"/>
        <rFont val="標楷體"/>
        <family val="4"/>
        <charset val="136"/>
      </rPr>
      <t>國外投資總計</t>
    </r>
    <phoneticPr fontId="7" type="noConversion"/>
  </si>
  <si>
    <r>
      <rPr>
        <sz val="10"/>
        <color indexed="8"/>
        <rFont val="標楷體"/>
        <family val="4"/>
        <charset val="136"/>
      </rPr>
      <t>不含自用不動產資金運用總計</t>
    </r>
    <phoneticPr fontId="7" type="noConversion"/>
  </si>
  <si>
    <r>
      <rPr>
        <sz val="10"/>
        <color indexed="8"/>
        <rFont val="標楷體"/>
        <family val="4"/>
        <charset val="136"/>
      </rPr>
      <t>其</t>
    </r>
    <phoneticPr fontId="7" type="noConversion"/>
  </si>
  <si>
    <r>
      <rPr>
        <sz val="10"/>
        <color indexed="8"/>
        <rFont val="標楷體"/>
        <family val="4"/>
        <charset val="136"/>
      </rPr>
      <t>自用土地</t>
    </r>
    <phoneticPr fontId="7" type="noConversion"/>
  </si>
  <si>
    <r>
      <rPr>
        <sz val="10"/>
        <color indexed="8"/>
        <rFont val="標楷體"/>
        <family val="4"/>
        <charset val="136"/>
      </rPr>
      <t>自用房屋及建築</t>
    </r>
    <phoneticPr fontId="7" type="noConversion"/>
  </si>
  <si>
    <r>
      <rPr>
        <sz val="10"/>
        <color indexed="8"/>
        <rFont val="標楷體"/>
        <family val="4"/>
        <charset val="136"/>
      </rPr>
      <t>他</t>
    </r>
    <phoneticPr fontId="7" type="noConversion"/>
  </si>
  <si>
    <r>
      <rPr>
        <sz val="10"/>
        <color indexed="8"/>
        <rFont val="標楷體"/>
        <family val="4"/>
        <charset val="136"/>
      </rPr>
      <t>含自用不動產資金運用總計</t>
    </r>
    <phoneticPr fontId="7" type="noConversion"/>
  </si>
  <si>
    <r>
      <rPr>
        <sz val="10"/>
        <color indexed="8"/>
        <rFont val="標楷體"/>
        <family val="4"/>
        <charset val="136"/>
      </rPr>
      <t>註：</t>
    </r>
    <phoneticPr fontId="7" type="noConversion"/>
  </si>
  <si>
    <r>
      <rPr>
        <sz val="10"/>
        <color indexed="8"/>
        <rFont val="標楷體"/>
        <family val="4"/>
        <charset val="136"/>
      </rPr>
      <t>本表不含分離帳戶保險商品之專設帳簿資產</t>
    </r>
    <phoneticPr fontId="7" type="noConversion"/>
  </si>
  <si>
    <r>
      <rPr>
        <sz val="10"/>
        <color indexed="8"/>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indexed="8"/>
        <rFont val="Times New Roman"/>
        <family val="1"/>
      </rPr>
      <t>…</t>
    </r>
    <r>
      <rPr>
        <sz val="10"/>
        <color indexed="8"/>
        <rFont val="標楷體"/>
        <family val="4"/>
        <charset val="136"/>
      </rPr>
      <t>避險投資交易所衍生之相關費用等</t>
    </r>
    <r>
      <rPr>
        <sz val="10"/>
        <color indexed="8"/>
        <rFont val="Times New Roman"/>
        <family val="1"/>
      </rPr>
      <t>(</t>
    </r>
    <r>
      <rPr>
        <sz val="10"/>
        <color indexed="8"/>
        <rFont val="標楷體"/>
        <family val="4"/>
        <charset val="136"/>
      </rPr>
      <t>成本分攤由公司採一致性原則核實攤列</t>
    </r>
    <r>
      <rPr>
        <sz val="10"/>
        <color indexed="8"/>
        <rFont val="Times New Roman"/>
        <family val="1"/>
      </rPr>
      <t>)</t>
    </r>
    <phoneticPr fontId="12" type="noConversion"/>
  </si>
  <si>
    <r>
      <rPr>
        <sz val="10"/>
        <color indexed="8"/>
        <rFont val="標楷體"/>
        <family val="4"/>
        <charset val="136"/>
      </rPr>
      <t>所稱本期及上期於填報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9"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</si>
  <si>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本期投資收益／（前期期末資金運用數＊</t>
    </r>
    <r>
      <rPr>
        <sz val="10"/>
        <color indexed="8"/>
        <rFont val="Times New Roman"/>
        <family val="1"/>
      </rPr>
      <t>+</t>
    </r>
    <r>
      <rPr>
        <sz val="10"/>
        <color indexed="8"/>
        <rFont val="標楷體"/>
        <family val="4"/>
        <charset val="136"/>
      </rPr>
      <t>本期期末資金運用數＊－本期投資收益），當期間未滿一年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t>
    </r>
    <r>
      <rPr>
        <sz val="10"/>
        <color indexed="8"/>
        <rFont val="Times New Roman"/>
        <family val="1"/>
      </rPr>
      <t>;</t>
    </r>
    <phoneticPr fontId="7" type="noConversion"/>
  </si>
  <si>
    <r>
      <rPr>
        <sz val="10"/>
        <color indexed="8"/>
        <rFont val="標楷體"/>
        <family val="4"/>
        <charset val="136"/>
      </rPr>
      <t>本表與財務業務指標計算表所列資金運用</t>
    </r>
    <r>
      <rPr>
        <sz val="10"/>
        <color indexed="8"/>
        <rFont val="Times New Roman"/>
        <family val="1"/>
      </rPr>
      <t>(</t>
    </r>
    <r>
      <rPr>
        <sz val="10"/>
        <color indexed="8"/>
        <rFont val="標楷體"/>
        <family val="4"/>
        <charset val="136"/>
      </rPr>
      <t>淨</t>
    </r>
    <r>
      <rPr>
        <sz val="10"/>
        <color indexed="8"/>
        <rFont val="Times New Roman"/>
        <family val="1"/>
      </rPr>
      <t>)</t>
    </r>
    <r>
      <rPr>
        <sz val="10"/>
        <color indexed="8"/>
        <rFont val="標楷體"/>
        <family val="4"/>
        <charset val="136"/>
      </rPr>
      <t>收益率計算基礎不同。</t>
    </r>
    <phoneticPr fontId="7" type="noConversion"/>
  </si>
  <si>
    <r>
      <rPr>
        <sz val="10"/>
        <color indexed="8"/>
        <rFont val="標楷體"/>
        <family val="4"/>
        <charset val="136"/>
      </rPr>
      <t>各項標的資金運用收益率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該項標的本期投資收益／（該項標的前期期末資金運用數＊</t>
    </r>
    <r>
      <rPr>
        <sz val="10"/>
        <color indexed="8"/>
        <rFont val="Times New Roman"/>
        <family val="1"/>
      </rPr>
      <t>+</t>
    </r>
    <r>
      <rPr>
        <sz val="10"/>
        <color indexed="8"/>
        <rFont val="標楷體"/>
        <family val="4"/>
        <charset val="136"/>
      </rPr>
      <t>該項標的本期期末資金運用數＊－該項標的本期投資收益），當期間未滿一年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t>
    </r>
    <phoneticPr fontId="7" type="noConversion"/>
  </si>
  <si>
    <r>
      <rPr>
        <sz val="10"/>
        <color indexed="8"/>
        <rFont val="標楷體"/>
        <family val="4"/>
        <charset val="136"/>
      </rPr>
      <t>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收益率，填列最近</t>
    </r>
    <r>
      <rPr>
        <sz val="10"/>
        <color indexed="8"/>
        <rFont val="Times New Roman"/>
        <family val="1"/>
      </rPr>
      <t>5</t>
    </r>
    <r>
      <rPr>
        <sz val="10"/>
        <color indexed="8"/>
        <rFont val="標楷體"/>
        <family val="4"/>
        <charset val="136"/>
      </rPr>
      <t>年度之資本運用收益率。</t>
    </r>
    <phoneticPr fontId="7" type="noConversion"/>
  </si>
  <si>
    <r>
      <rPr>
        <sz val="10"/>
        <color indexed="8"/>
        <rFont val="標楷體"/>
        <family val="4"/>
        <charset val="136"/>
      </rPr>
      <t>＊係指投資性不動產後續衡量未採用公允價值模式之資金運用數</t>
    </r>
    <phoneticPr fontId="7" type="noConversion"/>
  </si>
  <si>
    <r>
      <rPr>
        <sz val="10"/>
        <color indexed="8"/>
        <rFont val="標楷體"/>
        <family val="4"/>
        <charset val="136"/>
      </rPr>
      <t>本表之本期投資損益及上期投資損益均不含外匯價格變動準備金淨變動</t>
    </r>
    <phoneticPr fontId="7"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</si>
  <si>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t>
    </r>
    <phoneticPr fontId="7" type="noConversion"/>
  </si>
  <si>
    <r>
      <rPr>
        <sz val="10"/>
        <color indexed="8"/>
        <rFont val="標楷體"/>
        <family val="4"/>
        <charset val="136"/>
      </rPr>
      <t>列號</t>
    </r>
    <phoneticPr fontId="7" type="noConversion"/>
  </si>
  <si>
    <r>
      <rPr>
        <sz val="10"/>
        <color indexed="8"/>
        <rFont val="標楷體"/>
        <family val="4"/>
        <charset val="136"/>
      </rPr>
      <t>項目</t>
    </r>
  </si>
  <si>
    <r>
      <rPr>
        <sz val="10"/>
        <color indexed="8"/>
        <rFont val="標楷體"/>
        <family val="4"/>
        <charset val="136"/>
      </rPr>
      <t>本期</t>
    </r>
    <r>
      <rPr>
        <sz val="10"/>
        <color indexed="8"/>
        <rFont val="Times New Roman"/>
        <family val="1"/>
      </rPr>
      <t xml:space="preserve"> </t>
    </r>
    <phoneticPr fontId="7" type="noConversion"/>
  </si>
  <si>
    <r>
      <rPr>
        <sz val="10"/>
        <color indexed="8"/>
        <rFont val="標楷體"/>
        <family val="4"/>
        <charset val="136"/>
      </rPr>
      <t>上期</t>
    </r>
    <phoneticPr fontId="7" type="noConversion"/>
  </si>
  <si>
    <r>
      <rPr>
        <sz val="10"/>
        <color indexed="8"/>
        <rFont val="標楷體"/>
        <family val="4"/>
        <charset val="136"/>
      </rPr>
      <t>帳載金額比較增減</t>
    </r>
    <phoneticPr fontId="7" type="noConversion"/>
  </si>
  <si>
    <r>
      <rPr>
        <sz val="10"/>
        <color indexed="8"/>
        <rFont val="標楷體"/>
        <family val="4"/>
        <charset val="136"/>
      </rPr>
      <t>本期</t>
    </r>
    <phoneticPr fontId="7" type="noConversion"/>
  </si>
  <si>
    <r>
      <rPr>
        <sz val="10"/>
        <color indexed="8"/>
        <rFont val="標楷體"/>
        <family val="4"/>
        <charset val="136"/>
      </rPr>
      <t>帳載負債比較增減</t>
    </r>
    <phoneticPr fontId="7" type="noConversion"/>
  </si>
  <si>
    <r>
      <rPr>
        <sz val="10"/>
        <color indexed="8"/>
        <rFont val="標楷體"/>
        <family val="4"/>
        <charset val="136"/>
      </rPr>
      <t>帳載總額</t>
    </r>
    <phoneticPr fontId="9" type="noConversion"/>
  </si>
  <si>
    <r>
      <t>(</t>
    </r>
    <r>
      <rPr>
        <sz val="10"/>
        <color indexed="8"/>
        <rFont val="標楷體"/>
        <family val="4"/>
        <charset val="136"/>
      </rPr>
      <t>評價項目</t>
    </r>
    <r>
      <rPr>
        <sz val="10"/>
        <color indexed="8"/>
        <rFont val="Times New Roman"/>
        <family val="1"/>
      </rPr>
      <t>)</t>
    </r>
    <phoneticPr fontId="7" type="noConversion"/>
  </si>
  <si>
    <r>
      <rPr>
        <sz val="10"/>
        <color indexed="8"/>
        <rFont val="標楷體"/>
        <family val="4"/>
        <charset val="136"/>
      </rPr>
      <t>帳載金額</t>
    </r>
    <phoneticPr fontId="9" type="noConversion"/>
  </si>
  <si>
    <r>
      <rPr>
        <sz val="10"/>
        <color indexed="8"/>
        <rFont val="標楷體"/>
        <family val="4"/>
        <charset val="136"/>
      </rPr>
      <t>帳載金額</t>
    </r>
    <r>
      <rPr>
        <sz val="10"/>
        <color indexed="8"/>
        <rFont val="Times New Roman"/>
        <family val="1"/>
      </rPr>
      <t>%</t>
    </r>
    <phoneticPr fontId="9" type="noConversion"/>
  </si>
  <si>
    <r>
      <rPr>
        <sz val="10"/>
        <color indexed="8"/>
        <rFont val="標楷體"/>
        <family val="4"/>
        <charset val="136"/>
      </rPr>
      <t>非認許資產</t>
    </r>
    <phoneticPr fontId="9" type="noConversion"/>
  </si>
  <si>
    <r>
      <rPr>
        <sz val="10"/>
        <color indexed="8"/>
        <rFont val="標楷體"/>
        <family val="4"/>
        <charset val="136"/>
      </rPr>
      <t>淨認許資產</t>
    </r>
    <phoneticPr fontId="9" type="noConversion"/>
  </si>
  <si>
    <r>
      <rPr>
        <sz val="10"/>
        <color indexed="8"/>
        <rFont val="標楷體"/>
        <family val="4"/>
        <charset val="136"/>
      </rPr>
      <t>帳載金額</t>
    </r>
    <phoneticPr fontId="7" type="noConversion"/>
  </si>
  <si>
    <r>
      <rPr>
        <sz val="10"/>
        <color indexed="8"/>
        <rFont val="標楷體"/>
        <family val="4"/>
        <charset val="136"/>
      </rPr>
      <t>帳載金額</t>
    </r>
    <r>
      <rPr>
        <sz val="10"/>
        <color indexed="8"/>
        <rFont val="Times New Roman"/>
        <family val="1"/>
      </rPr>
      <t>%</t>
    </r>
    <phoneticPr fontId="7" type="noConversion"/>
  </si>
  <si>
    <r>
      <rPr>
        <sz val="10"/>
        <color indexed="8"/>
        <rFont val="標楷體"/>
        <family val="4"/>
        <charset val="136"/>
      </rPr>
      <t>淨認許資產</t>
    </r>
    <phoneticPr fontId="7" type="noConversion"/>
  </si>
  <si>
    <r>
      <rPr>
        <sz val="10"/>
        <color indexed="8"/>
        <rFont val="標楷體"/>
        <family val="4"/>
        <charset val="136"/>
      </rPr>
      <t>現金及約當現金</t>
    </r>
    <phoneticPr fontId="9" type="noConversion"/>
  </si>
  <si>
    <r>
      <rPr>
        <sz val="10"/>
        <color indexed="8"/>
        <rFont val="標楷體"/>
        <family val="4"/>
        <charset val="136"/>
      </rPr>
      <t>短期債務</t>
    </r>
    <phoneticPr fontId="7" type="noConversion"/>
  </si>
  <si>
    <r>
      <rPr>
        <sz val="10"/>
        <color indexed="8"/>
        <rFont val="標楷體"/>
        <family val="4"/>
        <charset val="136"/>
      </rPr>
      <t>應收款項</t>
    </r>
    <phoneticPr fontId="7" type="noConversion"/>
  </si>
  <si>
    <r>
      <rPr>
        <sz val="10"/>
        <color indexed="8"/>
        <rFont val="標楷體"/>
        <family val="4"/>
        <charset val="136"/>
      </rPr>
      <t>應付款項</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</si>
  <si>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</si>
  <si>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</si>
  <si>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</si>
  <si>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</si>
  <si>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具控制與從屬關係</t>
    </r>
    <r>
      <rPr>
        <sz val="10"/>
        <color indexed="8"/>
        <rFont val="Times New Roman"/>
        <family val="1"/>
      </rPr>
      <t>)</t>
    </r>
    <phoneticPr fontId="7" type="noConversion"/>
  </si>
  <si>
    <r>
      <t xml:space="preserve">    </t>
    </r>
    <r>
      <rPr>
        <sz val="10"/>
        <color indexed="8"/>
        <rFont val="標楷體"/>
        <family val="4"/>
        <charset val="136"/>
      </rPr>
      <t>應付保險賠款與給付</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</si>
  <si>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非控制與從屬關係</t>
    </r>
    <r>
      <rPr>
        <sz val="10"/>
        <color indexed="8"/>
        <rFont val="Times New Roman"/>
        <family val="1"/>
      </rPr>
      <t>)</t>
    </r>
    <phoneticPr fontId="7" type="noConversion"/>
  </si>
  <si>
    <r>
      <t xml:space="preserve">    </t>
    </r>
    <r>
      <rPr>
        <sz val="10"/>
        <color indexed="8"/>
        <rFont val="標楷體"/>
        <family val="4"/>
        <charset val="136"/>
      </rPr>
      <t>應付再保賠款與給付</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</si>
  <si>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</si>
  <si>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應付佣金</t>
    </r>
    <phoneticPr fontId="9" type="noConversion"/>
  </si>
  <si>
    <r>
      <t xml:space="preserve">    </t>
    </r>
    <r>
      <rPr>
        <sz val="10"/>
        <color indexed="8"/>
        <rFont val="標楷體"/>
        <family val="4"/>
        <charset val="136"/>
      </rPr>
      <t>應收保費</t>
    </r>
    <phoneticPr fontId="9"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</si>
  <si>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應付再保往來款項</t>
    </r>
    <phoneticPr fontId="9" type="noConversion"/>
  </si>
  <si>
    <r>
      <t xml:space="preserve">    </t>
    </r>
    <r>
      <rPr>
        <sz val="10"/>
        <color indexed="8"/>
        <rFont val="標楷體"/>
        <family val="4"/>
        <charset val="136"/>
      </rPr>
      <t>應收保費</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</si>
  <si>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其他應付款</t>
    </r>
    <phoneticPr fontId="7" type="noConversion"/>
  </si>
  <si>
    <r>
      <t xml:space="preserve">    </t>
    </r>
    <r>
      <rPr>
        <sz val="10"/>
        <color indexed="8"/>
        <rFont val="標楷體"/>
        <family val="4"/>
        <charset val="136"/>
      </rPr>
      <t>應收利息及收益</t>
    </r>
    <phoneticPr fontId="9" type="noConversion"/>
  </si>
  <si>
    <r>
      <rPr>
        <sz val="10"/>
        <color indexed="8"/>
        <rFont val="標楷體"/>
        <family val="4"/>
        <charset val="136"/>
      </rPr>
      <t>本期所得稅負債</t>
    </r>
    <phoneticPr fontId="7" type="noConversion"/>
  </si>
  <si>
    <r>
      <t xml:space="preserve">    </t>
    </r>
    <r>
      <rPr>
        <sz val="10"/>
        <color indexed="8"/>
        <rFont val="標楷體"/>
        <family val="4"/>
        <charset val="136"/>
      </rPr>
      <t>應收利息及收益</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</si>
  <si>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與待出售資產直接相關之負債</t>
    </r>
    <phoneticPr fontId="7" type="noConversion"/>
  </si>
  <si>
    <r>
      <t xml:space="preserve">    </t>
    </r>
    <r>
      <rPr>
        <sz val="10"/>
        <color indexed="8"/>
        <rFont val="標楷體"/>
        <family val="4"/>
        <charset val="136"/>
      </rPr>
      <t>其他應收款</t>
    </r>
    <phoneticPr fontId="9" type="noConversion"/>
  </si>
  <si>
    <r>
      <t xml:space="preserve">    </t>
    </r>
    <r>
      <rPr>
        <sz val="10"/>
        <color indexed="8"/>
        <rFont val="標楷體"/>
        <family val="4"/>
        <charset val="136"/>
      </rPr>
      <t>其他應收款</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</si>
  <si>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透過損益按公允價值衡量之金融負債</t>
    </r>
    <phoneticPr fontId="7" type="noConversion"/>
  </si>
  <si>
    <r>
      <rPr>
        <sz val="10"/>
        <color indexed="8"/>
        <rFont val="標楷體"/>
        <family val="4"/>
        <charset val="136"/>
      </rPr>
      <t>本期所得稅資產</t>
    </r>
    <phoneticPr fontId="7" type="noConversion"/>
  </si>
  <si>
    <r>
      <rPr>
        <sz val="10"/>
        <color indexed="8"/>
        <rFont val="標楷體"/>
        <family val="4"/>
        <charset val="136"/>
      </rPr>
      <t>避險之金融負債</t>
    </r>
    <phoneticPr fontId="7" type="noConversion"/>
  </si>
  <si>
    <r>
      <rPr>
        <sz val="10"/>
        <color indexed="8"/>
        <rFont val="標楷體"/>
        <family val="4"/>
        <charset val="136"/>
      </rPr>
      <t>待出售資產</t>
    </r>
    <phoneticPr fontId="7" type="noConversion"/>
  </si>
  <si>
    <r>
      <rPr>
        <sz val="10"/>
        <color indexed="8"/>
        <rFont val="標楷體"/>
        <family val="4"/>
        <charset val="136"/>
      </rPr>
      <t>應付債券</t>
    </r>
    <phoneticPr fontId="7" type="noConversion"/>
  </si>
  <si>
    <r>
      <rPr>
        <sz val="10"/>
        <color indexed="8"/>
        <rFont val="標楷體"/>
        <family val="4"/>
        <charset val="136"/>
      </rPr>
      <t>待分配予業主之資產</t>
    </r>
    <phoneticPr fontId="7" type="noConversion"/>
  </si>
  <si>
    <r>
      <rPr>
        <sz val="10"/>
        <color indexed="8"/>
        <rFont val="標楷體"/>
        <family val="4"/>
        <charset val="136"/>
      </rPr>
      <t>特別股負債</t>
    </r>
    <phoneticPr fontId="9" type="noConversion"/>
  </si>
  <si>
    <r>
      <rPr>
        <sz val="10"/>
        <color indexed="8"/>
        <rFont val="標楷體"/>
        <family val="4"/>
        <charset val="136"/>
      </rPr>
      <t>透過損益按公允價值衡量之金融資產</t>
    </r>
    <phoneticPr fontId="7" type="noConversion"/>
  </si>
  <si>
    <r>
      <rPr>
        <sz val="10"/>
        <color indexed="8"/>
        <rFont val="標楷體"/>
        <family val="4"/>
        <charset val="136"/>
      </rPr>
      <t>其他金融負債</t>
    </r>
    <phoneticPr fontId="9" type="noConversion"/>
  </si>
  <si>
    <r>
      <t xml:space="preserve">    </t>
    </r>
    <r>
      <rPr>
        <sz val="10"/>
        <color indexed="8"/>
        <rFont val="標楷體"/>
        <family val="4"/>
        <charset val="136"/>
      </rPr>
      <t>公債、庫券及儲蓄券</t>
    </r>
    <phoneticPr fontId="7" type="noConversion"/>
  </si>
  <si>
    <r>
      <t xml:space="preserve">    </t>
    </r>
    <r>
      <rPr>
        <sz val="10"/>
        <color indexed="8"/>
        <rFont val="標楷體"/>
        <family val="4"/>
        <charset val="136"/>
      </rPr>
      <t>金融債券及其他經主管機關核准購買之有價證券</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</si>
  <si>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帳載</t>
    </r>
    <phoneticPr fontId="7" type="noConversion"/>
  </si>
  <si>
    <r>
      <t xml:space="preserve">    </t>
    </r>
    <r>
      <rPr>
        <sz val="10"/>
        <color indexed="8"/>
        <rFont val="標楷體"/>
        <family val="4"/>
        <charset val="136"/>
      </rPr>
      <t>公司股票</t>
    </r>
    <r>
      <rPr>
        <sz val="10"/>
        <color indexed="8"/>
        <rFont val="Times New Roman"/>
        <family val="1"/>
      </rPr>
      <t>(</t>
    </r>
    <r>
      <rPr>
        <sz val="10"/>
        <color indexed="8"/>
        <rFont val="標楷體"/>
        <family val="4"/>
        <charset val="136"/>
      </rPr>
      <t>評價調整＄</t>
    </r>
    <r>
      <rPr>
        <sz val="10"/>
        <color indexed="8"/>
        <rFont val="Times New Roman"/>
        <family val="1"/>
      </rPr>
      <t xml:space="preserve">                    )</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</si>
  <si>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</si>
  <si>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公司債</t>
    </r>
    <phoneticPr fontId="7" type="noConversion"/>
  </si>
  <si>
    <r>
      <t xml:space="preserve">    </t>
    </r>
    <r>
      <rPr>
        <sz val="10"/>
        <color indexed="8"/>
        <rFont val="標楷體"/>
        <family val="4"/>
        <charset val="136"/>
      </rPr>
      <t>未滿期保費準備</t>
    </r>
    <phoneticPr fontId="9" type="noConversion"/>
  </si>
  <si>
    <r>
      <t xml:space="preserve">    </t>
    </r>
    <r>
      <rPr>
        <sz val="10"/>
        <color indexed="8"/>
        <rFont val="標楷體"/>
        <family val="4"/>
        <charset val="136"/>
      </rPr>
      <t>受益憑證</t>
    </r>
    <phoneticPr fontId="7" type="noConversion"/>
  </si>
  <si>
    <r>
      <t xml:space="preserve">    </t>
    </r>
    <r>
      <rPr>
        <sz val="10"/>
        <color indexed="8"/>
        <rFont val="標楷體"/>
        <family val="4"/>
        <charset val="136"/>
      </rPr>
      <t>賠款準備</t>
    </r>
    <phoneticPr fontId="9" type="noConversion"/>
  </si>
  <si>
    <r>
      <t xml:space="preserve">    </t>
    </r>
    <r>
      <rPr>
        <sz val="10"/>
        <color indexed="8"/>
        <rFont val="標楷體"/>
        <family val="4"/>
        <charset val="136"/>
      </rPr>
      <t>抵繳存出保證金</t>
    </r>
    <phoneticPr fontId="7" type="noConversion"/>
  </si>
  <si>
    <r>
      <t xml:space="preserve">    </t>
    </r>
    <r>
      <rPr>
        <sz val="10"/>
        <color indexed="8"/>
        <rFont val="標楷體"/>
        <family val="4"/>
        <charset val="136"/>
      </rPr>
      <t>責任準備</t>
    </r>
    <phoneticPr fontId="9" type="noConversion"/>
  </si>
  <si>
    <r>
      <t xml:space="preserve">    </t>
    </r>
    <r>
      <rPr>
        <sz val="10"/>
        <color indexed="8"/>
        <rFont val="標楷體"/>
        <family val="4"/>
        <charset val="136"/>
      </rPr>
      <t>國外投資</t>
    </r>
    <r>
      <rPr>
        <sz val="10"/>
        <color indexed="8"/>
        <rFont val="Times New Roman"/>
        <family val="1"/>
      </rPr>
      <t>(</t>
    </r>
    <r>
      <rPr>
        <sz val="10"/>
        <color indexed="8"/>
        <rFont val="標楷體"/>
        <family val="4"/>
        <charset val="136"/>
      </rPr>
      <t>屬股票部分之評價調整＄</t>
    </r>
    <r>
      <rPr>
        <sz val="10"/>
        <color indexed="8"/>
        <rFont val="Times New Roman"/>
        <family val="1"/>
      </rPr>
      <t xml:space="preserve">                    )</t>
    </r>
    <phoneticPr fontId="7" type="noConversion"/>
  </si>
  <si>
    <r>
      <t xml:space="preserve">    </t>
    </r>
    <r>
      <rPr>
        <sz val="10"/>
        <color indexed="8"/>
        <rFont val="標楷體"/>
        <family val="4"/>
        <charset val="136"/>
      </rPr>
      <t>特別準備</t>
    </r>
    <phoneticPr fontId="9" type="noConversion"/>
  </si>
  <si>
    <r>
      <t xml:space="preserve">    </t>
    </r>
    <r>
      <rPr>
        <sz val="10"/>
        <color indexed="8"/>
        <rFont val="標楷體"/>
        <family val="4"/>
        <charset val="136"/>
      </rPr>
      <t>專案運用公共及社會福利事業投資</t>
    </r>
    <phoneticPr fontId="7" type="noConversion"/>
  </si>
  <si>
    <r>
      <t xml:space="preserve">    </t>
    </r>
    <r>
      <rPr>
        <sz val="10"/>
        <color indexed="8"/>
        <rFont val="標楷體"/>
        <family val="4"/>
        <charset val="136"/>
      </rPr>
      <t>衍生性商品交易</t>
    </r>
    <phoneticPr fontId="7" type="noConversion"/>
  </si>
  <si>
    <r>
      <t xml:space="preserve">    </t>
    </r>
    <r>
      <rPr>
        <sz val="10"/>
        <color indexed="8"/>
        <rFont val="標楷體"/>
        <family val="4"/>
        <charset val="136"/>
      </rPr>
      <t>其他投資</t>
    </r>
    <phoneticPr fontId="7" type="noConversion"/>
  </si>
  <si>
    <r>
      <rPr>
        <sz val="10"/>
        <color indexed="8"/>
        <rFont val="標楷體"/>
        <family val="4"/>
        <charset val="136"/>
      </rPr>
      <t>透過其他綜合損益按公允價值衡量之金融資產</t>
    </r>
    <phoneticPr fontId="7" type="noConversion"/>
  </si>
  <si>
    <r>
      <t xml:space="preserve">    </t>
    </r>
    <r>
      <rPr>
        <sz val="10"/>
        <color indexed="8"/>
        <rFont val="標楷體"/>
        <family val="4"/>
        <charset val="136"/>
      </rPr>
      <t>未適格再保險準備</t>
    </r>
    <phoneticPr fontId="7" type="noConversion"/>
  </si>
  <si>
    <r>
      <rPr>
        <sz val="10"/>
        <color indexed="8"/>
        <rFont val="標楷體"/>
        <family val="4"/>
        <charset val="136"/>
      </rPr>
      <t>具金融商品性質之保險契約準備</t>
    </r>
    <phoneticPr fontId="7" type="noConversion"/>
  </si>
  <si>
    <r>
      <rPr>
        <sz val="10"/>
        <color indexed="8"/>
        <rFont val="標楷體"/>
        <family val="4"/>
        <charset val="136"/>
      </rPr>
      <t>外匯價格變動準備</t>
    </r>
    <phoneticPr fontId="7" type="noConversion"/>
  </si>
  <si>
    <r>
      <rPr>
        <sz val="10"/>
        <color indexed="8"/>
        <rFont val="標楷體"/>
        <family val="4"/>
        <charset val="136"/>
      </rPr>
      <t>負債準備</t>
    </r>
    <phoneticPr fontId="7" type="noConversion"/>
  </si>
  <si>
    <r>
      <t xml:space="preserve">    </t>
    </r>
    <r>
      <rPr>
        <sz val="10"/>
        <color indexed="8"/>
        <rFont val="標楷體"/>
        <family val="4"/>
        <charset val="136"/>
      </rPr>
      <t>員工福利負債準備</t>
    </r>
    <phoneticPr fontId="7" type="noConversion"/>
  </si>
  <si>
    <r>
      <t xml:space="preserve">    </t>
    </r>
    <r>
      <rPr>
        <sz val="10"/>
        <color indexed="8"/>
        <rFont val="標楷體"/>
        <family val="4"/>
        <charset val="136"/>
      </rPr>
      <t>其他負債準備</t>
    </r>
    <phoneticPr fontId="7" type="noConversion"/>
  </si>
  <si>
    <r>
      <rPr>
        <sz val="10"/>
        <color indexed="8"/>
        <rFont val="標楷體"/>
        <family val="4"/>
        <charset val="136"/>
      </rPr>
      <t>租賃負債</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</si>
  <si>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帳載</t>
    </r>
    <phoneticPr fontId="7" type="noConversion"/>
  </si>
  <si>
    <r>
      <rPr>
        <sz val="10"/>
        <color indexed="8"/>
        <rFont val="標楷體"/>
        <family val="4"/>
        <charset val="136"/>
      </rPr>
      <t>按攤銷後成本衡量之金融資產</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</si>
  <si>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</si>
  <si>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土地增值稅準備</t>
    </r>
    <phoneticPr fontId="9" type="noConversion"/>
  </si>
  <si>
    <r>
      <t xml:space="preserve">        </t>
    </r>
    <r>
      <rPr>
        <sz val="10"/>
        <color indexed="8"/>
        <rFont val="標楷體"/>
        <family val="4"/>
        <charset val="136"/>
      </rPr>
      <t>投資用</t>
    </r>
    <phoneticPr fontId="9" type="noConversion"/>
  </si>
  <si>
    <r>
      <t xml:space="preserve">    </t>
    </r>
    <r>
      <rPr>
        <sz val="10"/>
        <color indexed="8"/>
        <rFont val="標楷體"/>
        <family val="4"/>
        <charset val="136"/>
      </rPr>
      <t>公司股票</t>
    </r>
    <phoneticPr fontId="7" type="noConversion"/>
  </si>
  <si>
    <r>
      <t xml:space="preserve">        </t>
    </r>
    <r>
      <rPr>
        <sz val="10"/>
        <color indexed="8"/>
        <rFont val="標楷體"/>
        <family val="4"/>
        <charset val="136"/>
      </rPr>
      <t>自用</t>
    </r>
    <phoneticPr fontId="9" type="noConversion"/>
  </si>
  <si>
    <r>
      <t xml:space="preserve">    </t>
    </r>
    <r>
      <rPr>
        <sz val="10"/>
        <color indexed="8"/>
        <rFont val="標楷體"/>
        <family val="4"/>
        <charset val="136"/>
      </rPr>
      <t>其他遞延所得稅負債</t>
    </r>
    <phoneticPr fontId="9" type="noConversion"/>
  </si>
  <si>
    <r>
      <rPr>
        <sz val="10"/>
        <color indexed="8"/>
        <rFont val="標楷體"/>
        <family val="4"/>
        <charset val="136"/>
      </rPr>
      <t>其他負債</t>
    </r>
    <phoneticPr fontId="7" type="noConversion"/>
  </si>
  <si>
    <r>
      <t xml:space="preserve">    </t>
    </r>
    <r>
      <rPr>
        <sz val="10"/>
        <color indexed="8"/>
        <rFont val="標楷體"/>
        <family val="4"/>
        <charset val="136"/>
      </rPr>
      <t>國外投資</t>
    </r>
    <phoneticPr fontId="7" type="noConversion"/>
  </si>
  <si>
    <r>
      <t xml:space="preserve">    </t>
    </r>
    <r>
      <rPr>
        <sz val="10"/>
        <color indexed="8"/>
        <rFont val="標楷體"/>
        <family val="4"/>
        <charset val="136"/>
      </rPr>
      <t>預收款項</t>
    </r>
    <phoneticPr fontId="9" type="noConversion"/>
  </si>
  <si>
    <r>
      <t xml:space="preserve">         </t>
    </r>
    <r>
      <rPr>
        <sz val="10"/>
        <color indexed="8"/>
        <rFont val="標楷體"/>
        <family val="4"/>
        <charset val="136"/>
      </rPr>
      <t>遞延手續費收入</t>
    </r>
    <phoneticPr fontId="7"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</si>
  <si>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存入保證金</t>
    </r>
    <phoneticPr fontId="7" type="noConversion"/>
  </si>
  <si>
    <r>
      <rPr>
        <sz val="10"/>
        <color indexed="8"/>
        <rFont val="標楷體"/>
        <family val="4"/>
        <charset val="136"/>
      </rPr>
      <t>避險之金融資產</t>
    </r>
    <phoneticPr fontId="7" type="noConversion"/>
  </si>
  <si>
    <r>
      <t xml:space="preserve">    </t>
    </r>
    <r>
      <rPr>
        <sz val="10"/>
        <color indexed="8"/>
        <rFont val="標楷體"/>
        <family val="4"/>
        <charset val="136"/>
      </rPr>
      <t>存入再保責任準備金</t>
    </r>
    <phoneticPr fontId="9" type="noConversion"/>
  </si>
  <si>
    <r>
      <rPr>
        <sz val="10"/>
        <color indexed="8"/>
        <rFont val="標楷體"/>
        <family val="4"/>
        <charset val="136"/>
      </rPr>
      <t>採用權益法之投資</t>
    </r>
    <phoneticPr fontId="7" type="noConversion"/>
  </si>
  <si>
    <r>
      <t xml:space="preserve">    </t>
    </r>
    <r>
      <rPr>
        <sz val="10"/>
        <color indexed="8"/>
        <rFont val="標楷體"/>
        <family val="4"/>
        <charset val="136"/>
      </rPr>
      <t>營業損失準備</t>
    </r>
    <phoneticPr fontId="9" type="noConversion"/>
  </si>
  <si>
    <r>
      <rPr>
        <sz val="10"/>
        <color indexed="8"/>
        <rFont val="標楷體"/>
        <family val="4"/>
        <charset val="136"/>
      </rPr>
      <t>其他金融資產</t>
    </r>
    <phoneticPr fontId="9" type="noConversion"/>
  </si>
  <si>
    <r>
      <t xml:space="preserve">    </t>
    </r>
    <r>
      <rPr>
        <sz val="10"/>
        <color indexed="8"/>
        <rFont val="標楷體"/>
        <family val="4"/>
        <charset val="136"/>
      </rPr>
      <t>信託代理及保證負債</t>
    </r>
    <phoneticPr fontId="7" type="noConversion"/>
  </si>
  <si>
    <r>
      <rPr>
        <sz val="10"/>
        <color indexed="8"/>
        <rFont val="標楷體"/>
        <family val="4"/>
        <charset val="136"/>
      </rPr>
      <t>使用權資產</t>
    </r>
    <phoneticPr fontId="7" type="noConversion"/>
  </si>
  <si>
    <r>
      <t xml:space="preserve">    </t>
    </r>
    <r>
      <rPr>
        <sz val="10"/>
        <color indexed="8"/>
        <rFont val="標楷體"/>
        <family val="4"/>
        <charset val="136"/>
      </rPr>
      <t>暫收及待結轉帳項</t>
    </r>
    <phoneticPr fontId="9" type="noConversion"/>
  </si>
  <si>
    <r>
      <rPr>
        <sz val="10"/>
        <color indexed="8"/>
        <rFont val="標楷體"/>
        <family val="4"/>
        <charset val="136"/>
      </rPr>
      <t>投資性不動產</t>
    </r>
    <phoneticPr fontId="9" type="noConversion"/>
  </si>
  <si>
    <r>
      <t xml:space="preserve">    </t>
    </r>
    <r>
      <rPr>
        <sz val="10"/>
        <color indexed="8"/>
        <rFont val="標楷體"/>
        <family val="4"/>
        <charset val="136"/>
      </rPr>
      <t>其他什項負債</t>
    </r>
    <phoneticPr fontId="7" type="noConversion"/>
  </si>
  <si>
    <r>
      <rPr>
        <sz val="10"/>
        <color indexed="8"/>
        <rFont val="標楷體"/>
        <family val="4"/>
        <charset val="136"/>
      </rPr>
      <t>放款</t>
    </r>
    <phoneticPr fontId="9" type="noConversion"/>
  </si>
  <si>
    <r>
      <t xml:space="preserve">    </t>
    </r>
    <r>
      <rPr>
        <sz val="10"/>
        <color indexed="8"/>
        <rFont val="標楷體"/>
        <family val="4"/>
        <charset val="136"/>
      </rPr>
      <t>壽險貸款</t>
    </r>
    <phoneticPr fontId="9" type="noConversion"/>
  </si>
  <si>
    <r>
      <rPr>
        <sz val="10"/>
        <color indexed="8"/>
        <rFont val="標楷體"/>
        <family val="4"/>
        <charset val="136"/>
      </rPr>
      <t>分離帳戶保險商品負債</t>
    </r>
    <phoneticPr fontId="7" type="noConversion"/>
  </si>
  <si>
    <r>
      <t xml:space="preserve">    </t>
    </r>
    <r>
      <rPr>
        <sz val="10"/>
        <color indexed="8"/>
        <rFont val="標楷體"/>
        <family val="4"/>
        <charset val="136"/>
      </rPr>
      <t>墊繳保費</t>
    </r>
    <phoneticPr fontId="9" type="noConversion"/>
  </si>
  <si>
    <r>
      <t xml:space="preserve">    </t>
    </r>
    <r>
      <rPr>
        <sz val="10"/>
        <color indexed="8"/>
        <rFont val="標楷體"/>
        <family val="4"/>
        <charset val="136"/>
      </rPr>
      <t>投資型保險商品負債</t>
    </r>
    <phoneticPr fontId="7" type="noConversion"/>
  </si>
  <si>
    <r>
      <t xml:space="preserve">    </t>
    </r>
    <r>
      <rPr>
        <sz val="10"/>
        <color indexed="8"/>
        <rFont val="標楷體"/>
        <family val="4"/>
        <charset val="136"/>
      </rPr>
      <t>擔保放款</t>
    </r>
    <phoneticPr fontId="9" type="noConversion"/>
  </si>
  <si>
    <r>
      <t xml:space="preserve">    </t>
    </r>
    <r>
      <rPr>
        <sz val="10"/>
        <color indexed="8"/>
        <rFont val="標楷體"/>
        <family val="4"/>
        <charset val="136"/>
      </rPr>
      <t>勞退年金保險商品負債</t>
    </r>
    <phoneticPr fontId="7" type="noConversion"/>
  </si>
  <si>
    <r>
      <t xml:space="preserve">    </t>
    </r>
    <r>
      <rPr>
        <sz val="10"/>
        <color indexed="8"/>
        <rFont val="標楷體"/>
        <family val="4"/>
        <charset val="136"/>
      </rPr>
      <t>催收款項</t>
    </r>
    <phoneticPr fontId="9" type="noConversion"/>
  </si>
  <si>
    <r>
      <rPr>
        <sz val="10"/>
        <color indexed="8"/>
        <rFont val="標楷體"/>
        <family val="4"/>
        <charset val="136"/>
      </rPr>
      <t>再保險合約資產</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</si>
  <si>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帳載</t>
    </r>
    <phoneticPr fontId="9" type="noConversion"/>
  </si>
  <si>
    <r>
      <t xml:space="preserve">    </t>
    </r>
    <r>
      <rPr>
        <sz val="10"/>
        <color indexed="8"/>
        <rFont val="標楷體"/>
        <family val="4"/>
        <charset val="136"/>
      </rPr>
      <t>應攤回再保賠款與給付</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</si>
  <si>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認許</t>
    </r>
    <phoneticPr fontId="9" type="noConversion"/>
  </si>
  <si>
    <r>
      <t xml:space="preserve">    </t>
    </r>
    <r>
      <rPr>
        <sz val="10"/>
        <color indexed="8"/>
        <rFont val="標楷體"/>
        <family val="4"/>
        <charset val="136"/>
      </rPr>
      <t>應攤回再保賠款與給付</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</si>
  <si>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應收再保往來款項</t>
    </r>
    <phoneticPr fontId="9" type="noConversion"/>
  </si>
  <si>
    <r>
      <rPr>
        <sz val="10"/>
        <color indexed="8"/>
        <rFont val="標楷體"/>
        <family val="4"/>
        <charset val="136"/>
      </rPr>
      <t>股本</t>
    </r>
    <phoneticPr fontId="9" type="noConversion"/>
  </si>
  <si>
    <r>
      <t xml:space="preserve">    </t>
    </r>
    <r>
      <rPr>
        <sz val="10"/>
        <color indexed="8"/>
        <rFont val="標楷體"/>
        <family val="4"/>
        <charset val="136"/>
      </rPr>
      <t>應收再保往來款項</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</si>
  <si>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普通股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</si>
  <si>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分出未滿期保費準備</t>
    </r>
    <phoneticPr fontId="7" type="noConversion"/>
  </si>
  <si>
    <r>
      <t xml:space="preserve">    </t>
    </r>
    <r>
      <rPr>
        <sz val="10"/>
        <color indexed="8"/>
        <rFont val="標楷體"/>
        <family val="4"/>
        <charset val="136"/>
      </rPr>
      <t>特別股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</si>
  <si>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分出賠款準備</t>
    </r>
    <phoneticPr fontId="7" type="noConversion"/>
  </si>
  <si>
    <r>
      <t xml:space="preserve">    </t>
    </r>
    <r>
      <rPr>
        <sz val="10"/>
        <color indexed="8"/>
        <rFont val="標楷體"/>
        <family val="4"/>
        <charset val="136"/>
      </rPr>
      <t>預收股本</t>
    </r>
    <phoneticPr fontId="7" type="noConversion"/>
  </si>
  <si>
    <r>
      <t xml:space="preserve">    </t>
    </r>
    <r>
      <rPr>
        <sz val="10"/>
        <color indexed="8"/>
        <rFont val="標楷體"/>
        <family val="4"/>
        <charset val="136"/>
      </rPr>
      <t>分出責任準備</t>
    </r>
    <phoneticPr fontId="7" type="noConversion"/>
  </si>
  <si>
    <r>
      <t xml:space="preserve">    </t>
    </r>
    <r>
      <rPr>
        <sz val="10"/>
        <color indexed="8"/>
        <rFont val="標楷體"/>
        <family val="4"/>
        <charset val="136"/>
      </rPr>
      <t>待分配股票股利</t>
    </r>
    <phoneticPr fontId="7" type="noConversion"/>
  </si>
  <si>
    <r>
      <t xml:space="preserve">    </t>
    </r>
    <r>
      <rPr>
        <sz val="10"/>
        <color indexed="8"/>
        <rFont val="標楷體"/>
        <family val="4"/>
        <charset val="136"/>
      </rPr>
      <t>分出保費不足準備</t>
    </r>
    <phoneticPr fontId="7" type="noConversion"/>
  </si>
  <si>
    <r>
      <t xml:space="preserve">    </t>
    </r>
    <r>
      <rPr>
        <sz val="10"/>
        <color indexed="8"/>
        <rFont val="標楷體"/>
        <family val="4"/>
        <charset val="136"/>
      </rPr>
      <t>分出負債適足準備</t>
    </r>
    <phoneticPr fontId="7" type="noConversion"/>
  </si>
  <si>
    <r>
      <rPr>
        <sz val="10"/>
        <color indexed="8"/>
        <rFont val="標楷體"/>
        <family val="4"/>
        <charset val="136"/>
      </rPr>
      <t>資本公積</t>
    </r>
    <phoneticPr fontId="9" type="noConversion"/>
  </si>
  <si>
    <r>
      <rPr>
        <sz val="10"/>
        <color indexed="8"/>
        <rFont val="標楷體"/>
        <family val="4"/>
        <charset val="136"/>
      </rPr>
      <t>不動產及設備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</si>
  <si>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發行股票溢價</t>
    </r>
    <phoneticPr fontId="9" type="noConversion"/>
  </si>
  <si>
    <r>
      <t xml:space="preserve">    </t>
    </r>
    <r>
      <rPr>
        <sz val="10"/>
        <color indexed="8"/>
        <rFont val="標楷體"/>
        <family val="4"/>
        <charset val="136"/>
      </rPr>
      <t>土地</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</si>
  <si>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庫藏股票交易</t>
    </r>
    <phoneticPr fontId="9" type="noConversion"/>
  </si>
  <si>
    <r>
      <t xml:space="preserve">    </t>
    </r>
    <r>
      <rPr>
        <sz val="10"/>
        <color indexed="8"/>
        <rFont val="標楷體"/>
        <family val="4"/>
        <charset val="136"/>
      </rPr>
      <t>土地改良物</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</si>
  <si>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受領股東贈與</t>
    </r>
    <phoneticPr fontId="9" type="noConversion"/>
  </si>
  <si>
    <r>
      <t xml:space="preserve">    </t>
    </r>
    <r>
      <rPr>
        <sz val="10"/>
        <color indexed="8"/>
        <rFont val="標楷體"/>
        <family val="4"/>
        <charset val="136"/>
      </rPr>
      <t>租賃權益改良</t>
    </r>
    <phoneticPr fontId="7"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</si>
  <si>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員工認股權</t>
    </r>
    <phoneticPr fontId="7" type="noConversion"/>
  </si>
  <si>
    <r>
      <t xml:space="preserve">    </t>
    </r>
    <r>
      <rPr>
        <sz val="10"/>
        <color indexed="8"/>
        <rFont val="標楷體"/>
        <family val="4"/>
        <charset val="136"/>
      </rPr>
      <t>房屋及建築</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</si>
  <si>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認股權</t>
    </r>
    <phoneticPr fontId="7" type="noConversion"/>
  </si>
  <si>
    <r>
      <t xml:space="preserve">    </t>
    </r>
    <r>
      <rPr>
        <sz val="10"/>
        <color indexed="8"/>
        <rFont val="標楷體"/>
        <family val="4"/>
        <charset val="136"/>
      </rPr>
      <t>辦公及其他設備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</si>
  <si>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</si>
  <si>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租賃資產</t>
    </r>
    <phoneticPr fontId="7" type="noConversion"/>
  </si>
  <si>
    <r>
      <t xml:space="preserve">    </t>
    </r>
    <r>
      <rPr>
        <sz val="10"/>
        <color indexed="8"/>
        <rFont val="標楷體"/>
        <family val="4"/>
        <charset val="136"/>
      </rPr>
      <t>在建工程及預付房地設備款</t>
    </r>
    <phoneticPr fontId="9" type="noConversion"/>
  </si>
  <si>
    <r>
      <rPr>
        <sz val="10"/>
        <color indexed="8"/>
        <rFont val="標楷體"/>
        <family val="4"/>
        <charset val="136"/>
      </rPr>
      <t>無形資產</t>
    </r>
    <phoneticPr fontId="9" type="noConversion"/>
  </si>
  <si>
    <r>
      <rPr>
        <sz val="10"/>
        <color indexed="8"/>
        <rFont val="標楷體"/>
        <family val="4"/>
        <charset val="136"/>
      </rPr>
      <t>保留盈餘</t>
    </r>
    <r>
      <rPr>
        <sz val="10"/>
        <color indexed="8"/>
        <rFont val="Times New Roman"/>
        <family val="1"/>
      </rPr>
      <t>(</t>
    </r>
    <r>
      <rPr>
        <sz val="10"/>
        <color indexed="8"/>
        <rFont val="標楷體"/>
        <family val="4"/>
        <charset val="136"/>
      </rPr>
      <t>累積虧損</t>
    </r>
    <r>
      <rPr>
        <sz val="10"/>
        <color indexed="8"/>
        <rFont val="Times New Roman"/>
        <family val="1"/>
      </rPr>
      <t>)</t>
    </r>
  </si>
  <si>
    <r>
      <t xml:space="preserve">    </t>
    </r>
    <r>
      <rPr>
        <sz val="10"/>
        <color indexed="8"/>
        <rFont val="標楷體"/>
        <family val="4"/>
        <charset val="136"/>
      </rPr>
      <t>商譽</t>
    </r>
    <phoneticPr fontId="9" type="noConversion"/>
  </si>
  <si>
    <r>
      <t xml:space="preserve">    </t>
    </r>
    <r>
      <rPr>
        <sz val="10"/>
        <color indexed="8"/>
        <rFont val="標楷體"/>
        <family val="4"/>
        <charset val="136"/>
      </rPr>
      <t>法定盈餘公積</t>
    </r>
  </si>
  <si>
    <r>
      <t xml:space="preserve">    </t>
    </r>
    <r>
      <rPr>
        <sz val="10"/>
        <color indexed="8"/>
        <rFont val="標楷體"/>
        <family val="4"/>
        <charset val="136"/>
      </rPr>
      <t>電腦軟體成本</t>
    </r>
    <phoneticPr fontId="7" type="noConversion"/>
  </si>
  <si>
    <r>
      <t xml:space="preserve">    </t>
    </r>
    <r>
      <rPr>
        <sz val="10"/>
        <color indexed="8"/>
        <rFont val="標楷體"/>
        <family val="4"/>
        <charset val="136"/>
      </rPr>
      <t>特別盈餘公積</t>
    </r>
  </si>
  <si>
    <r>
      <t xml:space="preserve">    </t>
    </r>
    <r>
      <rPr>
        <sz val="10"/>
        <color indexed="8"/>
        <rFont val="標楷體"/>
        <family val="4"/>
        <charset val="136"/>
      </rPr>
      <t>遞延退休金成本</t>
    </r>
    <phoneticPr fontId="9" type="noConversion"/>
  </si>
  <si>
    <r>
      <t xml:space="preserve">    </t>
    </r>
    <r>
      <rPr>
        <sz val="10"/>
        <color indexed="8"/>
        <rFont val="標楷體"/>
        <family val="4"/>
        <charset val="136"/>
      </rPr>
      <t>未分配保留盈餘</t>
    </r>
    <r>
      <rPr>
        <sz val="10"/>
        <color indexed="8"/>
        <rFont val="Times New Roman"/>
        <family val="1"/>
      </rPr>
      <t>(</t>
    </r>
    <r>
      <rPr>
        <sz val="10"/>
        <color indexed="8"/>
        <rFont val="標楷體"/>
        <family val="4"/>
        <charset val="136"/>
      </rPr>
      <t>待彌補虧損</t>
    </r>
    <r>
      <rPr>
        <sz val="10"/>
        <color indexed="8"/>
        <rFont val="Times New Roman"/>
        <family val="1"/>
      </rPr>
      <t>)</t>
    </r>
    <phoneticPr fontId="7" type="noConversion"/>
  </si>
  <si>
    <r>
      <t xml:space="preserve">    </t>
    </r>
    <r>
      <rPr>
        <sz val="10"/>
        <color indexed="8"/>
        <rFont val="標楷體"/>
        <family val="4"/>
        <charset val="136"/>
      </rPr>
      <t>其他無形資產</t>
    </r>
    <phoneticPr fontId="7" type="noConversion"/>
  </si>
  <si>
    <r>
      <rPr>
        <sz val="10"/>
        <color indexed="8"/>
        <rFont val="標楷體"/>
        <family val="4"/>
        <charset val="136"/>
      </rPr>
      <t>遞延所得稅資產</t>
    </r>
    <phoneticPr fontId="7" type="noConversion"/>
  </si>
  <si>
    <r>
      <rPr>
        <sz val="10"/>
        <color indexed="8"/>
        <rFont val="標楷體"/>
        <family val="4"/>
        <charset val="136"/>
      </rPr>
      <t>其他權益</t>
    </r>
    <phoneticPr fontId="7" type="noConversion"/>
  </si>
  <si>
    <r>
      <rPr>
        <sz val="10"/>
        <color indexed="8"/>
        <rFont val="標楷體"/>
        <family val="4"/>
        <charset val="136"/>
      </rPr>
      <t>其他資產</t>
    </r>
    <phoneticPr fontId="9" type="noConversion"/>
  </si>
  <si>
    <r>
      <t xml:space="preserve">    </t>
    </r>
    <r>
      <rPr>
        <sz val="10"/>
        <color indexed="8"/>
        <rFont val="標楷體"/>
        <family val="4"/>
        <charset val="136"/>
      </rPr>
      <t>國外營運機構財務報表換算之兌換差額</t>
    </r>
    <phoneticPr fontId="9" type="noConversion"/>
  </si>
  <si>
    <r>
      <t xml:space="preserve">    </t>
    </r>
    <r>
      <rPr>
        <sz val="10"/>
        <color indexed="8"/>
        <rFont val="標楷體"/>
        <family val="4"/>
        <charset val="136"/>
      </rPr>
      <t>預付款項</t>
    </r>
    <phoneticPr fontId="9" type="noConversion"/>
  </si>
  <si>
    <r>
      <t xml:space="preserve">    </t>
    </r>
    <r>
      <rPr>
        <sz val="10"/>
        <color indexed="8"/>
        <rFont val="標楷體"/>
        <family val="4"/>
        <charset val="136"/>
      </rPr>
      <t>透過其他綜合損益按公允價值衡量之金融資產損益</t>
    </r>
    <phoneticPr fontId="7" type="noConversion"/>
  </si>
  <si>
    <r>
      <t xml:space="preserve">    </t>
    </r>
    <r>
      <rPr>
        <sz val="10"/>
        <color indexed="8"/>
        <rFont val="標楷體"/>
        <family val="4"/>
        <charset val="136"/>
      </rPr>
      <t>遞延取得成本</t>
    </r>
    <phoneticPr fontId="7" type="noConversion"/>
  </si>
  <si>
    <r>
      <t xml:space="preserve">    </t>
    </r>
    <r>
      <rPr>
        <sz val="10"/>
        <color indexed="8"/>
        <rFont val="標楷體"/>
        <family val="4"/>
        <charset val="136"/>
      </rPr>
      <t>避險工具之利益及損失</t>
    </r>
    <phoneticPr fontId="7" type="noConversion"/>
  </si>
  <si>
    <r>
      <t xml:space="preserve">    </t>
    </r>
    <r>
      <rPr>
        <sz val="10"/>
        <color indexed="8"/>
        <rFont val="標楷體"/>
        <family val="4"/>
        <charset val="136"/>
      </rPr>
      <t>非營業資產</t>
    </r>
    <phoneticPr fontId="7" type="noConversion"/>
  </si>
  <si>
    <r>
      <t xml:space="preserve">    </t>
    </r>
    <r>
      <rPr>
        <sz val="10"/>
        <color indexed="8"/>
        <rFont val="標楷體"/>
        <family val="4"/>
        <charset val="136"/>
      </rPr>
      <t>確定福利計畫之再衡量數</t>
    </r>
    <phoneticPr fontId="7" type="noConversion"/>
  </si>
  <si>
    <r>
      <t xml:space="preserve">    </t>
    </r>
    <r>
      <rPr>
        <sz val="10"/>
        <color indexed="8"/>
        <rFont val="標楷體"/>
        <family val="4"/>
        <charset val="136"/>
      </rPr>
      <t>雜項資產</t>
    </r>
    <phoneticPr fontId="7" type="noConversion"/>
  </si>
  <si>
    <r>
      <t xml:space="preserve">    </t>
    </r>
    <r>
      <rPr>
        <sz val="10"/>
        <color indexed="8"/>
        <rFont val="標楷體"/>
        <family val="4"/>
        <charset val="136"/>
      </rPr>
      <t>不動產重估增值</t>
    </r>
    <phoneticPr fontId="7" type="noConversion"/>
  </si>
  <si>
    <r>
      <t xml:space="preserve">    </t>
    </r>
    <r>
      <rPr>
        <sz val="10"/>
        <color indexed="8"/>
        <rFont val="標楷體"/>
        <family val="4"/>
        <charset val="136"/>
      </rPr>
      <t>存出保證金</t>
    </r>
    <phoneticPr fontId="9" type="noConversion"/>
  </si>
  <si>
    <r>
      <t xml:space="preserve">    </t>
    </r>
    <r>
      <rPr>
        <sz val="10"/>
        <color indexed="8"/>
        <rFont val="標楷體"/>
        <family val="4"/>
        <charset val="136"/>
      </rPr>
      <t>採用覆蓋法重分類之其他綜合損益</t>
    </r>
    <phoneticPr fontId="7" type="noConversion"/>
  </si>
  <si>
    <r>
      <t xml:space="preserve">    </t>
    </r>
    <r>
      <rPr>
        <sz val="10"/>
        <color indexed="8"/>
        <rFont val="標楷體"/>
        <family val="4"/>
        <charset val="136"/>
      </rPr>
      <t>暫付及待結轉款項</t>
    </r>
    <phoneticPr fontId="7" type="noConversion"/>
  </si>
  <si>
    <r>
      <t xml:space="preserve">    </t>
    </r>
    <r>
      <rPr>
        <sz val="10"/>
        <color indexed="8"/>
        <rFont val="標楷體"/>
        <family val="4"/>
        <charset val="136"/>
      </rPr>
      <t>與待出售非流動資產直接相關之權益</t>
    </r>
    <phoneticPr fontId="7" type="noConversion"/>
  </si>
  <si>
    <r>
      <t xml:space="preserve">    </t>
    </r>
    <r>
      <rPr>
        <sz val="10"/>
        <color indexed="8"/>
        <rFont val="標楷體"/>
        <family val="4"/>
        <charset val="136"/>
      </rPr>
      <t>存出再保責任準備金</t>
    </r>
    <phoneticPr fontId="9" type="noConversion"/>
  </si>
  <si>
    <r>
      <t xml:space="preserve">    </t>
    </r>
    <r>
      <rPr>
        <sz val="10"/>
        <color indexed="8"/>
        <rFont val="標楷體"/>
        <family val="4"/>
        <charset val="136"/>
      </rPr>
      <t>庫藏股票</t>
    </r>
    <r>
      <rPr>
        <sz val="10"/>
        <color indexed="8"/>
        <rFont val="Times New Roman"/>
        <family val="1"/>
      </rPr>
      <t>(</t>
    </r>
    <r>
      <rPr>
        <sz val="10"/>
        <color indexed="8"/>
        <rFont val="標楷體"/>
        <family val="4"/>
        <charset val="136"/>
      </rPr>
      <t>成本</t>
    </r>
    <r>
      <rPr>
        <sz val="10"/>
        <color indexed="8"/>
        <rFont val="Times New Roman"/>
        <family val="1"/>
      </rPr>
      <t>)</t>
    </r>
    <phoneticPr fontId="9" type="noConversion"/>
  </si>
  <si>
    <r>
      <t xml:space="preserve">    </t>
    </r>
    <r>
      <rPr>
        <sz val="10"/>
        <color indexed="8"/>
        <rFont val="標楷體"/>
        <family val="4"/>
        <charset val="136"/>
      </rPr>
      <t>遞延費用</t>
    </r>
    <phoneticPr fontId="9" type="noConversion"/>
  </si>
  <si>
    <r>
      <t xml:space="preserve">    </t>
    </r>
    <r>
      <rPr>
        <sz val="10"/>
        <color indexed="8"/>
        <rFont val="標楷體"/>
        <family val="4"/>
        <charset val="136"/>
      </rPr>
      <t>其他權益</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</si>
  <si>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特殊用途基金</t>
    </r>
    <phoneticPr fontId="7" type="noConversion"/>
  </si>
  <si>
    <r>
      <rPr>
        <sz val="10"/>
        <color indexed="8"/>
        <rFont val="標楷體"/>
        <family val="4"/>
        <charset val="136"/>
      </rPr>
      <t>權益合計</t>
    </r>
    <phoneticPr fontId="9" type="noConversion"/>
  </si>
  <si>
    <r>
      <t xml:space="preserve"> </t>
    </r>
    <r>
      <rPr>
        <sz val="10"/>
        <color indexed="8"/>
        <rFont val="標楷體"/>
        <family val="4"/>
        <charset val="136"/>
      </rPr>
      <t>其他什項資產</t>
    </r>
    <phoneticPr fontId="9" type="noConversion"/>
  </si>
  <si>
    <r>
      <t xml:space="preserve">    </t>
    </r>
    <r>
      <rPr>
        <sz val="10"/>
        <color indexed="8"/>
        <rFont val="標楷體"/>
        <family val="4"/>
        <charset val="136"/>
      </rPr>
      <t>減：未適格再保險盈餘調整數</t>
    </r>
    <phoneticPr fontId="7" type="noConversion"/>
  </si>
  <si>
    <r>
      <rPr>
        <sz val="10"/>
        <color indexed="8"/>
        <rFont val="標楷體"/>
        <family val="4"/>
        <charset val="136"/>
      </rPr>
      <t>分離帳戶保險商品資產</t>
    </r>
    <phoneticPr fontId="7" type="noConversion"/>
  </si>
  <si>
    <r>
      <t xml:space="preserve">    </t>
    </r>
    <r>
      <rPr>
        <sz val="10"/>
        <color indexed="8"/>
        <rFont val="標楷體"/>
        <family val="4"/>
        <charset val="136"/>
      </rPr>
      <t>減：淨認許資產調整數</t>
    </r>
    <phoneticPr fontId="9" type="noConversion"/>
  </si>
  <si>
    <r>
      <t xml:space="preserve">    </t>
    </r>
    <r>
      <rPr>
        <sz val="10"/>
        <color indexed="8"/>
        <rFont val="標楷體"/>
        <family val="4"/>
        <charset val="136"/>
      </rPr>
      <t>投資型保險商品資產</t>
    </r>
    <phoneticPr fontId="7" type="noConversion"/>
  </si>
  <si>
    <r>
      <t xml:space="preserve">    </t>
    </r>
    <r>
      <rPr>
        <sz val="10"/>
        <color indexed="8"/>
        <rFont val="標楷體"/>
        <family val="4"/>
        <charset val="136"/>
      </rPr>
      <t>加：遞延所得稅負債調整數</t>
    </r>
    <phoneticPr fontId="9" type="noConversion"/>
  </si>
  <si>
    <r>
      <t xml:space="preserve">    </t>
    </r>
    <r>
      <rPr>
        <sz val="10"/>
        <color indexed="8"/>
        <rFont val="標楷體"/>
        <family val="4"/>
        <charset val="136"/>
      </rPr>
      <t>勞退年金保險商品資產</t>
    </r>
    <phoneticPr fontId="7" type="noConversion"/>
  </si>
  <si>
    <r>
      <rPr>
        <sz val="10"/>
        <color indexed="8"/>
        <rFont val="標楷體"/>
        <family val="4"/>
        <charset val="136"/>
      </rPr>
      <t>淨認許權益</t>
    </r>
    <phoneticPr fontId="9" type="noConversion"/>
  </si>
  <si>
    <r>
      <rPr>
        <sz val="10"/>
        <color indexed="8"/>
        <rFont val="標楷體"/>
        <family val="4"/>
        <charset val="136"/>
      </rPr>
      <t>帳載負債及權益總計</t>
    </r>
    <phoneticPr fontId="7" type="noConversion"/>
  </si>
  <si>
    <r>
      <rPr>
        <sz val="10"/>
        <color indexed="8"/>
        <rFont val="標楷體"/>
        <family val="4"/>
        <charset val="136"/>
      </rPr>
      <t>資產總計</t>
    </r>
    <phoneticPr fontId="9" type="noConversion"/>
  </si>
  <si>
    <r>
      <rPr>
        <sz val="10"/>
        <color indexed="8"/>
        <rFont val="標楷體"/>
        <family val="4"/>
        <charset val="136"/>
      </rPr>
      <t>淨認許負債及權益總計</t>
    </r>
    <phoneticPr fontId="9" type="noConversion"/>
  </si>
  <si>
    <r>
      <rPr>
        <sz val="10"/>
        <color indexed="8"/>
        <rFont val="標楷體"/>
        <family val="4"/>
        <charset val="136"/>
      </rPr>
      <t>非認許資產之評定依「保險業計算資本適足率之資產認許標準及評價原則」辦理，認許資產及淨認資產之相關資料僅</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年度填寫。</t>
    </r>
    <phoneticPr fontId="7" type="noConversion"/>
  </si>
  <si>
    <r>
      <rPr>
        <sz val="10"/>
        <color indexed="8"/>
        <rFont val="標楷體"/>
        <family val="4"/>
        <charset val="136"/>
      </rPr>
      <t>評價科目包含金融資產評價調整、累計折舊、累計減損、備抵損失。</t>
    </r>
    <phoneticPr fontId="7" type="noConversion"/>
  </si>
  <si>
    <r>
      <rPr>
        <sz val="10"/>
        <color indexed="8"/>
        <rFont val="標楷體"/>
        <family val="4"/>
        <charset val="136"/>
      </rPr>
      <t>所稱本期及上期於填報月報資料時係指當月份及上月份餘額</t>
    </r>
    <r>
      <rPr>
        <sz val="10"/>
        <color indexed="8"/>
        <rFont val="Times New Roman"/>
        <family val="1"/>
      </rPr>
      <t>;</t>
    </r>
    <r>
      <rPr>
        <sz val="10"/>
        <color indexed="8"/>
        <rFont val="標楷體"/>
        <family val="4"/>
        <charset val="136"/>
      </rPr>
      <t>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年報時係指當</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7" type="noConversion"/>
  </si>
  <si>
    <r>
      <rPr>
        <sz val="10"/>
        <color indexed="8"/>
        <rFont val="標楷體"/>
        <family val="4"/>
        <charset val="136"/>
      </rPr>
      <t>自投資日起三個月內到期之附買回條件之債券投資列入現金及約當現金</t>
    </r>
    <phoneticPr fontId="7" type="noConversion"/>
  </si>
  <si>
    <r>
      <rPr>
        <sz val="10"/>
        <color indexed="8"/>
        <rFont val="標楷體"/>
        <family val="4"/>
        <charset val="136"/>
      </rPr>
      <t>分離帳戶保險商品資產及負債於產險業不適用免填，但欄位請勿移動</t>
    </r>
    <phoneticPr fontId="7" type="noConversion"/>
  </si>
  <si>
    <r>
      <rPr>
        <sz val="10"/>
        <color indexed="8"/>
        <rFont val="標楷體"/>
        <family val="4"/>
        <charset val="136"/>
      </rPr>
      <t>表</t>
    </r>
    <r>
      <rPr>
        <sz val="10"/>
        <color indexed="8"/>
        <rFont val="Book Antiqua"/>
        <family val="1"/>
      </rPr>
      <t>30-8-5</t>
    </r>
    <r>
      <rPr>
        <sz val="10"/>
        <color indexed="8"/>
        <rFont val="標楷體"/>
        <family val="4"/>
        <charset val="136"/>
      </rPr>
      <t>：認列未實現評價損益檢討計算表</t>
    </r>
    <phoneticPr fontId="7" type="noConversion"/>
  </si>
  <si>
    <r>
      <rPr>
        <sz val="10"/>
        <color indexed="8"/>
        <rFont val="標楷體"/>
        <family val="4"/>
        <charset val="136"/>
      </rPr>
      <t>取得成本</t>
    </r>
    <phoneticPr fontId="7" type="noConversion"/>
  </si>
  <si>
    <r>
      <rPr>
        <sz val="10"/>
        <color indexed="8"/>
        <rFont val="標楷體"/>
        <family val="4"/>
        <charset val="136"/>
      </rPr>
      <t>半年收盤平均價</t>
    </r>
    <phoneticPr fontId="7" type="noConversion"/>
  </si>
  <si>
    <r>
      <rPr>
        <sz val="10"/>
        <color indexed="8"/>
        <rFont val="標楷體"/>
        <family val="4"/>
        <charset val="136"/>
      </rPr>
      <t>未實現評價利益（損失</t>
    </r>
    <r>
      <rPr>
        <sz val="10"/>
        <color indexed="8"/>
        <rFont val="Book Antiqua"/>
        <family val="1"/>
      </rPr>
      <t>)</t>
    </r>
    <phoneticPr fontId="7" type="noConversion"/>
  </si>
  <si>
    <r>
      <rPr>
        <sz val="10"/>
        <color indexed="8"/>
        <rFont val="標楷體"/>
        <family val="4"/>
        <charset val="136"/>
      </rPr>
      <t>自有資本調整數</t>
    </r>
    <phoneticPr fontId="7" type="noConversion"/>
  </si>
  <si>
    <r>
      <rPr>
        <sz val="10"/>
        <color indexed="8"/>
        <rFont val="標楷體"/>
        <family val="4"/>
        <charset val="136"/>
      </rPr>
      <t>半年收盤平均價基礎</t>
    </r>
    <phoneticPr fontId="7" type="noConversion"/>
  </si>
  <si>
    <r>
      <rPr>
        <sz val="10"/>
        <color indexed="8"/>
        <rFont val="標楷體"/>
        <family val="4"/>
        <charset val="136"/>
      </rPr>
      <t>透過損益按公允價值衡量之金融資產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</si>
  <si>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rPr>
        <sz val="10"/>
        <color indexed="8"/>
        <rFont val="標楷體"/>
        <family val="4"/>
        <charset val="136"/>
      </rPr>
      <t>透過其他綜合損益按公允價值衡量之金融資產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</si>
  <si>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t>ETF-</t>
    </r>
    <r>
      <rPr>
        <sz val="10"/>
        <color indexed="8"/>
        <rFont val="標楷體"/>
        <family val="4"/>
        <charset val="136"/>
      </rPr>
      <t>股票型</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9-1)</t>
    </r>
    <phoneticPr fontId="7" type="noConversion"/>
  </si>
  <si>
    <r>
      <rPr>
        <sz val="10"/>
        <color indexed="8"/>
        <rFont val="標楷體"/>
        <family val="4"/>
        <charset val="136"/>
      </rPr>
      <t>股票型共同基金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</si>
  <si>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平衡型共同基金及多重資產型基金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</si>
  <si>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表</t>
    </r>
    <r>
      <rPr>
        <sz val="10"/>
        <color indexed="8"/>
        <rFont val="Book Antiqua"/>
        <family val="1"/>
      </rPr>
      <t>30-8-4</t>
    </r>
    <r>
      <rPr>
        <sz val="10"/>
        <color indexed="8"/>
        <rFont val="標楷體"/>
        <family val="4"/>
        <charset val="136"/>
      </rPr>
      <t>：投資用不動產為素地或未能符合即時利用並有收益認定基準且報經主管機關核准展延期限者加計風險資本額調整計算表</t>
    </r>
    <phoneticPr fontId="9" type="noConversion"/>
  </si>
  <si>
    <r>
      <rPr>
        <sz val="10"/>
        <color indexed="8"/>
        <rFont val="標楷體"/>
        <family val="4"/>
        <charset val="136"/>
      </rPr>
      <t>單位：新台幣元</t>
    </r>
    <phoneticPr fontId="7" type="noConversion"/>
  </si>
  <si>
    <r>
      <rPr>
        <sz val="10"/>
        <color indexed="8"/>
        <rFont val="標楷體"/>
        <family val="4"/>
        <charset val="136"/>
      </rPr>
      <t>金額</t>
    </r>
    <phoneticPr fontId="9" type="noConversion"/>
  </si>
  <si>
    <r>
      <rPr>
        <sz val="10"/>
        <color indexed="8"/>
        <rFont val="標楷體"/>
        <family val="4"/>
        <charset val="136"/>
      </rPr>
      <t>風險資本額</t>
    </r>
    <phoneticPr fontId="7" type="noConversion"/>
  </si>
  <si>
    <r>
      <rPr>
        <sz val="10"/>
        <color indexed="8"/>
        <rFont val="標楷體"/>
        <family val="4"/>
        <charset val="136"/>
      </rPr>
      <t>不動產種類</t>
    </r>
    <phoneticPr fontId="7" type="noConversion"/>
  </si>
  <si>
    <r>
      <rPr>
        <sz val="10"/>
        <color indexed="8"/>
        <rFont val="標楷體"/>
        <family val="4"/>
        <charset val="136"/>
      </rPr>
      <t>風險係數</t>
    </r>
    <phoneticPr fontId="7" type="noConversion"/>
  </si>
  <si>
    <r>
      <rPr>
        <sz val="10"/>
        <color indexed="8"/>
        <rFont val="標楷體"/>
        <family val="4"/>
        <charset val="136"/>
      </rPr>
      <t>國內投資用不動產</t>
    </r>
    <phoneticPr fontId="9" type="noConversion"/>
  </si>
  <si>
    <r>
      <rPr>
        <sz val="10"/>
        <color indexed="8"/>
        <rFont val="標楷體"/>
        <family val="4"/>
        <charset val="136"/>
      </rPr>
      <t>投資用不動產投資</t>
    </r>
    <phoneticPr fontId="7"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</si>
  <si>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</si>
  <si>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7" type="noConversion"/>
  </si>
  <si>
    <r>
      <rPr>
        <sz val="10"/>
        <color indexed="8"/>
        <rFont val="標楷體"/>
        <family val="4"/>
        <charset val="136"/>
      </rPr>
      <t>國外投資</t>
    </r>
    <phoneticPr fontId="9"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</si>
  <si>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phoneticPr fontId="7"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</si>
  <si>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phoneticPr fontId="7" type="noConversion"/>
  </si>
  <si>
    <r>
      <rPr>
        <sz val="10"/>
        <color indexed="8"/>
        <rFont val="標楷體"/>
        <family val="4"/>
        <charset val="136"/>
      </rPr>
      <t>五年內取自關係人之不動產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</si>
  <si>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</si>
  <si>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</si>
  <si>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</si>
  <si>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</si>
  <si>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</si>
  <si>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不動產座落地點</t>
    </r>
    <phoneticPr fontId="9" type="noConversion"/>
  </si>
  <si>
    <r>
      <rPr>
        <sz val="10"/>
        <color indexed="8"/>
        <rFont val="標楷體"/>
        <family val="4"/>
        <charset val="136"/>
      </rPr>
      <t>不動產使用狀態</t>
    </r>
    <phoneticPr fontId="7" type="noConversion"/>
  </si>
  <si>
    <r>
      <rPr>
        <sz val="10"/>
        <color indexed="8"/>
        <rFont val="標楷體"/>
        <family val="4"/>
        <charset val="136"/>
      </rPr>
      <t>加計倍數</t>
    </r>
    <phoneticPr fontId="7" type="noConversion"/>
  </si>
  <si>
    <r>
      <rPr>
        <sz val="10"/>
        <color indexed="8"/>
        <rFont val="標楷體"/>
        <family val="4"/>
        <charset val="136"/>
      </rPr>
      <t>調整後風險係數</t>
    </r>
    <phoneticPr fontId="7" type="noConversion"/>
  </si>
  <si>
    <r>
      <rPr>
        <sz val="10"/>
        <color indexed="8"/>
        <rFont val="標楷體"/>
        <family val="4"/>
        <charset val="136"/>
      </rPr>
      <t>註：　</t>
    </r>
    <phoneticPr fontId="7" type="noConversion"/>
  </si>
  <si>
    <r>
      <rPr>
        <sz val="10"/>
        <color indexed="8"/>
        <rFont val="標楷體"/>
        <family val="4"/>
        <charset val="136"/>
      </rPr>
      <t>不動產種類請依序填列</t>
    </r>
    <r>
      <rPr>
        <sz val="10"/>
        <color indexed="8"/>
        <rFont val="Book Antiqua"/>
        <family val="1"/>
      </rPr>
      <t>A.</t>
    </r>
    <r>
      <rPr>
        <sz val="10"/>
        <color indexed="8"/>
        <rFont val="標楷體"/>
        <family val="4"/>
        <charset val="136"/>
      </rPr>
      <t>國內投資</t>
    </r>
    <r>
      <rPr>
        <sz val="10"/>
        <color indexed="8"/>
        <rFont val="Book Antiqua"/>
        <family val="1"/>
      </rPr>
      <t>-</t>
    </r>
    <r>
      <rPr>
        <sz val="10"/>
        <color indexed="8"/>
        <rFont val="標楷體"/>
        <family val="4"/>
        <charset val="136"/>
      </rPr>
      <t>投資用不動產</t>
    </r>
    <r>
      <rPr>
        <sz val="10"/>
        <color indexed="8"/>
        <rFont val="Book Antiqua"/>
        <family val="1"/>
      </rPr>
      <t>,B.</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r>
      <rPr>
        <sz val="10"/>
        <color indexed="8"/>
        <rFont val="Book Antiqua"/>
        <family val="1"/>
      </rPr>
      <t>,E.</t>
    </r>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r>
      <rPr>
        <sz val="10"/>
        <color indexed="8"/>
        <rFont val="Book Antiqua"/>
        <family val="1"/>
      </rPr>
      <t>,F.</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具收益性不動產</t>
    </r>
    <r>
      <rPr>
        <sz val="10"/>
        <color indexed="8"/>
        <rFont val="Book Antiqua"/>
        <family val="1"/>
      </rPr>
      <t>,G.</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r>
      <rPr>
        <sz val="10"/>
        <color indexed="8"/>
        <rFont val="Book Antiqua"/>
        <family val="1"/>
      </rPr>
      <t>,H.</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具收益性不動產</t>
    </r>
    <r>
      <rPr>
        <sz val="10"/>
        <color indexed="8"/>
        <rFont val="Book Antiqua"/>
        <family val="1"/>
      </rPr>
      <t>,I.</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</si>
  <si>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依據「保險業辦理不動產投資管理辦法」第</t>
    </r>
    <r>
      <rPr>
        <sz val="10"/>
        <color indexed="8"/>
        <rFont val="Times New Roman"/>
        <family val="1"/>
      </rPr>
      <t>5</t>
    </r>
    <r>
      <rPr>
        <sz val="10"/>
        <color indexed="8"/>
        <rFont val="標楷體"/>
        <family val="4"/>
        <charset val="136"/>
      </rPr>
      <t>條第</t>
    </r>
    <r>
      <rPr>
        <sz val="10"/>
        <color indexed="8"/>
        <rFont val="Times New Roman"/>
        <family val="1"/>
      </rPr>
      <t>2</t>
    </r>
    <r>
      <rPr>
        <sz val="10"/>
        <color indexed="8"/>
        <rFont val="標楷體"/>
        <family val="4"/>
        <charset val="136"/>
      </rPr>
      <t>款併入群組管理之不動產，請以合併後群組整體之情形認定是否符合即時利用並有收益。</t>
    </r>
    <phoneticPr fontId="7" type="noConversion"/>
  </si>
  <si>
    <r>
      <rPr>
        <sz val="10"/>
        <color indexed="8"/>
        <rFont val="標楷體"/>
        <family val="4"/>
        <charset val="136"/>
      </rPr>
      <t>表</t>
    </r>
    <r>
      <rPr>
        <sz val="10"/>
        <color indexed="8"/>
        <rFont val="Book Antiqua"/>
        <family val="1"/>
      </rPr>
      <t>30-8-3</t>
    </r>
    <r>
      <rPr>
        <sz val="10"/>
        <color indexed="8"/>
        <rFont val="標楷體"/>
        <family val="4"/>
        <charset val="136"/>
      </rPr>
      <t>：不動產投資採市價評價計入自有資本調整計算表</t>
    </r>
    <phoneticPr fontId="9" type="noConversion"/>
  </si>
  <si>
    <r>
      <rPr>
        <sz val="10"/>
        <color indexed="8"/>
        <rFont val="標楷體"/>
        <family val="4"/>
        <charset val="136"/>
      </rPr>
      <t>自有資本調整計算表</t>
    </r>
    <phoneticPr fontId="9" type="noConversion"/>
  </si>
  <si>
    <r>
      <rPr>
        <sz val="10"/>
        <color indexed="8"/>
        <rFont val="標楷體"/>
        <family val="4"/>
        <charset val="136"/>
      </rPr>
      <t>風險資本調整計算表</t>
    </r>
    <phoneticPr fontId="9" type="noConversion"/>
  </si>
  <si>
    <r>
      <rPr>
        <sz val="10"/>
        <color indexed="8"/>
        <rFont val="標楷體"/>
        <family val="4"/>
        <charset val="136"/>
      </rPr>
      <t>投資性不動產後續衡量採用公允價值模式之影響淨額</t>
    </r>
    <phoneticPr fontId="7" type="noConversion"/>
  </si>
  <si>
    <r>
      <rPr>
        <sz val="10"/>
        <color indexed="8"/>
        <rFont val="標楷體"/>
        <family val="4"/>
        <charset val="136"/>
      </rPr>
      <t>保險負債採用公允價值評估之增提金額</t>
    </r>
    <phoneticPr fontId="7" type="noConversion"/>
  </si>
  <si>
    <r>
      <rPr>
        <sz val="10"/>
        <color indexed="8"/>
        <rFont val="標楷體"/>
        <family val="4"/>
        <charset val="136"/>
      </rPr>
      <t>投資性不動產後續衡量採用公允價值模式計算自有資本影響數</t>
    </r>
    <phoneticPr fontId="7" type="noConversion"/>
  </si>
  <si>
    <r>
      <t>(10)</t>
    </r>
    <r>
      <rPr>
        <sz val="12"/>
        <color indexed="8"/>
        <rFont val="標楷體"/>
        <family val="4"/>
        <charset val="136"/>
      </rPr>
      <t>該表填列項目包含「國外籌資事業」所發行之具資本性質債券。另，請於註解填寫「</t>
    </r>
    <r>
      <rPr>
        <sz val="12"/>
        <color indexed="8"/>
        <rFont val="Times New Roman"/>
        <family val="1"/>
      </rPr>
      <t>SPV</t>
    </r>
    <r>
      <rPr>
        <sz val="12"/>
        <color indexed="8"/>
        <rFont val="標楷體"/>
        <family val="4"/>
        <charset val="136"/>
      </rPr>
      <t>發行」。</t>
    </r>
    <phoneticPr fontId="7"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</si>
  <si>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9" type="noConversion"/>
  </si>
  <si>
    <r>
      <rPr>
        <b/>
        <sz val="12"/>
        <color indexed="8"/>
        <rFont val="標楷體"/>
        <family val="4"/>
        <charset val="136"/>
      </rPr>
      <t>資本組成限制</t>
    </r>
    <phoneticPr fontId="7" type="noConversion"/>
  </si>
  <si>
    <t>單位：新台幣元</t>
    <phoneticPr fontId="7" type="noConversion"/>
  </si>
  <si>
    <r>
      <rPr>
        <b/>
        <sz val="12"/>
        <color indexed="8"/>
        <rFont val="標楷體"/>
        <family val="4"/>
        <charset val="136"/>
      </rPr>
      <t>係數</t>
    </r>
    <phoneticPr fontId="9" type="noConversion"/>
  </si>
  <si>
    <r>
      <rPr>
        <b/>
        <sz val="12"/>
        <color indexed="8"/>
        <rFont val="標楷體"/>
        <family val="4"/>
        <charset val="136"/>
      </rPr>
      <t>自有資本額</t>
    </r>
    <phoneticPr fontId="9" type="noConversion"/>
  </si>
  <si>
    <r>
      <rPr>
        <b/>
        <sz val="12"/>
        <color indexed="8"/>
        <rFont val="標楷體"/>
        <family val="4"/>
        <charset val="136"/>
      </rPr>
      <t>備註</t>
    </r>
    <phoneticPr fontId="7"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</si>
  <si>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</si>
  <si>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</si>
  <si>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：危險變動特別準備金明細表」第</t>
    </r>
    <r>
      <rPr>
        <sz val="12"/>
        <color indexed="8"/>
        <rFont val="Times New Roman"/>
        <family val="1"/>
      </rPr>
      <t>(19)</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</si>
  <si>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</si>
  <si>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</si>
  <si>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其他經主管機關專案核定調整之項目及金額者，另依核定之方式計算</t>
    </r>
    <phoneticPr fontId="9" type="noConversion"/>
  </si>
  <si>
    <r>
      <rPr>
        <sz val="12"/>
        <color indexed="8"/>
        <rFont val="標楷體"/>
        <family val="4"/>
        <charset val="136"/>
      </rPr>
      <t>調整股票型金融資產帳載金額為半年收盤平均價</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</si>
  <si>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9"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</si>
  <si>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</si>
  <si>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</si>
  <si>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</si>
  <si>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</si>
  <si>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9" type="noConversion"/>
  </si>
  <si>
    <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9"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</si>
  <si>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9" type="noConversion"/>
  </si>
  <si>
    <r>
      <rPr>
        <sz val="10"/>
        <color indexed="8"/>
        <rFont val="標楷體"/>
        <family val="4"/>
        <charset val="136"/>
      </rPr>
      <t>表</t>
    </r>
    <r>
      <rPr>
        <sz val="10"/>
        <color indexed="8"/>
        <rFont val="Book Antiqua"/>
        <family val="1"/>
      </rPr>
      <t>30-7</t>
    </r>
    <r>
      <rPr>
        <sz val="10"/>
        <color indexed="8"/>
        <rFont val="標楷體"/>
        <family val="4"/>
        <charset val="136"/>
      </rPr>
      <t>：</t>
    </r>
    <r>
      <rPr>
        <sz val="10"/>
        <color indexed="8"/>
        <rFont val="Book Antiqua"/>
        <family val="1"/>
      </rPr>
      <t>R5</t>
    </r>
    <r>
      <rPr>
        <sz val="10"/>
        <color indexed="8"/>
        <rFont val="標楷體"/>
        <family val="4"/>
        <charset val="136"/>
      </rPr>
      <t>：其他風險計算表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</si>
  <si>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phoneticPr fontId="9" type="noConversion"/>
  </si>
  <si>
    <r>
      <t xml:space="preserve"> 5.1 </t>
    </r>
    <r>
      <rPr>
        <sz val="10"/>
        <color indexed="8"/>
        <rFont val="標楷體"/>
        <family val="4"/>
        <charset val="136"/>
      </rPr>
      <t>保費收入</t>
    </r>
    <phoneticPr fontId="9" type="noConversion"/>
  </si>
  <si>
    <r>
      <t xml:space="preserve">5.1.1 </t>
    </r>
    <r>
      <rPr>
        <sz val="10"/>
        <color indexed="8"/>
        <rFont val="標楷體"/>
        <family val="4"/>
        <charset val="136"/>
      </rPr>
      <t>直接業務保費收入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</si>
  <si>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21-1</t>
    </r>
    <r>
      <rPr>
        <sz val="10"/>
        <color indexed="8"/>
        <rFont val="標楷體"/>
        <family val="4"/>
        <charset val="136"/>
      </rPr>
      <t>：直接保險業務分析表」第</t>
    </r>
    <r>
      <rPr>
        <sz val="10"/>
        <color indexed="8"/>
        <rFont val="Book Antiqua"/>
        <family val="1"/>
      </rPr>
      <t>(8)</t>
    </r>
    <r>
      <rPr>
        <sz val="10"/>
        <color indexed="8"/>
        <rFont val="標楷體"/>
        <family val="4"/>
        <charset val="136"/>
      </rPr>
      <t>欄第</t>
    </r>
    <r>
      <rPr>
        <sz val="10"/>
        <color indexed="8"/>
        <rFont val="Book Antiqua"/>
        <family val="1"/>
      </rPr>
      <t>(34</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</si>
  <si>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5.1.2 </t>
    </r>
    <r>
      <rPr>
        <sz val="10"/>
        <color indexed="8"/>
        <rFont val="標楷體"/>
        <family val="4"/>
        <charset val="136"/>
      </rPr>
      <t>再保業務保費收入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</si>
  <si>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21-3</t>
    </r>
    <r>
      <rPr>
        <sz val="10"/>
        <color indexed="8"/>
        <rFont val="標楷體"/>
        <family val="4"/>
        <charset val="136"/>
      </rPr>
      <t>：分入再保險業務明細表」第</t>
    </r>
    <r>
      <rPr>
        <sz val="10"/>
        <color indexed="8"/>
        <rFont val="Book Antiqua"/>
        <family val="1"/>
      </rPr>
      <t>(7)</t>
    </r>
    <r>
      <rPr>
        <sz val="10"/>
        <color indexed="8"/>
        <rFont val="標楷體"/>
        <family val="4"/>
        <charset val="136"/>
      </rPr>
      <t>欄第</t>
    </r>
    <r>
      <rPr>
        <sz val="10"/>
        <color indexed="8"/>
        <rFont val="Book Antiqua"/>
        <family val="1"/>
      </rPr>
      <t>(43</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</si>
  <si>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 5.2 </t>
    </r>
    <r>
      <rPr>
        <sz val="10"/>
        <color indexed="8"/>
        <rFont val="標楷體"/>
        <family val="4"/>
        <charset val="136"/>
      </rPr>
      <t>保險業資產總額</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</si>
  <si>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indexed="8"/>
        <rFont val="Times New Roman"/>
        <family val="1"/>
      </rPr>
      <t xml:space="preserve"> - </t>
    </r>
    <r>
      <rPr>
        <sz val="10"/>
        <color indexed="8"/>
        <rFont val="標楷體"/>
        <family val="4"/>
        <charset val="136"/>
      </rPr>
      <t>本表</t>
    </r>
    <r>
      <rPr>
        <sz val="10"/>
        <color indexed="8"/>
        <rFont val="Times New Roman"/>
        <family val="1"/>
      </rPr>
      <t xml:space="preserve">5.2.1 + </t>
    </r>
    <r>
      <rPr>
        <sz val="10"/>
        <color indexed="8"/>
        <rFont val="標楷體"/>
        <family val="4"/>
        <charset val="136"/>
      </rPr>
      <t>本表</t>
    </r>
    <r>
      <rPr>
        <sz val="10"/>
        <color indexed="8"/>
        <rFont val="Times New Roman"/>
        <family val="1"/>
      </rPr>
      <t xml:space="preserve"> 5.2.2</t>
    </r>
    <phoneticPr fontId="9" type="noConversion"/>
  </si>
  <si>
    <r>
      <t xml:space="preserve">5.2.1 </t>
    </r>
    <r>
      <rPr>
        <sz val="10"/>
        <color indexed="8"/>
        <rFont val="標楷體"/>
        <family val="4"/>
        <charset val="136"/>
      </rPr>
      <t>自</t>
    </r>
    <r>
      <rPr>
        <sz val="10"/>
        <color indexed="8"/>
        <rFont val="Times New Roman"/>
        <family val="1"/>
      </rPr>
      <t>113.1.1</t>
    </r>
    <r>
      <rPr>
        <sz val="10"/>
        <color indexed="8"/>
        <rFont val="標楷體"/>
        <family val="4"/>
        <charset val="136"/>
      </rPr>
      <t xml:space="preserve">起，投資於關係人且屬於國外保險
</t>
    </r>
    <r>
      <rPr>
        <sz val="10"/>
        <color indexed="8"/>
        <rFont val="Times New Roman"/>
        <family val="1"/>
      </rPr>
      <t xml:space="preserve">          </t>
    </r>
    <r>
      <rPr>
        <sz val="10"/>
        <color indexed="8"/>
        <rFont val="標楷體"/>
        <family val="4"/>
        <charset val="136"/>
      </rPr>
      <t>相關事業</t>
    </r>
    <r>
      <rPr>
        <sz val="10"/>
        <color indexed="8"/>
        <rFont val="Times New Roman"/>
        <family val="1"/>
      </rPr>
      <t>_</t>
    </r>
    <r>
      <rPr>
        <sz val="10"/>
        <color indexed="8"/>
        <rFont val="標楷體"/>
        <family val="4"/>
        <charset val="136"/>
      </rPr>
      <t>評價日淨認許資產金額</t>
    </r>
    <phoneticPr fontId="7" type="noConversion"/>
  </si>
  <si>
    <r>
      <t xml:space="preserve">5.2.2 </t>
    </r>
    <r>
      <rPr>
        <sz val="10"/>
        <color indexed="8"/>
        <rFont val="標楷體"/>
        <family val="4"/>
        <charset val="136"/>
      </rPr>
      <t>國外籌資事業投資相關之淨認許資產</t>
    </r>
    <r>
      <rPr>
        <sz val="10"/>
        <color indexed="8"/>
        <rFont val="Times New Roman"/>
        <family val="1"/>
      </rPr>
      <t>(</t>
    </r>
    <r>
      <rPr>
        <sz val="10"/>
        <color indexed="8"/>
        <rFont val="標楷體"/>
        <family val="4"/>
        <charset val="136"/>
      </rPr>
      <t>註</t>
    </r>
    <r>
      <rPr>
        <sz val="10"/>
        <color indexed="8"/>
        <rFont val="Times New Roman"/>
        <family val="1"/>
      </rPr>
      <t>3)</t>
    </r>
    <phoneticPr fontId="7" type="noConversion"/>
  </si>
  <si>
    <r>
      <t xml:space="preserve"> 5.3 </t>
    </r>
    <r>
      <rPr>
        <sz val="10"/>
        <color indexed="8"/>
        <rFont val="標楷體"/>
        <family val="4"/>
        <charset val="136"/>
      </rPr>
      <t>公平待客原則排名落入後段</t>
    </r>
    <r>
      <rPr>
        <sz val="10"/>
        <color indexed="8"/>
        <rFont val="Book Antiqua"/>
        <family val="1"/>
      </rPr>
      <t>20%</t>
    </r>
    <r>
      <rPr>
        <sz val="10"/>
        <color indexed="8"/>
        <rFont val="標楷體"/>
        <family val="4"/>
        <charset val="136"/>
      </rPr>
      <t>之公司加計風險資本額</t>
    </r>
    <r>
      <rPr>
        <sz val="10"/>
        <color indexed="8"/>
        <rFont val="Book Antiqua"/>
        <family val="1"/>
      </rPr>
      <t>(</t>
    </r>
    <r>
      <rPr>
        <sz val="10"/>
        <color indexed="8"/>
        <rFont val="標楷體"/>
        <family val="4"/>
        <charset val="136"/>
      </rPr>
      <t>註</t>
    </r>
    <r>
      <rPr>
        <sz val="10"/>
        <color indexed="8"/>
        <rFont val="Book Antiqua"/>
        <family val="1"/>
      </rPr>
      <t>2)</t>
    </r>
    <phoneticPr fontId="9" type="noConversion"/>
  </si>
  <si>
    <r>
      <rPr>
        <sz val="10"/>
        <color indexed="8"/>
        <rFont val="標楷體"/>
        <family val="4"/>
        <charset val="136"/>
      </rPr>
      <t>本風險項目之金額欄位，請依保發中心通知為據，填列</t>
    </r>
    <r>
      <rPr>
        <sz val="10"/>
        <color indexed="8"/>
        <rFont val="Book Antiqua"/>
        <family val="1"/>
      </rPr>
      <t xml:space="preserve"> Y </t>
    </r>
    <r>
      <rPr>
        <sz val="10"/>
        <color indexed="8"/>
        <rFont val="標楷體"/>
        <family val="4"/>
        <charset val="136"/>
      </rPr>
      <t>或是</t>
    </r>
    <r>
      <rPr>
        <sz val="10"/>
        <color indexed="8"/>
        <rFont val="Book Antiqua"/>
        <family val="1"/>
      </rPr>
      <t xml:space="preserve"> N</t>
    </r>
    <r>
      <rPr>
        <sz val="10"/>
        <color indexed="8"/>
        <rFont val="標楷體"/>
        <family val="4"/>
        <charset val="136"/>
      </rPr>
      <t>。</t>
    </r>
    <phoneticPr fontId="9" type="noConversion"/>
  </si>
  <si>
    <r>
      <rPr>
        <b/>
        <sz val="10"/>
        <color indexed="8"/>
        <rFont val="標楷體"/>
        <family val="4"/>
        <charset val="136"/>
      </rPr>
      <t>《其他風險》總計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</si>
  <si>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t>
    </r>
    <r>
      <rPr>
        <sz val="10"/>
        <color indexed="8"/>
        <rFont val="Book Antiqua"/>
        <family val="1"/>
      </rPr>
      <t>5.1.1</t>
    </r>
    <r>
      <rPr>
        <sz val="10"/>
        <color indexed="8"/>
        <rFont val="標楷體"/>
        <family val="4"/>
        <charset val="136"/>
      </rPr>
      <t>直接業務保費收入」及「</t>
    </r>
    <r>
      <rPr>
        <sz val="10"/>
        <color indexed="8"/>
        <rFont val="Book Antiqua"/>
        <family val="1"/>
      </rPr>
      <t>5.1.2</t>
    </r>
    <r>
      <rPr>
        <sz val="10"/>
        <color indexed="8"/>
        <rFont val="標楷體"/>
        <family val="4"/>
        <charset val="136"/>
      </rPr>
      <t>再保業務保費收入」未包含強制汽機車責任保險。</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</si>
  <si>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9" type="noConversion"/>
  </si>
  <si>
    <r>
      <rPr>
        <sz val="12"/>
        <color indexed="8"/>
        <rFont val="標楷體"/>
        <family val="4"/>
        <charset val="136"/>
      </rPr>
      <t>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</si>
  <si>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9" type="noConversion"/>
  </si>
  <si>
    <r>
      <rPr>
        <b/>
        <sz val="12"/>
        <color indexed="8"/>
        <rFont val="標楷體"/>
        <family val="4"/>
        <charset val="136"/>
      </rPr>
      <t>債券信用</t>
    </r>
    <r>
      <rPr>
        <b/>
        <sz val="12"/>
        <color indexed="8"/>
        <rFont val="Times New Roman"/>
        <family val="1"/>
      </rPr>
      <t>/</t>
    </r>
    <r>
      <rPr>
        <b/>
        <sz val="12"/>
        <color indexed="8"/>
        <rFont val="標楷體"/>
        <family val="4"/>
        <charset val="136"/>
      </rPr>
      <t>主權評等</t>
    </r>
    <phoneticPr fontId="9" type="noConversion"/>
  </si>
  <si>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</si>
  <si>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公債合計</t>
    </r>
    <phoneticPr fontId="7"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</si>
  <si>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</si>
  <si>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r>
      <rPr>
        <sz val="12"/>
        <color indexed="8"/>
        <rFont val="標楷體"/>
        <family val="4"/>
        <charset val="136"/>
      </rPr>
      <t>合計</t>
    </r>
    <phoneticPr fontId="7" type="noConversion"/>
  </si>
  <si>
    <r>
      <rPr>
        <sz val="12"/>
        <color indexed="8"/>
        <rFont val="標楷體"/>
        <family val="4"/>
        <charset val="136"/>
      </rPr>
      <t>不動產投資信託基金</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</si>
  <si>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不動產投資信託基金合計</t>
    </r>
    <phoneticPr fontId="7" type="noConversion"/>
  </si>
  <si>
    <r>
      <rPr>
        <sz val="12"/>
        <color indexed="8"/>
        <rFont val="標楷體"/>
        <family val="4"/>
        <charset val="136"/>
      </rPr>
      <t>其他固定型收益投資</t>
    </r>
    <phoneticPr fontId="9" type="noConversion"/>
  </si>
  <si>
    <r>
      <rPr>
        <sz val="12"/>
        <color indexed="8"/>
        <rFont val="標楷體"/>
        <family val="4"/>
        <charset val="136"/>
      </rPr>
      <t>其他固定型收益投資合計</t>
    </r>
    <phoneticPr fontId="7" type="noConversion"/>
  </si>
  <si>
    <r>
      <rPr>
        <sz val="12"/>
        <color indexed="8"/>
        <rFont val="標楷體"/>
        <family val="4"/>
        <charset val="136"/>
      </rPr>
      <t xml:space="preserve">固定收益特別股票
</t>
    </r>
    <r>
      <rPr>
        <sz val="12"/>
        <color indexed="8"/>
        <rFont val="Times New Roman"/>
        <family val="1"/>
      </rPr>
      <t>(</t>
    </r>
    <r>
      <rPr>
        <sz val="12"/>
        <color indexed="8"/>
        <rFont val="標楷體"/>
        <family val="4"/>
        <charset val="136"/>
      </rPr>
      <t>註</t>
    </r>
    <r>
      <rPr>
        <sz val="12"/>
        <color indexed="8"/>
        <rFont val="Times New Roman"/>
        <family val="1"/>
      </rPr>
      <t>10)</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</si>
  <si>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固定收益特別股票合計數</t>
    </r>
    <phoneticPr fontId="9" type="noConversion"/>
  </si>
  <si>
    <r>
      <rPr>
        <sz val="12"/>
        <color indexed="8"/>
        <rFont val="標楷體"/>
        <family val="4"/>
        <charset val="136"/>
      </rPr>
      <t>已開發國家及新興市場國家所發行之公債，其等級係依照其國家主權評等與債券評等等級取較低者為準，並按評等等級所對應之數值作為風險係數。</t>
    </r>
    <phoneticPr fontId="7" type="noConversion"/>
  </si>
  <si>
    <r>
      <rPr>
        <sz val="12"/>
        <color indexed="8"/>
        <rFont val="標楷體"/>
        <family val="4"/>
        <charset val="136"/>
      </rPr>
      <t>以</t>
    </r>
    <r>
      <rPr>
        <sz val="12"/>
        <color indexed="8"/>
        <rFont val="Times New Roman"/>
        <family val="1"/>
      </rPr>
      <t>Issuer Credit Rating</t>
    </r>
    <r>
      <rPr>
        <sz val="12"/>
        <color indexed="8"/>
        <rFont val="標楷體"/>
        <family val="4"/>
        <charset val="136"/>
      </rPr>
      <t>為填列基礎</t>
    </r>
    <r>
      <rPr>
        <sz val="12"/>
        <color indexed="8"/>
        <rFont val="Times New Roman"/>
        <family val="1"/>
      </rPr>
      <t>(</t>
    </r>
    <r>
      <rPr>
        <sz val="12"/>
        <color indexed="8"/>
        <rFont val="標楷體"/>
        <family val="4"/>
        <charset val="136"/>
      </rPr>
      <t>或實質相同意函之評等</t>
    </r>
    <r>
      <rPr>
        <sz val="12"/>
        <color indexed="8"/>
        <rFont val="Times New Roman"/>
        <family val="1"/>
      </rPr>
      <t>)</t>
    </r>
    <r>
      <rPr>
        <sz val="12"/>
        <color indexed="8"/>
        <rFont val="標楷體"/>
        <family val="4"/>
        <charset val="136"/>
      </rPr>
      <t>，若無法取得信用評等等級者，則按最低評等等級所對應之數值作為風險係數。</t>
    </r>
    <phoneticPr fontId="7" type="noConversion"/>
  </si>
  <si>
    <r>
      <rPr>
        <sz val="12"/>
        <color indexed="8"/>
        <rFont val="標楷體"/>
        <family val="4"/>
        <charset val="136"/>
      </rPr>
      <t>註</t>
    </r>
    <r>
      <rPr>
        <sz val="12"/>
        <color indexed="8"/>
        <rFont val="Times New Roman"/>
        <family val="1"/>
      </rPr>
      <t>3</t>
    </r>
    <r>
      <rPr>
        <sz val="12"/>
        <color indexed="8"/>
        <rFont val="新細明體"/>
        <family val="1"/>
        <charset val="136"/>
      </rPr>
      <t/>
    </r>
  </si>
  <si>
    <r>
      <rPr>
        <sz val="12"/>
        <color indexed="8"/>
        <rFont val="標楷體"/>
        <family val="4"/>
        <charset val="136"/>
      </rPr>
      <t>本表第</t>
    </r>
    <r>
      <rPr>
        <sz val="12"/>
        <color indexed="8"/>
        <rFont val="Times New Roman"/>
        <family val="1"/>
      </rPr>
      <t>(22)</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(109)</t>
    </r>
    <r>
      <rPr>
        <sz val="12"/>
        <color indexed="8"/>
        <rFont val="標楷體"/>
        <family val="4"/>
        <charset val="136"/>
      </rPr>
      <t>列及第</t>
    </r>
    <r>
      <rPr>
        <sz val="12"/>
        <color indexed="8"/>
        <rFont val="Times New Roman"/>
        <family val="1"/>
      </rPr>
      <t>(139)</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</si>
  <si>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4</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</si>
  <si>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(3)</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(110+112)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</si>
  <si>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5</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</si>
  <si>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(4)</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(140+142)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</si>
  <si>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6</t>
    </r>
    <r>
      <rPr>
        <sz val="12"/>
        <color indexed="8"/>
        <rFont val="新細明體"/>
        <family val="1"/>
        <charset val="136"/>
      </rPr>
      <t/>
    </r>
  </si>
  <si>
    <r>
      <rPr>
        <sz val="12"/>
        <color indexed="8"/>
        <rFont val="標楷體"/>
        <family val="4"/>
        <charset val="136"/>
      </rPr>
      <t>本表第</t>
    </r>
    <r>
      <rPr>
        <sz val="12"/>
        <color indexed="8"/>
        <rFont val="Times New Roman"/>
        <family val="1"/>
      </rPr>
      <t>(66)</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(111)</t>
    </r>
    <r>
      <rPr>
        <sz val="12"/>
        <color indexed="8"/>
        <rFont val="標楷體"/>
        <family val="4"/>
        <charset val="136"/>
      </rPr>
      <t>列及第</t>
    </r>
    <r>
      <rPr>
        <sz val="12"/>
        <color indexed="8"/>
        <rFont val="Times New Roman"/>
        <family val="1"/>
      </rPr>
      <t>(141)</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</si>
  <si>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</si>
  <si>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本表第</t>
    </r>
    <r>
      <rPr>
        <sz val="12"/>
        <color indexed="8"/>
        <rFont val="Times New Roman"/>
        <family val="1"/>
      </rPr>
      <t>(88)</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(114)</t>
    </r>
    <r>
      <rPr>
        <sz val="12"/>
        <color indexed="8"/>
        <rFont val="標楷體"/>
        <family val="4"/>
        <charset val="136"/>
      </rPr>
      <t>列及第</t>
    </r>
    <r>
      <rPr>
        <sz val="12"/>
        <color indexed="8"/>
        <rFont val="Times New Roman"/>
        <family val="1"/>
      </rPr>
      <t>(144)</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</si>
  <si>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8</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</si>
  <si>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(3)</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(39)</t>
    </r>
    <r>
      <rPr>
        <sz val="12"/>
        <color indexed="8"/>
        <rFont val="標楷體"/>
        <family val="4"/>
        <charset val="136"/>
      </rPr>
      <t>列之金額一致。</t>
    </r>
  </si>
  <si>
    <r>
      <rPr>
        <sz val="12"/>
        <color indexed="8"/>
        <rFont val="標楷體"/>
        <family val="4"/>
        <charset val="136"/>
      </rPr>
      <t>註</t>
    </r>
    <r>
      <rPr>
        <sz val="12"/>
        <color indexed="8"/>
        <rFont val="Times New Roman"/>
        <family val="1"/>
      </rPr>
      <t>9</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</si>
  <si>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(4)</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(47)</t>
    </r>
    <r>
      <rPr>
        <sz val="12"/>
        <color indexed="8"/>
        <rFont val="標楷體"/>
        <family val="4"/>
        <charset val="136"/>
      </rPr>
      <t>列之金額一致。</t>
    </r>
  </si>
  <si>
    <r>
      <rPr>
        <sz val="12"/>
        <color indexed="8"/>
        <rFont val="標楷體"/>
        <family val="4"/>
        <charset val="136"/>
      </rPr>
      <t>註</t>
    </r>
    <r>
      <rPr>
        <sz val="12"/>
        <color indexed="8"/>
        <rFont val="Times New Roman"/>
        <family val="1"/>
      </rPr>
      <t>10</t>
    </r>
    <phoneticPr fontId="9" type="noConversion"/>
  </si>
  <si>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</si>
  <si>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俄羅斯公債若無信用評等，則曝險部位填列到</t>
    </r>
    <r>
      <rPr>
        <sz val="12"/>
        <color indexed="8"/>
        <rFont val="Times New Roman"/>
        <family val="1"/>
      </rPr>
      <t>Caa1</t>
    </r>
    <phoneticPr fontId="7" type="noConversion"/>
  </si>
  <si>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</si>
  <si>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若無法取得投資標的之信用評等等級者，則按最低評等等級所對應之數值作為風險係數。</t>
    </r>
  </si>
  <si>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</si>
  <si>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(38)</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</si>
  <si>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</si>
  <si>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</si>
  <si>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(42)</t>
    </r>
    <r>
      <rPr>
        <sz val="12"/>
        <color indexed="8"/>
        <rFont val="標楷體"/>
        <family val="4"/>
        <charset val="136"/>
      </rPr>
      <t>列</t>
    </r>
    <phoneticPr fontId="7" type="noConversion"/>
  </si>
  <si>
    <r>
      <rPr>
        <sz val="12"/>
        <rFont val="標楷體"/>
        <family val="4"/>
        <charset val="136"/>
      </rPr>
      <t>表</t>
    </r>
    <r>
      <rPr>
        <sz val="12"/>
        <rFont val="Times New Roman"/>
        <family val="1"/>
      </rPr>
      <t>30-5-2</t>
    </r>
    <r>
      <rPr>
        <sz val="12"/>
        <rFont val="標楷體"/>
        <family val="4"/>
        <charset val="136"/>
      </rPr>
      <t>：</t>
    </r>
    <r>
      <rPr>
        <sz val="12"/>
        <rFont val="Times New Roman"/>
        <family val="1"/>
      </rPr>
      <t>R</t>
    </r>
    <r>
      <rPr>
        <vertAlign val="subscript"/>
        <sz val="12"/>
        <rFont val="Times New Roman"/>
        <family val="1"/>
      </rPr>
      <t>3d</t>
    </r>
    <r>
      <rPr>
        <sz val="12"/>
        <rFont val="標楷體"/>
        <family val="4"/>
        <charset val="136"/>
      </rPr>
      <t>：巨災風險資本計算表</t>
    </r>
    <phoneticPr fontId="108" type="noConversion"/>
  </si>
  <si>
    <r>
      <rPr>
        <sz val="12"/>
        <rFont val="標楷體"/>
        <family val="4"/>
        <charset val="136"/>
      </rPr>
      <t>巨災風險資本</t>
    </r>
    <phoneticPr fontId="108" type="noConversion"/>
  </si>
  <si>
    <r>
      <rPr>
        <b/>
        <sz val="12"/>
        <rFont val="標楷體"/>
        <family val="4"/>
        <charset val="136"/>
      </rPr>
      <t>項</t>
    </r>
    <r>
      <rPr>
        <b/>
        <sz val="12"/>
        <rFont val="Times New Roman"/>
        <family val="1"/>
      </rPr>
      <t xml:space="preserve">     </t>
    </r>
    <r>
      <rPr>
        <b/>
        <sz val="12"/>
        <rFont val="標楷體"/>
        <family val="4"/>
        <charset val="136"/>
      </rPr>
      <t>目</t>
    </r>
    <phoneticPr fontId="9" type="noConversion"/>
  </si>
  <si>
    <r>
      <rPr>
        <b/>
        <sz val="12"/>
        <rFont val="標楷體"/>
        <family val="4"/>
        <charset val="136"/>
      </rPr>
      <t>損失額度</t>
    </r>
  </si>
  <si>
    <r>
      <rPr>
        <b/>
        <sz val="12"/>
        <rFont val="標楷體"/>
        <family val="4"/>
        <charset val="136"/>
      </rPr>
      <t>風險係數</t>
    </r>
    <phoneticPr fontId="9" type="noConversion"/>
  </si>
  <si>
    <r>
      <rPr>
        <b/>
        <sz val="12"/>
        <rFont val="標楷體"/>
        <family val="4"/>
        <charset val="136"/>
      </rPr>
      <t>風險資本額</t>
    </r>
  </si>
  <si>
    <r>
      <rPr>
        <sz val="12"/>
        <rFont val="標楷體"/>
        <family val="4"/>
        <charset val="136"/>
      </rPr>
      <t>保證保險風險資本</t>
    </r>
    <phoneticPr fontId="108" type="noConversion"/>
  </si>
  <si>
    <r>
      <rPr>
        <sz val="12"/>
        <rFont val="標楷體"/>
        <family val="4"/>
        <charset val="136"/>
      </rPr>
      <t>傳染病自留風險</t>
    </r>
    <phoneticPr fontId="9" type="noConversion"/>
  </si>
  <si>
    <r>
      <rPr>
        <sz val="12"/>
        <rFont val="標楷體"/>
        <family val="4"/>
        <charset val="136"/>
      </rPr>
      <t>傳染病信用風險</t>
    </r>
    <phoneticPr fontId="108" type="noConversion"/>
  </si>
  <si>
    <r>
      <rPr>
        <sz val="12"/>
        <rFont val="標楷體"/>
        <family val="4"/>
        <charset val="136"/>
      </rPr>
      <t>傳染病風險資本</t>
    </r>
    <phoneticPr fontId="108" type="noConversion"/>
  </si>
  <si>
    <r>
      <rPr>
        <b/>
        <sz val="12"/>
        <rFont val="標楷體"/>
        <family val="4"/>
        <charset val="136"/>
      </rPr>
      <t>其他巨災自留風險資本</t>
    </r>
    <phoneticPr fontId="9" type="noConversion"/>
  </si>
  <si>
    <r>
      <rPr>
        <b/>
        <sz val="12"/>
        <rFont val="標楷體"/>
        <family val="4"/>
        <charset val="136"/>
      </rPr>
      <t>其他巨災信用風險資本</t>
    </r>
    <phoneticPr fontId="9" type="noConversion"/>
  </si>
  <si>
    <r>
      <rPr>
        <b/>
        <sz val="12"/>
        <rFont val="標楷體"/>
        <family val="4"/>
        <charset val="136"/>
      </rPr>
      <t>巨災風險資本</t>
    </r>
    <r>
      <rPr>
        <b/>
        <sz val="12"/>
        <rFont val="Times New Roman"/>
        <family val="1"/>
      </rPr>
      <t>R3d</t>
    </r>
    <r>
      <rPr>
        <b/>
        <sz val="12"/>
        <rFont val="標楷體"/>
        <family val="4"/>
        <charset val="136"/>
      </rPr>
      <t>合計</t>
    </r>
    <phoneticPr fontId="9" type="noConversion"/>
  </si>
  <si>
    <r>
      <rPr>
        <b/>
        <sz val="12"/>
        <rFont val="標楷體"/>
        <family val="4"/>
        <charset val="136"/>
      </rPr>
      <t>巨災信用風險資本合計</t>
    </r>
    <phoneticPr fontId="9" type="noConversion"/>
  </si>
  <si>
    <r>
      <rPr>
        <b/>
        <sz val="12"/>
        <rFont val="標楷體"/>
        <family val="4"/>
        <charset val="136"/>
      </rPr>
      <t>淨自留損失總額</t>
    </r>
  </si>
  <si>
    <t>(7)</t>
    <phoneticPr fontId="108" type="noConversion"/>
  </si>
  <si>
    <t>(9)</t>
    <phoneticPr fontId="108" type="noConversion"/>
  </si>
  <si>
    <r>
      <rPr>
        <b/>
        <sz val="12"/>
        <rFont val="標楷體"/>
        <family val="4"/>
        <charset val="136"/>
      </rPr>
      <t>天災風險資本</t>
    </r>
    <r>
      <rPr>
        <b/>
        <sz val="12"/>
        <rFont val="Times New Roman"/>
        <family val="1"/>
      </rPr>
      <t>:</t>
    </r>
    <phoneticPr fontId="9" type="noConversion"/>
  </si>
  <si>
    <t>地震_車火、工程及貨物運輸</t>
    <phoneticPr fontId="9" type="noConversion"/>
  </si>
  <si>
    <t>地震_其他險種及國外分進業務</t>
    <phoneticPr fontId="108" type="noConversion"/>
  </si>
  <si>
    <t>颱風洪水_車火、工程及貨物運輸</t>
    <phoneticPr fontId="9" type="noConversion"/>
  </si>
  <si>
    <t>颱風洪水_其他險種及國外分進業務</t>
    <phoneticPr fontId="9" type="noConversion"/>
  </si>
  <si>
    <r>
      <rPr>
        <b/>
        <sz val="12"/>
        <rFont val="標楷體"/>
        <family val="4"/>
        <charset val="136"/>
      </rPr>
      <t>其他巨災風險資本</t>
    </r>
    <r>
      <rPr>
        <b/>
        <sz val="12"/>
        <rFont val="Times New Roman"/>
        <family val="1"/>
      </rPr>
      <t>:</t>
    </r>
    <phoneticPr fontId="9" type="noConversion"/>
  </si>
  <si>
    <r>
      <rPr>
        <sz val="12"/>
        <rFont val="標楷體"/>
        <family val="4"/>
        <charset val="136"/>
      </rPr>
      <t>恐怖攻擊</t>
    </r>
    <phoneticPr fontId="108" type="noConversion"/>
  </si>
  <si>
    <r>
      <rPr>
        <sz val="12"/>
        <rFont val="標楷體"/>
        <family val="4"/>
        <charset val="136"/>
      </rPr>
      <t>貿易信用</t>
    </r>
    <phoneticPr fontId="108" type="noConversion"/>
  </si>
  <si>
    <r>
      <rPr>
        <sz val="12"/>
        <rFont val="標楷體"/>
        <family val="4"/>
        <charset val="136"/>
      </rPr>
      <t>保證保險</t>
    </r>
    <phoneticPr fontId="108" type="noConversion"/>
  </si>
  <si>
    <r>
      <rPr>
        <sz val="12"/>
        <rFont val="標楷體"/>
        <family val="4"/>
        <charset val="136"/>
      </rPr>
      <t>傳染病</t>
    </r>
    <phoneticPr fontId="9" type="noConversion"/>
  </si>
  <si>
    <r>
      <rPr>
        <b/>
        <sz val="12"/>
        <rFont val="標楷體"/>
        <family val="4"/>
        <charset val="136"/>
      </rPr>
      <t>項目</t>
    </r>
    <phoneticPr fontId="9" type="noConversion"/>
  </si>
  <si>
    <r>
      <rPr>
        <b/>
        <sz val="12"/>
        <rFont val="標楷體"/>
        <family val="4"/>
        <charset val="136"/>
      </rPr>
      <t>簽單損失</t>
    </r>
    <phoneticPr fontId="101" type="noConversion"/>
  </si>
  <si>
    <r>
      <rPr>
        <b/>
        <sz val="12"/>
        <rFont val="標楷體"/>
        <family val="4"/>
        <charset val="136"/>
      </rPr>
      <t>收取之復效保費</t>
    </r>
    <phoneticPr fontId="101" type="noConversion"/>
  </si>
  <si>
    <r>
      <rPr>
        <b/>
        <sz val="12"/>
        <rFont val="標楷體"/>
        <family val="4"/>
        <charset val="136"/>
      </rPr>
      <t>簽單損失淨額</t>
    </r>
    <phoneticPr fontId="101" type="noConversion"/>
  </si>
  <si>
    <r>
      <rPr>
        <b/>
        <sz val="12"/>
        <rFont val="標楷體"/>
        <family val="4"/>
        <charset val="136"/>
      </rPr>
      <t>自留損失</t>
    </r>
    <phoneticPr fontId="101" type="noConversion"/>
  </si>
  <si>
    <r>
      <rPr>
        <b/>
        <sz val="12"/>
        <rFont val="標楷體"/>
        <family val="4"/>
        <charset val="136"/>
      </rPr>
      <t>支付之復效保費</t>
    </r>
    <phoneticPr fontId="101" type="noConversion"/>
  </si>
  <si>
    <r>
      <rPr>
        <b/>
        <sz val="12"/>
        <rFont val="標楷體"/>
        <family val="4"/>
        <charset val="136"/>
      </rPr>
      <t>非比例再保險抵減額度</t>
    </r>
    <phoneticPr fontId="101" type="noConversion"/>
  </si>
  <si>
    <r>
      <rPr>
        <b/>
        <sz val="12"/>
        <rFont val="標楷體"/>
        <family val="4"/>
        <charset val="136"/>
      </rPr>
      <t>淨自留損失淨額</t>
    </r>
    <phoneticPr fontId="101" type="noConversion"/>
  </si>
  <si>
    <r>
      <rPr>
        <b/>
        <sz val="12"/>
        <rFont val="標楷體"/>
        <family val="4"/>
        <charset val="136"/>
      </rPr>
      <t>比例性業務</t>
    </r>
    <r>
      <rPr>
        <b/>
        <sz val="12"/>
        <rFont val="Times New Roman"/>
        <family val="1"/>
      </rPr>
      <t>(</t>
    </r>
    <r>
      <rPr>
        <b/>
        <sz val="12"/>
        <rFont val="標楷體"/>
        <family val="4"/>
        <charset val="136"/>
      </rPr>
      <t>不含特殊業務</t>
    </r>
    <r>
      <rPr>
        <b/>
        <sz val="12"/>
        <rFont val="Times New Roman"/>
        <family val="1"/>
      </rPr>
      <t>(</t>
    </r>
    <r>
      <rPr>
        <b/>
        <sz val="12"/>
        <rFont val="標楷體"/>
        <family val="4"/>
        <charset val="136"/>
      </rPr>
      <t>註</t>
    </r>
    <r>
      <rPr>
        <b/>
        <sz val="12"/>
        <rFont val="Times New Roman"/>
        <family val="1"/>
      </rPr>
      <t>1))</t>
    </r>
    <phoneticPr fontId="9" type="noConversion"/>
  </si>
  <si>
    <r>
      <rPr>
        <b/>
        <sz val="12"/>
        <rFont val="標楷體"/>
        <family val="4"/>
        <charset val="136"/>
      </rPr>
      <t>地區</t>
    </r>
    <r>
      <rPr>
        <b/>
        <sz val="12"/>
        <rFont val="Times New Roman"/>
        <family val="1"/>
      </rPr>
      <t>/</t>
    </r>
    <r>
      <rPr>
        <b/>
        <sz val="12"/>
        <rFont val="標楷體"/>
        <family val="4"/>
        <charset val="136"/>
      </rPr>
      <t>保險範圍</t>
    </r>
    <phoneticPr fontId="9" type="noConversion"/>
  </si>
  <si>
    <r>
      <rPr>
        <b/>
        <sz val="12"/>
        <rFont val="標楷體"/>
        <family val="4"/>
        <charset val="136"/>
      </rPr>
      <t>簽單與國內分進業務</t>
    </r>
    <phoneticPr fontId="9" type="noConversion"/>
  </si>
  <si>
    <r>
      <rPr>
        <b/>
        <sz val="12"/>
        <rFont val="標楷體"/>
        <family val="4"/>
        <charset val="136"/>
      </rPr>
      <t>自留業務</t>
    </r>
    <phoneticPr fontId="9" type="noConversion"/>
  </si>
  <si>
    <r>
      <rPr>
        <b/>
        <sz val="12"/>
        <rFont val="標楷體"/>
        <family val="4"/>
        <charset val="136"/>
      </rPr>
      <t>保險金額</t>
    </r>
    <phoneticPr fontId="101" type="noConversion"/>
  </si>
  <si>
    <r>
      <rPr>
        <b/>
        <sz val="12"/>
        <rFont val="標楷體"/>
        <family val="4"/>
        <charset val="136"/>
      </rPr>
      <t>颱洪</t>
    </r>
    <phoneticPr fontId="9" type="noConversion"/>
  </si>
  <si>
    <r>
      <rPr>
        <b/>
        <sz val="12"/>
        <rFont val="標楷體"/>
        <family val="4"/>
        <charset val="136"/>
      </rPr>
      <t>全年度所有航程</t>
    </r>
    <phoneticPr fontId="101" type="noConversion"/>
  </si>
  <si>
    <r>
      <rPr>
        <b/>
        <sz val="12"/>
        <rFont val="標楷體"/>
        <family val="4"/>
        <charset val="136"/>
      </rPr>
      <t>恐怖攻擊</t>
    </r>
    <phoneticPr fontId="101" type="noConversion"/>
  </si>
  <si>
    <r>
      <rPr>
        <b/>
        <sz val="12"/>
        <rFont val="標楷體"/>
        <family val="4"/>
        <charset val="136"/>
      </rPr>
      <t>貿易信用</t>
    </r>
    <phoneticPr fontId="101" type="noConversion"/>
  </si>
  <si>
    <r>
      <rPr>
        <b/>
        <sz val="12"/>
        <rFont val="標楷體"/>
        <family val="4"/>
        <charset val="136"/>
      </rPr>
      <t>保證保險</t>
    </r>
    <phoneticPr fontId="101" type="noConversion"/>
  </si>
  <si>
    <r>
      <rPr>
        <b/>
        <sz val="12"/>
        <rFont val="標楷體"/>
        <family val="4"/>
        <charset val="136"/>
      </rPr>
      <t>傳染病</t>
    </r>
    <phoneticPr fontId="101" type="noConversion"/>
  </si>
  <si>
    <r>
      <rPr>
        <b/>
        <sz val="12"/>
        <rFont val="標楷體"/>
        <family val="4"/>
        <charset val="136"/>
      </rPr>
      <t>自留損失金額</t>
    </r>
    <phoneticPr fontId="101" type="noConversion"/>
  </si>
  <si>
    <r>
      <rPr>
        <b/>
        <sz val="12"/>
        <rFont val="標楷體"/>
        <family val="4"/>
        <charset val="136"/>
      </rPr>
      <t>自留損失淨額</t>
    </r>
  </si>
  <si>
    <r>
      <rPr>
        <b/>
        <sz val="12"/>
        <rFont val="標楷體"/>
        <family val="4"/>
        <charset val="136"/>
      </rPr>
      <t>保費收入</t>
    </r>
    <phoneticPr fontId="108" type="noConversion"/>
  </si>
  <si>
    <r>
      <rPr>
        <b/>
        <sz val="12"/>
        <rFont val="標楷體"/>
        <family val="4"/>
        <charset val="136"/>
      </rPr>
      <t xml:space="preserve">與人身保險相關
</t>
    </r>
    <r>
      <rPr>
        <b/>
        <sz val="12"/>
        <rFont val="Times New Roman"/>
        <family val="1"/>
      </rPr>
      <t>(</t>
    </r>
    <r>
      <rPr>
        <b/>
        <sz val="12"/>
        <rFont val="標楷體"/>
        <family val="4"/>
        <charset val="136"/>
      </rPr>
      <t>傷害保險</t>
    </r>
    <r>
      <rPr>
        <b/>
        <sz val="12"/>
        <rFont val="Times New Roman"/>
        <family val="1"/>
      </rPr>
      <t>)</t>
    </r>
    <phoneticPr fontId="101" type="noConversion"/>
  </si>
  <si>
    <r>
      <rPr>
        <b/>
        <sz val="12"/>
        <rFont val="標楷體"/>
        <family val="4"/>
        <charset val="136"/>
      </rPr>
      <t xml:space="preserve">與財產保險相關
</t>
    </r>
    <r>
      <rPr>
        <b/>
        <sz val="12"/>
        <rFont val="Times New Roman"/>
        <family val="1"/>
      </rPr>
      <t>(</t>
    </r>
    <r>
      <rPr>
        <b/>
        <sz val="12"/>
        <rFont val="標楷體"/>
        <family val="4"/>
        <charset val="136"/>
      </rPr>
      <t>一年期商業火災保險</t>
    </r>
    <r>
      <rPr>
        <b/>
        <sz val="12"/>
        <rFont val="Times New Roman"/>
        <family val="1"/>
      </rPr>
      <t>)</t>
    </r>
    <phoneticPr fontId="101" type="noConversion"/>
  </si>
  <si>
    <r>
      <rPr>
        <b/>
        <sz val="12"/>
        <rFont val="標楷體"/>
        <family val="4"/>
        <charset val="136"/>
      </rPr>
      <t>簽單與分進業務</t>
    </r>
    <phoneticPr fontId="101" type="noConversion"/>
  </si>
  <si>
    <r>
      <rPr>
        <b/>
        <sz val="12"/>
        <rFont val="標楷體"/>
        <family val="4"/>
        <charset val="136"/>
      </rPr>
      <t>自留業務業務</t>
    </r>
    <phoneticPr fontId="101" type="noConversion"/>
  </si>
  <si>
    <r>
      <rPr>
        <b/>
        <sz val="12"/>
        <rFont val="標楷體"/>
        <family val="4"/>
        <charset val="136"/>
      </rPr>
      <t>露天大型活動</t>
    </r>
  </si>
  <si>
    <r>
      <rPr>
        <b/>
        <sz val="12"/>
        <rFont val="標楷體"/>
        <family val="4"/>
        <charset val="136"/>
      </rPr>
      <t>小巨蛋</t>
    </r>
    <phoneticPr fontId="108" type="noConversion"/>
  </si>
  <si>
    <r>
      <rPr>
        <b/>
        <sz val="12"/>
        <rFont val="標楷體"/>
        <family val="4"/>
        <charset val="136"/>
      </rPr>
      <t>大巨蛋</t>
    </r>
    <phoneticPr fontId="108" type="noConversion"/>
  </si>
  <si>
    <r>
      <rPr>
        <b/>
        <sz val="12"/>
        <rFont val="標楷體"/>
        <family val="4"/>
        <charset val="136"/>
      </rPr>
      <t>簽單業務</t>
    </r>
    <phoneticPr fontId="101"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</si>
  <si>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</si>
  <si>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101" type="noConversion"/>
  </si>
  <si>
    <t>200-400m</t>
    <phoneticPr fontId="101" type="noConversion"/>
  </si>
  <si>
    <t>400-500m</t>
    <phoneticPr fontId="101" type="noConversion"/>
  </si>
  <si>
    <r>
      <rPr>
        <b/>
        <sz val="12"/>
        <rFont val="標楷體"/>
        <family val="4"/>
        <charset val="136"/>
      </rPr>
      <t>自留業務</t>
    </r>
    <phoneticPr fontId="101"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</si>
  <si>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108" type="noConversion"/>
  </si>
  <si>
    <r>
      <rPr>
        <b/>
        <sz val="12"/>
        <rFont val="標楷體"/>
        <family val="4"/>
        <charset val="136"/>
      </rPr>
      <t>自留滿期保費</t>
    </r>
    <phoneticPr fontId="101" type="noConversion"/>
  </si>
  <si>
    <r>
      <rPr>
        <b/>
        <sz val="12"/>
        <rFont val="標楷體"/>
        <family val="4"/>
        <charset val="136"/>
      </rPr>
      <t>無信評</t>
    </r>
  </si>
  <si>
    <r>
      <rPr>
        <b/>
        <sz val="12"/>
        <rFont val="標楷體"/>
        <family val="4"/>
        <charset val="136"/>
      </rPr>
      <t>合計</t>
    </r>
    <phoneticPr fontId="101" type="noConversion"/>
  </si>
  <si>
    <r>
      <rPr>
        <b/>
        <sz val="12"/>
        <rFont val="標楷體"/>
        <family val="4"/>
        <charset val="136"/>
      </rPr>
      <t>項目</t>
    </r>
    <phoneticPr fontId="101" type="noConversion"/>
  </si>
  <si>
    <r>
      <rPr>
        <b/>
        <sz val="12"/>
        <rFont val="標楷體"/>
        <family val="4"/>
        <charset val="136"/>
      </rPr>
      <t>前</t>
    </r>
    <r>
      <rPr>
        <b/>
        <sz val="12"/>
        <rFont val="Times New Roman"/>
        <family val="1"/>
      </rPr>
      <t>10</t>
    </r>
    <r>
      <rPr>
        <b/>
        <sz val="12"/>
        <rFont val="標楷體"/>
        <family val="4"/>
        <charset val="136"/>
      </rPr>
      <t>大客戶保險金額</t>
    </r>
    <phoneticPr fontId="101" type="noConversion"/>
  </si>
  <si>
    <r>
      <rPr>
        <b/>
        <sz val="12"/>
        <rFont val="標楷體"/>
        <family val="4"/>
        <charset val="136"/>
      </rPr>
      <t>客戶</t>
    </r>
    <r>
      <rPr>
        <b/>
        <sz val="12"/>
        <rFont val="Times New Roman"/>
        <family val="1"/>
      </rPr>
      <t>1</t>
    </r>
    <phoneticPr fontId="101" type="noConversion"/>
  </si>
  <si>
    <r>
      <rPr>
        <b/>
        <sz val="12"/>
        <rFont val="標楷體"/>
        <family val="4"/>
        <charset val="136"/>
      </rPr>
      <t>客戶</t>
    </r>
    <r>
      <rPr>
        <b/>
        <sz val="12"/>
        <rFont val="Times New Roman"/>
        <family val="1"/>
      </rPr>
      <t>2</t>
    </r>
  </si>
  <si>
    <r>
      <rPr>
        <b/>
        <sz val="12"/>
        <rFont val="標楷體"/>
        <family val="4"/>
        <charset val="136"/>
      </rPr>
      <t>客戶</t>
    </r>
    <r>
      <rPr>
        <b/>
        <sz val="12"/>
        <rFont val="Times New Roman"/>
        <family val="1"/>
      </rPr>
      <t>3</t>
    </r>
  </si>
  <si>
    <r>
      <rPr>
        <b/>
        <sz val="12"/>
        <rFont val="標楷體"/>
        <family val="4"/>
        <charset val="136"/>
      </rPr>
      <t>客戶</t>
    </r>
    <r>
      <rPr>
        <b/>
        <sz val="12"/>
        <rFont val="Times New Roman"/>
        <family val="1"/>
      </rPr>
      <t>4</t>
    </r>
  </si>
  <si>
    <r>
      <rPr>
        <b/>
        <sz val="12"/>
        <rFont val="標楷體"/>
        <family val="4"/>
        <charset val="136"/>
      </rPr>
      <t>客戶</t>
    </r>
    <r>
      <rPr>
        <b/>
        <sz val="12"/>
        <rFont val="Times New Roman"/>
        <family val="1"/>
      </rPr>
      <t>5</t>
    </r>
  </si>
  <si>
    <r>
      <rPr>
        <b/>
        <sz val="12"/>
        <rFont val="標楷體"/>
        <family val="4"/>
        <charset val="136"/>
      </rPr>
      <t>客戶</t>
    </r>
    <r>
      <rPr>
        <b/>
        <sz val="12"/>
        <rFont val="Times New Roman"/>
        <family val="1"/>
      </rPr>
      <t>6</t>
    </r>
  </si>
  <si>
    <r>
      <rPr>
        <b/>
        <sz val="12"/>
        <rFont val="標楷體"/>
        <family val="4"/>
        <charset val="136"/>
      </rPr>
      <t>客戶</t>
    </r>
    <r>
      <rPr>
        <b/>
        <sz val="12"/>
        <rFont val="Times New Roman"/>
        <family val="1"/>
      </rPr>
      <t>7</t>
    </r>
  </si>
  <si>
    <r>
      <rPr>
        <b/>
        <sz val="12"/>
        <rFont val="標楷體"/>
        <family val="4"/>
        <charset val="136"/>
      </rPr>
      <t>客戶</t>
    </r>
    <r>
      <rPr>
        <b/>
        <sz val="12"/>
        <rFont val="Times New Roman"/>
        <family val="1"/>
      </rPr>
      <t>8</t>
    </r>
  </si>
  <si>
    <r>
      <rPr>
        <b/>
        <sz val="12"/>
        <rFont val="標楷體"/>
        <family val="4"/>
        <charset val="136"/>
      </rPr>
      <t>客戶</t>
    </r>
    <r>
      <rPr>
        <b/>
        <sz val="12"/>
        <rFont val="Times New Roman"/>
        <family val="1"/>
      </rPr>
      <t>9</t>
    </r>
  </si>
  <si>
    <r>
      <rPr>
        <b/>
        <sz val="12"/>
        <rFont val="標楷體"/>
        <family val="4"/>
        <charset val="136"/>
      </rPr>
      <t>客戶</t>
    </r>
    <r>
      <rPr>
        <b/>
        <sz val="12"/>
        <rFont val="Times New Roman"/>
        <family val="1"/>
      </rPr>
      <t>10</t>
    </r>
  </si>
  <si>
    <r>
      <rPr>
        <b/>
        <sz val="12"/>
        <rFont val="標楷體"/>
        <family val="4"/>
        <charset val="136"/>
      </rPr>
      <t>保險商品</t>
    </r>
    <phoneticPr fontId="101" type="noConversion"/>
  </si>
  <si>
    <t>特殊業務非比例層保額分配額</t>
    <phoneticPr fontId="9" type="noConversion"/>
  </si>
  <si>
    <t>損失金額</t>
    <phoneticPr fontId="9" type="noConversion"/>
  </si>
  <si>
    <t>Z1</t>
    <phoneticPr fontId="9" type="noConversion"/>
  </si>
  <si>
    <t>Z1p1</t>
    <phoneticPr fontId="9" type="noConversion"/>
  </si>
  <si>
    <r>
      <rPr>
        <b/>
        <sz val="12"/>
        <rFont val="標楷體"/>
        <family val="4"/>
        <charset val="136"/>
      </rPr>
      <t>簽單損失金額</t>
    </r>
  </si>
  <si>
    <r>
      <rPr>
        <b/>
        <sz val="12"/>
        <rFont val="標楷體"/>
        <family val="4"/>
        <charset val="136"/>
      </rPr>
      <t>自留損失金額</t>
    </r>
  </si>
  <si>
    <t>比例性業務總保險金額
營造綜合保險</t>
    <phoneticPr fontId="9" type="noConversion"/>
  </si>
  <si>
    <t>比例性業務總保險金額
安裝工程綜合保險</t>
    <phoneticPr fontId="9" type="noConversion"/>
  </si>
  <si>
    <t>比例性業務總保險金額
營造綜合保險</t>
  </si>
  <si>
    <t>特殊業務比例層保額
營造綜合保險</t>
  </si>
  <si>
    <t>特殊業務非比例層保額分配額
營造綜合保險</t>
  </si>
  <si>
    <t>比例性業務總保險金額
安裝工程綜合保險</t>
  </si>
  <si>
    <t>特殊業務比例層保額
安裝工程綜合保險</t>
  </si>
  <si>
    <t>特殊業務非比例層保額分配額
安裝工程綜合保險</t>
  </si>
  <si>
    <r>
      <rPr>
        <b/>
        <sz val="12"/>
        <rFont val="標楷體"/>
        <family val="4"/>
        <charset val="136"/>
      </rPr>
      <t>顯示單位</t>
    </r>
    <r>
      <rPr>
        <b/>
        <sz val="12"/>
        <rFont val="Times New Roman"/>
        <family val="1"/>
      </rPr>
      <t xml:space="preserve">: </t>
    </r>
    <r>
      <rPr>
        <b/>
        <sz val="12"/>
        <rFont val="標楷體"/>
        <family val="4"/>
        <charset val="136"/>
      </rPr>
      <t>百萬元</t>
    </r>
    <phoneticPr fontId="101" type="noConversion"/>
  </si>
  <si>
    <r>
      <rPr>
        <b/>
        <sz val="12"/>
        <rFont val="標楷體"/>
        <family val="4"/>
        <charset val="136"/>
      </rPr>
      <t>簽單與分進損失金額</t>
    </r>
    <phoneticPr fontId="9" type="noConversion"/>
  </si>
  <si>
    <t>99r</t>
  </si>
  <si>
    <r>
      <rPr>
        <b/>
        <sz val="12"/>
        <rFont val="標楷體"/>
        <family val="4"/>
        <charset val="136"/>
      </rPr>
      <t>自留損失金額</t>
    </r>
    <phoneticPr fontId="9" type="noConversion"/>
  </si>
  <si>
    <r>
      <rPr>
        <b/>
        <sz val="12"/>
        <rFont val="標楷體"/>
        <family val="4"/>
        <charset val="136"/>
      </rPr>
      <t>保險金額</t>
    </r>
    <phoneticPr fontId="9" type="noConversion"/>
  </si>
  <si>
    <r>
      <rPr>
        <b/>
        <sz val="12"/>
        <rFont val="標楷體"/>
        <family val="4"/>
        <charset val="136"/>
      </rPr>
      <t>簽單與分進損失金額</t>
    </r>
  </si>
  <si>
    <t>比例層
簽單暴險金額
(NTD)</t>
  </si>
  <si>
    <t>比例層
自留暴險金額
(NTD)</t>
  </si>
  <si>
    <r>
      <t>非比例層
調整係數</t>
    </r>
    <r>
      <rPr>
        <b/>
        <sz val="12"/>
        <color indexed="59"/>
        <rFont val="Times New Roman"/>
        <family val="1"/>
      </rPr>
      <t>(200RP)</t>
    </r>
    <phoneticPr fontId="9" type="noConversion"/>
  </si>
  <si>
    <r>
      <t>非比例層調整後
簽單責任額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</si>
  <si>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t>非比例層調整後
自留責任額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</si>
  <si>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rPr>
        <b/>
        <sz val="12"/>
        <rFont val="標楷體"/>
        <family val="4"/>
        <charset val="136"/>
      </rPr>
      <t>總保費</t>
    </r>
    <r>
      <rPr>
        <b/>
        <sz val="12"/>
        <rFont val="Times New Roman"/>
        <family val="1"/>
      </rPr>
      <t>(</t>
    </r>
    <r>
      <rPr>
        <b/>
        <sz val="12"/>
        <rFont val="標楷體"/>
        <family val="4"/>
        <charset val="136"/>
      </rPr>
      <t>簽單</t>
    </r>
    <r>
      <rPr>
        <b/>
        <sz val="12"/>
        <rFont val="Times New Roman"/>
        <family val="1"/>
      </rPr>
      <t>+</t>
    </r>
    <r>
      <rPr>
        <b/>
        <sz val="12"/>
        <rFont val="標楷體"/>
        <family val="4"/>
        <charset val="136"/>
      </rPr>
      <t>分進</t>
    </r>
    <r>
      <rPr>
        <b/>
        <sz val="12"/>
        <rFont val="Times New Roman"/>
        <family val="1"/>
      </rPr>
      <t>)</t>
    </r>
    <phoneticPr fontId="101" type="noConversion"/>
  </si>
  <si>
    <r>
      <rPr>
        <b/>
        <sz val="12"/>
        <rFont val="標楷體"/>
        <family val="4"/>
        <charset val="136"/>
      </rPr>
      <t>自留保費</t>
    </r>
    <phoneticPr fontId="101" type="noConversion"/>
  </si>
  <si>
    <r>
      <rPr>
        <b/>
        <sz val="12"/>
        <rFont val="標楷體"/>
        <family val="4"/>
        <charset val="136"/>
      </rPr>
      <t>自留比率</t>
    </r>
    <phoneticPr fontId="101" type="noConversion"/>
  </si>
  <si>
    <r>
      <rPr>
        <b/>
        <sz val="12"/>
        <rFont val="標楷體"/>
        <family val="4"/>
        <charset val="136"/>
      </rPr>
      <t>預估總損失金額</t>
    </r>
    <phoneticPr fontId="101" type="noConversion"/>
  </si>
  <si>
    <r>
      <rPr>
        <b/>
        <sz val="12"/>
        <rFont val="標楷體"/>
        <family val="4"/>
        <charset val="136"/>
      </rPr>
      <t>公司簽單損失</t>
    </r>
    <phoneticPr fontId="101" type="noConversion"/>
  </si>
  <si>
    <r>
      <rPr>
        <b/>
        <sz val="12"/>
        <rFont val="標楷體"/>
        <family val="4"/>
        <charset val="136"/>
      </rPr>
      <t>公司自留損失</t>
    </r>
    <phoneticPr fontId="101" type="noConversion"/>
  </si>
  <si>
    <r>
      <rPr>
        <b/>
        <sz val="12"/>
        <rFont val="標楷體"/>
        <family val="4"/>
        <charset val="136"/>
      </rPr>
      <t>與人身保險相關</t>
    </r>
    <phoneticPr fontId="101" type="noConversion"/>
  </si>
  <si>
    <r>
      <rPr>
        <b/>
        <sz val="12"/>
        <rFont val="標楷體"/>
        <family val="4"/>
        <charset val="136"/>
      </rPr>
      <t>指定標的財產保險</t>
    </r>
    <phoneticPr fontId="101" type="noConversion"/>
  </si>
  <si>
    <r>
      <rPr>
        <b/>
        <sz val="12"/>
        <rFont val="標楷體"/>
        <family val="4"/>
        <charset val="136"/>
      </rPr>
      <t>指定標的財產保險</t>
    </r>
    <phoneticPr fontId="108" type="noConversion"/>
  </si>
  <si>
    <r>
      <rPr>
        <b/>
        <sz val="12"/>
        <rFont val="標楷體"/>
        <family val="4"/>
        <charset val="136"/>
      </rPr>
      <t>其他周邊財產保險</t>
    </r>
    <phoneticPr fontId="101" type="noConversion"/>
  </si>
  <si>
    <r>
      <rPr>
        <b/>
        <sz val="12"/>
        <rFont val="標楷體"/>
        <family val="4"/>
        <charset val="136"/>
      </rPr>
      <t>與人身保險相關</t>
    </r>
  </si>
  <si>
    <r>
      <rPr>
        <b/>
        <sz val="12"/>
        <rFont val="標楷體"/>
        <family val="4"/>
        <charset val="136"/>
      </rPr>
      <t>指定標的財產保險</t>
    </r>
  </si>
  <si>
    <r>
      <rPr>
        <b/>
        <sz val="12"/>
        <rFont val="標楷體"/>
        <family val="4"/>
        <charset val="136"/>
      </rPr>
      <t>其他周邊財產保險</t>
    </r>
  </si>
  <si>
    <r>
      <rPr>
        <b/>
        <sz val="12"/>
        <rFont val="標楷體"/>
        <family val="4"/>
        <charset val="136"/>
      </rPr>
      <t>露天大型活動</t>
    </r>
    <phoneticPr fontId="101" type="noConversion"/>
  </si>
  <si>
    <r>
      <rPr>
        <b/>
        <sz val="12"/>
        <rFont val="標楷體"/>
        <family val="4"/>
        <charset val="136"/>
      </rPr>
      <t>小巨蛋活動</t>
    </r>
    <phoneticPr fontId="101" type="noConversion"/>
  </si>
  <si>
    <r>
      <rPr>
        <b/>
        <sz val="12"/>
        <rFont val="標楷體"/>
        <family val="4"/>
        <charset val="136"/>
      </rPr>
      <t>大巨蛋活動</t>
    </r>
    <phoneticPr fontId="101" type="noConversion"/>
  </si>
  <si>
    <r>
      <rPr>
        <b/>
        <sz val="12"/>
        <rFont val="標楷體"/>
        <family val="4"/>
        <charset val="136"/>
      </rPr>
      <t>最大損失情境</t>
    </r>
    <phoneticPr fontId="101" type="noConversion"/>
  </si>
  <si>
    <r>
      <rPr>
        <b/>
        <sz val="12"/>
        <rFont val="標楷體"/>
        <family val="4"/>
        <charset val="136"/>
      </rPr>
      <t>簽單損失金額</t>
    </r>
    <phoneticPr fontId="101" type="noConversion"/>
  </si>
  <si>
    <r>
      <rPr>
        <b/>
        <sz val="12"/>
        <rFont val="標楷體"/>
        <family val="4"/>
        <charset val="136"/>
      </rPr>
      <t>採外部信評之</t>
    </r>
    <r>
      <rPr>
        <b/>
        <sz val="12"/>
        <rFont val="Times New Roman"/>
        <family val="1"/>
      </rPr>
      <t>ICS</t>
    </r>
    <r>
      <rPr>
        <b/>
        <sz val="12"/>
        <rFont val="標楷體"/>
        <family val="4"/>
        <charset val="136"/>
      </rPr>
      <t>評等</t>
    </r>
    <phoneticPr fontId="7" type="noConversion"/>
  </si>
  <si>
    <r>
      <rPr>
        <b/>
        <sz val="12"/>
        <rFont val="標楷體"/>
        <family val="4"/>
        <charset val="136"/>
      </rPr>
      <t>損失係數</t>
    </r>
    <phoneticPr fontId="101" type="noConversion"/>
  </si>
  <si>
    <r>
      <rPr>
        <b/>
        <sz val="12"/>
        <rFont val="標楷體"/>
        <family val="4"/>
        <charset val="136"/>
      </rPr>
      <t>淨自留損失金額</t>
    </r>
    <phoneticPr fontId="101" type="noConversion"/>
  </si>
  <si>
    <r>
      <rPr>
        <b/>
        <sz val="12"/>
        <rFont val="標楷體"/>
        <family val="4"/>
        <charset val="136"/>
      </rPr>
      <t>保證風險</t>
    </r>
    <phoneticPr fontId="101" type="noConversion"/>
  </si>
  <si>
    <r>
      <rPr>
        <b/>
        <sz val="12"/>
        <rFont val="標楷體"/>
        <family val="4"/>
        <charset val="136"/>
      </rPr>
      <t>前</t>
    </r>
    <r>
      <rPr>
        <b/>
        <sz val="12"/>
        <rFont val="Times New Roman"/>
        <family val="1"/>
      </rPr>
      <t>10</t>
    </r>
    <r>
      <rPr>
        <b/>
        <sz val="12"/>
        <rFont val="標楷體"/>
        <family val="4"/>
        <charset val="136"/>
      </rPr>
      <t>大客戶損失計算</t>
    </r>
    <phoneticPr fontId="101" type="noConversion"/>
  </si>
  <si>
    <r>
      <rPr>
        <b/>
        <sz val="12"/>
        <rFont val="標楷體"/>
        <family val="4"/>
        <charset val="136"/>
      </rPr>
      <t>暴險商品</t>
    </r>
  </si>
  <si>
    <r>
      <rPr>
        <b/>
        <sz val="12"/>
        <rFont val="標楷體"/>
        <family val="4"/>
        <charset val="136"/>
      </rPr>
      <t>義務人</t>
    </r>
    <r>
      <rPr>
        <b/>
        <sz val="12"/>
        <rFont val="Times New Roman"/>
        <family val="1"/>
      </rPr>
      <t>(Principal)</t>
    </r>
    <r>
      <rPr>
        <b/>
        <sz val="12"/>
        <rFont val="標楷體"/>
        <family val="4"/>
        <charset val="136"/>
      </rPr>
      <t>簽單暴險金額</t>
    </r>
  </si>
  <si>
    <r>
      <rPr>
        <b/>
        <sz val="12"/>
        <rFont val="標楷體"/>
        <family val="4"/>
        <charset val="136"/>
      </rPr>
      <t>損失幅度模型</t>
    </r>
    <r>
      <rPr>
        <b/>
        <sz val="12"/>
        <rFont val="Times New Roman"/>
        <family val="1"/>
      </rPr>
      <t>95%PML</t>
    </r>
    <r>
      <rPr>
        <b/>
        <sz val="12"/>
        <rFont val="標楷體"/>
        <family val="4"/>
        <charset val="136"/>
      </rPr>
      <t>係數</t>
    </r>
    <phoneticPr fontId="101" type="noConversion"/>
  </si>
  <si>
    <r>
      <rPr>
        <b/>
        <sz val="12"/>
        <rFont val="標楷體"/>
        <family val="4"/>
        <charset val="136"/>
      </rPr>
      <t>損失幅度模型</t>
    </r>
    <r>
      <rPr>
        <b/>
        <sz val="12"/>
        <rFont val="Times New Roman"/>
        <family val="1"/>
      </rPr>
      <t>95%PML</t>
    </r>
    <r>
      <rPr>
        <b/>
        <sz val="12"/>
        <rFont val="標楷體"/>
        <family val="4"/>
        <charset val="136"/>
      </rPr>
      <t>金額</t>
    </r>
    <phoneticPr fontId="101" type="noConversion"/>
  </si>
  <si>
    <r>
      <rPr>
        <b/>
        <sz val="12"/>
        <rFont val="標楷體"/>
        <family val="4"/>
        <charset val="136"/>
      </rPr>
      <t>共同擔保比例</t>
    </r>
    <phoneticPr fontId="101" type="noConversion"/>
  </si>
  <si>
    <r>
      <rPr>
        <b/>
        <sz val="12"/>
        <rFont val="標楷體"/>
        <family val="4"/>
        <charset val="136"/>
      </rPr>
      <t>共同擔保金額</t>
    </r>
    <phoneticPr fontId="101" type="noConversion"/>
  </si>
  <si>
    <r>
      <rPr>
        <b/>
        <sz val="12"/>
        <rFont val="標楷體"/>
        <family val="4"/>
        <charset val="136"/>
      </rPr>
      <t>扣除共同擔保之淨</t>
    </r>
    <r>
      <rPr>
        <b/>
        <sz val="12"/>
        <rFont val="Times New Roman"/>
        <family val="1"/>
      </rPr>
      <t>PML</t>
    </r>
    <r>
      <rPr>
        <b/>
        <sz val="12"/>
        <rFont val="標楷體"/>
        <family val="4"/>
        <charset val="136"/>
      </rPr>
      <t>金額</t>
    </r>
    <phoneticPr fontId="101" type="noConversion"/>
  </si>
  <si>
    <r>
      <rPr>
        <b/>
        <sz val="12"/>
        <rFont val="標楷體"/>
        <family val="4"/>
        <charset val="136"/>
      </rPr>
      <t>被認許之現金擔保金額</t>
    </r>
    <phoneticPr fontId="101" type="noConversion"/>
  </si>
  <si>
    <r>
      <rPr>
        <b/>
        <sz val="12"/>
        <rFont val="標楷體"/>
        <family val="4"/>
        <charset val="136"/>
      </rPr>
      <t>扣除被認許現金擔保之淨</t>
    </r>
    <r>
      <rPr>
        <b/>
        <sz val="12"/>
        <rFont val="Times New Roman"/>
        <family val="1"/>
      </rPr>
      <t>PML</t>
    </r>
    <r>
      <rPr>
        <b/>
        <sz val="12"/>
        <rFont val="標楷體"/>
        <family val="4"/>
        <charset val="136"/>
      </rPr>
      <t>金額</t>
    </r>
    <phoneticPr fontId="101" type="noConversion"/>
  </si>
  <si>
    <r>
      <rPr>
        <b/>
        <sz val="12"/>
        <rFont val="標楷體"/>
        <family val="4"/>
        <charset val="136"/>
      </rPr>
      <t>再保險攤回金額</t>
    </r>
    <phoneticPr fontId="101" type="noConversion"/>
  </si>
  <si>
    <r>
      <rPr>
        <b/>
        <sz val="12"/>
        <rFont val="標楷體"/>
        <family val="4"/>
        <charset val="136"/>
      </rPr>
      <t>風險資本</t>
    </r>
    <phoneticPr fontId="101" type="noConversion"/>
  </si>
  <si>
    <r>
      <rPr>
        <b/>
        <sz val="12"/>
        <rFont val="標楷體"/>
        <family val="4"/>
        <charset val="136"/>
      </rPr>
      <t>損失金額</t>
    </r>
    <phoneticPr fontId="101" type="noConversion"/>
  </si>
  <si>
    <r>
      <rPr>
        <b/>
        <sz val="12"/>
        <rFont val="標楷體"/>
        <family val="4"/>
        <charset val="136"/>
      </rPr>
      <t>復效保費</t>
    </r>
    <phoneticPr fontId="101" type="noConversion"/>
  </si>
  <si>
    <r>
      <rPr>
        <b/>
        <sz val="12"/>
        <rFont val="標楷體"/>
        <family val="4"/>
        <charset val="136"/>
      </rPr>
      <t>淨自留損失</t>
    </r>
    <phoneticPr fontId="101" type="noConversion"/>
  </si>
  <si>
    <t>次要風險</t>
    <phoneticPr fontId="9" type="noConversion"/>
  </si>
  <si>
    <t>恐怖攻擊損失係數</t>
    <phoneticPr fontId="101" type="noConversion"/>
  </si>
  <si>
    <t>半徑範圍</t>
    <phoneticPr fontId="101" type="noConversion"/>
  </si>
  <si>
    <t>與人身保險相關</t>
    <phoneticPr fontId="101" type="noConversion"/>
  </si>
  <si>
    <t>與財產保險相關</t>
    <phoneticPr fontId="101" type="noConversion"/>
  </si>
  <si>
    <t>死亡</t>
    <phoneticPr fontId="101" type="noConversion"/>
  </si>
  <si>
    <t>失能</t>
    <phoneticPr fontId="101" type="noConversion"/>
  </si>
  <si>
    <t>人身保險</t>
    <phoneticPr fontId="101" type="noConversion"/>
  </si>
  <si>
    <t>貨物水險</t>
    <phoneticPr fontId="101" type="noConversion"/>
  </si>
  <si>
    <t>其他險種</t>
    <phoneticPr fontId="101" type="noConversion"/>
  </si>
  <si>
    <t>貿易信用保險損失係數</t>
    <phoneticPr fontId="101" type="noConversion"/>
  </si>
  <si>
    <t>ICS評等</t>
  </si>
  <si>
    <t>損失係數</t>
    <phoneticPr fontId="101" type="noConversion"/>
  </si>
  <si>
    <t>無信評</t>
  </si>
  <si>
    <t>合計</t>
    <phoneticPr fontId="101" type="noConversion"/>
  </si>
  <si>
    <t>ICS評等</t>
    <phoneticPr fontId="101" type="noConversion"/>
  </si>
  <si>
    <t>Standard.and.Poor</t>
    <phoneticPr fontId="101" type="noConversion"/>
  </si>
  <si>
    <t>Moody</t>
    <phoneticPr fontId="101" type="noConversion"/>
  </si>
  <si>
    <t>Fitch</t>
  </si>
  <si>
    <t>JCR</t>
  </si>
  <si>
    <t>R.and.I</t>
    <phoneticPr fontId="101" type="noConversion"/>
  </si>
  <si>
    <t>DBRS</t>
  </si>
  <si>
    <t>AM.Best</t>
    <phoneticPr fontId="101" type="noConversion"/>
  </si>
  <si>
    <t>中華信評</t>
  </si>
  <si>
    <t>AAA</t>
  </si>
  <si>
    <t>AA / A-1</t>
  </si>
  <si>
    <t>Aa / P-1</t>
  </si>
  <si>
    <t>AA / F1</t>
  </si>
  <si>
    <t>AA / J-1</t>
  </si>
  <si>
    <t>AA / a-1</t>
  </si>
  <si>
    <t>AA / R-1</t>
  </si>
  <si>
    <t>A+</t>
  </si>
  <si>
    <t>A / A-2</t>
  </si>
  <si>
    <t>A / P-2</t>
  </si>
  <si>
    <t>A / F2</t>
  </si>
  <si>
    <t>A / J-2</t>
  </si>
  <si>
    <t>A / a-2</t>
  </si>
  <si>
    <t>A / R-2</t>
  </si>
  <si>
    <t>twAAA至twAA / twA-1</t>
  </si>
  <si>
    <t>BBB / A-3</t>
  </si>
  <si>
    <t>Baa / P-3</t>
  </si>
  <si>
    <t>BBB / F3</t>
  </si>
  <si>
    <t>BBB / J-3</t>
  </si>
  <si>
    <t>BBB / a-3</t>
  </si>
  <si>
    <t>BBB / R-3</t>
  </si>
  <si>
    <t>B+</t>
  </si>
  <si>
    <t>twAA至twA / twA-2</t>
  </si>
  <si>
    <t>BB</t>
  </si>
  <si>
    <t>twA-至twBBB-</t>
  </si>
  <si>
    <t>B / B</t>
  </si>
  <si>
    <t>B / NP</t>
  </si>
  <si>
    <t>B / NJ</t>
  </si>
  <si>
    <t>B / b</t>
  </si>
  <si>
    <t>B / R-4</t>
  </si>
  <si>
    <t>C+</t>
  </si>
  <si>
    <t>twBB+至twB</t>
  </si>
  <si>
    <t>CCC / C and lower</t>
  </si>
  <si>
    <t>Caa and lower</t>
  </si>
  <si>
    <t>CCC and lower</t>
  </si>
  <si>
    <t>CCC / c and lower</t>
  </si>
  <si>
    <t>CCC / R-5 and lower</t>
  </si>
  <si>
    <t>C and lower</t>
  </si>
  <si>
    <t>twB-及以下</t>
  </si>
  <si>
    <t>保證保險損失幅度模型95%PML係數</t>
    <phoneticPr fontId="101" type="noConversion"/>
  </si>
  <si>
    <t>編號</t>
    <phoneticPr fontId="101" type="noConversion"/>
  </si>
  <si>
    <t>保證保險商品</t>
    <phoneticPr fontId="101" type="noConversion"/>
  </si>
  <si>
    <t>PML</t>
    <phoneticPr fontId="101" type="noConversion"/>
  </si>
  <si>
    <t>保額級距(仟元)</t>
    <phoneticPr fontId="101" type="noConversion"/>
  </si>
  <si>
    <t>0~1,000</t>
    <phoneticPr fontId="101" type="noConversion"/>
  </si>
  <si>
    <t>1,000~10,000</t>
    <phoneticPr fontId="101" type="noConversion"/>
  </si>
  <si>
    <t>10,000~100,000</t>
    <phoneticPr fontId="101" type="noConversion"/>
  </si>
  <si>
    <t>100,000~1,000,000</t>
    <phoneticPr fontId="101" type="noConversion"/>
  </si>
  <si>
    <t>1,000,000~</t>
    <phoneticPr fontId="101" type="noConversion"/>
  </si>
  <si>
    <t>不分商品</t>
    <phoneticPr fontId="149" type="noConversion"/>
  </si>
  <si>
    <t>PML_95%</t>
    <phoneticPr fontId="149" type="noConversion"/>
  </si>
  <si>
    <t>註：火險代碼為F、工程險之營造綜合代碼為E1、工程險之安裝工程代碼為E2。</t>
    <phoneticPr fontId="108" type="noConversion"/>
  </si>
  <si>
    <r>
      <rPr>
        <b/>
        <sz val="12"/>
        <rFont val="標楷體"/>
        <family val="4"/>
        <charset val="136"/>
      </rPr>
      <t>簽單與國內分進業務保險金額</t>
    </r>
    <phoneticPr fontId="101" type="noConversion"/>
  </si>
  <si>
    <t>非比例層簽單保額(200RP)
(NTD)</t>
  </si>
  <si>
    <t>非比例層自留保額(200RP)
(NTD)</t>
  </si>
  <si>
    <r>
      <rPr>
        <b/>
        <sz val="12"/>
        <rFont val="標楷體"/>
        <family val="4"/>
        <charset val="136"/>
      </rPr>
      <t>無信用風險考量的
分出業務損失金額</t>
    </r>
    <r>
      <rPr>
        <b/>
        <sz val="12"/>
        <rFont val="Times New Roman"/>
        <family val="1"/>
      </rPr>
      <t>(</t>
    </r>
    <r>
      <rPr>
        <b/>
        <sz val="12"/>
        <rFont val="標楷體"/>
        <family val="4"/>
        <charset val="136"/>
      </rPr>
      <t>註</t>
    </r>
    <r>
      <rPr>
        <b/>
        <sz val="12"/>
        <rFont val="Times New Roman"/>
        <family val="1"/>
      </rPr>
      <t>1</t>
    </r>
    <r>
      <rPr>
        <b/>
        <sz val="12"/>
        <rFont val="Times New Roman"/>
        <family val="1"/>
      </rPr>
      <t>)</t>
    </r>
    <phoneticPr fontId="9" type="noConversion"/>
  </si>
  <si>
    <r>
      <rPr>
        <b/>
        <sz val="12"/>
        <rFont val="標楷體"/>
        <family val="4"/>
        <charset val="136"/>
      </rPr>
      <t xml:space="preserve">簽單與國內分進業務損失金額
</t>
    </r>
    <r>
      <rPr>
        <b/>
        <sz val="12"/>
        <rFont val="Times New Roman"/>
        <family val="1"/>
      </rPr>
      <t>(</t>
    </r>
    <r>
      <rPr>
        <b/>
        <sz val="12"/>
        <rFont val="標楷體"/>
        <family val="4"/>
        <charset val="136"/>
      </rPr>
      <t>註</t>
    </r>
    <r>
      <rPr>
        <b/>
        <sz val="12"/>
        <rFont val="Times New Roman"/>
        <family val="1"/>
      </rPr>
      <t>2)</t>
    </r>
    <phoneticPr fontId="9"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</si>
  <si>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9" type="noConversion"/>
  </si>
  <si>
    <r>
      <rPr>
        <b/>
        <sz val="12"/>
        <rFont val="標楷體"/>
        <family val="4"/>
        <charset val="136"/>
      </rPr>
      <t>非比例性再保合約的風險
抵減額度</t>
    </r>
    <r>
      <rPr>
        <b/>
        <sz val="12"/>
        <rFont val="Times New Roman"/>
        <family val="1"/>
      </rPr>
      <t>(</t>
    </r>
    <r>
      <rPr>
        <b/>
        <sz val="12"/>
        <rFont val="標楷體"/>
        <family val="4"/>
        <charset val="136"/>
      </rPr>
      <t>註</t>
    </r>
    <r>
      <rPr>
        <b/>
        <sz val="12"/>
        <rFont val="Times New Roman"/>
        <family val="1"/>
      </rPr>
      <t>4)</t>
    </r>
    <phoneticPr fontId="9"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</si>
  <si>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9" type="noConversion"/>
  </si>
  <si>
    <r>
      <rPr>
        <sz val="12"/>
        <rFont val="標楷體"/>
        <family val="4"/>
        <charset val="136"/>
      </rPr>
      <t>註</t>
    </r>
    <r>
      <rPr>
        <sz val="12"/>
        <rFont val="Times New Roman"/>
        <family val="1"/>
      </rPr>
      <t>1</t>
    </r>
    <r>
      <rPr>
        <sz val="12"/>
        <rFont val="Times New Roman"/>
        <family val="1"/>
      </rPr>
      <t xml:space="preserve"> : </t>
    </r>
    <r>
      <rPr>
        <sz val="12"/>
        <rFont val="標楷體"/>
        <family val="4"/>
        <charset val="136"/>
      </rPr>
      <t>係指分出對象為政府擔保之基金或政府授權相關機構，目前台灣尚無該類機構。</t>
    </r>
    <phoneticPr fontId="9" type="noConversion"/>
  </si>
  <si>
    <r>
      <rPr>
        <sz val="12"/>
        <rFont val="標楷體"/>
        <family val="4"/>
        <charset val="136"/>
      </rPr>
      <t>註</t>
    </r>
    <r>
      <rPr>
        <sz val="12"/>
        <rFont val="Times New Roman"/>
        <family val="1"/>
      </rPr>
      <t xml:space="preserve">2 : </t>
    </r>
    <r>
      <rPr>
        <sz val="12"/>
        <rFont val="標楷體"/>
        <family val="4"/>
        <charset val="136"/>
      </rPr>
      <t>係指各公司的直接簽單業務，包含國內分進，但不考量任何再保分出之業務。</t>
    </r>
    <phoneticPr fontId="9" type="noConversion"/>
  </si>
  <si>
    <r>
      <rPr>
        <sz val="12"/>
        <rFont val="標楷體"/>
        <family val="4"/>
        <charset val="136"/>
      </rPr>
      <t>註</t>
    </r>
    <r>
      <rPr>
        <sz val="12"/>
        <rFont val="Times New Roman"/>
        <family val="1"/>
      </rPr>
      <t>3</t>
    </r>
    <r>
      <rPr>
        <sz val="12"/>
        <rFont val="微軟正黑體"/>
        <family val="2"/>
        <charset val="136"/>
      </rPr>
      <t>：</t>
    </r>
    <r>
      <rPr>
        <sz val="12"/>
        <rFont val="標楷體"/>
        <family val="4"/>
        <charset val="136"/>
      </rPr>
      <t>係指各公司的比例性再保與特殊業務再保分出之自留業務。</t>
    </r>
    <phoneticPr fontId="9" type="noConversion"/>
  </si>
  <si>
    <r>
      <rPr>
        <sz val="12"/>
        <rFont val="標楷體"/>
        <family val="4"/>
        <charset val="136"/>
      </rPr>
      <t>註</t>
    </r>
    <r>
      <rPr>
        <sz val="12"/>
        <rFont val="Times New Roman"/>
        <family val="1"/>
      </rPr>
      <t xml:space="preserve">4 : </t>
    </r>
    <r>
      <rPr>
        <sz val="12"/>
        <rFont val="標楷體"/>
        <family val="4"/>
        <charset val="136"/>
      </rPr>
      <t>各公司在各回歸期下的損失，可透過非比例再保合約攤回之損失額度。若計算工具採標準模型法，請依試算表內資訊填列，若採內部</t>
    </r>
    <r>
      <rPr>
        <sz val="12"/>
        <rFont val="Times New Roman"/>
        <family val="1"/>
      </rPr>
      <t>/</t>
    </r>
    <r>
      <rPr>
        <sz val="12"/>
        <rFont val="標楷體"/>
        <family val="4"/>
        <charset val="136"/>
      </rPr>
      <t>商用天災模型者，則可忽略不填。</t>
    </r>
    <phoneticPr fontId="9"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</si>
  <si>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9" type="noConversion"/>
  </si>
  <si>
    <t>天災風險之風險資本</t>
    <phoneticPr fontId="9" type="noConversion"/>
  </si>
  <si>
    <t>車火險災害別各分區比例性業務簽單與國內分進及自留暴險金額表</t>
    <phoneticPr fontId="9" type="noConversion"/>
  </si>
  <si>
    <t>工程險災害別各商品分區業務簽單與國內分進暴險金額表</t>
    <phoneticPr fontId="9" type="noConversion"/>
  </si>
  <si>
    <t>工程險災害別各商品分區業務自留暴險金額表</t>
    <phoneticPr fontId="9" type="noConversion"/>
  </si>
  <si>
    <t>貨物水險災害別簽單與國內分進及自留業務暴險金額表</t>
    <phoneticPr fontId="9" type="noConversion"/>
  </si>
  <si>
    <t>其他巨災風險之風險資本</t>
    <phoneticPr fontId="101" type="noConversion"/>
  </si>
  <si>
    <t>傷害保險及商業火災保險之保費</t>
    <phoneticPr fontId="101" type="noConversion"/>
  </si>
  <si>
    <t>恐怖攻擊指定情境法周邊其他財產保險</t>
    <phoneticPr fontId="101" type="noConversion"/>
  </si>
  <si>
    <t>貿易信用保險自留滿期保費</t>
    <phoneticPr fontId="101" type="noConversion"/>
  </si>
  <si>
    <t>保證保險簽單與分進業務前十大保險金額</t>
    <phoneticPr fontId="108" type="noConversion"/>
  </si>
  <si>
    <r>
      <rPr>
        <sz val="16"/>
        <rFont val="標楷體"/>
        <family val="4"/>
        <charset val="136"/>
      </rPr>
      <t>表</t>
    </r>
    <r>
      <rPr>
        <sz val="16"/>
        <rFont val="Times New Roman"/>
        <family val="1"/>
      </rPr>
      <t>30-5-2-2-1</t>
    </r>
    <r>
      <rPr>
        <sz val="16"/>
        <rFont val="標楷體"/>
        <family val="4"/>
        <charset val="136"/>
      </rPr>
      <t>：地震損失評估</t>
    </r>
    <phoneticPr fontId="9" type="noConversion"/>
  </si>
  <si>
    <r>
      <rPr>
        <sz val="16"/>
        <rFont val="標楷體"/>
        <family val="4"/>
        <charset val="136"/>
      </rPr>
      <t>表</t>
    </r>
    <r>
      <rPr>
        <sz val="16"/>
        <rFont val="Times New Roman"/>
        <family val="1"/>
      </rPr>
      <t>30-5-2-2-2</t>
    </r>
    <r>
      <rPr>
        <sz val="16"/>
        <rFont val="標楷體"/>
        <family val="4"/>
        <charset val="136"/>
      </rPr>
      <t>：颱風洪水損失評估</t>
    </r>
    <phoneticPr fontId="9" type="noConversion"/>
  </si>
  <si>
    <r>
      <rPr>
        <sz val="16"/>
        <rFont val="標楷體"/>
        <family val="4"/>
        <charset val="136"/>
      </rPr>
      <t>表</t>
    </r>
    <r>
      <rPr>
        <sz val="16"/>
        <rFont val="Times New Roman"/>
        <family val="1"/>
      </rPr>
      <t>30-5-2-2-3</t>
    </r>
    <r>
      <rPr>
        <sz val="16"/>
        <rFont val="標楷體"/>
        <family val="4"/>
        <charset val="136"/>
      </rPr>
      <t>：其他巨災風險損失評估</t>
    </r>
    <phoneticPr fontId="9" type="noConversion"/>
  </si>
  <si>
    <r>
      <rPr>
        <sz val="16"/>
        <rFont val="標楷體"/>
        <family val="4"/>
        <charset val="136"/>
      </rPr>
      <t>表</t>
    </r>
    <r>
      <rPr>
        <sz val="16"/>
        <rFont val="Times New Roman"/>
        <family val="1"/>
      </rPr>
      <t>30-5-2-4-3</t>
    </r>
    <r>
      <rPr>
        <sz val="16"/>
        <rFont val="標楷體"/>
        <family val="4"/>
        <charset val="136"/>
      </rPr>
      <t>：其他巨災模型風險係數</t>
    </r>
    <phoneticPr fontId="9" type="noConversion"/>
  </si>
  <si>
    <r>
      <rPr>
        <sz val="16"/>
        <rFont val="標楷體"/>
        <family val="4"/>
        <charset val="136"/>
      </rPr>
      <t>表</t>
    </r>
    <r>
      <rPr>
        <sz val="16"/>
        <rFont val="Times New Roman"/>
        <family val="1"/>
      </rPr>
      <t>30-5-2-4-2</t>
    </r>
    <r>
      <rPr>
        <sz val="16"/>
        <rFont val="標楷體"/>
        <family val="4"/>
        <charset val="136"/>
      </rPr>
      <t>：天災模型風險係數</t>
    </r>
    <r>
      <rPr>
        <sz val="16"/>
        <rFont val="Times New Roman"/>
        <family val="1"/>
      </rPr>
      <t>(</t>
    </r>
    <r>
      <rPr>
        <sz val="16"/>
        <rFont val="標楷體"/>
        <family val="4"/>
        <charset val="136"/>
      </rPr>
      <t>水工</t>
    </r>
    <r>
      <rPr>
        <sz val="16"/>
        <rFont val="Times New Roman"/>
        <family val="1"/>
      </rPr>
      <t>)</t>
    </r>
    <phoneticPr fontId="9" type="noConversion"/>
  </si>
  <si>
    <r>
      <rPr>
        <sz val="16"/>
        <rFont val="標楷體"/>
        <family val="4"/>
        <charset val="136"/>
      </rPr>
      <t>表</t>
    </r>
    <r>
      <rPr>
        <sz val="16"/>
        <rFont val="Times New Roman"/>
        <family val="1"/>
      </rPr>
      <t>30-5-2-4-1</t>
    </r>
    <r>
      <rPr>
        <sz val="16"/>
        <rFont val="標楷體"/>
        <family val="4"/>
        <charset val="136"/>
      </rPr>
      <t>：天災模型風險係數</t>
    </r>
    <r>
      <rPr>
        <sz val="16"/>
        <rFont val="Times New Roman"/>
        <family val="1"/>
      </rPr>
      <t>(</t>
    </r>
    <r>
      <rPr>
        <sz val="16"/>
        <rFont val="標楷體"/>
        <family val="4"/>
        <charset val="136"/>
      </rPr>
      <t>車火</t>
    </r>
    <r>
      <rPr>
        <sz val="16"/>
        <rFont val="Times New Roman"/>
        <family val="1"/>
      </rPr>
      <t>)</t>
    </r>
    <phoneticPr fontId="9" type="noConversion"/>
  </si>
  <si>
    <r>
      <rPr>
        <sz val="16"/>
        <rFont val="標楷體"/>
        <family val="4"/>
        <charset val="136"/>
      </rPr>
      <t>表</t>
    </r>
    <r>
      <rPr>
        <sz val="16"/>
        <rFont val="Times New Roman"/>
        <family val="1"/>
      </rPr>
      <t>30-5-2-3-2</t>
    </r>
    <r>
      <rPr>
        <sz val="16"/>
        <rFont val="標楷體"/>
        <family val="4"/>
        <charset val="136"/>
      </rPr>
      <t>：特殊業務資料表</t>
    </r>
    <r>
      <rPr>
        <sz val="16"/>
        <rFont val="Times New Roman"/>
        <family val="1"/>
      </rPr>
      <t>(</t>
    </r>
    <r>
      <rPr>
        <sz val="16"/>
        <rFont val="標楷體"/>
        <family val="4"/>
        <charset val="136"/>
      </rPr>
      <t>颱風洪水</t>
    </r>
    <r>
      <rPr>
        <sz val="16"/>
        <rFont val="Times New Roman"/>
        <family val="1"/>
      </rPr>
      <t>)</t>
    </r>
    <phoneticPr fontId="9" type="noConversion"/>
  </si>
  <si>
    <t>恐怖攻擊指定情境法市占率與自留率</t>
    <phoneticPr fontId="101" type="noConversion"/>
  </si>
  <si>
    <t>恐怖攻擊指定情境法損失金額</t>
    <phoneticPr fontId="101" type="noConversion"/>
  </si>
  <si>
    <t>選定恐怖攻擊指定情境法之情境</t>
    <phoneticPr fontId="101" type="noConversion"/>
  </si>
  <si>
    <t>貿易信用損失金額</t>
    <phoneticPr fontId="108" type="noConversion"/>
  </si>
  <si>
    <t>保證保險損失金額</t>
    <phoneticPr fontId="108" type="noConversion"/>
  </si>
  <si>
    <t>保證保險風險資本</t>
    <phoneticPr fontId="108" type="noConversion"/>
  </si>
  <si>
    <t>車火險簽單與國內分進業務颱洪損失評估</t>
    <phoneticPr fontId="9" type="noConversion"/>
  </si>
  <si>
    <t>車火險自留業務颱洪損失評估</t>
    <phoneticPr fontId="9" type="noConversion"/>
  </si>
  <si>
    <t>颱風洪水及工程險損失金額</t>
    <phoneticPr fontId="9" type="noConversion"/>
  </si>
  <si>
    <t>貨物水險颱洪損失金額</t>
    <phoneticPr fontId="9" type="noConversion"/>
  </si>
  <si>
    <t>車火險簽單與國內分進業務地震損失評估</t>
    <phoneticPr fontId="9" type="noConversion"/>
  </si>
  <si>
    <t>車火險自留業務地震損失評估</t>
    <phoneticPr fontId="9" type="noConversion"/>
  </si>
  <si>
    <t>商業地震及工程險損失金額</t>
    <phoneticPr fontId="9" type="noConversion"/>
  </si>
  <si>
    <t>貨物水險地震損失金額</t>
    <phoneticPr fontId="9" type="noConversion"/>
  </si>
  <si>
    <r>
      <rPr>
        <sz val="16"/>
        <rFont val="標楷體"/>
        <family val="4"/>
        <charset val="136"/>
      </rPr>
      <t>表</t>
    </r>
    <r>
      <rPr>
        <sz val="16"/>
        <rFont val="Times New Roman"/>
        <family val="1"/>
      </rPr>
      <t>30-5-2-5-1</t>
    </r>
    <r>
      <rPr>
        <sz val="16"/>
        <rFont val="標楷體"/>
        <family val="4"/>
        <charset val="136"/>
      </rPr>
      <t>：火險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</si>
  <si>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30-5-2-5-2</t>
    </r>
    <r>
      <rPr>
        <sz val="16"/>
        <rFont val="標楷體"/>
        <family val="4"/>
        <charset val="136"/>
      </rPr>
      <t>：工程險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</si>
  <si>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30-5-2-5-3</t>
    </r>
    <r>
      <rPr>
        <sz val="16"/>
        <rFont val="標楷體"/>
        <family val="4"/>
        <charset val="136"/>
      </rPr>
      <t>：火險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</si>
  <si>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30-5-2-5-4</t>
    </r>
    <r>
      <rPr>
        <sz val="16"/>
        <rFont val="標楷體"/>
        <family val="4"/>
        <charset val="136"/>
      </rPr>
      <t>：工程險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</si>
  <si>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30-5-2-1-1</t>
    </r>
    <r>
      <rPr>
        <sz val="16"/>
        <rFont val="標楷體"/>
        <family val="4"/>
        <charset val="136"/>
      </rPr>
      <t>：天災風險計算表</t>
    </r>
    <phoneticPr fontId="108" type="noConversion"/>
  </si>
  <si>
    <r>
      <t xml:space="preserve"> 2.7 </t>
    </r>
    <r>
      <rPr>
        <sz val="10"/>
        <color indexed="10"/>
        <rFont val="標楷體"/>
        <family val="4"/>
        <charset val="136"/>
      </rPr>
      <t>巨</t>
    </r>
    <r>
      <rPr>
        <sz val="10"/>
        <color indexed="8"/>
        <rFont val="標楷體"/>
        <family val="4"/>
        <charset val="136"/>
      </rPr>
      <t>災信用風險</t>
    </r>
    <phoneticPr fontId="9" type="noConversion"/>
  </si>
  <si>
    <t>註1：不含重大事故特別準備金之自有資本。</t>
    <phoneticPr fontId="9" type="noConversion"/>
  </si>
  <si>
    <t>非比例層簽單保額(200RP)
(NTD)</t>
    <phoneticPr fontId="9"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</si>
  <si>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9" type="noConversion"/>
  </si>
  <si>
    <t>自留滿期保費</t>
    <phoneticPr fontId="101" type="noConversion"/>
  </si>
  <si>
    <r>
      <rPr>
        <sz val="12"/>
        <rFont val="標楷體"/>
        <family val="4"/>
        <charset val="136"/>
      </rPr>
      <t>註：自留滿期保費為評價基準日前一年或評價基準日當年度兩者取大者</t>
    </r>
    <phoneticPr fontId="9" type="noConversion"/>
  </si>
  <si>
    <t xml:space="preserve"> </t>
    <phoneticPr fontId="9" type="noConversion"/>
  </si>
  <si>
    <r>
      <rPr>
        <sz val="16"/>
        <rFont val="標楷體"/>
        <family val="4"/>
        <charset val="136"/>
      </rPr>
      <t>表</t>
    </r>
    <r>
      <rPr>
        <sz val="16"/>
        <rFont val="Times New Roman"/>
        <family val="1"/>
      </rPr>
      <t>30-5-2-1-2</t>
    </r>
    <r>
      <rPr>
        <sz val="16"/>
        <rFont val="標楷體"/>
        <family val="4"/>
        <charset val="136"/>
      </rPr>
      <t>：其他巨災風險計算表</t>
    </r>
    <phoneticPr fontId="9"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</si>
  <si>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</si>
  <si>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</si>
  <si>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</si>
  <si>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</si>
  <si>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</si>
  <si>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</si>
  <si>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</si>
  <si>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</si>
  <si>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</si>
  <si>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</si>
  <si>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</si>
  <si>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</si>
  <si>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</si>
  <si>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</si>
  <si>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</si>
  <si>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</si>
  <si>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</si>
  <si>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</si>
  <si>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</si>
  <si>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</si>
  <si>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</si>
  <si>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</si>
  <si>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</si>
  <si>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</si>
  <si>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</si>
  <si>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</si>
  <si>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</si>
  <si>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</si>
  <si>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</si>
  <si>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</si>
  <si>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</si>
  <si>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</si>
  <si>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</si>
  <si>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</si>
  <si>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</si>
  <si>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</si>
  <si>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</si>
  <si>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</si>
  <si>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</si>
  <si>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</si>
  <si>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</si>
  <si>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</si>
  <si>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</si>
  <si>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</si>
  <si>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</si>
  <si>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</si>
  <si>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</si>
  <si>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</si>
  <si>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</si>
  <si>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</si>
  <si>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</si>
  <si>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</si>
  <si>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</si>
  <si>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</si>
  <si>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</si>
  <si>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</si>
  <si>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</si>
  <si>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</si>
  <si>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</si>
  <si>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</si>
  <si>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</si>
  <si>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</si>
  <si>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9" type="noConversion"/>
  </si>
  <si>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關係人</t>
    </r>
    <r>
      <rPr>
        <b/>
        <sz val="12"/>
        <rFont val="Times New Roman"/>
        <family val="1"/>
      </rPr>
      <t>)</t>
    </r>
    <phoneticPr fontId="9" type="noConversion"/>
  </si>
  <si>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</si>
  <si>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</si>
  <si>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</si>
  <si>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</si>
  <si>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</si>
  <si>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</si>
  <si>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</si>
  <si>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</si>
  <si>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</si>
  <si>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</si>
  <si>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</si>
  <si>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</si>
  <si>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</si>
  <si>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</si>
  <si>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</si>
  <si>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</si>
  <si>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</si>
  <si>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</si>
  <si>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</si>
  <si>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</si>
  <si>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</si>
  <si>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</si>
  <si>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</si>
  <si>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</si>
  <si>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</si>
  <si>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</si>
  <si>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</si>
  <si>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</si>
  <si>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</si>
  <si>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</si>
  <si>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</si>
  <si>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</si>
  <si>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</si>
  <si>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</si>
  <si>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</si>
  <si>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</si>
  <si>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</si>
  <si>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</si>
  <si>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</si>
  <si>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</si>
  <si>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</si>
  <si>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</si>
  <si>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</si>
  <si>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</si>
  <si>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</si>
  <si>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</si>
  <si>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</si>
  <si>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</si>
  <si>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</si>
  <si>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</si>
  <si>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</si>
  <si>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</si>
  <si>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</si>
  <si>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</si>
  <si>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</si>
  <si>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</si>
  <si>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</si>
  <si>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</si>
  <si>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</si>
  <si>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</si>
  <si>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</si>
  <si>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</si>
  <si>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</si>
  <si>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</si>
  <si>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</si>
  <si>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</si>
  <si>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</si>
  <si>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</si>
  <si>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</si>
  <si>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</si>
  <si>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color indexed="8"/>
        <rFont val="標楷體"/>
        <family val="4"/>
        <charset val="136"/>
      </rPr>
      <t>國內不動產資產信託受益證券</t>
    </r>
    <r>
      <rPr>
        <sz val="12"/>
        <color indexed="8"/>
        <rFont val="Times New Roman"/>
        <family val="1"/>
      </rPr>
      <t>(REAT), H2.</t>
    </r>
    <r>
      <rPr>
        <sz val="12"/>
        <color indexed="8"/>
        <rFont val="標楷體"/>
        <family val="4"/>
        <charset val="136"/>
      </rPr>
      <t>國內不動產投資信託受益證券</t>
    </r>
    <r>
      <rPr>
        <sz val="12"/>
        <color indexed="8"/>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color indexed="8"/>
        <rFont val="Times New Roman"/>
        <family val="1"/>
      </rPr>
      <t>, I.</t>
    </r>
    <r>
      <rPr>
        <sz val="12"/>
        <color indexed="8"/>
        <rFont val="標楷體"/>
        <family val="4"/>
        <charset val="136"/>
      </rPr>
      <t>信託受益權</t>
    </r>
    <r>
      <rPr>
        <sz val="12"/>
        <color indexed="8"/>
        <rFont val="Times New Roman"/>
        <family val="1"/>
      </rPr>
      <t>(</t>
    </r>
    <r>
      <rPr>
        <sz val="12"/>
        <color indexed="8"/>
        <rFont val="標楷體"/>
        <family val="4"/>
        <charset val="136"/>
      </rPr>
      <t>指主管機關依保險法第一百四十六條第一項第八款核准之資金運用</t>
    </r>
    <r>
      <rPr>
        <sz val="12"/>
        <color indexed="8"/>
        <rFont val="Times New Roman"/>
        <family val="1"/>
      </rPr>
      <t>), J.ETF-</t>
    </r>
    <r>
      <rPr>
        <sz val="12"/>
        <color indexed="8"/>
        <rFont val="標楷體"/>
        <family val="4"/>
        <charset val="136"/>
      </rPr>
      <t>股票型</t>
    </r>
    <r>
      <rPr>
        <sz val="12"/>
        <color indexed="8"/>
        <rFont val="Times New Roman"/>
        <family val="1"/>
      </rPr>
      <t>, K.ETF-</t>
    </r>
    <r>
      <rPr>
        <sz val="12"/>
        <color indexed="8"/>
        <rFont val="標楷體"/>
        <family val="4"/>
        <charset val="136"/>
      </rPr>
      <t>債券型</t>
    </r>
    <r>
      <rPr>
        <sz val="12"/>
        <color indexed="8"/>
        <rFont val="Times New Roman"/>
        <family val="1"/>
      </rPr>
      <t>, L.ETF-</t>
    </r>
    <r>
      <rPr>
        <sz val="12"/>
        <color indexed="8"/>
        <rFont val="標楷體"/>
        <family val="4"/>
        <charset val="136"/>
      </rPr>
      <t>其他型</t>
    </r>
    <r>
      <rPr>
        <sz val="12"/>
        <color indexed="8"/>
        <rFont val="Times New Roman"/>
        <family val="1"/>
      </rPr>
      <t>, M.ETN, N.</t>
    </r>
    <r>
      <rPr>
        <sz val="12"/>
        <color indexed="8"/>
        <rFont val="標楷體"/>
        <family val="4"/>
        <charset val="136"/>
      </rPr>
      <t>其他。</t>
    </r>
    <phoneticPr fontId="9" type="noConversion"/>
  </si>
  <si>
    <r>
      <rPr>
        <sz val="12"/>
        <color indexed="10"/>
        <rFont val="標楷體"/>
        <family val="4"/>
        <charset val="136"/>
      </rPr>
      <t>註</t>
    </r>
    <r>
      <rPr>
        <sz val="12"/>
        <color indexed="10"/>
        <rFont val="Times New Roman"/>
        <family val="1"/>
      </rPr>
      <t>9</t>
    </r>
    <phoneticPr fontId="9"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</si>
  <si>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9" type="noConversion"/>
  </si>
  <si>
    <r>
      <rPr>
        <b/>
        <sz val="12"/>
        <rFont val="標楷體"/>
        <family val="4"/>
        <charset val="136"/>
      </rPr>
      <t>匯率</t>
    </r>
    <r>
      <rPr>
        <b/>
        <sz val="12"/>
        <rFont val="Times New Roman"/>
        <family val="1"/>
      </rPr>
      <t>(TWD/USD)</t>
    </r>
    <phoneticPr fontId="7" type="noConversion"/>
  </si>
  <si>
    <r>
      <rPr>
        <sz val="12"/>
        <rFont val="標楷體"/>
        <family val="4"/>
        <charset val="136"/>
      </rPr>
      <t>日均價</t>
    </r>
    <r>
      <rPr>
        <sz val="12"/>
        <color indexed="10"/>
        <rFont val="Times New Roman"/>
        <family val="1"/>
      </rPr>
      <t>(2025/1/1-2025/6/30)</t>
    </r>
    <phoneticPr fontId="7" type="noConversion"/>
  </si>
  <si>
    <r>
      <rPr>
        <b/>
        <sz val="12"/>
        <rFont val="標楷體"/>
        <family val="4"/>
        <charset val="136"/>
      </rPr>
      <t>評價數</t>
    </r>
    <r>
      <rPr>
        <b/>
        <sz val="12"/>
        <rFont val="Times New Roman"/>
        <family val="1"/>
      </rPr>
      <t>_</t>
    </r>
    <r>
      <rPr>
        <b/>
        <sz val="12"/>
        <rFont val="標楷體"/>
        <family val="4"/>
        <charset val="136"/>
      </rPr>
      <t>匯率市價</t>
    </r>
    <phoneticPr fontId="7" type="noConversion"/>
  </si>
  <si>
    <r>
      <rPr>
        <b/>
        <sz val="12"/>
        <rFont val="標楷體"/>
        <family val="4"/>
        <charset val="136"/>
      </rPr>
      <t>外幣保單準備金</t>
    </r>
  </si>
  <si>
    <r>
      <rPr>
        <b/>
        <sz val="12"/>
        <rFont val="標楷體"/>
        <family val="4"/>
        <charset val="136"/>
      </rPr>
      <t>避險情況</t>
    </r>
    <phoneticPr fontId="7" type="noConversion"/>
  </si>
  <si>
    <r>
      <rPr>
        <b/>
        <sz val="12"/>
        <rFont val="標楷體"/>
        <family val="4"/>
        <charset val="136"/>
      </rPr>
      <t>比率</t>
    </r>
    <phoneticPr fontId="7" type="noConversion"/>
  </si>
  <si>
    <r>
      <rPr>
        <b/>
        <sz val="12"/>
        <rFont val="標楷體"/>
        <family val="4"/>
        <charset val="136"/>
      </rPr>
      <t>標準避險</t>
    </r>
    <phoneticPr fontId="7"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</si>
  <si>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7" type="noConversion"/>
  </si>
  <si>
    <r>
      <rPr>
        <sz val="12"/>
        <rFont val="標楷體"/>
        <family val="4"/>
        <charset val="136"/>
      </rPr>
      <t>分類</t>
    </r>
    <r>
      <rPr>
        <sz val="12"/>
        <rFont val="Times New Roman"/>
        <family val="1"/>
      </rPr>
      <t>1</t>
    </r>
    <phoneticPr fontId="7" type="noConversion"/>
  </si>
  <si>
    <r>
      <rPr>
        <sz val="12"/>
        <rFont val="標楷體"/>
        <family val="4"/>
        <charset val="136"/>
      </rPr>
      <t>分類</t>
    </r>
    <r>
      <rPr>
        <sz val="12"/>
        <rFont val="Times New Roman"/>
        <family val="1"/>
      </rPr>
      <t>2</t>
    </r>
    <phoneticPr fontId="7" type="noConversion"/>
  </si>
  <si>
    <r>
      <t>&gt;&gt;</t>
    </r>
    <r>
      <rPr>
        <sz val="12"/>
        <rFont val="標楷體"/>
        <family val="4"/>
        <charset val="136"/>
      </rPr>
      <t>調整自有資本</t>
    </r>
    <phoneticPr fontId="7"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</si>
  <si>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9" type="noConversion"/>
  </si>
  <si>
    <r>
      <rPr>
        <b/>
        <sz val="12"/>
        <rFont val="標楷體"/>
        <family val="4"/>
        <charset val="136"/>
      </rPr>
      <t>表</t>
    </r>
    <r>
      <rPr>
        <b/>
        <sz val="12"/>
        <rFont val="Times New Roman"/>
        <family val="1"/>
      </rPr>
      <t>30-2</t>
    </r>
    <phoneticPr fontId="7"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</si>
  <si>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</si>
  <si>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</si>
  <si>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</si>
  <si>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</si>
  <si>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</si>
  <si>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</si>
  <si>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</si>
  <si>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</si>
  <si>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</si>
  <si>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</si>
  <si>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</si>
  <si>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</si>
  <si>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</si>
  <si>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0.1.2.7.4.1 ETF-</t>
    </r>
    <r>
      <rPr>
        <sz val="12"/>
        <rFont val="標楷體"/>
        <family val="4"/>
        <charset val="136"/>
      </rPr>
      <t>股票型</t>
    </r>
  </si>
  <si>
    <r>
      <t>0.1.2.7.4.2 ETF-</t>
    </r>
    <r>
      <rPr>
        <sz val="12"/>
        <rFont val="標楷體"/>
        <family val="4"/>
        <charset val="136"/>
      </rPr>
      <t>債券型</t>
    </r>
  </si>
  <si>
    <r>
      <t>0.1.2.7.4.3 ETF-</t>
    </r>
    <r>
      <rPr>
        <sz val="12"/>
        <rFont val="標楷體"/>
        <family val="4"/>
        <charset val="136"/>
      </rPr>
      <t>其他型</t>
    </r>
  </si>
  <si>
    <r>
      <t>0.1.2.8.2 ETN-</t>
    </r>
    <r>
      <rPr>
        <sz val="12"/>
        <rFont val="標楷體"/>
        <family val="4"/>
        <charset val="136"/>
      </rPr>
      <t>投資標的市場於國外</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</si>
  <si>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</si>
  <si>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</si>
  <si>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</si>
  <si>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</si>
  <si>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</si>
  <si>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</si>
  <si>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</si>
  <si>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</si>
  <si>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</si>
  <si>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</si>
  <si>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</si>
  <si>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</si>
  <si>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</si>
  <si>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</si>
  <si>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</si>
  <si>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9" type="noConversion"/>
  </si>
  <si>
    <r>
      <rPr>
        <b/>
        <sz val="12"/>
        <rFont val="標楷體"/>
        <family val="4"/>
        <charset val="136"/>
      </rPr>
      <t>表</t>
    </r>
    <r>
      <rPr>
        <b/>
        <sz val="12"/>
        <rFont val="Times New Roman"/>
        <family val="1"/>
      </rPr>
      <t>30-3</t>
    </r>
    <phoneticPr fontId="7"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</si>
  <si>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</si>
  <si>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</si>
  <si>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</si>
  <si>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</si>
  <si>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</si>
  <si>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</si>
  <si>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</si>
  <si>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</si>
  <si>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</si>
  <si>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</si>
  <si>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</si>
  <si>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</si>
  <si>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</si>
  <si>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</si>
  <si>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</si>
  <si>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</si>
  <si>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</si>
  <si>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</si>
  <si>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</si>
  <si>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</si>
  <si>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</si>
  <si>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t>1b.2.13</t>
    </r>
    <r>
      <rPr>
        <sz val="12"/>
        <rFont val="標楷體"/>
        <family val="4"/>
        <charset val="136"/>
      </rPr>
      <t>其他</t>
    </r>
    <phoneticPr fontId="9" type="noConversion"/>
  </si>
  <si>
    <r>
      <rPr>
        <b/>
        <sz val="12"/>
        <rFont val="標楷體"/>
        <family val="4"/>
        <charset val="136"/>
      </rPr>
      <t>匯率數據</t>
    </r>
    <phoneticPr fontId="9" type="noConversion"/>
  </si>
  <si>
    <r>
      <rPr>
        <sz val="12"/>
        <rFont val="標楷體"/>
        <family val="4"/>
        <charset val="136"/>
      </rPr>
      <t>市價</t>
    </r>
    <r>
      <rPr>
        <sz val="12"/>
        <rFont val="Times New Roman"/>
        <family val="1"/>
      </rPr>
      <t>_</t>
    </r>
    <r>
      <rPr>
        <sz val="12"/>
        <rFont val="標楷體"/>
        <family val="4"/>
        <charset val="136"/>
      </rPr>
      <t>評價日</t>
    </r>
    <phoneticPr fontId="7" type="noConversion"/>
  </si>
  <si>
    <r>
      <rPr>
        <b/>
        <sz val="12"/>
        <rFont val="標楷體"/>
        <family val="4"/>
        <charset val="136"/>
      </rPr>
      <t>匯率日均價調整因子</t>
    </r>
    <phoneticPr fontId="9" type="noConversion"/>
  </si>
  <si>
    <r>
      <rPr>
        <b/>
        <sz val="12"/>
        <color indexed="10"/>
        <rFont val="標楷體"/>
        <family val="4"/>
        <charset val="136"/>
      </rPr>
      <t>評價數調整因子</t>
    </r>
    <phoneticPr fontId="7" type="noConversion"/>
  </si>
  <si>
    <r>
      <rPr>
        <b/>
        <sz val="12"/>
        <color theme="1"/>
        <rFont val="標楷體"/>
        <family val="4"/>
        <charset val="136"/>
      </rPr>
      <t>自有資本</t>
    </r>
    <r>
      <rPr>
        <b/>
        <sz val="12"/>
        <color theme="1"/>
        <rFont val="Times New Roman"/>
        <family val="1"/>
      </rPr>
      <t>_</t>
    </r>
    <r>
      <rPr>
        <b/>
        <sz val="12"/>
        <color theme="1"/>
        <rFont val="標楷體"/>
        <family val="4"/>
        <charset val="136"/>
      </rPr>
      <t>匯率日均價調整數</t>
    </r>
    <phoneticPr fontId="7" type="noConversion"/>
  </si>
  <si>
    <r>
      <rPr>
        <b/>
        <sz val="12"/>
        <rFont val="標楷體"/>
        <family val="4"/>
        <charset val="136"/>
      </rPr>
      <t>評價數</t>
    </r>
    <r>
      <rPr>
        <b/>
        <sz val="12"/>
        <rFont val="Times New Roman"/>
        <family val="1"/>
      </rPr>
      <t>_</t>
    </r>
    <r>
      <rPr>
        <b/>
        <sz val="12"/>
        <rFont val="標楷體"/>
        <family val="4"/>
        <charset val="136"/>
      </rPr>
      <t>匯率日均價</t>
    </r>
    <phoneticPr fontId="7" type="noConversion"/>
  </si>
  <si>
    <r>
      <rPr>
        <b/>
        <sz val="12"/>
        <rFont val="標楷體"/>
        <family val="4"/>
        <charset val="136"/>
      </rPr>
      <t>自有資本匯率日均價調整數</t>
    </r>
    <phoneticPr fontId="7" type="noConversion"/>
  </si>
  <si>
    <r>
      <rPr>
        <b/>
        <sz val="12"/>
        <rFont val="標楷體"/>
        <family val="4"/>
        <charset val="136"/>
      </rPr>
      <t>金額</t>
    </r>
    <phoneticPr fontId="9" type="noConversion"/>
  </si>
  <si>
    <t>匯率日均價調整數</t>
    <phoneticPr fontId="7" type="noConversion"/>
  </si>
  <si>
    <r>
      <rPr>
        <sz val="12"/>
        <color indexed="10"/>
        <rFont val="標楷體"/>
        <family val="4"/>
        <charset val="136"/>
      </rPr>
      <t>「表</t>
    </r>
    <r>
      <rPr>
        <sz val="12"/>
        <color indexed="10"/>
        <rFont val="Times New Roman"/>
        <family val="1"/>
      </rPr>
      <t>30-3-6</t>
    </r>
    <r>
      <rPr>
        <sz val="12"/>
        <color indexed="10"/>
        <rFont val="標楷體"/>
        <family val="4"/>
        <charset val="136"/>
      </rPr>
      <t>：匯率日均價調整數」第</t>
    </r>
    <r>
      <rPr>
        <sz val="12"/>
        <color indexed="10"/>
        <rFont val="Times New Roman"/>
        <family val="1"/>
      </rPr>
      <t>(8)</t>
    </r>
    <r>
      <rPr>
        <sz val="12"/>
        <color indexed="10"/>
        <rFont val="標楷體"/>
        <family val="4"/>
        <charset val="136"/>
      </rPr>
      <t>列第</t>
    </r>
    <r>
      <rPr>
        <sz val="12"/>
        <color indexed="10"/>
        <rFont val="Times New Roman"/>
        <family val="1"/>
      </rPr>
      <t>(9)</t>
    </r>
    <r>
      <rPr>
        <sz val="12"/>
        <color indexed="10"/>
        <rFont val="標楷體"/>
        <family val="4"/>
        <charset val="136"/>
      </rPr>
      <t>欄</t>
    </r>
    <phoneticPr fontId="7" type="noConversion"/>
  </si>
  <si>
    <t>匯率均價調整</t>
    <phoneticPr fontId="7" type="noConversion"/>
  </si>
  <si>
    <r>
      <t>N/A(</t>
    </r>
    <r>
      <rPr>
        <sz val="12"/>
        <rFont val="標楷體"/>
        <family val="4"/>
        <charset val="136"/>
      </rPr>
      <t>註</t>
    </r>
    <r>
      <rPr>
        <sz val="12"/>
        <rFont val="Times New Roman"/>
        <family val="1"/>
      </rPr>
      <t>3)</t>
    </r>
    <phoneticPr fontId="7" type="noConversion"/>
  </si>
  <si>
    <r>
      <rPr>
        <sz val="12"/>
        <color indexed="8"/>
        <rFont val="標楷體"/>
        <family val="4"/>
        <charset val="136"/>
      </rPr>
      <t>不動產投資信託受益證券</t>
    </r>
    <r>
      <rPr>
        <sz val="12"/>
        <color rgb="FF000000"/>
        <rFont val="Times New Roman"/>
        <family val="1"/>
      </rPr>
      <t>(REIT)</t>
    </r>
    <r>
      <rPr>
        <sz val="12"/>
        <color rgb="FFEE0000"/>
        <rFont val="Times New Roman"/>
        <family val="1"/>
      </rPr>
      <t>_</t>
    </r>
    <r>
      <rPr>
        <sz val="12"/>
        <color rgb="FFEE0000"/>
        <rFont val="標楷體"/>
        <family val="4"/>
        <charset val="136"/>
      </rPr>
      <t>公共建設</t>
    </r>
    <r>
      <rPr>
        <sz val="12"/>
        <color rgb="FFEE0000"/>
        <rFont val="Times New Roman"/>
        <family val="1"/>
      </rPr>
      <t>(100%)</t>
    </r>
    <r>
      <rPr>
        <sz val="12"/>
        <color rgb="FFEE0000"/>
        <rFont val="標楷體"/>
        <family val="4"/>
        <charset val="136"/>
      </rPr>
      <t>以外</t>
    </r>
    <r>
      <rPr>
        <sz val="12"/>
        <color rgb="FF000000"/>
        <rFont val="Times New Roman"/>
        <family val="1"/>
      </rPr>
      <t>(</t>
    </r>
    <r>
      <rPr>
        <sz val="12"/>
        <color rgb="FF000000"/>
        <rFont val="標楷體"/>
        <family val="4"/>
        <charset val="136"/>
      </rPr>
      <t>篩選自表</t>
    </r>
    <r>
      <rPr>
        <sz val="12"/>
        <color rgb="FF000000"/>
        <rFont val="Times New Roman"/>
        <family val="1"/>
      </rPr>
      <t xml:space="preserve">09-1 </t>
    </r>
    <r>
      <rPr>
        <sz val="12"/>
        <color rgb="FF000000"/>
        <rFont val="標楷體"/>
        <family val="4"/>
        <charset val="136"/>
      </rPr>
      <t>證劵種類</t>
    </r>
    <r>
      <rPr>
        <sz val="12"/>
        <color rgb="FF000000"/>
        <rFont val="Times New Roman"/>
        <family val="1"/>
      </rPr>
      <t>H2(</t>
    </r>
    <r>
      <rPr>
        <sz val="12"/>
        <color rgb="FF000000"/>
        <rFont val="標楷體"/>
        <family val="4"/>
        <charset val="136"/>
      </rPr>
      <t>非關係人</t>
    </r>
    <r>
      <rPr>
        <sz val="12"/>
        <color rgb="FF000000"/>
        <rFont val="Times New Roman"/>
        <family val="1"/>
      </rPr>
      <t>))</t>
    </r>
    <phoneticPr fontId="7" type="noConversion"/>
  </si>
  <si>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r>
      <rPr>
        <sz val="12"/>
        <color rgb="FFEE0000"/>
        <rFont val="標楷體"/>
        <family val="4"/>
        <charset val="136"/>
      </rPr>
      <t>篩選自表</t>
    </r>
    <r>
      <rPr>
        <sz val="12"/>
        <color rgb="FFEE0000"/>
        <rFont val="Times New Roman"/>
        <family val="1"/>
      </rPr>
      <t xml:space="preserve">09-1 </t>
    </r>
    <r>
      <rPr>
        <sz val="12"/>
        <color rgb="FFEE0000"/>
        <rFont val="標楷體"/>
        <family val="4"/>
        <charset val="136"/>
      </rPr>
      <t>證劵種類</t>
    </r>
    <r>
      <rPr>
        <sz val="12"/>
        <color rgb="FFEE0000"/>
        <rFont val="Times New Roman"/>
        <family val="1"/>
      </rPr>
      <t>H3(</t>
    </r>
    <r>
      <rPr>
        <sz val="12"/>
        <color rgb="FFEE0000"/>
        <rFont val="標楷體"/>
        <family val="4"/>
        <charset val="136"/>
      </rPr>
      <t>非關係人</t>
    </r>
    <r>
      <rPr>
        <sz val="12"/>
        <color rgb="FFEE0000"/>
        <rFont val="Times New Roman"/>
        <family val="1"/>
      </rPr>
      <t>))</t>
    </r>
    <phoneticPr fontId="7" type="noConversion"/>
  </si>
  <si>
    <r>
      <t>N/A(</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</si>
  <si>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註</t>
    </r>
    <r>
      <rPr>
        <sz val="12"/>
        <color theme="1"/>
        <rFont val="Times New Roman"/>
        <family val="1"/>
      </rPr>
      <t>5</t>
    </r>
    <phoneticPr fontId="9" type="noConversion"/>
  </si>
  <si>
    <r>
      <t xml:space="preserve">1.2.1.4.4 </t>
    </r>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</si>
  <si>
    <r>
      <rPr>
        <sz val="12"/>
        <color rgb="FFEE0000"/>
        <rFont val="標楷體"/>
        <family val="4"/>
        <charset val="136"/>
      </rPr>
      <t>「表</t>
    </r>
    <r>
      <rPr>
        <sz val="12"/>
        <color rgb="FFEE0000"/>
        <rFont val="Times New Roman"/>
        <family val="1"/>
      </rPr>
      <t>30-3-1</t>
    </r>
    <r>
      <rPr>
        <sz val="12"/>
        <color rgb="FFEE0000"/>
        <rFont val="標楷體"/>
        <family val="4"/>
        <charset val="136"/>
      </rPr>
      <t>：</t>
    </r>
    <r>
      <rPr>
        <sz val="12"/>
        <color rgb="FFEE0000"/>
        <rFont val="Times New Roman"/>
        <family val="1"/>
      </rPr>
      <t>C1a</t>
    </r>
    <r>
      <rPr>
        <sz val="12"/>
        <color rgb="FFEE0000"/>
        <rFont val="標楷體"/>
        <family val="4"/>
        <charset val="136"/>
      </rPr>
      <t>：國內資產風險</t>
    </r>
    <r>
      <rPr>
        <sz val="12"/>
        <color rgb="FFEE0000"/>
        <rFont val="Times New Roman"/>
        <family val="1"/>
      </rPr>
      <t>--</t>
    </r>
    <r>
      <rPr>
        <sz val="12"/>
        <color rgb="FFEE0000"/>
        <rFont val="標楷體"/>
        <family val="4"/>
        <charset val="136"/>
      </rPr>
      <t>非關係人且非屬實質互相投資之具資本性質債券或負債型特別股之信用風險計算表」第</t>
    </r>
    <r>
      <rPr>
        <sz val="12"/>
        <color rgb="FFEE0000"/>
        <rFont val="Times New Roman"/>
        <family val="1"/>
      </rPr>
      <t>(3)</t>
    </r>
    <r>
      <rPr>
        <sz val="12"/>
        <color rgb="FFEE0000"/>
        <rFont val="標楷體"/>
        <family val="4"/>
        <charset val="136"/>
      </rPr>
      <t>欄第</t>
    </r>
    <r>
      <rPr>
        <sz val="12"/>
        <color rgb="FFEE0000"/>
        <rFont val="Times New Roman"/>
        <family val="1"/>
      </rPr>
      <t>(80)</t>
    </r>
    <r>
      <rPr>
        <sz val="12"/>
        <color rgb="FFEE0000"/>
        <rFont val="標楷體"/>
        <family val="4"/>
        <charset val="136"/>
      </rPr>
      <t>列</t>
    </r>
  </si>
  <si>
    <r>
      <rPr>
        <sz val="10"/>
        <color indexed="8"/>
        <rFont val="標楷體"/>
        <family val="4"/>
        <charset val="136"/>
      </rPr>
      <t>請依調整後收益率填列。</t>
    </r>
    <phoneticPr fontId="7" type="noConversion"/>
  </si>
  <si>
    <r>
      <rPr>
        <sz val="10"/>
        <color indexed="8"/>
        <rFont val="標楷體"/>
        <family val="4"/>
        <charset val="136"/>
      </rPr>
      <t>調整後資金運用收益率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前期期末資金運用數＊</t>
    </r>
    <r>
      <rPr>
        <sz val="10"/>
        <color indexed="8"/>
        <rFont val="Times New Roman"/>
        <family val="1"/>
      </rPr>
      <t>+</t>
    </r>
    <r>
      <rPr>
        <sz val="10"/>
        <color indexed="8"/>
        <rFont val="標楷體"/>
        <family val="4"/>
        <charset val="136"/>
      </rPr>
      <t>本期期末資金運用數＊－</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</si>
  <si>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上列調整數係指反映以半年平均價基礎認列未實現損益之影響金額</t>
    </r>
    <r>
      <rPr>
        <sz val="10"/>
        <color indexed="8"/>
        <rFont val="Times New Roman"/>
        <family val="1"/>
      </rPr>
      <t>(</t>
    </r>
    <r>
      <rPr>
        <sz val="10"/>
        <color indexed="8"/>
        <rFont val="標楷體"/>
        <family val="4"/>
        <charset val="136"/>
      </rPr>
      <t>請保留詳細工作表，以利查核</t>
    </r>
    <r>
      <rPr>
        <sz val="10"/>
        <color indexed="8"/>
        <rFont val="Times New Roman"/>
        <family val="1"/>
      </rPr>
      <t>)</t>
    </r>
    <phoneticPr fontId="7" type="noConversion"/>
  </si>
  <si>
    <r>
      <rPr>
        <sz val="10"/>
        <color indexed="8"/>
        <rFont val="標楷體"/>
        <family val="4"/>
        <charset val="136"/>
      </rPr>
      <t>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phoneticPr fontId="7" type="noConversion"/>
  </si>
  <si>
    <r>
      <rPr>
        <sz val="10"/>
        <color indexed="8"/>
        <rFont val="標楷體"/>
        <family val="4"/>
        <charset val="136"/>
      </rPr>
      <t>下半年計算公式</t>
    </r>
    <r>
      <rPr>
        <sz val="10"/>
        <color indexed="8"/>
        <rFont val="Times New Roman"/>
        <family val="1"/>
      </rPr>
      <t xml:space="preserve"> : </t>
    </r>
    <phoneticPr fontId="7" type="noConversion"/>
  </si>
  <si>
    <r>
      <rPr>
        <sz val="10"/>
        <color indexed="8"/>
        <rFont val="標楷體"/>
        <family val="4"/>
        <charset val="136"/>
      </rPr>
      <t>下半年資金運用收益率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上半年期末資金運用數＊</t>
    </r>
    <r>
      <rPr>
        <sz val="10"/>
        <color indexed="8"/>
        <rFont val="Times New Roman"/>
        <family val="1"/>
      </rPr>
      <t>+</t>
    </r>
    <r>
      <rPr>
        <sz val="10"/>
        <color indexed="8"/>
        <rFont val="標楷體"/>
        <family val="4"/>
        <charset val="136"/>
      </rPr>
      <t>下半年期末資金運用數＊－</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</si>
  <si>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所稱下半年度資金運用收益</t>
    </r>
    <r>
      <rPr>
        <sz val="10"/>
        <color indexed="8"/>
        <rFont val="Times New Roman"/>
        <family val="1"/>
      </rPr>
      <t xml:space="preserve"> = </t>
    </r>
    <r>
      <rPr>
        <sz val="10"/>
        <color indexed="8"/>
        <rFont val="標楷體"/>
        <family val="4"/>
        <charset val="136"/>
      </rPr>
      <t>全年度損益</t>
    </r>
    <r>
      <rPr>
        <sz val="10"/>
        <color indexed="8"/>
        <rFont val="Times New Roman"/>
        <family val="1"/>
      </rPr>
      <t xml:space="preserve"> - </t>
    </r>
    <r>
      <rPr>
        <sz val="10"/>
        <color indexed="8"/>
        <rFont val="標楷體"/>
        <family val="4"/>
        <charset val="136"/>
      </rPr>
      <t>上半年度損益</t>
    </r>
    <phoneticPr fontId="7"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</si>
  <si>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7" type="noConversion"/>
  </si>
  <si>
    <r>
      <rPr>
        <b/>
        <sz val="12"/>
        <color rgb="FFFF0000"/>
        <rFont val="標楷體"/>
        <family val="4"/>
        <charset val="136"/>
      </rPr>
      <t>特殊業務
上傳至統計規程之簽單保險金額</t>
    </r>
    <r>
      <rPr>
        <b/>
        <sz val="12"/>
        <color rgb="FFFF0000"/>
        <rFont val="Times New Roman"/>
        <family val="1"/>
      </rPr>
      <t>(NTD)</t>
    </r>
    <phoneticPr fontId="9" type="noConversion"/>
  </si>
  <si>
    <t>上傳至統計規程之
簽單保險金額
(NTD)</t>
    <phoneticPr fontId="9" type="noConversion"/>
  </si>
  <si>
    <r>
      <t>2024</t>
    </r>
    <r>
      <rPr>
        <b/>
        <sz val="12"/>
        <color rgb="FFFF0000"/>
        <rFont val="標楷體"/>
        <family val="4"/>
        <charset val="136"/>
      </rPr>
      <t>年全業界總保費</t>
    </r>
    <phoneticPr fontId="101" type="noConversion"/>
  </si>
  <si>
    <r>
      <t>2024</t>
    </r>
    <r>
      <rPr>
        <b/>
        <sz val="12"/>
        <color rgb="FFFF0000"/>
        <rFont val="標楷體"/>
        <family val="4"/>
        <charset val="136"/>
      </rPr>
      <t>年總保費佔比</t>
    </r>
    <phoneticPr fontId="101" type="noConversion"/>
  </si>
  <si>
    <r>
      <rPr>
        <b/>
        <sz val="12"/>
        <color rgb="FFFF0000"/>
        <rFont val="標楷體"/>
        <family val="4"/>
        <charset val="136"/>
      </rPr>
      <t>營造綜合保險特殊業務
上傳至統計規程之簽單保險金額</t>
    </r>
    <r>
      <rPr>
        <b/>
        <sz val="12"/>
        <color rgb="FFFF0000"/>
        <rFont val="Times New Roman"/>
        <family val="1"/>
      </rPr>
      <t>(NTD)</t>
    </r>
    <phoneticPr fontId="9" type="noConversion"/>
  </si>
  <si>
    <r>
      <rPr>
        <b/>
        <sz val="12"/>
        <color rgb="FFFF0000"/>
        <rFont val="標楷體"/>
        <family val="4"/>
        <charset val="136"/>
      </rPr>
      <t>安裝工程綜合保險特殊業務
上傳至統計規程之簽單保險金額</t>
    </r>
    <r>
      <rPr>
        <b/>
        <sz val="12"/>
        <color rgb="FFFF0000"/>
        <rFont val="Times New Roman"/>
        <family val="1"/>
      </rPr>
      <t>(NTD)</t>
    </r>
    <phoneticPr fontId="9" type="noConversion"/>
  </si>
  <si>
    <r>
      <rPr>
        <b/>
        <sz val="12"/>
        <color theme="1"/>
        <rFont val="標楷體"/>
        <family val="4"/>
        <charset val="136"/>
      </rPr>
      <t>項目</t>
    </r>
    <phoneticPr fontId="9" type="noConversion"/>
  </si>
  <si>
    <r>
      <rPr>
        <b/>
        <sz val="12"/>
        <color theme="1"/>
        <rFont val="標楷體"/>
        <family val="4"/>
        <charset val="136"/>
      </rPr>
      <t>地震</t>
    </r>
    <phoneticPr fontId="101" type="noConversion"/>
  </si>
  <si>
    <r>
      <rPr>
        <b/>
        <sz val="12"/>
        <color theme="1"/>
        <rFont val="標楷體"/>
        <family val="4"/>
        <charset val="136"/>
      </rPr>
      <t>地震損失總計</t>
    </r>
    <phoneticPr fontId="101" type="noConversion"/>
  </si>
  <si>
    <r>
      <rPr>
        <b/>
        <sz val="12"/>
        <color theme="1"/>
        <rFont val="標楷體"/>
        <family val="4"/>
        <charset val="136"/>
      </rPr>
      <t>颱洪</t>
    </r>
    <phoneticPr fontId="101" type="noConversion"/>
  </si>
  <si>
    <r>
      <rPr>
        <b/>
        <sz val="12"/>
        <color theme="1"/>
        <rFont val="標楷體"/>
        <family val="4"/>
        <charset val="136"/>
      </rPr>
      <t>颱洪損失總計</t>
    </r>
    <phoneticPr fontId="101" type="noConversion"/>
  </si>
  <si>
    <r>
      <rPr>
        <b/>
        <sz val="12"/>
        <color theme="1"/>
        <rFont val="標楷體"/>
        <family val="4"/>
        <charset val="136"/>
      </rPr>
      <t>車火險及工程險</t>
    </r>
    <phoneticPr fontId="101" type="noConversion"/>
  </si>
  <si>
    <r>
      <rPr>
        <b/>
        <sz val="12"/>
        <color theme="1"/>
        <rFont val="標楷體"/>
        <family val="4"/>
        <charset val="136"/>
      </rPr>
      <t>貨物水險</t>
    </r>
    <phoneticPr fontId="101" type="noConversion"/>
  </si>
  <si>
    <r>
      <t>政策性地震險(共保層)</t>
    </r>
    <r>
      <rPr>
        <b/>
        <vertAlign val="subscript"/>
        <sz val="12"/>
        <color theme="1"/>
        <rFont val="標楷體"/>
        <family val="4"/>
        <charset val="136"/>
      </rPr>
      <t>註1</t>
    </r>
    <phoneticPr fontId="101" type="noConversion"/>
  </si>
  <si>
    <r>
      <t>政策性地震險(非共保層)</t>
    </r>
    <r>
      <rPr>
        <b/>
        <vertAlign val="subscript"/>
        <sz val="12"/>
        <color theme="1"/>
        <rFont val="標楷體"/>
        <family val="4"/>
        <charset val="136"/>
      </rPr>
      <t>註1</t>
    </r>
    <phoneticPr fontId="101" type="noConversion"/>
  </si>
  <si>
    <r>
      <rPr>
        <b/>
        <sz val="12"/>
        <color theme="1"/>
        <rFont val="標楷體"/>
        <family val="4"/>
        <charset val="136"/>
      </rPr>
      <t>其他險種</t>
    </r>
    <r>
      <rPr>
        <b/>
        <vertAlign val="subscript"/>
        <sz val="12"/>
        <color theme="1"/>
        <rFont val="標楷體"/>
        <family val="4"/>
        <charset val="136"/>
      </rPr>
      <t>註</t>
    </r>
    <r>
      <rPr>
        <b/>
        <vertAlign val="subscript"/>
        <sz val="12"/>
        <color theme="1"/>
        <rFont val="Times New Roman"/>
        <family val="1"/>
      </rPr>
      <t>2</t>
    </r>
    <phoneticPr fontId="101" type="noConversion"/>
  </si>
  <si>
    <r>
      <rPr>
        <b/>
        <sz val="12"/>
        <color theme="1"/>
        <rFont val="標楷體"/>
        <family val="4"/>
        <charset val="136"/>
      </rPr>
      <t>國外分進</t>
    </r>
    <phoneticPr fontId="101" type="noConversion"/>
  </si>
  <si>
    <r>
      <rPr>
        <b/>
        <sz val="12"/>
        <color theme="1"/>
        <rFont val="標楷體"/>
        <family val="4"/>
        <charset val="136"/>
      </rPr>
      <t>簽單損失</t>
    </r>
    <phoneticPr fontId="101" type="noConversion"/>
  </si>
  <si>
    <r>
      <rPr>
        <b/>
        <sz val="12"/>
        <color theme="1"/>
        <rFont val="標楷體"/>
        <family val="4"/>
        <charset val="136"/>
      </rPr>
      <t>收取之復效保費</t>
    </r>
    <phoneticPr fontId="101" type="noConversion"/>
  </si>
  <si>
    <r>
      <rPr>
        <b/>
        <sz val="12"/>
        <color theme="1"/>
        <rFont val="標楷體"/>
        <family val="4"/>
        <charset val="136"/>
      </rPr>
      <t>簽單損失淨額</t>
    </r>
    <phoneticPr fontId="101" type="noConversion"/>
  </si>
  <si>
    <r>
      <rPr>
        <b/>
        <sz val="12"/>
        <color theme="1"/>
        <rFont val="標楷體"/>
        <family val="4"/>
        <charset val="136"/>
      </rPr>
      <t>自留損失</t>
    </r>
    <phoneticPr fontId="101" type="noConversion"/>
  </si>
  <si>
    <r>
      <rPr>
        <b/>
        <sz val="12"/>
        <color theme="1"/>
        <rFont val="標楷體"/>
        <family val="4"/>
        <charset val="136"/>
      </rPr>
      <t>支付之復效保費</t>
    </r>
    <phoneticPr fontId="101" type="noConversion"/>
  </si>
  <si>
    <r>
      <rPr>
        <b/>
        <sz val="12"/>
        <color theme="1"/>
        <rFont val="標楷體"/>
        <family val="4"/>
        <charset val="136"/>
      </rPr>
      <t>自留損失淨額</t>
    </r>
    <phoneticPr fontId="101" type="noConversion"/>
  </si>
  <si>
    <r>
      <rPr>
        <b/>
        <sz val="12"/>
        <color theme="1"/>
        <rFont val="標楷體"/>
        <family val="4"/>
        <charset val="136"/>
      </rPr>
      <t>非比例再保險抵減額度</t>
    </r>
    <phoneticPr fontId="101" type="noConversion"/>
  </si>
  <si>
    <r>
      <rPr>
        <b/>
        <sz val="12"/>
        <color theme="1"/>
        <rFont val="標楷體"/>
        <family val="4"/>
        <charset val="136"/>
      </rPr>
      <t>淨自留損失淨額</t>
    </r>
    <phoneticPr fontId="101"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</si>
  <si>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</si>
  <si>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</si>
  <si>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9"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</si>
  <si>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，其計算方法為曝險總金額占全部險種總曝險金額比例計算。</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</si>
  <si>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</si>
  <si>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</si>
  <si>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</si>
  <si>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</si>
  <si>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地震自留風險資本</t>
    </r>
    <phoneticPr fontId="9" type="noConversion"/>
  </si>
  <si>
    <r>
      <rPr>
        <sz val="12"/>
        <color theme="1"/>
        <rFont val="標楷體"/>
        <family val="4"/>
        <charset val="136"/>
      </rPr>
      <t>地震信用風險資本</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</si>
  <si>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</si>
  <si>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</si>
  <si>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</si>
  <si>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</si>
  <si>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颱風洪水自留風險資本</t>
    </r>
    <phoneticPr fontId="9" type="noConversion"/>
  </si>
  <si>
    <r>
      <rPr>
        <sz val="12"/>
        <color theme="1"/>
        <rFont val="標楷體"/>
        <family val="4"/>
        <charset val="136"/>
      </rPr>
      <t>颱風洪水信用風險資本</t>
    </r>
    <phoneticPr fontId="9" type="noConversion"/>
  </si>
  <si>
    <r>
      <rPr>
        <b/>
        <sz val="12"/>
        <color theme="1"/>
        <rFont val="標楷體"/>
        <family val="4"/>
        <charset val="136"/>
      </rPr>
      <t>天災自留風險資本</t>
    </r>
    <phoneticPr fontId="9" type="noConversion"/>
  </si>
  <si>
    <r>
      <rPr>
        <b/>
        <sz val="12"/>
        <color theme="1"/>
        <rFont val="標楷體"/>
        <family val="4"/>
        <charset val="136"/>
      </rPr>
      <t>天災信用風險資本</t>
    </r>
    <phoneticPr fontId="9" type="noConversion"/>
  </si>
  <si>
    <r>
      <rPr>
        <sz val="12"/>
        <color theme="1"/>
        <rFont val="標楷體"/>
        <family val="4"/>
        <charset val="136"/>
      </rPr>
      <t>恐怖攻擊自留風險</t>
    </r>
    <phoneticPr fontId="9" type="noConversion"/>
  </si>
  <si>
    <r>
      <rPr>
        <sz val="12"/>
        <color theme="1"/>
        <rFont val="標楷體"/>
        <family val="4"/>
        <charset val="136"/>
      </rPr>
      <t>恐怖攻擊信用風險</t>
    </r>
    <phoneticPr fontId="108" type="noConversion"/>
  </si>
  <si>
    <r>
      <rPr>
        <sz val="12"/>
        <color theme="1"/>
        <rFont val="標楷體"/>
        <family val="4"/>
        <charset val="136"/>
      </rPr>
      <t>恐怖攻擊風險資本</t>
    </r>
    <phoneticPr fontId="108" type="noConversion"/>
  </si>
  <si>
    <r>
      <rPr>
        <sz val="12"/>
        <color theme="1"/>
        <rFont val="標楷體"/>
        <family val="4"/>
        <charset val="136"/>
      </rPr>
      <t>貿易信用自留風險</t>
    </r>
    <phoneticPr fontId="9" type="noConversion"/>
  </si>
  <si>
    <r>
      <rPr>
        <sz val="12"/>
        <color theme="1"/>
        <rFont val="標楷體"/>
        <family val="4"/>
        <charset val="136"/>
      </rPr>
      <t>貿易信用信用風險</t>
    </r>
    <phoneticPr fontId="108" type="noConversion"/>
  </si>
  <si>
    <r>
      <rPr>
        <sz val="12"/>
        <color theme="1"/>
        <rFont val="標楷體"/>
        <family val="4"/>
        <charset val="136"/>
      </rPr>
      <t>貿易信用風險資本</t>
    </r>
    <phoneticPr fontId="108" type="noConversion"/>
  </si>
  <si>
    <r>
      <rPr>
        <sz val="12"/>
        <color theme="1"/>
        <rFont val="標楷體"/>
        <family val="4"/>
        <charset val="136"/>
      </rPr>
      <t>保證保險自留風險</t>
    </r>
    <phoneticPr fontId="9" type="noConversion"/>
  </si>
  <si>
    <r>
      <rPr>
        <sz val="12"/>
        <color theme="1"/>
        <rFont val="標楷體"/>
        <family val="4"/>
        <charset val="136"/>
      </rPr>
      <t>保證保險信用風險</t>
    </r>
    <phoneticPr fontId="108" type="noConversion"/>
  </si>
  <si>
    <r>
      <t xml:space="preserve">3a.1.3  </t>
    </r>
    <r>
      <rPr>
        <sz val="10"/>
        <color rgb="FFFF0000"/>
        <rFont val="標楷體"/>
        <family val="4"/>
        <charset val="136"/>
      </rPr>
      <t>一年期商業火災保險</t>
    </r>
    <phoneticPr fontId="9" type="noConversion"/>
  </si>
  <si>
    <r>
      <t xml:space="preserve">3a.1.4  </t>
    </r>
    <r>
      <rPr>
        <sz val="10"/>
        <color rgb="FFFF0000"/>
        <rFont val="標楷體"/>
        <family val="4"/>
        <charset val="136"/>
      </rPr>
      <t>長期商業火災保險</t>
    </r>
    <phoneticPr fontId="9" type="noConversion"/>
  </si>
  <si>
    <r>
      <t xml:space="preserve">3a.1.10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</si>
  <si>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3a.1.11 </t>
    </r>
    <r>
      <rPr>
        <sz val="10"/>
        <color rgb="FFFF0000"/>
        <rFont val="標楷體"/>
        <family val="4"/>
        <charset val="136"/>
      </rPr>
      <t>一般商業汽車財產損失保險</t>
    </r>
    <phoneticPr fontId="9" type="noConversion"/>
  </si>
  <si>
    <r>
      <t xml:space="preserve">3a.1.12 </t>
    </r>
    <r>
      <rPr>
        <sz val="10"/>
        <color rgb="FFFF0000"/>
        <rFont val="標楷體"/>
        <family val="4"/>
        <charset val="136"/>
      </rPr>
      <t>一般自用汽車責任保險</t>
    </r>
    <phoneticPr fontId="9" type="noConversion"/>
  </si>
  <si>
    <r>
      <t xml:space="preserve">3a.1.13 </t>
    </r>
    <r>
      <rPr>
        <sz val="10"/>
        <color rgb="FFFF0000"/>
        <rFont val="標楷體"/>
        <family val="4"/>
        <charset val="136"/>
      </rPr>
      <t>一般商業汽車責任保險</t>
    </r>
    <phoneticPr fontId="9" type="noConversion"/>
  </si>
  <si>
    <r>
      <t xml:space="preserve">3b.1.3  </t>
    </r>
    <r>
      <rPr>
        <sz val="10"/>
        <color rgb="FFFF0000"/>
        <rFont val="標楷體"/>
        <family val="4"/>
        <charset val="136"/>
      </rPr>
      <t>一年期商業火災保險</t>
    </r>
    <phoneticPr fontId="9" type="noConversion"/>
  </si>
  <si>
    <r>
      <t xml:space="preserve">3b.1.4  </t>
    </r>
    <r>
      <rPr>
        <sz val="10"/>
        <color rgb="FFFF0000"/>
        <rFont val="標楷體"/>
        <family val="4"/>
        <charset val="136"/>
      </rPr>
      <t>長期商業火災保險</t>
    </r>
    <phoneticPr fontId="9" type="noConversion"/>
  </si>
  <si>
    <r>
      <t xml:space="preserve">3b.1.10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</si>
  <si>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3b.1.11 </t>
    </r>
    <r>
      <rPr>
        <sz val="10"/>
        <color rgb="FFFF0000"/>
        <rFont val="標楷體"/>
        <family val="4"/>
        <charset val="136"/>
      </rPr>
      <t>一般商業汽車財產損失保險</t>
    </r>
    <phoneticPr fontId="9" type="noConversion"/>
  </si>
  <si>
    <r>
      <t xml:space="preserve">3b.1.12 </t>
    </r>
    <r>
      <rPr>
        <sz val="10"/>
        <color rgb="FFFF0000"/>
        <rFont val="標楷體"/>
        <family val="4"/>
        <charset val="136"/>
      </rPr>
      <t>一般自用汽車責任保險</t>
    </r>
    <phoneticPr fontId="9" type="noConversion"/>
  </si>
  <si>
    <r>
      <t xml:space="preserve">3b.1.13 </t>
    </r>
    <r>
      <rPr>
        <sz val="10"/>
        <color rgb="FFFF0000"/>
        <rFont val="標楷體"/>
        <family val="4"/>
        <charset val="136"/>
      </rPr>
      <t>一般商業汽車責任保險</t>
    </r>
    <phoneticPr fontId="9" type="noConversion"/>
  </si>
  <si>
    <r>
      <rPr>
        <sz val="12"/>
        <rFont val="標楷體"/>
        <family val="4"/>
        <charset val="136"/>
      </rPr>
      <t>表</t>
    </r>
    <r>
      <rPr>
        <sz val="12"/>
        <rFont val="Times New Roman"/>
        <family val="1"/>
      </rPr>
      <t>30-3-4</t>
    </r>
    <r>
      <rPr>
        <sz val="12"/>
        <rFont val="標楷體"/>
        <family val="4"/>
        <charset val="136"/>
      </rPr>
      <t>：匯率日均價調整數</t>
    </r>
    <phoneticPr fontId="9" type="noConversion"/>
  </si>
  <si>
    <r>
      <rPr>
        <sz val="12"/>
        <color theme="1"/>
        <rFont val="標楷體"/>
        <family val="4"/>
        <charset val="136"/>
      </rPr>
      <t>目錄</t>
    </r>
    <phoneticPr fontId="9" type="noConversion"/>
  </si>
  <si>
    <r>
      <rPr>
        <b/>
        <sz val="12"/>
        <color theme="1"/>
        <rFont val="標楷體"/>
        <family val="4"/>
        <charset val="136"/>
      </rPr>
      <t>列號</t>
    </r>
    <phoneticPr fontId="7" type="noConversion"/>
  </si>
  <si>
    <r>
      <rPr>
        <b/>
        <sz val="12"/>
        <color theme="1"/>
        <rFont val="標楷體"/>
        <family val="4"/>
        <charset val="136"/>
      </rPr>
      <t>報表表次及名稱</t>
    </r>
  </si>
  <si>
    <r>
      <rPr>
        <b/>
        <sz val="12"/>
        <color theme="1"/>
        <rFont val="標楷體"/>
        <family val="4"/>
        <charset val="136"/>
      </rPr>
      <t>頁次</t>
    </r>
    <phoneticPr fontId="7" type="noConversion"/>
  </si>
  <si>
    <r>
      <rPr>
        <b/>
        <sz val="12"/>
        <color theme="1"/>
        <rFont val="標楷體"/>
        <family val="4"/>
        <charset val="136"/>
      </rPr>
      <t>填報頻率</t>
    </r>
    <phoneticPr fontId="7" type="noConversion"/>
  </si>
  <si>
    <r>
      <rPr>
        <b/>
        <sz val="12"/>
        <color theme="1"/>
        <rFont val="標楷體"/>
        <family val="4"/>
        <charset val="136"/>
      </rPr>
      <t>異動時需即時申報</t>
    </r>
    <phoneticPr fontId="7" type="noConversion"/>
  </si>
  <si>
    <r>
      <rPr>
        <b/>
        <sz val="12"/>
        <color theme="1"/>
        <rFont val="標楷體"/>
        <family val="4"/>
        <charset val="136"/>
      </rPr>
      <t>會計師年度查核</t>
    </r>
    <r>
      <rPr>
        <b/>
        <sz val="12"/>
        <color theme="1"/>
        <rFont val="Times New Roman"/>
        <family val="1"/>
      </rPr>
      <t>(</t>
    </r>
    <r>
      <rPr>
        <b/>
        <sz val="12"/>
        <color theme="1"/>
        <rFont val="標楷體"/>
        <family val="4"/>
        <charset val="136"/>
      </rPr>
      <t>半年度核閱</t>
    </r>
    <r>
      <rPr>
        <b/>
        <sz val="12"/>
        <color theme="1"/>
        <rFont val="Times New Roman"/>
        <family val="1"/>
      </rPr>
      <t>)</t>
    </r>
    <r>
      <rPr>
        <b/>
        <sz val="12"/>
        <color theme="1"/>
        <rFont val="標楷體"/>
        <family val="4"/>
        <charset val="136"/>
      </rPr>
      <t>表格</t>
    </r>
    <phoneticPr fontId="7" type="noConversion"/>
  </si>
  <si>
    <r>
      <rPr>
        <b/>
        <sz val="12"/>
        <color theme="1"/>
        <rFont val="標楷體"/>
        <family val="4"/>
        <charset val="136"/>
      </rPr>
      <t>會計師各報表查核</t>
    </r>
    <r>
      <rPr>
        <b/>
        <sz val="12"/>
        <color theme="1"/>
        <rFont val="Times New Roman"/>
        <family val="1"/>
      </rPr>
      <t>(</t>
    </r>
    <r>
      <rPr>
        <b/>
        <sz val="12"/>
        <color theme="1"/>
        <rFont val="標楷體"/>
        <family val="4"/>
        <charset val="136"/>
      </rPr>
      <t>核閱</t>
    </r>
    <r>
      <rPr>
        <b/>
        <sz val="12"/>
        <color theme="1"/>
        <rFont val="Times New Roman"/>
        <family val="1"/>
      </rPr>
      <t>)</t>
    </r>
    <r>
      <rPr>
        <b/>
        <sz val="12"/>
        <color theme="1"/>
        <rFont val="標楷體"/>
        <family val="4"/>
        <charset val="136"/>
      </rPr>
      <t>範圍</t>
    </r>
    <phoneticPr fontId="7" type="noConversion"/>
  </si>
  <si>
    <r>
      <rPr>
        <b/>
        <sz val="12"/>
        <color theme="1"/>
        <rFont val="標楷體"/>
        <family val="4"/>
        <charset val="136"/>
      </rPr>
      <t>簽證精算人員查核表格</t>
    </r>
    <phoneticPr fontId="7" type="noConversion"/>
  </si>
  <si>
    <r>
      <rPr>
        <b/>
        <sz val="12"/>
        <color theme="1"/>
        <rFont val="標楷體"/>
        <family val="4"/>
        <charset val="136"/>
      </rPr>
      <t>最後複核人</t>
    </r>
    <phoneticPr fontId="7" type="noConversion"/>
  </si>
  <si>
    <r>
      <rPr>
        <b/>
        <sz val="12"/>
        <color theme="1"/>
        <rFont val="標楷體"/>
        <family val="4"/>
        <charset val="136"/>
      </rPr>
      <t>電話</t>
    </r>
    <phoneticPr fontId="7" type="noConversion"/>
  </si>
  <si>
    <r>
      <rPr>
        <b/>
        <sz val="12"/>
        <color theme="1"/>
        <rFont val="標楷體"/>
        <family val="4"/>
        <charset val="136"/>
      </rPr>
      <t>填表人姓名</t>
    </r>
    <phoneticPr fontId="7" type="noConversion"/>
  </si>
  <si>
    <r>
      <rPr>
        <b/>
        <sz val="12"/>
        <color theme="1"/>
        <rFont val="標楷體"/>
        <family val="4"/>
        <charset val="136"/>
      </rPr>
      <t>年報是否申報紙本</t>
    </r>
    <phoneticPr fontId="9" type="noConversion"/>
  </si>
  <si>
    <r>
      <rPr>
        <b/>
        <sz val="12"/>
        <color theme="1"/>
        <rFont val="標楷體"/>
        <family val="4"/>
        <charset val="136"/>
      </rPr>
      <t>半年報是否申報紙本</t>
    </r>
    <phoneticPr fontId="9"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</si>
  <si>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</si>
  <si>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7" type="noConversion"/>
  </si>
  <si>
    <r>
      <rPr>
        <sz val="12"/>
        <color theme="1"/>
        <rFont val="標楷體"/>
        <family val="4"/>
        <charset val="136"/>
      </rPr>
      <t>否</t>
    </r>
  </si>
  <si>
    <r>
      <rPr>
        <sz val="12"/>
        <color theme="1"/>
        <rFont val="標楷體"/>
        <family val="4"/>
        <charset val="136"/>
      </rPr>
      <t>否</t>
    </r>
    <phoneticPr fontId="9" type="noConversion"/>
  </si>
  <si>
    <r>
      <rPr>
        <sz val="12"/>
        <color theme="1"/>
        <rFont val="標楷體"/>
        <family val="4"/>
        <charset val="136"/>
      </rPr>
      <t>是</t>
    </r>
    <phoneticPr fontId="9"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</si>
  <si>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</si>
  <si>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7"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</si>
  <si>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9"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</si>
  <si>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</si>
  <si>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</si>
  <si>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9"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</si>
  <si>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</si>
  <si>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年</t>
    </r>
    <phoneticPr fontId="9"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</si>
  <si>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9"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</si>
  <si>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</si>
  <si>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t>
    </r>
    <r>
      <rPr>
        <sz val="12"/>
        <color theme="1"/>
        <rFont val="Times New Roman"/>
        <family val="1"/>
      </rPr>
      <t xml:space="preserve"> </t>
    </r>
    <r>
      <rPr>
        <sz val="12"/>
        <color theme="1"/>
        <rFont val="標楷體"/>
        <family val="4"/>
        <charset val="136"/>
      </rPr>
      <t>保險業財務報告編製準則規定編製之財務報告</t>
    </r>
    <phoneticPr fontId="9"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</si>
  <si>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</si>
  <si>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</si>
  <si>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</si>
  <si>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</si>
  <si>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</si>
  <si>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</si>
  <si>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</si>
  <si>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9"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</si>
  <si>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9"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</si>
  <si>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</si>
  <si>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9"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</si>
  <si>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</si>
  <si>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</si>
  <si>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7" type="noConversion"/>
  </si>
  <si>
    <r>
      <rPr>
        <sz val="12"/>
        <color theme="1"/>
        <rFont val="標楷體"/>
        <family val="4"/>
        <charset val="136"/>
      </rPr>
      <t>否</t>
    </r>
    <phoneticPr fontId="7" type="noConversion"/>
  </si>
  <si>
    <r>
      <rPr>
        <sz val="12"/>
        <color theme="1"/>
        <rFont val="標楷體"/>
        <family val="4"/>
        <charset val="136"/>
      </rPr>
      <t>是</t>
    </r>
    <phoneticPr fontId="7" type="noConversion"/>
  </si>
  <si>
    <r>
      <rPr>
        <sz val="12"/>
        <color theme="1"/>
        <rFont val="標楷體"/>
        <family val="4"/>
        <charset val="136"/>
      </rPr>
      <t>全部</t>
    </r>
    <phoneticPr fontId="7"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</si>
  <si>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</si>
  <si>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9"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</si>
  <si>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</si>
  <si>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</si>
  <si>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</si>
  <si>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9" type="noConversion"/>
  </si>
  <si>
    <r>
      <t>(2)-(4)(9)(14)-(19)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</si>
  <si>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</si>
  <si>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7" type="noConversion"/>
  </si>
  <si>
    <r>
      <t>(2)-(4)(6)(7)(14)(17)(22)-(27)</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</si>
  <si>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7"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</si>
  <si>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</si>
  <si>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(2)(5)(6)(8)-(10)(14)(20)-(25)</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</si>
  <si>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</si>
  <si>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9"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</si>
  <si>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9"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</si>
  <si>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</si>
  <si>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</si>
  <si>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</si>
  <si>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9" type="noConversion"/>
  </si>
  <si>
    <r>
      <t>(2)(3)(6)(7)(14)(19)-(24)</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</si>
  <si>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phoneticPr fontId="9"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</si>
  <si>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</si>
  <si>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</si>
  <si>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</si>
  <si>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</si>
  <si>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</si>
  <si>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</si>
  <si>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</si>
  <si>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9"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</si>
  <si>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</si>
  <si>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</si>
  <si>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</si>
  <si>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</si>
  <si>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</si>
  <si>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：逾期放款及其他應收款項逾期債權轉銷表</t>
    </r>
    <phoneticPr fontId="9"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</si>
  <si>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</si>
  <si>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9" type="noConversion"/>
  </si>
  <si>
    <r>
      <t>(7)-(18)(22)(23)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</si>
  <si>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9" type="noConversion"/>
  </si>
  <si>
    <r>
      <t>(7)-(18)</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</si>
  <si>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</si>
  <si>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(7)-(21)(25)(26)</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</si>
  <si>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</si>
  <si>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</si>
  <si>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9" type="noConversion"/>
  </si>
  <si>
    <r>
      <t>(7)-(20)</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</si>
  <si>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9"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</si>
  <si>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</si>
  <si>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</si>
  <si>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</si>
  <si>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</si>
  <si>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：保險輔助人交易明細表</t>
    </r>
  </si>
  <si>
    <r>
      <rPr>
        <sz val="12"/>
        <color theme="1"/>
        <rFont val="標楷體"/>
        <family val="4"/>
        <charset val="136"/>
      </rPr>
      <t>表</t>
    </r>
    <r>
      <rPr>
        <sz val="12"/>
        <color theme="1"/>
        <rFont val="Times New Roman"/>
        <family val="1"/>
      </rPr>
      <t>18-1</t>
    </r>
    <r>
      <rPr>
        <sz val="12"/>
        <color theme="1"/>
        <rFont val="標楷體"/>
        <family val="4"/>
        <charset val="136"/>
      </rPr>
      <t>：合作異業交易明細表</t>
    </r>
    <phoneticPr fontId="9" type="noConversion"/>
  </si>
  <si>
    <r>
      <rPr>
        <sz val="12"/>
        <color theme="1"/>
        <rFont val="標楷體"/>
        <family val="4"/>
        <charset val="136"/>
      </rPr>
      <t>表</t>
    </r>
    <r>
      <rPr>
        <sz val="12"/>
        <color theme="1"/>
        <rFont val="Times New Roman"/>
        <family val="1"/>
      </rPr>
      <t>19-1</t>
    </r>
    <r>
      <rPr>
        <sz val="12"/>
        <color theme="1"/>
        <rFont val="標楷體"/>
        <family val="4"/>
        <charset val="136"/>
      </rPr>
      <t>：再保險人交易明細表</t>
    </r>
  </si>
  <si>
    <r>
      <rPr>
        <sz val="12"/>
        <color theme="1"/>
        <rFont val="標楷體"/>
        <family val="4"/>
        <charset val="136"/>
      </rPr>
      <t>表</t>
    </r>
    <r>
      <rPr>
        <sz val="12"/>
        <color theme="1"/>
        <rFont val="Times New Roman"/>
        <family val="1"/>
      </rPr>
      <t>19-2</t>
    </r>
    <r>
      <rPr>
        <sz val="12"/>
        <color theme="1"/>
        <rFont val="標楷體"/>
        <family val="4"/>
        <charset val="136"/>
      </rPr>
      <t>：再保險經紀人交易明細表</t>
    </r>
  </si>
  <si>
    <r>
      <rPr>
        <sz val="12"/>
        <color theme="1"/>
        <rFont val="標楷體"/>
        <family val="4"/>
        <charset val="136"/>
      </rPr>
      <t>表</t>
    </r>
    <r>
      <rPr>
        <sz val="12"/>
        <color theme="1"/>
        <rFont val="Times New Roman"/>
        <family val="1"/>
      </rPr>
      <t>19-3</t>
    </r>
    <r>
      <rPr>
        <sz val="12"/>
        <color theme="1"/>
        <rFont val="標楷體"/>
        <family val="4"/>
        <charset val="136"/>
      </rPr>
      <t>：未適格再保險準備明細表</t>
    </r>
  </si>
  <si>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9" type="noConversion"/>
  </si>
  <si>
    <r>
      <rPr>
        <sz val="12"/>
        <color theme="1"/>
        <rFont val="標楷體"/>
        <family val="4"/>
        <charset val="136"/>
      </rPr>
      <t>半年</t>
    </r>
  </si>
  <si>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</si>
  <si>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</si>
  <si>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9" type="noConversion"/>
  </si>
  <si>
    <r>
      <t>(6)-(10)</t>
    </r>
    <r>
      <rPr>
        <sz val="12"/>
        <color theme="1"/>
        <rFont val="標楷體"/>
        <family val="4"/>
        <charset val="136"/>
      </rPr>
      <t>欄</t>
    </r>
  </si>
  <si>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9"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</si>
  <si>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9" type="noConversion"/>
  </si>
  <si>
    <r>
      <rPr>
        <sz val="12"/>
        <color theme="1"/>
        <rFont val="標楷體"/>
        <family val="4"/>
        <charset val="136"/>
      </rPr>
      <t>表</t>
    </r>
    <r>
      <rPr>
        <sz val="12"/>
        <color theme="1"/>
        <rFont val="Times New Roman"/>
        <family val="1"/>
      </rPr>
      <t>20</t>
    </r>
    <r>
      <rPr>
        <sz val="12"/>
        <color theme="1"/>
        <rFont val="標楷體"/>
        <family val="4"/>
        <charset val="136"/>
      </rPr>
      <t>：關係人交易明細表</t>
    </r>
  </si>
  <si>
    <r>
      <rPr>
        <sz val="12"/>
        <color theme="1"/>
        <rFont val="標楷體"/>
        <family val="4"/>
        <charset val="136"/>
      </rPr>
      <t>表</t>
    </r>
    <r>
      <rPr>
        <sz val="12"/>
        <color theme="1"/>
        <rFont val="Times New Roman"/>
        <family val="1"/>
      </rPr>
      <t>21-1</t>
    </r>
    <r>
      <rPr>
        <sz val="12"/>
        <color theme="1"/>
        <rFont val="標楷體"/>
        <family val="4"/>
        <charset val="136"/>
      </rPr>
      <t>：直接簽單業務分析表</t>
    </r>
  </si>
  <si>
    <r>
      <t>(8)(11)</t>
    </r>
    <r>
      <rPr>
        <sz val="12"/>
        <color theme="1"/>
        <rFont val="標楷體"/>
        <family val="4"/>
        <charset val="136"/>
      </rPr>
      <t>欄</t>
    </r>
  </si>
  <si>
    <r>
      <rPr>
        <sz val="12"/>
        <color theme="1"/>
        <rFont val="標楷體"/>
        <family val="4"/>
        <charset val="136"/>
      </rPr>
      <t>表</t>
    </r>
    <r>
      <rPr>
        <sz val="12"/>
        <color theme="1"/>
        <rFont val="Times New Roman"/>
        <family val="1"/>
      </rPr>
      <t>21-2</t>
    </r>
    <r>
      <rPr>
        <sz val="12"/>
        <color theme="1"/>
        <rFont val="標楷體"/>
        <family val="4"/>
        <charset val="136"/>
      </rPr>
      <t>：分出再保險業務明細表</t>
    </r>
  </si>
  <si>
    <r>
      <t>(42)</t>
    </r>
    <r>
      <rPr>
        <sz val="12"/>
        <color theme="1"/>
        <rFont val="標楷體"/>
        <family val="4"/>
        <charset val="136"/>
      </rPr>
      <t>列</t>
    </r>
    <phoneticPr fontId="9" type="noConversion"/>
  </si>
  <si>
    <r>
      <rPr>
        <sz val="12"/>
        <color theme="1"/>
        <rFont val="標楷體"/>
        <family val="4"/>
        <charset val="136"/>
      </rPr>
      <t>表</t>
    </r>
    <r>
      <rPr>
        <sz val="12"/>
        <color theme="1"/>
        <rFont val="Times New Roman"/>
        <family val="1"/>
      </rPr>
      <t>21-3</t>
    </r>
    <r>
      <rPr>
        <sz val="12"/>
        <color theme="1"/>
        <rFont val="標楷體"/>
        <family val="4"/>
        <charset val="136"/>
      </rPr>
      <t>：分入再保險業務明細表</t>
    </r>
  </si>
  <si>
    <r>
      <rPr>
        <sz val="12"/>
        <color theme="1"/>
        <rFont val="標楷體"/>
        <family val="4"/>
        <charset val="136"/>
      </rPr>
      <t>表</t>
    </r>
    <r>
      <rPr>
        <sz val="12"/>
        <color theme="1"/>
        <rFont val="Times New Roman"/>
        <family val="1"/>
      </rPr>
      <t>21-4</t>
    </r>
    <r>
      <rPr>
        <sz val="12"/>
        <color theme="1"/>
        <rFont val="標楷體"/>
        <family val="4"/>
        <charset val="136"/>
      </rPr>
      <t>：自留業務明細表</t>
    </r>
  </si>
  <si>
    <r>
      <rPr>
        <sz val="12"/>
        <color theme="1"/>
        <rFont val="標楷體"/>
        <family val="4"/>
        <charset val="136"/>
      </rPr>
      <t>表</t>
    </r>
    <r>
      <rPr>
        <sz val="12"/>
        <color theme="1"/>
        <rFont val="Times New Roman"/>
        <family val="1"/>
      </rPr>
      <t>21-5</t>
    </r>
    <r>
      <rPr>
        <sz val="12"/>
        <color theme="1"/>
        <rFont val="標楷體"/>
        <family val="4"/>
        <charset val="136"/>
      </rPr>
      <t>：保費收入來源明細表</t>
    </r>
  </si>
  <si>
    <r>
      <rPr>
        <sz val="12"/>
        <color theme="1"/>
        <rFont val="標楷體"/>
        <family val="4"/>
        <charset val="136"/>
      </rPr>
      <t>表</t>
    </r>
    <r>
      <rPr>
        <sz val="12"/>
        <color theme="1"/>
        <rFont val="Times New Roman"/>
        <family val="1"/>
      </rPr>
      <t>21-6</t>
    </r>
    <r>
      <rPr>
        <sz val="12"/>
        <color theme="1"/>
        <rFont val="標楷體"/>
        <family val="4"/>
        <charset val="136"/>
      </rPr>
      <t>：銷售保險商品明細表</t>
    </r>
  </si>
  <si>
    <r>
      <rPr>
        <sz val="12"/>
        <color theme="1"/>
        <rFont val="標楷體"/>
        <family val="4"/>
        <charset val="136"/>
      </rPr>
      <t>表</t>
    </r>
    <r>
      <rPr>
        <sz val="12"/>
        <color theme="1"/>
        <rFont val="Times New Roman"/>
        <family val="1"/>
      </rPr>
      <t>21-7</t>
    </r>
    <r>
      <rPr>
        <sz val="12"/>
        <color theme="1"/>
        <rFont val="標楷體"/>
        <family val="4"/>
        <charset val="136"/>
      </rPr>
      <t>：傷害保險明細表</t>
    </r>
    <phoneticPr fontId="9" type="noConversion"/>
  </si>
  <si>
    <r>
      <rPr>
        <sz val="12"/>
        <color theme="1"/>
        <rFont val="標楷體"/>
        <family val="4"/>
        <charset val="136"/>
      </rPr>
      <t>表</t>
    </r>
    <r>
      <rPr>
        <sz val="12"/>
        <color theme="1"/>
        <rFont val="Times New Roman"/>
        <family val="1"/>
      </rPr>
      <t>22</t>
    </r>
    <r>
      <rPr>
        <sz val="12"/>
        <color theme="1"/>
        <rFont val="標楷體"/>
        <family val="4"/>
        <charset val="136"/>
      </rPr>
      <t>：重大賠案及爭訟明細表</t>
    </r>
  </si>
  <si>
    <r>
      <rPr>
        <sz val="12"/>
        <color theme="1"/>
        <rFont val="標楷體"/>
        <family val="4"/>
        <charset val="136"/>
      </rPr>
      <t>表</t>
    </r>
    <r>
      <rPr>
        <sz val="12"/>
        <color theme="1"/>
        <rFont val="Times New Roman"/>
        <family val="1"/>
      </rPr>
      <t>23</t>
    </r>
    <r>
      <rPr>
        <sz val="12"/>
        <color theme="1"/>
        <rFont val="標楷體"/>
        <family val="4"/>
        <charset val="136"/>
      </rPr>
      <t>：直接簽單及分入再保業務準備金明細表</t>
    </r>
  </si>
  <si>
    <r>
      <rPr>
        <sz val="12"/>
        <color theme="1"/>
        <rFont val="標楷體"/>
        <family val="4"/>
        <charset val="136"/>
      </rPr>
      <t>表</t>
    </r>
    <r>
      <rPr>
        <sz val="12"/>
        <color theme="1"/>
        <rFont val="Times New Roman"/>
        <family val="1"/>
      </rPr>
      <t>24</t>
    </r>
    <r>
      <rPr>
        <sz val="12"/>
        <color theme="1"/>
        <rFont val="標楷體"/>
        <family val="4"/>
        <charset val="136"/>
      </rPr>
      <t>：自留業務未滿期保費準備金明細表</t>
    </r>
  </si>
  <si>
    <r>
      <rPr>
        <sz val="12"/>
        <color theme="1"/>
        <rFont val="標楷體"/>
        <family val="4"/>
        <charset val="136"/>
      </rPr>
      <t>表</t>
    </r>
    <r>
      <rPr>
        <sz val="12"/>
        <color theme="1"/>
        <rFont val="Times New Roman"/>
        <family val="1"/>
      </rPr>
      <t>25-1</t>
    </r>
    <r>
      <rPr>
        <sz val="12"/>
        <color theme="1"/>
        <rFont val="標楷體"/>
        <family val="4"/>
        <charset val="136"/>
      </rPr>
      <t>：重大事故特別準備金明細表</t>
    </r>
  </si>
  <si>
    <r>
      <rPr>
        <sz val="12"/>
        <color theme="1"/>
        <rFont val="標楷體"/>
        <family val="4"/>
        <charset val="136"/>
      </rPr>
      <t>表</t>
    </r>
    <r>
      <rPr>
        <sz val="12"/>
        <color theme="1"/>
        <rFont val="Times New Roman"/>
        <family val="1"/>
      </rPr>
      <t>25-2</t>
    </r>
    <r>
      <rPr>
        <sz val="12"/>
        <color theme="1"/>
        <rFont val="標楷體"/>
        <family val="4"/>
        <charset val="136"/>
      </rPr>
      <t>：危險變動特別準備金明細表</t>
    </r>
  </si>
  <si>
    <r>
      <rPr>
        <sz val="12"/>
        <color theme="1"/>
        <rFont val="標楷體"/>
        <family val="4"/>
        <charset val="136"/>
      </rPr>
      <t>表</t>
    </r>
    <r>
      <rPr>
        <sz val="12"/>
        <color theme="1"/>
        <rFont val="Times New Roman"/>
        <family val="1"/>
      </rPr>
      <t>25-3</t>
    </r>
    <r>
      <rPr>
        <sz val="12"/>
        <color theme="1"/>
        <rFont val="標楷體"/>
        <family val="4"/>
        <charset val="136"/>
      </rPr>
      <t>：重大事故賠案明細表</t>
    </r>
  </si>
  <si>
    <r>
      <rPr>
        <sz val="12"/>
        <color theme="1"/>
        <rFont val="標楷體"/>
        <family val="4"/>
        <charset val="136"/>
      </rPr>
      <t>表</t>
    </r>
    <r>
      <rPr>
        <sz val="12"/>
        <color theme="1"/>
        <rFont val="Times New Roman"/>
        <family val="1"/>
      </rPr>
      <t>25-4</t>
    </r>
    <r>
      <rPr>
        <sz val="12"/>
        <color theme="1"/>
        <rFont val="標楷體"/>
        <family val="4"/>
        <charset val="136"/>
      </rPr>
      <t>：重大事故賠款金額明細表</t>
    </r>
  </si>
  <si>
    <r>
      <rPr>
        <sz val="12"/>
        <color theme="1"/>
        <rFont val="標楷體"/>
        <family val="4"/>
        <charset val="136"/>
      </rPr>
      <t>表</t>
    </r>
    <r>
      <rPr>
        <sz val="12"/>
        <color theme="1"/>
        <rFont val="Times New Roman"/>
        <family val="1"/>
      </rPr>
      <t>25-5</t>
    </r>
    <r>
      <rPr>
        <sz val="12"/>
        <color theme="1"/>
        <rFont val="標楷體"/>
        <family val="4"/>
        <charset val="136"/>
      </rPr>
      <t>：重大事故特別準備金收回提存明細表</t>
    </r>
  </si>
  <si>
    <r>
      <rPr>
        <sz val="12"/>
        <color theme="1"/>
        <rFont val="標楷體"/>
        <family val="4"/>
        <charset val="136"/>
      </rPr>
      <t>表</t>
    </r>
    <r>
      <rPr>
        <sz val="12"/>
        <color theme="1"/>
        <rFont val="Times New Roman"/>
        <family val="1"/>
      </rPr>
      <t>25-6</t>
    </r>
    <r>
      <rPr>
        <sz val="12"/>
        <color theme="1"/>
        <rFont val="標楷體"/>
        <family val="4"/>
        <charset val="136"/>
      </rPr>
      <t>：重大事故特別準備金提存沖回紀錄表</t>
    </r>
  </si>
  <si>
    <r>
      <rPr>
        <sz val="12"/>
        <color theme="1"/>
        <rFont val="標楷體"/>
        <family val="4"/>
        <charset val="136"/>
      </rPr>
      <t>表</t>
    </r>
    <r>
      <rPr>
        <sz val="12"/>
        <color theme="1"/>
        <rFont val="Times New Roman"/>
        <family val="1"/>
      </rPr>
      <t>25-7</t>
    </r>
    <r>
      <rPr>
        <sz val="12"/>
        <color theme="1"/>
        <rFont val="標楷體"/>
        <family val="4"/>
        <charset val="136"/>
      </rPr>
      <t>：住宅抵押貸款信用保證保險特別準備金計算表</t>
    </r>
  </si>
  <si>
    <r>
      <rPr>
        <sz val="12"/>
        <color theme="1"/>
        <rFont val="標楷體"/>
        <family val="4"/>
        <charset val="136"/>
      </rPr>
      <t>表</t>
    </r>
    <r>
      <rPr>
        <sz val="12"/>
        <color theme="1"/>
        <rFont val="Times New Roman"/>
        <family val="1"/>
      </rPr>
      <t>25-8</t>
    </r>
    <r>
      <rPr>
        <sz val="12"/>
        <color theme="1"/>
        <rFont val="標楷體"/>
        <family val="4"/>
        <charset val="136"/>
      </rPr>
      <t>：帳列負債之特別準備明細表</t>
    </r>
    <phoneticPr fontId="9" type="noConversion"/>
  </si>
  <si>
    <r>
      <rPr>
        <sz val="12"/>
        <color theme="1"/>
        <rFont val="標楷體"/>
        <family val="4"/>
        <charset val="136"/>
      </rPr>
      <t>表</t>
    </r>
    <r>
      <rPr>
        <sz val="12"/>
        <color theme="1"/>
        <rFont val="Times New Roman"/>
        <family val="1"/>
      </rPr>
      <t>26-1</t>
    </r>
    <r>
      <rPr>
        <sz val="12"/>
        <color theme="1"/>
        <rFont val="標楷體"/>
        <family val="4"/>
        <charset val="136"/>
      </rPr>
      <t>：賠款準備金明細表</t>
    </r>
  </si>
  <si>
    <r>
      <rPr>
        <sz val="12"/>
        <color theme="1"/>
        <rFont val="標楷體"/>
        <family val="4"/>
        <charset val="136"/>
      </rPr>
      <t>表</t>
    </r>
    <r>
      <rPr>
        <sz val="12"/>
        <color theme="1"/>
        <rFont val="Times New Roman"/>
        <family val="1"/>
      </rPr>
      <t>26-2</t>
    </r>
    <r>
      <rPr>
        <sz val="12"/>
        <color theme="1"/>
        <rFont val="標楷體"/>
        <family val="4"/>
        <charset val="136"/>
      </rPr>
      <t>：直接業務損失發展趨勢分析表</t>
    </r>
  </si>
  <si>
    <r>
      <rPr>
        <sz val="12"/>
        <color theme="1"/>
        <rFont val="標楷體"/>
        <family val="4"/>
        <charset val="136"/>
      </rPr>
      <t>表</t>
    </r>
    <r>
      <rPr>
        <sz val="12"/>
        <color theme="1"/>
        <rFont val="Times New Roman"/>
        <family val="1"/>
      </rPr>
      <t>26-3</t>
    </r>
    <r>
      <rPr>
        <sz val="12"/>
        <color theme="1"/>
        <rFont val="標楷體"/>
        <family val="4"/>
        <charset val="136"/>
      </rPr>
      <t>：自留業務損失發展趨勢分析表</t>
    </r>
  </si>
  <si>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phoneticPr fontId="9" type="noConversion"/>
  </si>
  <si>
    <r>
      <rPr>
        <sz val="12"/>
        <color theme="1"/>
        <rFont val="標楷體"/>
        <family val="4"/>
        <charset val="136"/>
      </rPr>
      <t>表</t>
    </r>
    <r>
      <rPr>
        <sz val="12"/>
        <color theme="1"/>
        <rFont val="Times New Roman"/>
        <family val="1"/>
      </rPr>
      <t>26-5</t>
    </r>
    <r>
      <rPr>
        <sz val="12"/>
        <color theme="1"/>
        <rFont val="標楷體"/>
        <family val="4"/>
        <charset val="136"/>
      </rPr>
      <t>：負債適足準備明細表</t>
    </r>
  </si>
  <si>
    <r>
      <rPr>
        <sz val="12"/>
        <color theme="1"/>
        <rFont val="標楷體"/>
        <family val="4"/>
        <charset val="136"/>
      </rPr>
      <t>表</t>
    </r>
    <r>
      <rPr>
        <sz val="12"/>
        <color theme="1"/>
        <rFont val="Times New Roman"/>
        <family val="1"/>
      </rPr>
      <t>26-6</t>
    </r>
    <r>
      <rPr>
        <sz val="12"/>
        <color theme="1"/>
        <rFont val="標楷體"/>
        <family val="4"/>
        <charset val="136"/>
      </rPr>
      <t>：具金融商品性質之保險契約準備明細表</t>
    </r>
    <phoneticPr fontId="9" type="noConversion"/>
  </si>
  <si>
    <r>
      <rPr>
        <sz val="12"/>
        <color theme="1"/>
        <rFont val="標楷體"/>
        <family val="4"/>
        <charset val="136"/>
      </rPr>
      <t>表</t>
    </r>
    <r>
      <rPr>
        <sz val="12"/>
        <color theme="1"/>
        <rFont val="Times New Roman"/>
        <family val="1"/>
      </rPr>
      <t>26-7</t>
    </r>
    <r>
      <rPr>
        <sz val="12"/>
        <color theme="1"/>
        <rFont val="標楷體"/>
        <family val="4"/>
        <charset val="136"/>
      </rPr>
      <t>：住宅地震保險共保分進業務特別準備金計算表</t>
    </r>
    <phoneticPr fontId="9" type="noConversion"/>
  </si>
  <si>
    <r>
      <rPr>
        <sz val="12"/>
        <color theme="1"/>
        <rFont val="標楷體"/>
        <family val="4"/>
        <charset val="136"/>
      </rPr>
      <t>表</t>
    </r>
    <r>
      <rPr>
        <sz val="12"/>
        <color theme="1"/>
        <rFont val="Times New Roman"/>
        <family val="1"/>
      </rPr>
      <t>27-1</t>
    </r>
    <r>
      <rPr>
        <sz val="12"/>
        <color theme="1"/>
        <rFont val="標楷體"/>
        <family val="4"/>
        <charset val="136"/>
      </rPr>
      <t>：保險費用表一</t>
    </r>
    <r>
      <rPr>
        <sz val="12"/>
        <color theme="1"/>
        <rFont val="Times New Roman"/>
        <family val="1"/>
      </rPr>
      <t>(A0)-</t>
    </r>
    <r>
      <rPr>
        <sz val="12"/>
        <color theme="1"/>
        <rFont val="標楷體"/>
        <family val="4"/>
        <charset val="136"/>
      </rPr>
      <t>營業費用明細</t>
    </r>
  </si>
  <si>
    <r>
      <rPr>
        <sz val="12"/>
        <color theme="1"/>
        <rFont val="標楷體"/>
        <family val="4"/>
        <charset val="136"/>
      </rPr>
      <t>表</t>
    </r>
    <r>
      <rPr>
        <sz val="12"/>
        <color theme="1"/>
        <rFont val="Times New Roman"/>
        <family val="1"/>
      </rPr>
      <t>27-2</t>
    </r>
    <r>
      <rPr>
        <sz val="12"/>
        <color theme="1"/>
        <rFont val="標楷體"/>
        <family val="4"/>
        <charset val="136"/>
      </rPr>
      <t>：保險費用表二</t>
    </r>
    <r>
      <rPr>
        <sz val="12"/>
        <color theme="1"/>
        <rFont val="Times New Roman"/>
        <family val="1"/>
      </rPr>
      <t>(A1)-</t>
    </r>
    <r>
      <rPr>
        <sz val="12"/>
        <color theme="1"/>
        <rFont val="標楷體"/>
        <family val="4"/>
        <charset val="136"/>
      </rPr>
      <t>自留業務部份</t>
    </r>
  </si>
  <si>
    <r>
      <rPr>
        <sz val="12"/>
        <color theme="1"/>
        <rFont val="標楷體"/>
        <family val="4"/>
        <charset val="136"/>
      </rPr>
      <t>表</t>
    </r>
    <r>
      <rPr>
        <sz val="12"/>
        <color theme="1"/>
        <rFont val="Times New Roman"/>
        <family val="1"/>
      </rPr>
      <t>27-3</t>
    </r>
    <r>
      <rPr>
        <sz val="12"/>
        <color theme="1"/>
        <rFont val="標楷體"/>
        <family val="4"/>
        <charset val="136"/>
      </rPr>
      <t>：保險費用表三</t>
    </r>
    <r>
      <rPr>
        <sz val="12"/>
        <color theme="1"/>
        <rFont val="Times New Roman"/>
        <family val="1"/>
      </rPr>
      <t>(A2)-</t>
    </r>
    <r>
      <rPr>
        <sz val="12"/>
        <color theme="1"/>
        <rFont val="標楷體"/>
        <family val="4"/>
        <charset val="136"/>
      </rPr>
      <t>直接業務部份</t>
    </r>
  </si>
  <si>
    <r>
      <rPr>
        <sz val="12"/>
        <color theme="1"/>
        <rFont val="標楷體"/>
        <family val="4"/>
        <charset val="136"/>
      </rPr>
      <t>表</t>
    </r>
    <r>
      <rPr>
        <sz val="12"/>
        <color theme="1"/>
        <rFont val="Times New Roman"/>
        <family val="1"/>
      </rPr>
      <t>27-4</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險種別</t>
    </r>
    <r>
      <rPr>
        <sz val="12"/>
        <color theme="1"/>
        <rFont val="Times New Roman"/>
        <family val="1"/>
      </rPr>
      <t>)</t>
    </r>
    <phoneticPr fontId="9" type="noConversion"/>
  </si>
  <si>
    <r>
      <rPr>
        <sz val="12"/>
        <color theme="1"/>
        <rFont val="標楷體"/>
        <family val="4"/>
        <charset val="136"/>
      </rPr>
      <t>表</t>
    </r>
    <r>
      <rPr>
        <sz val="12"/>
        <color theme="1"/>
        <rFont val="Times New Roman"/>
        <family val="1"/>
      </rPr>
      <t>27-4-1</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商品別</t>
    </r>
    <r>
      <rPr>
        <sz val="12"/>
        <color theme="1"/>
        <rFont val="Times New Roman"/>
        <family val="1"/>
      </rPr>
      <t>)</t>
    </r>
    <phoneticPr fontId="7" type="noConversion"/>
  </si>
  <si>
    <r>
      <rPr>
        <sz val="12"/>
        <color theme="1"/>
        <rFont val="標楷體"/>
        <family val="4"/>
        <charset val="136"/>
      </rPr>
      <t>表</t>
    </r>
    <r>
      <rPr>
        <sz val="12"/>
        <color theme="1"/>
        <rFont val="Times New Roman"/>
        <family val="1"/>
      </rPr>
      <t>27-4-2</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任意汽車保險及火災保險檢核表</t>
    </r>
    <phoneticPr fontId="7"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</si>
  <si>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9"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</si>
  <si>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9"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</si>
  <si>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</si>
  <si>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9"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</si>
  <si>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9"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</si>
  <si>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9"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</si>
  <si>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9"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</si>
  <si>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</si>
  <si>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9"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</si>
  <si>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9"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</si>
  <si>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9"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</si>
  <si>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</si>
  <si>
    <r>
      <rPr>
        <sz val="12"/>
        <color theme="1"/>
        <rFont val="標楷體"/>
        <family val="4"/>
        <charset val="136"/>
      </rPr>
      <t>免查列</t>
    </r>
    <r>
      <rPr>
        <sz val="12"/>
        <color theme="1"/>
        <rFont val="Times New Roman"/>
        <family val="1"/>
      </rPr>
      <t>(22)(23)</t>
    </r>
    <phoneticPr fontId="9"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</si>
  <si>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9"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</si>
  <si>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7"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</si>
  <si>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</si>
  <si>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9"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</si>
  <si>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C1b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phoneticPr fontId="7"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</si>
  <si>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9"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</si>
  <si>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</si>
  <si>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phoneticPr fontId="9"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</si>
  <si>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</si>
  <si>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t>
    </r>
    <r>
      <rPr>
        <sz val="12"/>
        <color theme="1"/>
        <rFont val="Times New Roman"/>
        <family val="1"/>
      </rPr>
      <t>R3c</t>
    </r>
    <r>
      <rPr>
        <sz val="12"/>
        <color theme="1"/>
        <rFont val="標楷體"/>
        <family val="4"/>
        <charset val="136"/>
      </rPr>
      <t>：核保風險</t>
    </r>
    <r>
      <rPr>
        <sz val="12"/>
        <color theme="1"/>
        <rFont val="Times New Roman"/>
        <family val="1"/>
      </rPr>
      <t>--</t>
    </r>
    <r>
      <rPr>
        <sz val="12"/>
        <color theme="1"/>
        <rFont val="標楷體"/>
        <family val="4"/>
        <charset val="136"/>
      </rPr>
      <t>長年期保險風險計算表</t>
    </r>
    <phoneticPr fontId="9" type="noConversion"/>
  </si>
  <si>
    <r>
      <rPr>
        <sz val="12"/>
        <color theme="1"/>
        <rFont val="標楷體"/>
        <family val="4"/>
        <charset val="136"/>
      </rPr>
      <t>表</t>
    </r>
    <r>
      <rPr>
        <sz val="12"/>
        <color theme="1"/>
        <rFont val="Times New Roman"/>
        <family val="1"/>
      </rPr>
      <t>30-5-2</t>
    </r>
    <r>
      <rPr>
        <sz val="12"/>
        <color theme="1"/>
        <rFont val="標楷體"/>
        <family val="4"/>
        <charset val="136"/>
      </rPr>
      <t>：</t>
    </r>
    <r>
      <rPr>
        <sz val="12"/>
        <color theme="1"/>
        <rFont val="Times New Roman"/>
        <family val="1"/>
      </rPr>
      <t>R</t>
    </r>
    <r>
      <rPr>
        <vertAlign val="subscript"/>
        <sz val="12"/>
        <color theme="1"/>
        <rFont val="Times New Roman"/>
        <family val="1"/>
      </rPr>
      <t>3d</t>
    </r>
    <r>
      <rPr>
        <sz val="12"/>
        <color theme="1"/>
        <rFont val="標楷體"/>
        <family val="4"/>
        <charset val="136"/>
      </rPr>
      <t>：巨災風險資本計算表</t>
    </r>
    <phoneticPr fontId="9" type="noConversion"/>
  </si>
  <si>
    <r>
      <rPr>
        <sz val="12"/>
        <color theme="1"/>
        <rFont val="標楷體"/>
        <family val="4"/>
        <charset val="136"/>
      </rPr>
      <t>表</t>
    </r>
    <r>
      <rPr>
        <sz val="12"/>
        <color theme="1"/>
        <rFont val="Times New Roman"/>
        <family val="1"/>
      </rPr>
      <t>30-5-2-1-1</t>
    </r>
    <r>
      <rPr>
        <sz val="12"/>
        <color theme="1"/>
        <rFont val="標楷體"/>
        <family val="4"/>
        <charset val="136"/>
      </rPr>
      <t>：天災風險計算表</t>
    </r>
    <phoneticPr fontId="9" type="noConversion"/>
  </si>
  <si>
    <r>
      <rPr>
        <sz val="12"/>
        <color theme="1"/>
        <rFont val="標楷體"/>
        <family val="4"/>
        <charset val="136"/>
      </rPr>
      <t>表</t>
    </r>
    <r>
      <rPr>
        <sz val="12"/>
        <color theme="1"/>
        <rFont val="Times New Roman"/>
        <family val="1"/>
      </rPr>
      <t>30-5-2-1-2</t>
    </r>
    <r>
      <rPr>
        <sz val="12"/>
        <color theme="1"/>
        <rFont val="標楷體"/>
        <family val="4"/>
        <charset val="136"/>
      </rPr>
      <t>：其他巨災風險計算表</t>
    </r>
    <phoneticPr fontId="9" type="noConversion"/>
  </si>
  <si>
    <r>
      <rPr>
        <sz val="12"/>
        <color theme="1"/>
        <rFont val="標楷體"/>
        <family val="4"/>
        <charset val="136"/>
      </rPr>
      <t>表</t>
    </r>
    <r>
      <rPr>
        <sz val="12"/>
        <color theme="1"/>
        <rFont val="Times New Roman"/>
        <family val="1"/>
      </rPr>
      <t>30-5-2-2-1</t>
    </r>
    <r>
      <rPr>
        <sz val="12"/>
        <color theme="1"/>
        <rFont val="標楷體"/>
        <family val="4"/>
        <charset val="136"/>
      </rPr>
      <t>：地震損失評估</t>
    </r>
  </si>
  <si>
    <r>
      <rPr>
        <sz val="12"/>
        <color theme="1"/>
        <rFont val="標楷體"/>
        <family val="4"/>
        <charset val="136"/>
      </rPr>
      <t>表</t>
    </r>
    <r>
      <rPr>
        <sz val="12"/>
        <color theme="1"/>
        <rFont val="Times New Roman"/>
        <family val="1"/>
      </rPr>
      <t>30-5-2-2-2</t>
    </r>
    <r>
      <rPr>
        <sz val="12"/>
        <color theme="1"/>
        <rFont val="標楷體"/>
        <family val="4"/>
        <charset val="136"/>
      </rPr>
      <t>：颱風洪水損失評估</t>
    </r>
  </si>
  <si>
    <r>
      <rPr>
        <sz val="12"/>
        <color theme="1"/>
        <rFont val="標楷體"/>
        <family val="4"/>
        <charset val="136"/>
      </rPr>
      <t>表</t>
    </r>
    <r>
      <rPr>
        <sz val="12"/>
        <color theme="1"/>
        <rFont val="Times New Roman"/>
        <family val="1"/>
      </rPr>
      <t>30-5-2-2-3</t>
    </r>
    <r>
      <rPr>
        <sz val="12"/>
        <color theme="1"/>
        <rFont val="標楷體"/>
        <family val="4"/>
        <charset val="136"/>
      </rPr>
      <t>：其他巨災風險損失評估</t>
    </r>
    <phoneticPr fontId="9" type="noConversion"/>
  </si>
  <si>
    <r>
      <rPr>
        <sz val="12"/>
        <color theme="1"/>
        <rFont val="標楷體"/>
        <family val="4"/>
        <charset val="136"/>
      </rPr>
      <t>表</t>
    </r>
    <r>
      <rPr>
        <sz val="12"/>
        <color theme="1"/>
        <rFont val="Times New Roman"/>
        <family val="1"/>
      </rPr>
      <t>30-5-2-3-1</t>
    </r>
    <r>
      <rPr>
        <sz val="12"/>
        <color theme="1"/>
        <rFont val="標楷體"/>
        <family val="4"/>
        <charset val="136"/>
      </rPr>
      <t>：特殊業務資料表</t>
    </r>
    <r>
      <rPr>
        <sz val="12"/>
        <color theme="1"/>
        <rFont val="Times New Roman"/>
        <family val="1"/>
      </rPr>
      <t>(</t>
    </r>
    <r>
      <rPr>
        <sz val="12"/>
        <color theme="1"/>
        <rFont val="標楷體"/>
        <family val="4"/>
        <charset val="136"/>
      </rPr>
      <t>地震</t>
    </r>
    <r>
      <rPr>
        <sz val="12"/>
        <color theme="1"/>
        <rFont val="Times New Roman"/>
        <family val="1"/>
      </rPr>
      <t>)</t>
    </r>
  </si>
  <si>
    <r>
      <rPr>
        <sz val="12"/>
        <color theme="1"/>
        <rFont val="標楷體"/>
        <family val="4"/>
        <charset val="136"/>
      </rPr>
      <t>表</t>
    </r>
    <r>
      <rPr>
        <sz val="12"/>
        <color theme="1"/>
        <rFont val="Times New Roman"/>
        <family val="1"/>
      </rPr>
      <t>30-5-2-3-2</t>
    </r>
    <r>
      <rPr>
        <sz val="12"/>
        <color theme="1"/>
        <rFont val="標楷體"/>
        <family val="4"/>
        <charset val="136"/>
      </rPr>
      <t>：特殊業務資料表</t>
    </r>
    <r>
      <rPr>
        <sz val="12"/>
        <color theme="1"/>
        <rFont val="Times New Roman"/>
        <family val="1"/>
      </rPr>
      <t>(</t>
    </r>
    <r>
      <rPr>
        <sz val="12"/>
        <color theme="1"/>
        <rFont val="標楷體"/>
        <family val="4"/>
        <charset val="136"/>
      </rPr>
      <t>颱風洪水</t>
    </r>
    <r>
      <rPr>
        <sz val="12"/>
        <color theme="1"/>
        <rFont val="Times New Roman"/>
        <family val="1"/>
      </rPr>
      <t>)</t>
    </r>
  </si>
  <si>
    <r>
      <rPr>
        <sz val="12"/>
        <color theme="1"/>
        <rFont val="標楷體"/>
        <family val="4"/>
        <charset val="136"/>
      </rPr>
      <t>表</t>
    </r>
    <r>
      <rPr>
        <sz val="12"/>
        <color theme="1"/>
        <rFont val="Times New Roman"/>
        <family val="1"/>
      </rPr>
      <t>30-5-2-4-1</t>
    </r>
    <r>
      <rPr>
        <sz val="12"/>
        <color theme="1"/>
        <rFont val="標楷體"/>
        <family val="4"/>
        <charset val="136"/>
      </rPr>
      <t>：天災模型風險係數</t>
    </r>
    <r>
      <rPr>
        <sz val="12"/>
        <color theme="1"/>
        <rFont val="Times New Roman"/>
        <family val="1"/>
      </rPr>
      <t>(</t>
    </r>
    <r>
      <rPr>
        <sz val="12"/>
        <color theme="1"/>
        <rFont val="標楷體"/>
        <family val="4"/>
        <charset val="136"/>
      </rPr>
      <t>車火</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</si>
  <si>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30-5-2-4-2</t>
    </r>
    <r>
      <rPr>
        <sz val="12"/>
        <color theme="1"/>
        <rFont val="標楷體"/>
        <family val="4"/>
        <charset val="136"/>
      </rPr>
      <t>：天災模型風險係數</t>
    </r>
    <r>
      <rPr>
        <sz val="12"/>
        <color theme="1"/>
        <rFont val="Times New Roman"/>
        <family val="1"/>
      </rPr>
      <t>(</t>
    </r>
    <r>
      <rPr>
        <sz val="12"/>
        <color theme="1"/>
        <rFont val="標楷體"/>
        <family val="4"/>
        <charset val="136"/>
      </rPr>
      <t>水工</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</si>
  <si>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30-5-2-4-3</t>
    </r>
    <r>
      <rPr>
        <sz val="12"/>
        <color theme="1"/>
        <rFont val="標楷體"/>
        <family val="4"/>
        <charset val="136"/>
      </rPr>
      <t>：其他巨災模型風險係數</t>
    </r>
    <phoneticPr fontId="9" type="noConversion"/>
  </si>
  <si>
    <r>
      <rPr>
        <sz val="12"/>
        <color theme="1"/>
        <rFont val="標楷體"/>
        <family val="4"/>
        <charset val="136"/>
      </rPr>
      <t>表</t>
    </r>
    <r>
      <rPr>
        <sz val="12"/>
        <color theme="1"/>
        <rFont val="Times New Roman"/>
        <family val="1"/>
      </rPr>
      <t>30-5-2-5-1</t>
    </r>
    <r>
      <rPr>
        <sz val="12"/>
        <color theme="1"/>
        <rFont val="標楷體"/>
        <family val="4"/>
        <charset val="136"/>
      </rPr>
      <t>：火險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</si>
  <si>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30-5-2-5-2</t>
    </r>
    <r>
      <rPr>
        <sz val="12"/>
        <color theme="1"/>
        <rFont val="標楷體"/>
        <family val="4"/>
        <charset val="136"/>
      </rPr>
      <t>：工程險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</si>
  <si>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30-5-2-5-3</t>
    </r>
    <r>
      <rPr>
        <sz val="12"/>
        <color theme="1"/>
        <rFont val="標楷體"/>
        <family val="4"/>
        <charset val="136"/>
      </rPr>
      <t>：火險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</si>
  <si>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30-5-2-5-4</t>
    </r>
    <r>
      <rPr>
        <sz val="12"/>
        <color theme="1"/>
        <rFont val="標楷體"/>
        <family val="4"/>
        <charset val="136"/>
      </rPr>
      <t>：工程險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</si>
  <si>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30-5-2-6</t>
    </r>
    <r>
      <rPr>
        <sz val="12"/>
        <color theme="1"/>
        <rFont val="標楷體"/>
        <family val="4"/>
        <charset val="136"/>
      </rPr>
      <t>：特殊業務表填報範例</t>
    </r>
  </si>
  <si>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</si>
  <si>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</si>
  <si>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</si>
  <si>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9"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</si>
  <si>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9"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</si>
  <si>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7"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</si>
  <si>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9"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</si>
  <si>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9"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</si>
  <si>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9"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</si>
  <si>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9"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</si>
  <si>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：得計入自有資本之重大事故特別準備金</t>
    </r>
    <phoneticPr fontId="9"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</si>
  <si>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</si>
  <si>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</si>
  <si>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</si>
  <si>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</si>
  <si>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7"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</si>
  <si>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7"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</si>
  <si>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7"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</si>
  <si>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7"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</si>
  <si>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</si>
  <si>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</si>
  <si>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7" type="noConversion"/>
  </si>
  <si>
    <r>
      <rPr>
        <sz val="12"/>
        <color theme="1"/>
        <rFont val="標楷體"/>
        <family val="4"/>
        <charset val="136"/>
      </rPr>
      <t>註</t>
    </r>
    <phoneticPr fontId="7"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</si>
  <si>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7"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</si>
  <si>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7" type="noConversion"/>
  </si>
  <si>
    <r>
      <rPr>
        <sz val="12"/>
        <color theme="1"/>
        <rFont val="標楷體"/>
        <family val="4"/>
        <charset val="136"/>
      </rPr>
      <t>所稱會計師年度查核表格係指屬保險業內部控制及稽核制度實施辦法第二十九條規定之報表及保險業資本適足性管理辦法第五條之報表</t>
    </r>
    <phoneticPr fontId="7" type="noConversion"/>
  </si>
  <si>
    <r>
      <rPr>
        <sz val="12"/>
        <color theme="1"/>
        <rFont val="標楷體"/>
        <family val="4"/>
        <charset val="136"/>
      </rPr>
      <t>各式半年及年報應於主管機關規定期限報送</t>
    </r>
    <phoneticPr fontId="7"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</si>
  <si>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7"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</si>
  <si>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7"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</si>
  <si>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7"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</si>
  <si>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7"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</si>
  <si>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9"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</si>
  <si>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(77+78+79</t>
    </r>
    <r>
      <rPr>
        <sz val="12"/>
        <color rgb="FFFF0000"/>
        <rFont val="Times New Roman"/>
        <family val="1"/>
      </rPr>
      <t>+80</t>
    </r>
    <r>
      <rPr>
        <sz val="12"/>
        <color indexed="8"/>
        <rFont val="Times New Roman"/>
        <family val="1"/>
      </rPr>
      <t>)</t>
    </r>
    <r>
      <rPr>
        <sz val="12"/>
        <color indexed="8"/>
        <rFont val="標楷體"/>
        <family val="4"/>
        <charset val="136"/>
      </rPr>
      <t>列合計數應與表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(15+16)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</si>
  <si>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97</t>
    </r>
    <r>
      <rPr>
        <sz val="12"/>
        <color indexed="8"/>
        <rFont val="Times New Roman"/>
        <family val="1"/>
      </rPr>
      <t>)</t>
    </r>
    <r>
      <rPr>
        <sz val="12"/>
        <color indexed="8"/>
        <rFont val="標楷體"/>
        <family val="4"/>
        <charset val="136"/>
      </rPr>
      <t>列加計表</t>
    </r>
    <r>
      <rPr>
        <sz val="12"/>
        <color indexed="8"/>
        <rFont val="Times New Roman"/>
        <family val="1"/>
      </rPr>
      <t>30-8-7</t>
    </r>
    <r>
      <rPr>
        <sz val="12"/>
        <color indexed="8"/>
        <rFont val="標楷體"/>
        <family val="4"/>
        <charset val="136"/>
      </rPr>
      <t>第</t>
    </r>
    <r>
      <rPr>
        <sz val="12"/>
        <color indexed="8"/>
        <rFont val="Times New Roman"/>
        <family val="1"/>
      </rPr>
      <t>(28)</t>
    </r>
    <r>
      <rPr>
        <sz val="12"/>
        <color indexed="8"/>
        <rFont val="標楷體"/>
        <family val="4"/>
        <charset val="136"/>
      </rPr>
      <t>欄第</t>
    </r>
    <r>
      <rPr>
        <sz val="12"/>
        <color indexed="8"/>
        <rFont val="Times New Roman"/>
        <family val="1"/>
      </rPr>
      <t>(12)</t>
    </r>
    <r>
      <rPr>
        <sz val="12"/>
        <color indexed="8"/>
        <rFont val="標楷體"/>
        <family val="4"/>
        <charset val="136"/>
      </rPr>
      <t>列之合計數應與表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(10+26)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</si>
  <si>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116</t>
    </r>
    <r>
      <rPr>
        <sz val="12"/>
        <color indexed="8"/>
        <rFont val="Times New Roman"/>
        <family val="1"/>
      </rPr>
      <t>)</t>
    </r>
    <r>
      <rPr>
        <sz val="12"/>
        <color indexed="8"/>
        <rFont val="標楷體"/>
        <family val="4"/>
        <charset val="136"/>
      </rPr>
      <t>列應與表</t>
    </r>
    <r>
      <rPr>
        <sz val="12"/>
        <color indexed="8"/>
        <rFont val="Times New Roman"/>
        <family val="1"/>
      </rPr>
      <t>30-8-7</t>
    </r>
    <r>
      <rPr>
        <sz val="12"/>
        <color indexed="8"/>
        <rFont val="標楷體"/>
        <family val="4"/>
        <charset val="136"/>
      </rPr>
      <t>第</t>
    </r>
    <r>
      <rPr>
        <sz val="12"/>
        <color indexed="8"/>
        <rFont val="Times New Roman"/>
        <family val="1"/>
      </rPr>
      <t>(27)</t>
    </r>
    <r>
      <rPr>
        <sz val="12"/>
        <color indexed="8"/>
        <rFont val="標楷體"/>
        <family val="4"/>
        <charset val="136"/>
      </rPr>
      <t>欄第</t>
    </r>
    <r>
      <rPr>
        <sz val="12"/>
        <color indexed="8"/>
        <rFont val="Times New Roman"/>
        <family val="1"/>
      </rPr>
      <t>(14)</t>
    </r>
    <r>
      <rPr>
        <sz val="12"/>
        <color indexed="8"/>
        <rFont val="標楷體"/>
        <family val="4"/>
        <charset val="136"/>
      </rPr>
      <t>列金額相等。</t>
    </r>
    <phoneticPr fontId="7" type="noConversion"/>
  </si>
  <si>
    <r>
      <t>R</t>
    </r>
    <r>
      <rPr>
        <vertAlign val="subscript"/>
        <sz val="12"/>
        <color theme="1"/>
        <rFont val="Times New Roman"/>
        <family val="1"/>
      </rPr>
      <t>3c</t>
    </r>
    <r>
      <rPr>
        <sz val="12"/>
        <color theme="1"/>
        <rFont val="標楷體"/>
        <family val="4"/>
        <charset val="136"/>
      </rPr>
      <t>：核保風險</t>
    </r>
    <r>
      <rPr>
        <sz val="12"/>
        <color theme="1"/>
        <rFont val="Times New Roman"/>
        <family val="1"/>
      </rPr>
      <t>--</t>
    </r>
    <r>
      <rPr>
        <sz val="12"/>
        <color theme="1"/>
        <rFont val="標楷體"/>
        <family val="4"/>
        <charset val="136"/>
      </rPr>
      <t>長年期保險風險</t>
    </r>
    <phoneticPr fontId="9" type="noConversion"/>
  </si>
  <si>
    <r>
      <t>R</t>
    </r>
    <r>
      <rPr>
        <vertAlign val="subscript"/>
        <sz val="12"/>
        <color theme="1"/>
        <rFont val="Times New Roman"/>
        <family val="1"/>
      </rPr>
      <t>3d</t>
    </r>
    <r>
      <rPr>
        <sz val="12"/>
        <color theme="1"/>
        <rFont val="標楷體"/>
        <family val="4"/>
        <charset val="136"/>
      </rPr>
      <t>：巨災風險</t>
    </r>
    <phoneticPr fontId="9" type="noConversion"/>
  </si>
  <si>
    <r>
      <t>R</t>
    </r>
    <r>
      <rPr>
        <vertAlign val="subscript"/>
        <sz val="12"/>
        <color theme="1"/>
        <rFont val="Times New Roman"/>
        <family val="1"/>
      </rPr>
      <t>4</t>
    </r>
    <r>
      <rPr>
        <sz val="12"/>
        <color theme="1"/>
        <rFont val="標楷體"/>
        <family val="4"/>
        <charset val="136"/>
      </rPr>
      <t>：資產負債配置風險</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</si>
  <si>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(19-</t>
    </r>
    <r>
      <rPr>
        <sz val="12"/>
        <color rgb="FFEE0000"/>
        <rFont val="Times New Roman"/>
        <family val="1"/>
      </rPr>
      <t>116</t>
    </r>
    <r>
      <rPr>
        <sz val="12"/>
        <color indexed="8"/>
        <rFont val="Times New Roman"/>
        <family val="1"/>
      </rPr>
      <t>)</t>
    </r>
    <r>
      <rPr>
        <sz val="12"/>
        <color indexed="8"/>
        <rFont val="標楷體"/>
        <family val="4"/>
        <charset val="136"/>
      </rPr>
      <t>列</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</si>
  <si>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t>
    </r>
    <r>
      <rPr>
        <sz val="12"/>
        <color rgb="FFEE0000"/>
        <rFont val="Times New Roman"/>
        <family val="1"/>
      </rPr>
      <t>97</t>
    </r>
    <r>
      <rPr>
        <sz val="12"/>
        <color indexed="8"/>
        <rFont val="Times New Roman"/>
        <family val="1"/>
      </rPr>
      <t>)</t>
    </r>
    <r>
      <rPr>
        <sz val="12"/>
        <color indexed="8"/>
        <rFont val="標楷體"/>
        <family val="4"/>
        <charset val="136"/>
      </rPr>
      <t>列</t>
    </r>
    <phoneticPr fontId="9"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</si>
  <si>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9" type="noConversion"/>
  </si>
  <si>
    <r>
      <rPr>
        <sz val="10"/>
        <rFont val="標楷體"/>
        <family val="4"/>
        <charset val="136"/>
      </rPr>
      <t>「表</t>
    </r>
    <r>
      <rPr>
        <sz val="10"/>
        <rFont val="Times New Roman"/>
        <family val="1"/>
      </rPr>
      <t>30-5-2</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(30)</t>
    </r>
    <r>
      <rPr>
        <sz val="10"/>
        <rFont val="標楷體"/>
        <family val="4"/>
        <charset val="136"/>
      </rPr>
      <t>列</t>
    </r>
    <phoneticPr fontId="7" type="noConversion"/>
  </si>
  <si>
    <r>
      <t>RP(</t>
    </r>
    <r>
      <rPr>
        <sz val="12"/>
        <rFont val="微軟正黑體"/>
        <family val="2"/>
        <charset val="136"/>
      </rPr>
      <t>營造綜合地震</t>
    </r>
    <r>
      <rPr>
        <sz val="12"/>
        <rFont val="Times New Roman"/>
        <family val="1"/>
      </rPr>
      <t>)</t>
    </r>
    <phoneticPr fontId="108" type="noConversion"/>
  </si>
  <si>
    <r>
      <t>RP(</t>
    </r>
    <r>
      <rPr>
        <sz val="12"/>
        <rFont val="微軟正黑體"/>
        <family val="2"/>
        <charset val="136"/>
      </rPr>
      <t>安裝工程綜合</t>
    </r>
    <r>
      <rPr>
        <sz val="12"/>
        <rFont val="Times New Roman"/>
        <family val="1"/>
      </rPr>
      <t>)</t>
    </r>
    <phoneticPr fontId="108" type="noConversion"/>
  </si>
  <si>
    <r>
      <t>RP(</t>
    </r>
    <r>
      <rPr>
        <sz val="12"/>
        <rFont val="微軟正黑體"/>
        <family val="2"/>
        <charset val="136"/>
      </rPr>
      <t>營造綜合</t>
    </r>
    <r>
      <rPr>
        <sz val="12"/>
        <rFont val="Times New Roman"/>
        <family val="1"/>
      </rPr>
      <t>)</t>
    </r>
    <phoneticPr fontId="9" type="noConversion"/>
  </si>
  <si>
    <r>
      <t>RP(</t>
    </r>
    <r>
      <rPr>
        <sz val="12"/>
        <rFont val="微軟正黑體"/>
        <family val="2"/>
        <charset val="136"/>
      </rPr>
      <t>安裝工程綜合</t>
    </r>
    <r>
      <rPr>
        <sz val="12"/>
        <rFont val="Times New Roman"/>
        <family val="1"/>
      </rPr>
      <t>)</t>
    </r>
    <phoneticPr fontId="9" type="noConversion"/>
  </si>
  <si>
    <t>巨災相關重大事故特別準備金</t>
    <phoneticPr fontId="9" type="noConversion"/>
  </si>
  <si>
    <r>
      <rPr>
        <sz val="11"/>
        <rFont val="標楷體"/>
        <family val="4"/>
        <charset val="136"/>
      </rPr>
      <t>列號</t>
    </r>
    <phoneticPr fontId="9" type="noConversion"/>
  </si>
  <si>
    <t>不含巨災之風險資本總額</t>
    <phoneticPr fontId="9" type="noConversion"/>
  </si>
  <si>
    <t>風險資本含巨災增加比率</t>
    <phoneticPr fontId="9" type="noConversion"/>
  </si>
  <si>
    <r>
      <t>註2：依據我國清償能力制度導入巨災風險資本計提規範，自有資本之計算加入</t>
    </r>
    <r>
      <rPr>
        <b/>
        <u/>
        <sz val="12"/>
        <rFont val="標楷體"/>
        <family val="4"/>
        <charset val="136"/>
      </rPr>
      <t>全險種</t>
    </r>
    <r>
      <rPr>
        <sz val="12"/>
        <rFont val="標楷體"/>
        <family val="4"/>
        <charset val="136"/>
      </rPr>
      <t>之重大事故特別準備金權益及負債合計金額，而自有資本可加回金額以納入巨災風險資本後風險資本總額之增幅比率為限。</t>
    </r>
    <phoneticPr fontId="9" type="noConversion"/>
  </si>
  <si>
    <r>
      <rPr>
        <sz val="10"/>
        <rFont val="標楷體"/>
        <family val="4"/>
        <charset val="136"/>
      </rPr>
      <t>表</t>
    </r>
    <r>
      <rPr>
        <sz val="10"/>
        <rFont val="Book Antiqua"/>
        <family val="1"/>
      </rPr>
      <t>30-11</t>
    </r>
    <r>
      <rPr>
        <sz val="10"/>
        <rFont val="標楷體"/>
        <family val="4"/>
        <charset val="136"/>
      </rPr>
      <t>：核保風險之損失及業務集中調整係數試算表</t>
    </r>
    <phoneticPr fontId="9" type="noConversion"/>
  </si>
  <si>
    <r>
      <rPr>
        <sz val="10"/>
        <rFont val="標楷體"/>
        <family val="4"/>
        <charset val="136"/>
      </rPr>
      <t>一、損失集中調整係數（</t>
    </r>
    <r>
      <rPr>
        <sz val="10"/>
        <rFont val="Book Antiqua"/>
        <family val="1"/>
      </rPr>
      <t>3a.3</t>
    </r>
    <r>
      <rPr>
        <sz val="10"/>
        <rFont val="標楷體"/>
        <family val="4"/>
        <charset val="136"/>
      </rPr>
      <t>）</t>
    </r>
    <phoneticPr fontId="9" type="noConversion"/>
  </si>
  <si>
    <r>
      <rPr>
        <sz val="10"/>
        <rFont val="標楷體"/>
        <family val="4"/>
        <charset val="136"/>
      </rPr>
      <t>金額</t>
    </r>
    <phoneticPr fontId="9" type="noConversion"/>
  </si>
  <si>
    <r>
      <rPr>
        <sz val="10"/>
        <rFont val="標楷體"/>
        <family val="4"/>
        <charset val="136"/>
      </rPr>
      <t>占總自留賠款準備金比率</t>
    </r>
    <r>
      <rPr>
        <sz val="10"/>
        <rFont val="Book Antiqua"/>
        <family val="1"/>
      </rPr>
      <t xml:space="preserve"> Zi</t>
    </r>
  </si>
  <si>
    <r>
      <t>Z</t>
    </r>
    <r>
      <rPr>
        <i/>
        <vertAlign val="subscript"/>
        <sz val="10"/>
        <rFont val="Book Antiqua"/>
        <family val="1"/>
      </rPr>
      <t>i</t>
    </r>
    <r>
      <rPr>
        <i/>
        <vertAlign val="superscript"/>
        <sz val="10"/>
        <rFont val="Book Antiqua"/>
        <family val="1"/>
      </rPr>
      <t>2</t>
    </r>
    <phoneticPr fontId="9" type="noConversion"/>
  </si>
  <si>
    <r>
      <t xml:space="preserve">3a.1.1   </t>
    </r>
    <r>
      <rPr>
        <sz val="10"/>
        <rFont val="標楷體"/>
        <family val="4"/>
        <charset val="136"/>
      </rPr>
      <t>一年期住宅火災保險</t>
    </r>
    <phoneticPr fontId="9" type="noConversion"/>
  </si>
  <si>
    <r>
      <t xml:space="preserve">3a.1.2   </t>
    </r>
    <r>
      <rPr>
        <sz val="10"/>
        <rFont val="標楷體"/>
        <family val="4"/>
        <charset val="136"/>
      </rPr>
      <t>長期住宅火災保險</t>
    </r>
    <phoneticPr fontId="9" type="noConversion"/>
  </si>
  <si>
    <r>
      <t xml:space="preserve">3a.1.3   </t>
    </r>
    <r>
      <rPr>
        <sz val="10"/>
        <rFont val="標楷體"/>
        <family val="4"/>
        <charset val="136"/>
      </rPr>
      <t>一年期商業火災保險</t>
    </r>
    <phoneticPr fontId="9" type="noConversion"/>
  </si>
  <si>
    <r>
      <t xml:space="preserve">3a.1.4   </t>
    </r>
    <r>
      <rPr>
        <sz val="10"/>
        <rFont val="標楷體"/>
        <family val="4"/>
        <charset val="136"/>
      </rPr>
      <t>長期商業火災保險</t>
    </r>
    <phoneticPr fontId="9" type="noConversion"/>
  </si>
  <si>
    <r>
      <t xml:space="preserve">3a.1.5   </t>
    </r>
    <r>
      <rPr>
        <sz val="10"/>
        <rFont val="標楷體"/>
        <family val="4"/>
        <charset val="136"/>
      </rPr>
      <t>內陸運輸保險</t>
    </r>
    <phoneticPr fontId="9" type="noConversion"/>
  </si>
  <si>
    <r>
      <t xml:space="preserve">3a.1.6   </t>
    </r>
    <r>
      <rPr>
        <sz val="10"/>
        <rFont val="標楷體"/>
        <family val="4"/>
        <charset val="136"/>
      </rPr>
      <t>貨物運輸保險</t>
    </r>
    <phoneticPr fontId="9" type="noConversion"/>
  </si>
  <si>
    <r>
      <t xml:space="preserve">3a.1.7   </t>
    </r>
    <r>
      <rPr>
        <sz val="10"/>
        <rFont val="標楷體"/>
        <family val="4"/>
        <charset val="136"/>
      </rPr>
      <t>船體保險</t>
    </r>
    <phoneticPr fontId="9" type="noConversion"/>
  </si>
  <si>
    <r>
      <t xml:space="preserve">3a.1.8   </t>
    </r>
    <r>
      <rPr>
        <sz val="10"/>
        <rFont val="標楷體"/>
        <family val="4"/>
        <charset val="136"/>
      </rPr>
      <t>漁船保險</t>
    </r>
    <phoneticPr fontId="9" type="noConversion"/>
  </si>
  <si>
    <r>
      <t xml:space="preserve">3a.1.9   </t>
    </r>
    <r>
      <rPr>
        <sz val="10"/>
        <rFont val="標楷體"/>
        <family val="4"/>
        <charset val="136"/>
      </rPr>
      <t>航空保險</t>
    </r>
    <phoneticPr fontId="9" type="noConversion"/>
  </si>
  <si>
    <r>
      <t xml:space="preserve">3a.1.10 </t>
    </r>
    <r>
      <rPr>
        <sz val="10"/>
        <rFont val="標楷體"/>
        <family val="4"/>
        <charset val="136"/>
      </rPr>
      <t>一般自用汽車財產損失保險</t>
    </r>
    <r>
      <rPr>
        <sz val="10"/>
        <rFont val="Book Antiqua"/>
        <family val="1"/>
      </rPr>
      <t xml:space="preserve"> </t>
    </r>
    <phoneticPr fontId="9" type="noConversion"/>
  </si>
  <si>
    <r>
      <t xml:space="preserve">3a.1.11 </t>
    </r>
    <r>
      <rPr>
        <sz val="10"/>
        <rFont val="標楷體"/>
        <family val="4"/>
        <charset val="136"/>
      </rPr>
      <t>一般商業汽車財產損失保險</t>
    </r>
    <phoneticPr fontId="9" type="noConversion"/>
  </si>
  <si>
    <r>
      <t xml:space="preserve">3a.1.12 </t>
    </r>
    <r>
      <rPr>
        <sz val="10"/>
        <rFont val="標楷體"/>
        <family val="4"/>
        <charset val="136"/>
      </rPr>
      <t>一般自用汽車責任保險</t>
    </r>
    <phoneticPr fontId="9" type="noConversion"/>
  </si>
  <si>
    <r>
      <t xml:space="preserve">3a.1.13 </t>
    </r>
    <r>
      <rPr>
        <sz val="10"/>
        <rFont val="標楷體"/>
        <family val="4"/>
        <charset val="136"/>
      </rPr>
      <t>一般商業汽車責任保險</t>
    </r>
    <phoneticPr fontId="9" type="noConversion"/>
  </si>
  <si>
    <r>
      <t xml:space="preserve">3a.1.14 </t>
    </r>
    <r>
      <rPr>
        <sz val="10"/>
        <rFont val="標楷體"/>
        <family val="4"/>
        <charset val="136"/>
      </rPr>
      <t>強制自用汽車責任保險</t>
    </r>
    <phoneticPr fontId="9" type="noConversion"/>
  </si>
  <si>
    <r>
      <t xml:space="preserve">3a.1.15 </t>
    </r>
    <r>
      <rPr>
        <sz val="10"/>
        <rFont val="標楷體"/>
        <family val="4"/>
        <charset val="136"/>
      </rPr>
      <t>強制商業汽車責任保險</t>
    </r>
    <phoneticPr fontId="9" type="noConversion"/>
  </si>
  <si>
    <r>
      <t xml:space="preserve">3a.1.16 </t>
    </r>
    <r>
      <rPr>
        <sz val="10"/>
        <rFont val="標楷體"/>
        <family val="4"/>
        <charset val="136"/>
      </rPr>
      <t>強制機車責任保險</t>
    </r>
    <phoneticPr fontId="9" type="noConversion"/>
  </si>
  <si>
    <r>
      <t xml:space="preserve">3a.1.17 </t>
    </r>
    <r>
      <rPr>
        <sz val="10"/>
        <rFont val="標楷體"/>
        <family val="4"/>
        <charset val="136"/>
      </rPr>
      <t>一般責任保險</t>
    </r>
    <phoneticPr fontId="9" type="noConversion"/>
  </si>
  <si>
    <r>
      <t xml:space="preserve">3a.1.18 </t>
    </r>
    <r>
      <rPr>
        <sz val="10"/>
        <rFont val="標楷體"/>
        <family val="4"/>
        <charset val="136"/>
      </rPr>
      <t>專業責任保險</t>
    </r>
    <phoneticPr fontId="9" type="noConversion"/>
  </si>
  <si>
    <r>
      <t xml:space="preserve">3a.1.19 </t>
    </r>
    <r>
      <rPr>
        <sz val="10"/>
        <rFont val="標楷體"/>
        <family val="4"/>
        <charset val="136"/>
      </rPr>
      <t>工程保險</t>
    </r>
    <phoneticPr fontId="9" type="noConversion"/>
  </si>
  <si>
    <r>
      <t xml:space="preserve">3a.1.20 </t>
    </r>
    <r>
      <rPr>
        <sz val="10"/>
        <rFont val="標楷體"/>
        <family val="4"/>
        <charset val="136"/>
      </rPr>
      <t>核能保險</t>
    </r>
    <phoneticPr fontId="9" type="noConversion"/>
  </si>
  <si>
    <r>
      <t xml:space="preserve">3a.1.21 </t>
    </r>
    <r>
      <rPr>
        <sz val="10"/>
        <rFont val="標楷體"/>
        <family val="4"/>
        <charset val="136"/>
      </rPr>
      <t>保證保險</t>
    </r>
    <phoneticPr fontId="9" type="noConversion"/>
  </si>
  <si>
    <r>
      <t xml:space="preserve">3a.1.22 </t>
    </r>
    <r>
      <rPr>
        <sz val="10"/>
        <rFont val="標楷體"/>
        <family val="4"/>
        <charset val="136"/>
      </rPr>
      <t>信用保險</t>
    </r>
    <phoneticPr fontId="9" type="noConversion"/>
  </si>
  <si>
    <r>
      <t xml:space="preserve">3a.1.23 </t>
    </r>
    <r>
      <rPr>
        <sz val="10"/>
        <rFont val="標楷體"/>
        <family val="4"/>
        <charset val="136"/>
      </rPr>
      <t>其他財產保險</t>
    </r>
    <phoneticPr fontId="9" type="noConversion"/>
  </si>
  <si>
    <r>
      <t xml:space="preserve">3a.1.24 </t>
    </r>
    <r>
      <rPr>
        <sz val="10"/>
        <rFont val="標楷體"/>
        <family val="4"/>
        <charset val="136"/>
      </rPr>
      <t>傷害保險</t>
    </r>
    <phoneticPr fontId="9" type="noConversion"/>
  </si>
  <si>
    <r>
      <t xml:space="preserve">3a.1.25 </t>
    </r>
    <r>
      <rPr>
        <sz val="10"/>
        <rFont val="標楷體"/>
        <family val="4"/>
        <charset val="136"/>
      </rPr>
      <t>商業性地震保險</t>
    </r>
  </si>
  <si>
    <r>
      <t xml:space="preserve">3a.1.26 </t>
    </r>
    <r>
      <rPr>
        <sz val="10"/>
        <rFont val="標楷體"/>
        <family val="4"/>
        <charset val="136"/>
      </rPr>
      <t>個人綜合保險</t>
    </r>
  </si>
  <si>
    <r>
      <t xml:space="preserve">3a.1.27 </t>
    </r>
    <r>
      <rPr>
        <sz val="10"/>
        <rFont val="標楷體"/>
        <family val="4"/>
        <charset val="136"/>
      </rPr>
      <t>商業綜合保險</t>
    </r>
  </si>
  <si>
    <r>
      <t xml:space="preserve">3a.1.28 </t>
    </r>
    <r>
      <rPr>
        <sz val="10"/>
        <rFont val="標楷體"/>
        <family val="4"/>
        <charset val="136"/>
      </rPr>
      <t>颱風洪水保險</t>
    </r>
  </si>
  <si>
    <r>
      <t xml:space="preserve">3a.1.29 </t>
    </r>
    <r>
      <rPr>
        <sz val="10"/>
        <rFont val="標楷體"/>
        <family val="4"/>
        <charset val="136"/>
      </rPr>
      <t>政策性地震保險</t>
    </r>
  </si>
  <si>
    <r>
      <t xml:space="preserve">3a.1.30 </t>
    </r>
    <r>
      <rPr>
        <sz val="10"/>
        <rFont val="標楷體"/>
        <family val="4"/>
        <charset val="136"/>
      </rPr>
      <t>一年期健康保險</t>
    </r>
    <phoneticPr fontId="9" type="noConversion"/>
  </si>
  <si>
    <r>
      <t xml:space="preserve">3a.1.31 </t>
    </r>
    <r>
      <rPr>
        <sz val="10"/>
        <rFont val="標楷體"/>
        <family val="4"/>
        <charset val="136"/>
      </rPr>
      <t>強制微型電動二輪車責任保險</t>
    </r>
    <phoneticPr fontId="9" type="noConversion"/>
  </si>
  <si>
    <r>
      <t xml:space="preserve">3a.1.32 </t>
    </r>
    <r>
      <rPr>
        <sz val="10"/>
        <rFont val="標楷體"/>
        <family val="4"/>
        <charset val="136"/>
      </rPr>
      <t>國外再保分進業務</t>
    </r>
    <phoneticPr fontId="9" type="noConversion"/>
  </si>
  <si>
    <r>
      <rPr>
        <sz val="10"/>
        <rFont val="標楷體"/>
        <family val="4"/>
        <charset val="136"/>
      </rPr>
      <t>自留賠款準備金總計</t>
    </r>
    <phoneticPr fontId="9" type="noConversion"/>
  </si>
  <si>
    <r>
      <rPr>
        <sz val="10"/>
        <rFont val="標楷體"/>
        <family val="4"/>
        <charset val="136"/>
      </rPr>
      <t>二、業務集中調整係數（</t>
    </r>
    <r>
      <rPr>
        <sz val="10"/>
        <rFont val="Book Antiqua"/>
        <family val="1"/>
      </rPr>
      <t>3b.3</t>
    </r>
    <r>
      <rPr>
        <sz val="10"/>
        <rFont val="標楷體"/>
        <family val="4"/>
        <charset val="136"/>
      </rPr>
      <t>）</t>
    </r>
    <phoneticPr fontId="9" type="noConversion"/>
  </si>
  <si>
    <r>
      <rPr>
        <sz val="10"/>
        <rFont val="標楷體"/>
        <family val="4"/>
        <charset val="136"/>
      </rPr>
      <t>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r>
      <rPr>
        <sz val="10"/>
        <rFont val="Times New Roman"/>
        <family val="1"/>
      </rPr>
      <t>(</t>
    </r>
    <r>
      <rPr>
        <sz val="10"/>
        <rFont val="標楷體"/>
        <family val="4"/>
        <charset val="136"/>
      </rPr>
      <t>註</t>
    </r>
    <r>
      <rPr>
        <sz val="10"/>
        <rFont val="Times New Roman"/>
        <family val="1"/>
      </rPr>
      <t>1)</t>
    </r>
    <phoneticPr fontId="9" type="noConversion"/>
  </si>
  <si>
    <r>
      <rPr>
        <sz val="10"/>
        <rFont val="標楷體"/>
        <family val="4"/>
        <charset val="136"/>
      </rPr>
      <t>占總自留保費比率</t>
    </r>
    <r>
      <rPr>
        <sz val="10"/>
        <rFont val="Book Antiqua"/>
        <family val="1"/>
      </rPr>
      <t xml:space="preserve"> Zi</t>
    </r>
  </si>
  <si>
    <r>
      <t xml:space="preserve">3b.1.1   </t>
    </r>
    <r>
      <rPr>
        <sz val="10"/>
        <rFont val="標楷體"/>
        <family val="4"/>
        <charset val="136"/>
      </rPr>
      <t>一年期住宅火災保險</t>
    </r>
  </si>
  <si>
    <r>
      <t xml:space="preserve">3b.1.2   </t>
    </r>
    <r>
      <rPr>
        <sz val="10"/>
        <rFont val="標楷體"/>
        <family val="4"/>
        <charset val="136"/>
      </rPr>
      <t>長期住宅火災保險</t>
    </r>
  </si>
  <si>
    <r>
      <t xml:space="preserve">3b.1.3   </t>
    </r>
    <r>
      <rPr>
        <sz val="10"/>
        <rFont val="標楷體"/>
        <family val="4"/>
        <charset val="136"/>
      </rPr>
      <t>一年期商業火災保險</t>
    </r>
  </si>
  <si>
    <r>
      <t xml:space="preserve">3b.1.4   </t>
    </r>
    <r>
      <rPr>
        <sz val="10"/>
        <rFont val="標楷體"/>
        <family val="4"/>
        <charset val="136"/>
      </rPr>
      <t>長期商業火災保險</t>
    </r>
  </si>
  <si>
    <r>
      <t xml:space="preserve">3b.1.5    </t>
    </r>
    <r>
      <rPr>
        <sz val="10"/>
        <rFont val="標楷體"/>
        <family val="4"/>
        <charset val="136"/>
      </rPr>
      <t>內陸運輸保險</t>
    </r>
  </si>
  <si>
    <r>
      <t xml:space="preserve">3b.1.6   </t>
    </r>
    <r>
      <rPr>
        <sz val="10"/>
        <rFont val="標楷體"/>
        <family val="4"/>
        <charset val="136"/>
      </rPr>
      <t>貨物運輸保險</t>
    </r>
  </si>
  <si>
    <r>
      <t xml:space="preserve">3b.1.7   </t>
    </r>
    <r>
      <rPr>
        <sz val="10"/>
        <rFont val="標楷體"/>
        <family val="4"/>
        <charset val="136"/>
      </rPr>
      <t>船體保險</t>
    </r>
  </si>
  <si>
    <r>
      <t xml:space="preserve">3b.1.8   </t>
    </r>
    <r>
      <rPr>
        <sz val="10"/>
        <rFont val="標楷體"/>
        <family val="4"/>
        <charset val="136"/>
      </rPr>
      <t>漁船保險</t>
    </r>
  </si>
  <si>
    <r>
      <t xml:space="preserve">3b.1.9   </t>
    </r>
    <r>
      <rPr>
        <sz val="10"/>
        <rFont val="標楷體"/>
        <family val="4"/>
        <charset val="136"/>
      </rPr>
      <t>航空保險</t>
    </r>
  </si>
  <si>
    <r>
      <t xml:space="preserve">3b.1.10 </t>
    </r>
    <r>
      <rPr>
        <sz val="10"/>
        <rFont val="標楷體"/>
        <family val="4"/>
        <charset val="136"/>
      </rPr>
      <t>一般自用汽車財產損失保險</t>
    </r>
    <r>
      <rPr>
        <sz val="10"/>
        <rFont val="Book Antiqua"/>
        <family val="1"/>
      </rPr>
      <t xml:space="preserve"> </t>
    </r>
  </si>
  <si>
    <r>
      <t xml:space="preserve">3b.1.11 </t>
    </r>
    <r>
      <rPr>
        <sz val="10"/>
        <rFont val="標楷體"/>
        <family val="4"/>
        <charset val="136"/>
      </rPr>
      <t>一般商業汽車財產損失保險</t>
    </r>
  </si>
  <si>
    <r>
      <t xml:space="preserve">3b.1.12 </t>
    </r>
    <r>
      <rPr>
        <sz val="10"/>
        <rFont val="標楷體"/>
        <family val="4"/>
        <charset val="136"/>
      </rPr>
      <t>一般自用汽車責任保險</t>
    </r>
  </si>
  <si>
    <r>
      <t xml:space="preserve">3b.1.13 </t>
    </r>
    <r>
      <rPr>
        <sz val="10"/>
        <rFont val="標楷體"/>
        <family val="4"/>
        <charset val="136"/>
      </rPr>
      <t>一般商業汽車責任保險</t>
    </r>
  </si>
  <si>
    <r>
      <t xml:space="preserve">3b.1.14 </t>
    </r>
    <r>
      <rPr>
        <sz val="10"/>
        <rFont val="標楷體"/>
        <family val="4"/>
        <charset val="136"/>
      </rPr>
      <t>強制自用汽車責任保險</t>
    </r>
  </si>
  <si>
    <r>
      <t xml:space="preserve">3b.1.15 </t>
    </r>
    <r>
      <rPr>
        <sz val="10"/>
        <rFont val="標楷體"/>
        <family val="4"/>
        <charset val="136"/>
      </rPr>
      <t>強制商業汽車責任保險</t>
    </r>
  </si>
  <si>
    <r>
      <t xml:space="preserve">3b.1.16 </t>
    </r>
    <r>
      <rPr>
        <sz val="10"/>
        <rFont val="標楷體"/>
        <family val="4"/>
        <charset val="136"/>
      </rPr>
      <t>強制機車責任保險</t>
    </r>
  </si>
  <si>
    <r>
      <t xml:space="preserve">3b.1.17 </t>
    </r>
    <r>
      <rPr>
        <sz val="10"/>
        <rFont val="標楷體"/>
        <family val="4"/>
        <charset val="136"/>
      </rPr>
      <t>一般責任保險</t>
    </r>
  </si>
  <si>
    <r>
      <t xml:space="preserve">3b.1.18 </t>
    </r>
    <r>
      <rPr>
        <sz val="10"/>
        <rFont val="標楷體"/>
        <family val="4"/>
        <charset val="136"/>
      </rPr>
      <t>專業責任保險</t>
    </r>
  </si>
  <si>
    <r>
      <t xml:space="preserve">3b.1.19 </t>
    </r>
    <r>
      <rPr>
        <sz val="10"/>
        <rFont val="標楷體"/>
        <family val="4"/>
        <charset val="136"/>
      </rPr>
      <t>工程保險</t>
    </r>
  </si>
  <si>
    <r>
      <t xml:space="preserve">3b.1.20 </t>
    </r>
    <r>
      <rPr>
        <sz val="10"/>
        <rFont val="標楷體"/>
        <family val="4"/>
        <charset val="136"/>
      </rPr>
      <t>核能保險</t>
    </r>
  </si>
  <si>
    <r>
      <t xml:space="preserve">3b.1.21 </t>
    </r>
    <r>
      <rPr>
        <sz val="10"/>
        <rFont val="標楷體"/>
        <family val="4"/>
        <charset val="136"/>
      </rPr>
      <t>保證保險</t>
    </r>
  </si>
  <si>
    <r>
      <t xml:space="preserve">3b.1.22 </t>
    </r>
    <r>
      <rPr>
        <sz val="10"/>
        <rFont val="標楷體"/>
        <family val="4"/>
        <charset val="136"/>
      </rPr>
      <t>信用保險</t>
    </r>
  </si>
  <si>
    <r>
      <t xml:space="preserve">3b.1.23 </t>
    </r>
    <r>
      <rPr>
        <sz val="10"/>
        <rFont val="標楷體"/>
        <family val="4"/>
        <charset val="136"/>
      </rPr>
      <t>其他財產保險</t>
    </r>
  </si>
  <si>
    <r>
      <t xml:space="preserve">3b.1.24 </t>
    </r>
    <r>
      <rPr>
        <sz val="10"/>
        <rFont val="標楷體"/>
        <family val="4"/>
        <charset val="136"/>
      </rPr>
      <t>傷害保險</t>
    </r>
    <phoneticPr fontId="9" type="noConversion"/>
  </si>
  <si>
    <r>
      <t xml:space="preserve">3b.1.25 </t>
    </r>
    <r>
      <rPr>
        <sz val="10"/>
        <rFont val="標楷體"/>
        <family val="4"/>
        <charset val="136"/>
      </rPr>
      <t>商業性地震保險</t>
    </r>
    <phoneticPr fontId="9" type="noConversion"/>
  </si>
  <si>
    <r>
      <t xml:space="preserve">3b.1.26 </t>
    </r>
    <r>
      <rPr>
        <sz val="10"/>
        <rFont val="標楷體"/>
        <family val="4"/>
        <charset val="136"/>
      </rPr>
      <t>個人綜合保險</t>
    </r>
  </si>
  <si>
    <r>
      <t xml:space="preserve">3b.1.27 </t>
    </r>
    <r>
      <rPr>
        <sz val="10"/>
        <rFont val="標楷體"/>
        <family val="4"/>
        <charset val="136"/>
      </rPr>
      <t>商業綜合保險</t>
    </r>
  </si>
  <si>
    <r>
      <t xml:space="preserve">3b.1.28 </t>
    </r>
    <r>
      <rPr>
        <sz val="10"/>
        <rFont val="標楷體"/>
        <family val="4"/>
        <charset val="136"/>
      </rPr>
      <t>颱風洪水保險</t>
    </r>
  </si>
  <si>
    <r>
      <t xml:space="preserve">3b.1.29 </t>
    </r>
    <r>
      <rPr>
        <sz val="10"/>
        <rFont val="標楷體"/>
        <family val="4"/>
        <charset val="136"/>
      </rPr>
      <t>政策性地震保險</t>
    </r>
  </si>
  <si>
    <r>
      <t xml:space="preserve">3b.1.30 </t>
    </r>
    <r>
      <rPr>
        <sz val="10"/>
        <rFont val="標楷體"/>
        <family val="4"/>
        <charset val="136"/>
      </rPr>
      <t>一年期健康保險</t>
    </r>
    <phoneticPr fontId="9" type="noConversion"/>
  </si>
  <si>
    <r>
      <t xml:space="preserve">3b.1.31 </t>
    </r>
    <r>
      <rPr>
        <sz val="10"/>
        <rFont val="標楷體"/>
        <family val="4"/>
        <charset val="136"/>
      </rPr>
      <t>強制微型電動二輪車責任保險</t>
    </r>
    <phoneticPr fontId="9" type="noConversion"/>
  </si>
  <si>
    <r>
      <t xml:space="preserve">3b.1.32 </t>
    </r>
    <r>
      <rPr>
        <sz val="10"/>
        <rFont val="標楷體"/>
        <family val="4"/>
        <charset val="136"/>
      </rPr>
      <t>國外再保分進業務</t>
    </r>
    <phoneticPr fontId="9" type="noConversion"/>
  </si>
  <si>
    <r>
      <rPr>
        <sz val="10"/>
        <rFont val="標楷體"/>
        <family val="4"/>
        <charset val="136"/>
      </rPr>
      <t>自留保費總計</t>
    </r>
    <phoneticPr fontId="9" type="noConversion"/>
  </si>
  <si>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9" type="noConversion"/>
  </si>
  <si>
    <r>
      <t xml:space="preserve">Herfindahl Index </t>
    </r>
    <r>
      <rPr>
        <sz val="10"/>
        <rFont val="標楷體"/>
        <family val="4"/>
        <charset val="136"/>
      </rPr>
      <t>係數表</t>
    </r>
    <phoneticPr fontId="9" type="noConversion"/>
  </si>
  <si>
    <r>
      <rPr>
        <sz val="10"/>
        <rFont val="標楷體"/>
        <family val="4"/>
        <charset val="136"/>
      </rPr>
      <t>係數</t>
    </r>
    <phoneticPr fontId="9" type="noConversion"/>
  </si>
  <si>
    <r>
      <t xml:space="preserve">1/30 </t>
    </r>
    <r>
      <rPr>
        <sz val="10"/>
        <rFont val="標楷體"/>
        <family val="4"/>
        <charset val="136"/>
      </rPr>
      <t>≦</t>
    </r>
    <r>
      <rPr>
        <sz val="10"/>
        <rFont val="Book Antiqua"/>
        <family val="1"/>
      </rPr>
      <t xml:space="preserve"> H &lt; 1/25</t>
    </r>
    <phoneticPr fontId="9" type="noConversion"/>
  </si>
  <si>
    <r>
      <t xml:space="preserve">1/25 </t>
    </r>
    <r>
      <rPr>
        <sz val="10"/>
        <rFont val="標楷體"/>
        <family val="4"/>
        <charset val="136"/>
      </rPr>
      <t>≦</t>
    </r>
    <r>
      <rPr>
        <sz val="10"/>
        <rFont val="Book Antiqua"/>
        <family val="1"/>
      </rPr>
      <t xml:space="preserve"> H &lt; 1/20</t>
    </r>
    <phoneticPr fontId="9" type="noConversion"/>
  </si>
  <si>
    <r>
      <t xml:space="preserve">1/20 </t>
    </r>
    <r>
      <rPr>
        <sz val="10"/>
        <rFont val="標楷體"/>
        <family val="4"/>
        <charset val="136"/>
      </rPr>
      <t>≦</t>
    </r>
    <r>
      <rPr>
        <sz val="10"/>
        <rFont val="Book Antiqua"/>
        <family val="1"/>
      </rPr>
      <t xml:space="preserve"> H &lt; 1/15</t>
    </r>
    <phoneticPr fontId="9" type="noConversion"/>
  </si>
  <si>
    <r>
      <t xml:space="preserve">1/15 </t>
    </r>
    <r>
      <rPr>
        <sz val="10"/>
        <rFont val="標楷體"/>
        <family val="4"/>
        <charset val="136"/>
      </rPr>
      <t>≦</t>
    </r>
    <r>
      <rPr>
        <sz val="10"/>
        <rFont val="Book Antiqua"/>
        <family val="1"/>
      </rPr>
      <t xml:space="preserve"> H &lt; 1/10</t>
    </r>
    <phoneticPr fontId="9" type="noConversion"/>
  </si>
  <si>
    <r>
      <t xml:space="preserve">1/10 </t>
    </r>
    <r>
      <rPr>
        <sz val="10"/>
        <rFont val="標楷體"/>
        <family val="4"/>
        <charset val="136"/>
      </rPr>
      <t>≦</t>
    </r>
    <r>
      <rPr>
        <sz val="10"/>
        <rFont val="Book Antiqua"/>
        <family val="1"/>
      </rPr>
      <t xml:space="preserve"> H &lt; 1/  5</t>
    </r>
    <phoneticPr fontId="9" type="noConversion"/>
  </si>
  <si>
    <r>
      <t xml:space="preserve">1/  5 </t>
    </r>
    <r>
      <rPr>
        <sz val="10"/>
        <rFont val="標楷體"/>
        <family val="4"/>
        <charset val="136"/>
      </rPr>
      <t>≦</t>
    </r>
    <r>
      <rPr>
        <sz val="10"/>
        <rFont val="Book Antiqua"/>
        <family val="1"/>
      </rPr>
      <t xml:space="preserve"> H &lt;     1  </t>
    </r>
    <phoneticPr fontId="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</si>
  <si>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</si>
  <si>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元大台灣</t>
    </r>
    <r>
      <rPr>
        <sz val="12"/>
        <rFont val="Times New Roman"/>
        <family val="1"/>
      </rPr>
      <t>50</t>
    </r>
  </si>
  <si>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</si>
  <si>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</si>
  <si>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</si>
  <si>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 xml:space="preserve"> </t>
    </r>
    <r>
      <rPr>
        <sz val="12"/>
        <rFont val="標楷體"/>
        <family val="4"/>
        <charset val="136"/>
      </rPr>
      <t>元大</t>
    </r>
    <r>
      <rPr>
        <sz val="12"/>
        <rFont val="Times New Roman"/>
        <family val="1"/>
      </rPr>
      <t>MSCI</t>
    </r>
    <r>
      <rPr>
        <sz val="12"/>
        <rFont val="標楷體"/>
        <family val="4"/>
        <charset val="136"/>
      </rPr>
      <t>金融</t>
    </r>
  </si>
  <si>
    <r>
      <t xml:space="preserve"> </t>
    </r>
    <r>
      <rPr>
        <sz val="12"/>
        <rFont val="標楷體"/>
        <family val="4"/>
        <charset val="136"/>
      </rPr>
      <t>元大高股息</t>
    </r>
  </si>
  <si>
    <r>
      <t xml:space="preserve"> </t>
    </r>
    <r>
      <rPr>
        <sz val="12"/>
        <rFont val="標楷體"/>
        <family val="4"/>
        <charset val="136"/>
      </rPr>
      <t>富邦摩台</t>
    </r>
  </si>
  <si>
    <r>
      <t xml:space="preserve"> </t>
    </r>
    <r>
      <rPr>
        <sz val="12"/>
        <rFont val="標楷體"/>
        <family val="4"/>
        <charset val="136"/>
      </rPr>
      <t>元大</t>
    </r>
    <r>
      <rPr>
        <sz val="12"/>
        <rFont val="Times New Roman"/>
        <family val="1"/>
      </rPr>
      <t>MSCI</t>
    </r>
    <r>
      <rPr>
        <sz val="12"/>
        <rFont val="標楷體"/>
        <family val="4"/>
        <charset val="136"/>
      </rPr>
      <t>台灣</t>
    </r>
  </si>
  <si>
    <r>
      <t xml:space="preserve"> </t>
    </r>
    <r>
      <rPr>
        <sz val="12"/>
        <rFont val="標楷體"/>
        <family val="4"/>
        <charset val="136"/>
      </rPr>
      <t>永豐臺灣加權</t>
    </r>
  </si>
  <si>
    <r>
      <t xml:space="preserve"> </t>
    </r>
    <r>
      <rPr>
        <sz val="12"/>
        <rFont val="標楷體"/>
        <family val="4"/>
        <charset val="136"/>
      </rPr>
      <t>富邦台</t>
    </r>
    <r>
      <rPr>
        <sz val="12"/>
        <rFont val="Times New Roman"/>
        <family val="1"/>
      </rPr>
      <t>50</t>
    </r>
  </si>
  <si>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</si>
  <si>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</si>
  <si>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 xml:space="preserve"> </t>
    </r>
    <r>
      <rPr>
        <sz val="12"/>
        <rFont val="標楷體"/>
        <family val="4"/>
        <charset val="136"/>
      </rPr>
      <t>國泰臺灣加權正</t>
    </r>
    <r>
      <rPr>
        <sz val="12"/>
        <rFont val="Times New Roman"/>
        <family val="1"/>
      </rPr>
      <t>2</t>
    </r>
  </si>
  <si>
    <r>
      <t xml:space="preserve"> </t>
    </r>
    <r>
      <rPr>
        <sz val="12"/>
        <rFont val="標楷體"/>
        <family val="4"/>
        <charset val="136"/>
      </rPr>
      <t>國泰臺灣加權反</t>
    </r>
    <r>
      <rPr>
        <sz val="12"/>
        <rFont val="Times New Roman"/>
        <family val="1"/>
      </rPr>
      <t>1</t>
    </r>
  </si>
  <si>
    <r>
      <t xml:space="preserve"> </t>
    </r>
    <r>
      <rPr>
        <sz val="12"/>
        <rFont val="標楷體"/>
        <family val="4"/>
        <charset val="136"/>
      </rPr>
      <t>富邦臺灣加權正</t>
    </r>
    <r>
      <rPr>
        <sz val="12"/>
        <rFont val="Times New Roman"/>
        <family val="1"/>
      </rPr>
      <t>2</t>
    </r>
  </si>
  <si>
    <r>
      <t xml:space="preserve"> </t>
    </r>
    <r>
      <rPr>
        <sz val="12"/>
        <rFont val="標楷體"/>
        <family val="4"/>
        <charset val="136"/>
      </rPr>
      <t>富邦臺灣加權反</t>
    </r>
    <r>
      <rPr>
        <sz val="12"/>
        <rFont val="Times New Roman"/>
        <family val="1"/>
      </rPr>
      <t>1</t>
    </r>
  </si>
  <si>
    <r>
      <t xml:space="preserve"> </t>
    </r>
    <r>
      <rPr>
        <sz val="12"/>
        <rFont val="標楷體"/>
        <family val="4"/>
        <charset val="136"/>
      </rPr>
      <t>群益臺灣加權正</t>
    </r>
    <r>
      <rPr>
        <sz val="12"/>
        <rFont val="Times New Roman"/>
        <family val="1"/>
      </rPr>
      <t>2</t>
    </r>
  </si>
  <si>
    <r>
      <t xml:space="preserve"> </t>
    </r>
    <r>
      <rPr>
        <sz val="12"/>
        <rFont val="標楷體"/>
        <family val="4"/>
        <charset val="136"/>
      </rPr>
      <t>群益臺灣加權反</t>
    </r>
    <r>
      <rPr>
        <sz val="12"/>
        <rFont val="Times New Roman"/>
        <family val="1"/>
      </rPr>
      <t>1</t>
    </r>
  </si>
  <si>
    <r>
      <t xml:space="preserve"> </t>
    </r>
    <r>
      <rPr>
        <sz val="12"/>
        <rFont val="標楷體"/>
        <family val="4"/>
        <charset val="136"/>
      </rPr>
      <t>兆豐臺灣藍籌</t>
    </r>
    <r>
      <rPr>
        <sz val="12"/>
        <rFont val="Times New Roman"/>
        <family val="1"/>
      </rPr>
      <t>30</t>
    </r>
  </si>
  <si>
    <r>
      <t xml:space="preserve"> </t>
    </r>
    <r>
      <rPr>
        <sz val="12"/>
        <rFont val="標楷體"/>
        <family val="4"/>
        <charset val="136"/>
      </rPr>
      <t>富邦公司治理</t>
    </r>
  </si>
  <si>
    <r>
      <t xml:space="preserve"> </t>
    </r>
    <r>
      <rPr>
        <sz val="12"/>
        <rFont val="標楷體"/>
        <family val="4"/>
        <charset val="136"/>
      </rPr>
      <t>國泰股利精選</t>
    </r>
    <r>
      <rPr>
        <sz val="12"/>
        <rFont val="Times New Roman"/>
        <family val="1"/>
      </rPr>
      <t>30</t>
    </r>
  </si>
  <si>
    <r>
      <t xml:space="preserve"> </t>
    </r>
    <r>
      <rPr>
        <sz val="12"/>
        <rFont val="標楷體"/>
        <family val="4"/>
        <charset val="136"/>
      </rPr>
      <t>元大台灣高息低波</t>
    </r>
  </si>
  <si>
    <r>
      <t xml:space="preserve"> </t>
    </r>
    <r>
      <rPr>
        <sz val="12"/>
        <rFont val="標楷體"/>
        <family val="4"/>
        <charset val="136"/>
      </rPr>
      <t>第一金工業</t>
    </r>
    <r>
      <rPr>
        <sz val="12"/>
        <rFont val="Times New Roman"/>
        <family val="1"/>
      </rPr>
      <t>30</t>
    </r>
  </si>
  <si>
    <r>
      <t xml:space="preserve"> </t>
    </r>
    <r>
      <rPr>
        <sz val="12"/>
        <rFont val="標楷體"/>
        <family val="4"/>
        <charset val="136"/>
      </rPr>
      <t>富邦臺灣優質高息</t>
    </r>
  </si>
  <si>
    <r>
      <t xml:space="preserve"> </t>
    </r>
    <r>
      <rPr>
        <sz val="12"/>
        <rFont val="標楷體"/>
        <family val="4"/>
        <charset val="136"/>
      </rPr>
      <t>復華富時高息低波</t>
    </r>
  </si>
  <si>
    <r>
      <t xml:space="preserve"> </t>
    </r>
    <r>
      <rPr>
        <sz val="12"/>
        <rFont val="標楷體"/>
        <family val="4"/>
        <charset val="136"/>
      </rPr>
      <t>富邦臺灣中小</t>
    </r>
  </si>
  <si>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</si>
  <si>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</si>
  <si>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</si>
  <si>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 xml:space="preserve"> </t>
    </r>
    <r>
      <rPr>
        <sz val="12"/>
        <rFont val="標楷體"/>
        <family val="4"/>
        <charset val="136"/>
      </rPr>
      <t>中信關鍵半導體</t>
    </r>
  </si>
  <si>
    <r>
      <t xml:space="preserve"> </t>
    </r>
    <r>
      <rPr>
        <sz val="12"/>
        <rFont val="標楷體"/>
        <family val="4"/>
        <charset val="136"/>
      </rPr>
      <t>富邦台灣半導體</t>
    </r>
  </si>
  <si>
    <r>
      <t xml:space="preserve"> </t>
    </r>
    <r>
      <rPr>
        <sz val="12"/>
        <rFont val="標楷體"/>
        <family val="4"/>
        <charset val="136"/>
      </rPr>
      <t>中信小資高價</t>
    </r>
    <r>
      <rPr>
        <sz val="12"/>
        <rFont val="Times New Roman"/>
        <family val="1"/>
      </rPr>
      <t>30</t>
    </r>
  </si>
  <si>
    <r>
      <t xml:space="preserve"> </t>
    </r>
    <r>
      <rPr>
        <sz val="12"/>
        <rFont val="標楷體"/>
        <family val="4"/>
        <charset val="136"/>
      </rPr>
      <t>中信綠能及電動車</t>
    </r>
  </si>
  <si>
    <r>
      <t xml:space="preserve"> </t>
    </r>
    <r>
      <rPr>
        <sz val="12"/>
        <rFont val="標楷體"/>
        <family val="4"/>
        <charset val="136"/>
      </rPr>
      <t>富邦特選高股息</t>
    </r>
    <r>
      <rPr>
        <sz val="12"/>
        <rFont val="Times New Roman"/>
        <family val="1"/>
      </rPr>
      <t>30</t>
    </r>
  </si>
  <si>
    <r>
      <t xml:space="preserve"> </t>
    </r>
    <r>
      <rPr>
        <sz val="12"/>
        <rFont val="標楷體"/>
        <family val="4"/>
        <charset val="136"/>
      </rPr>
      <t>永豐智能車供應鏈</t>
    </r>
  </si>
  <si>
    <r>
      <t xml:space="preserve"> </t>
    </r>
    <r>
      <rPr>
        <sz val="12"/>
        <rFont val="標楷體"/>
        <family val="4"/>
        <charset val="136"/>
      </rPr>
      <t>新光臺灣半導體</t>
    </r>
    <r>
      <rPr>
        <sz val="12"/>
        <rFont val="Times New Roman"/>
        <family val="1"/>
      </rPr>
      <t>30</t>
    </r>
  </si>
  <si>
    <r>
      <t xml:space="preserve"> FT</t>
    </r>
    <r>
      <rPr>
        <sz val="12"/>
        <rFont val="標楷體"/>
        <family val="4"/>
        <charset val="136"/>
      </rPr>
      <t>臺灣</t>
    </r>
    <r>
      <rPr>
        <sz val="12"/>
        <rFont val="Times New Roman"/>
        <family val="1"/>
      </rPr>
      <t>Smart</t>
    </r>
  </si>
  <si>
    <r>
      <t xml:space="preserve"> </t>
    </r>
    <r>
      <rPr>
        <sz val="12"/>
        <rFont val="標楷體"/>
        <family val="4"/>
        <charset val="136"/>
      </rPr>
      <t>永豐優息存股</t>
    </r>
  </si>
  <si>
    <r>
      <t xml:space="preserve"> </t>
    </r>
    <r>
      <rPr>
        <sz val="12"/>
        <rFont val="標楷體"/>
        <family val="4"/>
        <charset val="136"/>
      </rPr>
      <t>中信臺灣智慧</t>
    </r>
    <r>
      <rPr>
        <sz val="12"/>
        <rFont val="Times New Roman"/>
        <family val="1"/>
      </rPr>
      <t>50</t>
    </r>
  </si>
  <si>
    <r>
      <t xml:space="preserve"> </t>
    </r>
    <r>
      <rPr>
        <sz val="12"/>
        <rFont val="標楷體"/>
        <family val="4"/>
        <charset val="136"/>
      </rPr>
      <t>兆豐台灣晶圓製造</t>
    </r>
  </si>
  <si>
    <r>
      <t xml:space="preserve"> </t>
    </r>
    <r>
      <rPr>
        <sz val="12"/>
        <rFont val="標楷體"/>
        <family val="4"/>
        <charset val="136"/>
      </rPr>
      <t>凱基優選高股息</t>
    </r>
    <r>
      <rPr>
        <sz val="12"/>
        <rFont val="Times New Roman"/>
        <family val="1"/>
      </rPr>
      <t>30</t>
    </r>
  </si>
  <si>
    <r>
      <t xml:space="preserve"> </t>
    </r>
    <r>
      <rPr>
        <sz val="12"/>
        <rFont val="標楷體"/>
        <family val="4"/>
        <charset val="136"/>
      </rPr>
      <t>大華優利高填息</t>
    </r>
    <r>
      <rPr>
        <sz val="12"/>
        <rFont val="Times New Roman"/>
        <family val="1"/>
      </rPr>
      <t>30</t>
    </r>
  </si>
  <si>
    <r>
      <t xml:space="preserve"> </t>
    </r>
    <r>
      <rPr>
        <sz val="12"/>
        <rFont val="標楷體"/>
        <family val="4"/>
        <charset val="136"/>
      </rPr>
      <t>群益台灣精選高息</t>
    </r>
  </si>
  <si>
    <r>
      <t xml:space="preserve"> </t>
    </r>
    <r>
      <rPr>
        <sz val="12"/>
        <rFont val="標楷體"/>
        <family val="4"/>
        <charset val="136"/>
      </rPr>
      <t>兆豐龍頭等權重</t>
    </r>
  </si>
  <si>
    <r>
      <t xml:space="preserve"> </t>
    </r>
    <r>
      <rPr>
        <sz val="12"/>
        <rFont val="標楷體"/>
        <family val="4"/>
        <charset val="136"/>
      </rPr>
      <t>國泰台灣領袖</t>
    </r>
    <r>
      <rPr>
        <sz val="12"/>
        <rFont val="Times New Roman"/>
        <family val="1"/>
      </rPr>
      <t>50</t>
    </r>
  </si>
  <si>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</si>
  <si>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</si>
  <si>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</si>
  <si>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</si>
  <si>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</si>
  <si>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</si>
  <si>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</si>
  <si>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</si>
  <si>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</si>
  <si>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</si>
  <si>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</si>
  <si>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</si>
  <si>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</si>
  <si>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</si>
  <si>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</si>
  <si>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</si>
  <si>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</si>
  <si>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</si>
  <si>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</si>
  <si>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</si>
  <si>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rPr>
        <sz val="12"/>
        <rFont val="標楷體"/>
        <family val="4"/>
        <charset val="136"/>
      </rPr>
      <t>上市股票</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</si>
  <si>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</si>
  <si>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</si>
  <si>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</si>
  <si>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</si>
  <si>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</si>
  <si>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</si>
  <si>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</si>
  <si>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</si>
  <si>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</si>
  <si>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</si>
  <si>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</si>
  <si>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</si>
  <si>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</si>
  <si>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</si>
  <si>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</si>
  <si>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</si>
  <si>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</si>
  <si>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</si>
  <si>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</si>
  <si>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</si>
  <si>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</si>
  <si>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</si>
  <si>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</si>
  <si>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</si>
  <si>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</si>
  <si>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</si>
  <si>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</si>
  <si>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</si>
  <si>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</si>
  <si>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</si>
  <si>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</si>
  <si>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</si>
  <si>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</si>
  <si>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</si>
  <si>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</si>
  <si>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</si>
  <si>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</si>
  <si>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</si>
  <si>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</si>
  <si>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</si>
  <si>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</si>
  <si>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</si>
  <si>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</si>
  <si>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</si>
  <si>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</si>
  <si>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</si>
  <si>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</si>
  <si>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</si>
  <si>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</si>
  <si>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</si>
  <si>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</si>
  <si>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</si>
  <si>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</si>
  <si>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</si>
  <si>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</si>
  <si>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</si>
  <si>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</si>
  <si>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</si>
  <si>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</si>
  <si>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</si>
  <si>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</si>
  <si>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</si>
  <si>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</si>
  <si>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</si>
  <si>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</si>
  <si>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</si>
  <si>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</si>
  <si>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</si>
  <si>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</si>
  <si>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</si>
  <si>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</si>
  <si>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</si>
  <si>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</si>
  <si>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</si>
  <si>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</si>
  <si>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</si>
  <si>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</si>
  <si>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</si>
  <si>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</si>
  <si>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</si>
  <si>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</si>
  <si>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</si>
  <si>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</si>
  <si>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</si>
  <si>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</si>
  <si>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</si>
  <si>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</si>
  <si>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</si>
  <si>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</si>
  <si>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</si>
  <si>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</si>
  <si>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</si>
  <si>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</si>
  <si>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</si>
  <si>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</si>
  <si>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</si>
  <si>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</si>
  <si>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</si>
  <si>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</si>
  <si>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</si>
  <si>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</si>
  <si>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</si>
  <si>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</si>
  <si>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</si>
  <si>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</si>
  <si>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</si>
  <si>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</si>
  <si>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</si>
  <si>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</si>
  <si>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</si>
  <si>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</si>
  <si>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</si>
  <si>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</si>
  <si>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</si>
  <si>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</si>
  <si>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</si>
  <si>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</si>
  <si>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</si>
  <si>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</si>
  <si>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</si>
  <si>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</si>
  <si>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</si>
  <si>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</si>
  <si>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</si>
  <si>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</si>
  <si>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</si>
  <si>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</si>
  <si>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</si>
  <si>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</si>
  <si>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</si>
  <si>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</si>
  <si>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</si>
  <si>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</si>
  <si>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</si>
  <si>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</si>
  <si>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</si>
  <si>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</si>
  <si>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</si>
  <si>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</si>
  <si>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</si>
  <si>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</si>
  <si>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</si>
  <si>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</si>
  <si>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</si>
  <si>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</si>
  <si>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</si>
  <si>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</si>
  <si>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</si>
  <si>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</si>
  <si>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</si>
  <si>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</si>
  <si>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</si>
  <si>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</si>
  <si>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</si>
  <si>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</si>
  <si>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</si>
  <si>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</si>
  <si>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</si>
  <si>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</si>
  <si>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</si>
  <si>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</si>
  <si>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</si>
  <si>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</si>
  <si>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</si>
  <si>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</si>
  <si>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</si>
  <si>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</si>
  <si>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</si>
  <si>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</si>
  <si>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</si>
  <si>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</si>
  <si>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</si>
  <si>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</si>
  <si>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</si>
  <si>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</si>
  <si>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</si>
  <si>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</si>
  <si>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</si>
  <si>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</si>
  <si>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</si>
  <si>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</si>
  <si>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</si>
  <si>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</si>
  <si>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</si>
  <si>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</si>
  <si>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</si>
  <si>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</si>
  <si>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</si>
  <si>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</si>
  <si>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</si>
  <si>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</si>
  <si>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</si>
  <si>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</si>
  <si>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</si>
  <si>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</si>
  <si>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</si>
  <si>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</si>
  <si>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</si>
  <si>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</si>
  <si>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</si>
  <si>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</si>
  <si>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</si>
  <si>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</si>
  <si>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</si>
  <si>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</si>
  <si>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</si>
  <si>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</si>
  <si>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</si>
  <si>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</si>
  <si>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</si>
  <si>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</si>
  <si>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</si>
  <si>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</si>
  <si>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</si>
  <si>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</si>
  <si>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</si>
  <si>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</si>
  <si>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</si>
  <si>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</si>
  <si>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</si>
  <si>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</si>
  <si>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</si>
  <si>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</si>
  <si>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</si>
  <si>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</si>
  <si>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</si>
  <si>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</si>
  <si>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</si>
  <si>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</si>
  <si>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</si>
  <si>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</si>
  <si>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</si>
  <si>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</si>
  <si>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</si>
  <si>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</si>
  <si>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</si>
  <si>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</si>
  <si>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</si>
  <si>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</si>
  <si>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</si>
  <si>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</si>
  <si>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</si>
  <si>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</si>
  <si>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</si>
  <si>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</si>
  <si>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</si>
  <si>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</si>
  <si>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</si>
  <si>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</si>
  <si>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</si>
  <si>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</si>
  <si>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</si>
  <si>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</si>
  <si>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</si>
  <si>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</si>
  <si>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</si>
  <si>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</si>
  <si>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</si>
  <si>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</si>
  <si>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</si>
  <si>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</si>
  <si>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</si>
  <si>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</si>
  <si>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</si>
  <si>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</si>
  <si>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</si>
  <si>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</si>
  <si>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</si>
  <si>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</si>
  <si>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</si>
  <si>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</si>
  <si>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</si>
  <si>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</si>
  <si>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</si>
  <si>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</si>
  <si>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</si>
  <si>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</si>
  <si>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</si>
  <si>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</si>
  <si>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</si>
  <si>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</si>
  <si>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</si>
  <si>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</si>
  <si>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</si>
  <si>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</si>
  <si>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</si>
  <si>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</si>
  <si>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</si>
  <si>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</si>
  <si>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</si>
  <si>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</si>
  <si>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</si>
  <si>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</si>
  <si>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</si>
  <si>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</si>
  <si>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</si>
  <si>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</si>
  <si>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</si>
  <si>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</si>
  <si>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</si>
  <si>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</si>
  <si>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</si>
  <si>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</si>
  <si>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</si>
  <si>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</si>
  <si>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</si>
  <si>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</si>
  <si>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</si>
  <si>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</si>
  <si>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</si>
  <si>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</si>
  <si>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</si>
  <si>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</si>
  <si>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</si>
  <si>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</si>
  <si>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</si>
  <si>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</si>
  <si>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</si>
  <si>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</si>
  <si>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</si>
  <si>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</si>
  <si>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</si>
  <si>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</si>
  <si>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</si>
  <si>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</si>
  <si>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</si>
  <si>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</si>
  <si>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</si>
  <si>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</si>
  <si>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</si>
  <si>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</si>
  <si>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</si>
  <si>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</si>
  <si>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</si>
  <si>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</si>
  <si>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</si>
  <si>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</si>
  <si>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</si>
  <si>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</si>
  <si>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</si>
  <si>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</si>
  <si>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</si>
  <si>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</si>
  <si>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</si>
  <si>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</si>
  <si>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</si>
  <si>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</si>
  <si>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</si>
  <si>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</si>
  <si>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</si>
  <si>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</si>
  <si>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</si>
  <si>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</si>
  <si>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</si>
  <si>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</si>
  <si>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</si>
  <si>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</si>
  <si>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</si>
  <si>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</si>
  <si>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</si>
  <si>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</si>
  <si>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</si>
  <si>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</si>
  <si>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</si>
  <si>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</si>
  <si>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</si>
  <si>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</si>
  <si>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</si>
  <si>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</si>
  <si>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</si>
  <si>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</si>
  <si>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</si>
  <si>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</si>
  <si>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</si>
  <si>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</si>
  <si>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</si>
  <si>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</si>
  <si>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</si>
  <si>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</si>
  <si>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</si>
  <si>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</si>
  <si>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</si>
  <si>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</si>
  <si>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</si>
  <si>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</si>
  <si>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</si>
  <si>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</si>
  <si>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</si>
  <si>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</si>
  <si>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</si>
  <si>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</si>
  <si>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</si>
  <si>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</si>
  <si>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</si>
  <si>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</si>
  <si>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</si>
  <si>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</si>
  <si>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</si>
  <si>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</si>
  <si>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</si>
  <si>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</si>
  <si>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</si>
  <si>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</si>
  <si>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</si>
  <si>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</si>
  <si>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</si>
  <si>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</si>
  <si>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</si>
  <si>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</si>
  <si>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</si>
  <si>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</si>
  <si>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</si>
  <si>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</si>
  <si>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</si>
  <si>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</si>
  <si>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</si>
  <si>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</si>
  <si>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</si>
  <si>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</si>
  <si>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</si>
  <si>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</si>
  <si>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</si>
  <si>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</si>
  <si>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</si>
  <si>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</si>
  <si>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</si>
  <si>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</si>
  <si>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</si>
  <si>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</si>
  <si>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</si>
  <si>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</si>
  <si>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</si>
  <si>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</si>
  <si>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</si>
  <si>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</si>
  <si>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</si>
  <si>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</si>
  <si>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</si>
  <si>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</si>
  <si>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</si>
  <si>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</si>
  <si>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</si>
  <si>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</si>
  <si>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</si>
  <si>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</si>
  <si>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</si>
  <si>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</si>
  <si>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</si>
  <si>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</si>
  <si>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</si>
  <si>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</si>
  <si>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</si>
  <si>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</si>
  <si>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</si>
  <si>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</si>
  <si>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</si>
  <si>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</si>
  <si>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</si>
  <si>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</si>
  <si>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</si>
  <si>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</si>
  <si>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</si>
  <si>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</si>
  <si>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</si>
  <si>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</si>
  <si>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</si>
  <si>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</si>
  <si>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</si>
  <si>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</si>
  <si>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</si>
  <si>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</si>
  <si>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</si>
  <si>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</si>
  <si>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</si>
  <si>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</si>
  <si>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</si>
  <si>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</si>
  <si>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</si>
  <si>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</si>
  <si>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</si>
  <si>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</si>
  <si>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</si>
  <si>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</si>
  <si>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</si>
  <si>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</si>
  <si>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</si>
  <si>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</si>
  <si>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</si>
  <si>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</si>
  <si>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</si>
  <si>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</si>
  <si>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</si>
  <si>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</si>
  <si>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</si>
  <si>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</si>
  <si>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</si>
  <si>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</si>
  <si>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</si>
  <si>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</si>
  <si>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</si>
  <si>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</si>
  <si>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</si>
  <si>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</si>
  <si>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</si>
  <si>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</si>
  <si>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</si>
  <si>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</si>
  <si>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</si>
  <si>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</si>
  <si>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</si>
  <si>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</si>
  <si>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</si>
  <si>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</si>
  <si>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</si>
  <si>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</si>
  <si>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</si>
  <si>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</si>
  <si>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</si>
  <si>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</si>
  <si>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</si>
  <si>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</si>
  <si>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</si>
  <si>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</si>
  <si>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</si>
  <si>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</si>
  <si>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</si>
  <si>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</si>
  <si>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</si>
  <si>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</si>
  <si>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</si>
  <si>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</si>
  <si>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</si>
  <si>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</si>
  <si>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</si>
  <si>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</si>
  <si>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</si>
  <si>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</si>
  <si>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</si>
  <si>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</si>
  <si>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</si>
  <si>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</si>
  <si>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</si>
  <si>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</si>
  <si>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</si>
  <si>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</si>
  <si>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</si>
  <si>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</si>
  <si>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</si>
  <si>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</si>
  <si>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</si>
  <si>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</si>
  <si>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</si>
  <si>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</si>
  <si>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</si>
  <si>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</si>
  <si>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</si>
  <si>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</si>
  <si>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</si>
  <si>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</si>
  <si>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</si>
  <si>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</si>
  <si>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</si>
  <si>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</si>
  <si>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</si>
  <si>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</si>
  <si>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</si>
  <si>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</si>
  <si>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</si>
  <si>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</si>
  <si>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</si>
  <si>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</si>
  <si>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</si>
  <si>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</si>
  <si>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</si>
  <si>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</si>
  <si>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</si>
  <si>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</si>
  <si>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</si>
  <si>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</si>
  <si>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</si>
  <si>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</si>
  <si>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</si>
  <si>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</si>
  <si>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</si>
  <si>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</si>
  <si>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</si>
  <si>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</si>
  <si>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</si>
  <si>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</si>
  <si>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</si>
  <si>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</si>
  <si>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</si>
  <si>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</si>
  <si>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</si>
  <si>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</si>
  <si>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</si>
  <si>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</si>
  <si>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</si>
  <si>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</si>
  <si>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</si>
  <si>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</si>
  <si>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</si>
  <si>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</si>
  <si>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</si>
  <si>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</si>
  <si>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</si>
  <si>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</si>
  <si>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</si>
  <si>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</si>
  <si>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</si>
  <si>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</si>
  <si>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</si>
  <si>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</si>
  <si>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</si>
  <si>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</si>
  <si>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</si>
  <si>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</si>
  <si>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</si>
  <si>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</si>
  <si>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</si>
  <si>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</si>
  <si>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</si>
  <si>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</si>
  <si>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</si>
  <si>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</si>
  <si>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</si>
  <si>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</si>
  <si>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</si>
  <si>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</si>
  <si>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</si>
  <si>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</si>
  <si>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</si>
  <si>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</si>
  <si>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</si>
  <si>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</si>
  <si>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</si>
  <si>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</si>
  <si>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</si>
  <si>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</si>
  <si>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</si>
  <si>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</si>
  <si>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</si>
  <si>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</si>
  <si>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</si>
  <si>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</si>
  <si>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</si>
  <si>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</si>
  <si>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</si>
  <si>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</si>
  <si>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</si>
  <si>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</si>
  <si>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</si>
  <si>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</si>
  <si>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</si>
  <si>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</si>
  <si>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</si>
  <si>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</si>
  <si>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</si>
  <si>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</si>
  <si>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</si>
  <si>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</si>
  <si>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</si>
  <si>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</si>
  <si>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</si>
  <si>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</si>
  <si>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</si>
  <si>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</si>
  <si>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</si>
  <si>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</si>
  <si>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</si>
  <si>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</si>
  <si>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</si>
  <si>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</si>
  <si>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</si>
  <si>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</si>
  <si>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</si>
  <si>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</si>
  <si>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</si>
  <si>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</si>
  <si>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</si>
  <si>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</si>
  <si>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</si>
  <si>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</si>
  <si>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</si>
  <si>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</si>
  <si>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</si>
  <si>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</si>
  <si>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</si>
  <si>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</si>
  <si>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</si>
  <si>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</si>
  <si>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</si>
  <si>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</si>
  <si>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</si>
  <si>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</si>
  <si>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</si>
  <si>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</si>
  <si>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</si>
  <si>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</si>
  <si>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</si>
  <si>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</si>
  <si>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</si>
  <si>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</si>
  <si>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</si>
  <si>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</si>
  <si>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</si>
  <si>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</si>
  <si>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</si>
  <si>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</si>
  <si>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</si>
  <si>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</si>
  <si>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</si>
  <si>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</si>
  <si>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</si>
  <si>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</si>
  <si>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</si>
  <si>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</si>
  <si>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</si>
  <si>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</si>
  <si>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</si>
  <si>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</si>
  <si>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</si>
  <si>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</si>
  <si>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</si>
  <si>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</si>
  <si>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</si>
  <si>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</si>
  <si>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</si>
  <si>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</si>
  <si>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</si>
  <si>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</si>
  <si>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</si>
  <si>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</si>
  <si>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</si>
  <si>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</si>
  <si>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</si>
  <si>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</si>
  <si>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</si>
  <si>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</si>
  <si>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</si>
  <si>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</si>
  <si>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</si>
  <si>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</si>
  <si>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</si>
  <si>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</si>
  <si>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</si>
  <si>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</si>
  <si>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</si>
  <si>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</si>
  <si>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</si>
  <si>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</si>
  <si>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</si>
  <si>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</si>
  <si>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</si>
  <si>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</si>
  <si>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</si>
  <si>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</si>
  <si>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</si>
  <si>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</si>
  <si>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</si>
  <si>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</si>
  <si>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</si>
  <si>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</si>
  <si>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</si>
  <si>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</si>
  <si>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</si>
  <si>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</si>
  <si>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</si>
  <si>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</si>
  <si>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</si>
  <si>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</si>
  <si>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</si>
  <si>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</si>
  <si>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</si>
  <si>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</si>
  <si>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</si>
  <si>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</si>
  <si>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</si>
  <si>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</si>
  <si>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</si>
  <si>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</si>
  <si>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</si>
  <si>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</si>
  <si>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</si>
  <si>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</si>
  <si>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</si>
  <si>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</si>
  <si>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</si>
  <si>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</si>
  <si>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</si>
  <si>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</si>
  <si>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</si>
  <si>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</si>
  <si>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</si>
  <si>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</si>
  <si>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</si>
  <si>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</si>
  <si>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</si>
  <si>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</si>
  <si>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</si>
  <si>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</si>
  <si>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</si>
  <si>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</si>
  <si>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</si>
  <si>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</si>
  <si>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</si>
  <si>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</si>
  <si>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</si>
  <si>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</si>
  <si>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</si>
  <si>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</si>
  <si>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</si>
  <si>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</si>
  <si>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</si>
  <si>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</si>
  <si>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</si>
  <si>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</si>
  <si>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</si>
  <si>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</si>
  <si>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</si>
  <si>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</si>
  <si>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</si>
  <si>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</si>
  <si>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</si>
  <si>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</si>
  <si>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</si>
  <si>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</si>
  <si>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</si>
  <si>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</si>
  <si>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</si>
  <si>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</si>
  <si>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</si>
  <si>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</si>
  <si>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</si>
  <si>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</si>
  <si>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</si>
  <si>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</si>
  <si>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</si>
  <si>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</si>
  <si>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</si>
  <si>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</si>
  <si>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</si>
  <si>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</si>
  <si>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</si>
  <si>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</si>
  <si>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</si>
  <si>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</si>
  <si>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</si>
  <si>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</si>
  <si>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</si>
  <si>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</si>
  <si>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</si>
  <si>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</si>
  <si>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</si>
  <si>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</si>
  <si>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</si>
  <si>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</si>
  <si>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</si>
  <si>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</si>
  <si>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</si>
  <si>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</si>
  <si>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</si>
  <si>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</si>
  <si>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</si>
  <si>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</si>
  <si>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</si>
  <si>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</si>
  <si>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</si>
  <si>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</si>
  <si>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</si>
  <si>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</si>
  <si>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</si>
  <si>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</si>
  <si>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</si>
  <si>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</si>
  <si>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</si>
  <si>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</si>
  <si>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</si>
  <si>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</si>
  <si>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</si>
  <si>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</si>
  <si>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</si>
  <si>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</si>
  <si>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</si>
  <si>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</si>
  <si>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</si>
  <si>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</si>
  <si>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</si>
  <si>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</si>
  <si>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</si>
  <si>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</si>
  <si>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</si>
  <si>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</si>
  <si>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</si>
  <si>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</si>
  <si>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</si>
  <si>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</si>
  <si>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</si>
  <si>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</si>
  <si>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</si>
  <si>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</si>
  <si>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</si>
  <si>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</si>
  <si>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</si>
  <si>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</si>
  <si>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</si>
  <si>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</si>
  <si>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</si>
  <si>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</si>
  <si>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</si>
  <si>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</si>
  <si>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</si>
  <si>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</si>
  <si>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</si>
  <si>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</si>
  <si>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</si>
  <si>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</si>
  <si>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</si>
  <si>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</si>
  <si>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</si>
  <si>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</si>
  <si>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</si>
  <si>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</si>
  <si>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</si>
  <si>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</si>
  <si>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</si>
  <si>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</si>
  <si>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</si>
  <si>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</si>
  <si>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</si>
  <si>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</si>
  <si>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</si>
  <si>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</si>
  <si>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</si>
  <si>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</si>
  <si>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</si>
  <si>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</si>
  <si>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</si>
  <si>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</si>
  <si>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</si>
  <si>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</si>
  <si>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</si>
  <si>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</si>
  <si>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</si>
  <si>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</si>
  <si>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</si>
  <si>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</si>
  <si>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</si>
  <si>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</si>
  <si>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</si>
  <si>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</si>
  <si>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</si>
  <si>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</si>
  <si>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</si>
  <si>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</si>
  <si>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</si>
  <si>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</si>
  <si>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</si>
  <si>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</si>
  <si>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</si>
  <si>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</si>
  <si>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</si>
  <si>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</si>
  <si>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</si>
  <si>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</si>
  <si>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</si>
  <si>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</si>
  <si>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</si>
  <si>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</si>
  <si>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</si>
  <si>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</si>
  <si>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</si>
  <si>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</si>
  <si>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</si>
  <si>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</si>
  <si>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</si>
  <si>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</si>
  <si>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</si>
  <si>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</si>
  <si>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</si>
  <si>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</si>
  <si>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</si>
  <si>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</si>
  <si>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</si>
  <si>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</si>
  <si>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</si>
  <si>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</si>
  <si>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</si>
  <si>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</si>
  <si>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</si>
  <si>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</si>
  <si>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</si>
  <si>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</si>
  <si>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</si>
  <si>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</si>
  <si>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</si>
  <si>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</si>
  <si>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</si>
  <si>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</si>
  <si>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</si>
  <si>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</si>
  <si>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</si>
  <si>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</si>
  <si>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</si>
  <si>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</si>
  <si>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</si>
  <si>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</si>
  <si>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</si>
  <si>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</si>
  <si>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</si>
  <si>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</si>
  <si>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</si>
  <si>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</si>
  <si>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</si>
  <si>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</si>
  <si>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</si>
  <si>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</si>
  <si>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</si>
  <si>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</si>
  <si>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</si>
  <si>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</si>
  <si>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</si>
  <si>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</si>
  <si>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</si>
  <si>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</si>
  <si>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</si>
  <si>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</si>
  <si>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</si>
  <si>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</si>
  <si>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</si>
  <si>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</si>
  <si>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</si>
  <si>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</si>
  <si>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</si>
  <si>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</si>
  <si>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</si>
  <si>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</si>
  <si>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</si>
  <si>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</si>
  <si>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</si>
  <si>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</si>
  <si>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</si>
  <si>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</si>
  <si>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</si>
  <si>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</si>
  <si>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</si>
  <si>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</si>
  <si>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</si>
  <si>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</si>
  <si>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</si>
  <si>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</si>
  <si>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</si>
  <si>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</si>
  <si>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</si>
  <si>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</si>
  <si>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</si>
  <si>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</si>
  <si>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</si>
  <si>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</si>
  <si>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</si>
  <si>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</si>
  <si>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</si>
  <si>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</si>
  <si>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</si>
  <si>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</si>
  <si>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</si>
  <si>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</si>
  <si>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</si>
  <si>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</si>
  <si>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</si>
  <si>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</si>
  <si>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</si>
  <si>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</si>
  <si>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</si>
  <si>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</si>
  <si>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</si>
  <si>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</si>
  <si>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</si>
  <si>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</si>
  <si>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</si>
  <si>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</si>
  <si>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</si>
  <si>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</si>
  <si>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</si>
  <si>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</si>
  <si>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</si>
  <si>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</si>
  <si>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</si>
  <si>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</si>
  <si>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</si>
  <si>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</si>
  <si>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</si>
  <si>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</si>
  <si>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</si>
  <si>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</si>
  <si>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</si>
  <si>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</si>
  <si>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</si>
  <si>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</si>
  <si>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</si>
  <si>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</si>
  <si>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</si>
  <si>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</si>
  <si>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</si>
  <si>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</si>
  <si>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</si>
  <si>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</si>
  <si>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</si>
  <si>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</si>
  <si>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</si>
  <si>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</si>
  <si>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</si>
  <si>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</si>
  <si>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</si>
  <si>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</si>
  <si>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</si>
  <si>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</si>
  <si>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</si>
  <si>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</si>
  <si>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</si>
  <si>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</si>
  <si>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</si>
  <si>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</si>
  <si>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</si>
  <si>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</si>
  <si>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</si>
  <si>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</si>
  <si>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</si>
  <si>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</si>
  <si>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</si>
  <si>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</si>
  <si>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</si>
  <si>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</si>
  <si>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</si>
  <si>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</si>
  <si>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</si>
  <si>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</si>
  <si>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</si>
  <si>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</si>
  <si>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</si>
  <si>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</si>
  <si>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</si>
  <si>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</si>
  <si>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</si>
  <si>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</si>
  <si>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</si>
  <si>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</si>
  <si>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</si>
  <si>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</si>
  <si>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</si>
  <si>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</si>
  <si>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</si>
  <si>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</si>
  <si>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</si>
  <si>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</si>
  <si>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</si>
  <si>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</si>
  <si>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</si>
  <si>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</si>
  <si>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</si>
  <si>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</si>
  <si>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</si>
  <si>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</si>
  <si>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</si>
  <si>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</si>
  <si>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</si>
  <si>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</si>
  <si>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</si>
  <si>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</si>
  <si>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</si>
  <si>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</si>
  <si>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</si>
  <si>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</si>
  <si>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</si>
  <si>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</si>
  <si>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</si>
  <si>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</si>
  <si>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</si>
  <si>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</si>
  <si>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</si>
  <si>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</si>
  <si>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</si>
  <si>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</si>
  <si>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</si>
  <si>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</si>
  <si>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</si>
  <si>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</si>
  <si>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</si>
  <si>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</si>
  <si>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</si>
  <si>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</si>
  <si>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</si>
  <si>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</si>
  <si>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</si>
  <si>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</si>
  <si>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</si>
  <si>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</si>
  <si>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</si>
  <si>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</si>
  <si>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</si>
  <si>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</si>
  <si>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</si>
  <si>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</si>
  <si>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</si>
  <si>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</si>
  <si>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</si>
  <si>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</si>
  <si>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</si>
  <si>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</si>
  <si>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</si>
  <si>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</si>
  <si>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</si>
  <si>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</si>
  <si>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</si>
  <si>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</si>
  <si>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</si>
  <si>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</si>
  <si>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</si>
  <si>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</si>
  <si>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</si>
  <si>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</si>
  <si>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</si>
  <si>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</si>
  <si>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</si>
  <si>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</si>
  <si>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</si>
  <si>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</si>
  <si>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</si>
  <si>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</si>
  <si>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</si>
  <si>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</si>
  <si>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元大富櫃</t>
    </r>
    <r>
      <rPr>
        <sz val="12"/>
        <rFont val="Times New Roman"/>
        <family val="1"/>
      </rPr>
      <t>50</t>
    </r>
  </si>
  <si>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</si>
  <si>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</si>
  <si>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</si>
  <si>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rPr>
        <sz val="12"/>
        <rFont val="標楷體"/>
        <family val="4"/>
        <charset val="136"/>
      </rPr>
      <t>上櫃股票</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</si>
  <si>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</si>
  <si>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</si>
  <si>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</si>
  <si>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</si>
  <si>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</si>
  <si>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</si>
  <si>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</si>
  <si>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</si>
  <si>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</si>
  <si>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</si>
  <si>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</si>
  <si>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</si>
  <si>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</si>
  <si>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</si>
  <si>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</si>
  <si>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</si>
  <si>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</si>
  <si>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</si>
  <si>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</si>
  <si>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</si>
  <si>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</si>
  <si>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</si>
  <si>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</si>
  <si>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</si>
  <si>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</si>
  <si>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</si>
  <si>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</si>
  <si>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</si>
  <si>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</si>
  <si>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</si>
  <si>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</si>
  <si>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</si>
  <si>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</si>
  <si>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</si>
  <si>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</si>
  <si>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</si>
  <si>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</si>
  <si>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</si>
  <si>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</si>
  <si>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</si>
  <si>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</si>
  <si>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</si>
  <si>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</si>
  <si>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</si>
  <si>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</si>
  <si>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</si>
  <si>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</si>
  <si>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</si>
  <si>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</si>
  <si>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</si>
  <si>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</si>
  <si>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</si>
  <si>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</si>
  <si>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</si>
  <si>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</si>
  <si>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</si>
  <si>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</si>
  <si>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</si>
  <si>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</si>
  <si>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</si>
  <si>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</si>
  <si>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</si>
  <si>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</si>
  <si>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</si>
  <si>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</si>
  <si>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</si>
  <si>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</si>
  <si>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</si>
  <si>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</si>
  <si>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</si>
  <si>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</si>
  <si>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</si>
  <si>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</si>
  <si>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</si>
  <si>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</si>
  <si>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</si>
  <si>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</si>
  <si>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</si>
  <si>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</si>
  <si>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</si>
  <si>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</si>
  <si>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</si>
  <si>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</si>
  <si>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</si>
  <si>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</si>
  <si>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</si>
  <si>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</si>
  <si>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</si>
  <si>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</si>
  <si>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</si>
  <si>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</si>
  <si>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</si>
  <si>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</si>
  <si>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</si>
  <si>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</si>
  <si>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</si>
  <si>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</si>
  <si>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</si>
  <si>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</si>
  <si>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</si>
  <si>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</si>
  <si>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</si>
  <si>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</si>
  <si>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</si>
  <si>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</si>
  <si>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</si>
  <si>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</si>
  <si>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</si>
  <si>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</si>
  <si>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</si>
  <si>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</si>
  <si>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</si>
  <si>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</si>
  <si>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</si>
  <si>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</si>
  <si>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</si>
  <si>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</si>
  <si>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</si>
  <si>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</si>
  <si>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</si>
  <si>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</si>
  <si>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</si>
  <si>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</si>
  <si>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</si>
  <si>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</si>
  <si>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</si>
  <si>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</si>
  <si>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</si>
  <si>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</si>
  <si>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</si>
  <si>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</si>
  <si>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</si>
  <si>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</si>
  <si>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</si>
  <si>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</si>
  <si>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</si>
  <si>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</si>
  <si>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</si>
  <si>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</si>
  <si>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</si>
  <si>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</si>
  <si>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</si>
  <si>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</si>
  <si>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</si>
  <si>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</si>
  <si>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</si>
  <si>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</si>
  <si>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</si>
  <si>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</si>
  <si>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</si>
  <si>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</si>
  <si>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</si>
  <si>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</si>
  <si>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</si>
  <si>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</si>
  <si>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</si>
  <si>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</si>
  <si>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</si>
  <si>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</si>
  <si>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</si>
  <si>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</si>
  <si>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</si>
  <si>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</si>
  <si>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</si>
  <si>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</si>
  <si>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</si>
  <si>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</si>
  <si>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</si>
  <si>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</si>
  <si>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</si>
  <si>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</si>
  <si>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</si>
  <si>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</si>
  <si>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</si>
  <si>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</si>
  <si>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</si>
  <si>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</si>
  <si>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</si>
  <si>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</si>
  <si>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</si>
  <si>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</si>
  <si>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</si>
  <si>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</si>
  <si>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</si>
  <si>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</si>
  <si>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</si>
  <si>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</si>
  <si>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</si>
  <si>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</si>
  <si>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</si>
  <si>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</si>
  <si>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</si>
  <si>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</si>
  <si>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</si>
  <si>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</si>
  <si>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</si>
  <si>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</si>
  <si>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</si>
  <si>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</si>
  <si>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</si>
  <si>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</si>
  <si>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</si>
  <si>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</si>
  <si>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</si>
  <si>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</si>
  <si>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</si>
  <si>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</si>
  <si>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</si>
  <si>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</si>
  <si>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</si>
  <si>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</si>
  <si>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</si>
  <si>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</si>
  <si>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</si>
  <si>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</si>
  <si>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</si>
  <si>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</si>
  <si>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</si>
  <si>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</si>
  <si>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</si>
  <si>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</si>
  <si>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</si>
  <si>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</si>
  <si>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</si>
  <si>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</si>
  <si>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</si>
  <si>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</si>
  <si>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</si>
  <si>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</si>
  <si>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</si>
  <si>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</si>
  <si>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</si>
  <si>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</si>
  <si>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</si>
  <si>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</si>
  <si>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</si>
  <si>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</si>
  <si>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</si>
  <si>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</si>
  <si>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</si>
  <si>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</si>
  <si>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</si>
  <si>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</si>
  <si>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</si>
  <si>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</si>
  <si>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</si>
  <si>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</si>
  <si>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</si>
  <si>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</si>
  <si>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</si>
  <si>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</si>
  <si>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</si>
  <si>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</si>
  <si>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</si>
  <si>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</si>
  <si>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</si>
  <si>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</si>
  <si>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</si>
  <si>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</si>
  <si>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</si>
  <si>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</si>
  <si>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</si>
  <si>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</si>
  <si>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</si>
  <si>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</si>
  <si>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</si>
  <si>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</si>
  <si>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</si>
  <si>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</si>
  <si>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</si>
  <si>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</si>
  <si>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</si>
  <si>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</si>
  <si>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</si>
  <si>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</si>
  <si>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</si>
  <si>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</si>
  <si>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</si>
  <si>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</si>
  <si>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</si>
  <si>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</si>
  <si>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</si>
  <si>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</si>
  <si>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</si>
  <si>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</si>
  <si>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</si>
  <si>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</si>
  <si>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</si>
  <si>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</si>
  <si>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</si>
  <si>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</si>
  <si>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</si>
  <si>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</si>
  <si>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</si>
  <si>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</si>
  <si>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</si>
  <si>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</si>
  <si>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</si>
  <si>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</si>
  <si>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</si>
  <si>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</si>
  <si>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</si>
  <si>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</si>
  <si>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</si>
  <si>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</si>
  <si>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</si>
  <si>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</si>
  <si>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</si>
  <si>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</si>
  <si>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</si>
  <si>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</si>
  <si>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</si>
  <si>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</si>
  <si>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</si>
  <si>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</si>
  <si>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</si>
  <si>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</si>
  <si>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</si>
  <si>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</si>
  <si>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</si>
  <si>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</si>
  <si>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</si>
  <si>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</si>
  <si>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</si>
  <si>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</si>
  <si>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</si>
  <si>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</si>
  <si>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</si>
  <si>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</si>
  <si>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</si>
  <si>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</si>
  <si>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</si>
  <si>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</si>
  <si>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</si>
  <si>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</si>
  <si>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</si>
  <si>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</si>
  <si>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</si>
  <si>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</si>
  <si>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</si>
  <si>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</si>
  <si>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</si>
  <si>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</si>
  <si>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</si>
  <si>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</si>
  <si>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</si>
  <si>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</si>
  <si>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</si>
  <si>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</si>
  <si>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</si>
  <si>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</si>
  <si>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</si>
  <si>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</si>
  <si>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</si>
  <si>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</si>
  <si>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</si>
  <si>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</si>
  <si>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</si>
  <si>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</si>
  <si>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</si>
  <si>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</si>
  <si>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</si>
  <si>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</si>
  <si>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</si>
  <si>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</si>
  <si>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</si>
  <si>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</si>
  <si>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</si>
  <si>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</si>
  <si>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</si>
  <si>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</si>
  <si>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</si>
  <si>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</si>
  <si>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</si>
  <si>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</si>
  <si>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</si>
  <si>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</si>
  <si>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</si>
  <si>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</si>
  <si>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</si>
  <si>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</si>
  <si>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</si>
  <si>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</si>
  <si>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</si>
  <si>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</si>
  <si>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</si>
  <si>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</si>
  <si>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</si>
  <si>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</si>
  <si>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</si>
  <si>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</si>
  <si>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</si>
  <si>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</si>
  <si>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</si>
  <si>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</si>
  <si>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</si>
  <si>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</si>
  <si>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</si>
  <si>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</si>
  <si>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</si>
  <si>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</si>
  <si>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</si>
  <si>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</si>
  <si>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</si>
  <si>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</si>
  <si>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</si>
  <si>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</si>
  <si>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</si>
  <si>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</si>
  <si>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</si>
  <si>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</si>
  <si>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</si>
  <si>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</si>
  <si>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</si>
  <si>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</si>
  <si>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</si>
  <si>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</si>
  <si>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</si>
  <si>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</si>
  <si>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</si>
  <si>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</si>
  <si>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</si>
  <si>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</si>
  <si>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</si>
  <si>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</si>
  <si>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</si>
  <si>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</si>
  <si>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</si>
  <si>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</si>
  <si>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</si>
  <si>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</si>
  <si>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</si>
  <si>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</si>
  <si>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</si>
  <si>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</si>
  <si>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</si>
  <si>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</si>
  <si>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</si>
  <si>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</si>
  <si>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</si>
  <si>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</si>
  <si>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</si>
  <si>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</si>
  <si>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</si>
  <si>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</si>
  <si>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</si>
  <si>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</si>
  <si>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</si>
  <si>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</si>
  <si>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</si>
  <si>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</si>
  <si>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</si>
  <si>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</si>
  <si>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</si>
  <si>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</si>
  <si>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</si>
  <si>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</si>
  <si>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</si>
  <si>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</si>
  <si>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</si>
  <si>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</si>
  <si>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</si>
  <si>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</si>
  <si>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</si>
  <si>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</si>
  <si>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</si>
  <si>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</si>
  <si>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</si>
  <si>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</si>
  <si>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</si>
  <si>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</si>
  <si>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</si>
  <si>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</si>
  <si>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</si>
  <si>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</si>
  <si>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</si>
  <si>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</si>
  <si>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</si>
  <si>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</si>
  <si>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</si>
  <si>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</si>
  <si>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</si>
  <si>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</si>
  <si>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</si>
  <si>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</si>
  <si>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</si>
  <si>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</si>
  <si>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</si>
  <si>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</si>
  <si>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</si>
  <si>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</si>
  <si>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</si>
  <si>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</si>
  <si>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</si>
  <si>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</si>
  <si>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</si>
  <si>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</si>
  <si>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</si>
  <si>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</si>
  <si>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</si>
  <si>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</si>
  <si>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</si>
  <si>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</si>
  <si>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</si>
  <si>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</si>
  <si>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</si>
  <si>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</si>
  <si>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</si>
  <si>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</si>
  <si>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</si>
  <si>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</si>
  <si>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</si>
  <si>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</si>
  <si>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</si>
  <si>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</si>
  <si>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</si>
  <si>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</si>
  <si>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</si>
  <si>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</si>
  <si>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</si>
  <si>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</si>
  <si>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</si>
  <si>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</si>
  <si>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</si>
  <si>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</si>
  <si>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</si>
  <si>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</si>
  <si>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</si>
  <si>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</si>
  <si>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</si>
  <si>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</si>
  <si>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</si>
  <si>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</si>
  <si>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</si>
  <si>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</si>
  <si>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</si>
  <si>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</si>
  <si>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</si>
  <si>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</si>
  <si>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</si>
  <si>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</si>
  <si>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</si>
  <si>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</si>
  <si>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</si>
  <si>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</si>
  <si>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</si>
  <si>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</si>
  <si>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</si>
  <si>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</si>
  <si>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</si>
  <si>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</si>
  <si>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</si>
  <si>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</si>
  <si>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</si>
  <si>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</si>
  <si>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</si>
  <si>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</si>
  <si>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</si>
  <si>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</si>
  <si>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</si>
  <si>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</si>
  <si>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</si>
  <si>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</si>
  <si>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</si>
  <si>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</si>
  <si>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</si>
  <si>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</si>
  <si>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</si>
  <si>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</si>
  <si>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</si>
  <si>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</si>
  <si>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</si>
  <si>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</si>
  <si>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</si>
  <si>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</si>
  <si>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</si>
  <si>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</si>
  <si>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</si>
  <si>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</si>
  <si>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</si>
  <si>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</si>
  <si>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</si>
  <si>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</si>
  <si>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</si>
  <si>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</si>
  <si>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</si>
  <si>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</si>
  <si>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</si>
  <si>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</si>
  <si>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</si>
  <si>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</si>
  <si>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</si>
  <si>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</si>
  <si>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</si>
  <si>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</si>
  <si>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</si>
  <si>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</si>
  <si>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</si>
  <si>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</si>
  <si>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</si>
  <si>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</si>
  <si>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</si>
  <si>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</si>
  <si>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</si>
  <si>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</si>
  <si>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</si>
  <si>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</si>
  <si>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</si>
  <si>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</si>
  <si>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</si>
  <si>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</si>
  <si>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</si>
  <si>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</si>
  <si>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</si>
  <si>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</si>
  <si>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</si>
  <si>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</si>
  <si>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</si>
  <si>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</si>
  <si>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</si>
  <si>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</si>
  <si>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</si>
  <si>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</si>
  <si>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</si>
  <si>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</si>
  <si>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</si>
  <si>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</si>
  <si>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</si>
  <si>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</si>
  <si>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</si>
  <si>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</si>
  <si>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</si>
  <si>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</si>
  <si>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</si>
  <si>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</si>
  <si>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</si>
  <si>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</si>
  <si>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</si>
  <si>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</si>
  <si>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</si>
  <si>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</si>
  <si>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</si>
  <si>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</si>
  <si>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</si>
  <si>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</si>
  <si>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</si>
  <si>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</si>
  <si>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</si>
  <si>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</si>
  <si>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</si>
  <si>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</si>
  <si>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</si>
  <si>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</si>
  <si>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</si>
  <si>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</si>
  <si>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</si>
  <si>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</si>
  <si>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</si>
  <si>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</si>
  <si>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</si>
  <si>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</si>
  <si>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</si>
  <si>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</si>
  <si>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</si>
  <si>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</si>
  <si>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</si>
  <si>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</si>
  <si>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</si>
  <si>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</si>
  <si>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</si>
  <si>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</si>
  <si>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</si>
  <si>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</si>
  <si>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</si>
  <si>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</si>
  <si>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</si>
  <si>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</si>
  <si>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</si>
  <si>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</si>
  <si>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</si>
  <si>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</si>
  <si>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</si>
  <si>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</si>
  <si>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</si>
  <si>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</si>
  <si>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</si>
  <si>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</si>
  <si>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</si>
  <si>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</si>
  <si>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</si>
  <si>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</si>
  <si>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</si>
  <si>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</si>
  <si>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</si>
  <si>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</si>
  <si>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</si>
  <si>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</si>
  <si>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</si>
  <si>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</si>
  <si>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</si>
  <si>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</si>
  <si>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</si>
  <si>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</si>
  <si>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</si>
  <si>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</si>
  <si>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</si>
  <si>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</si>
  <si>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</si>
  <si>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</si>
  <si>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</si>
  <si>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</si>
  <si>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</si>
  <si>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</si>
  <si>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</si>
  <si>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</si>
  <si>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</si>
  <si>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</si>
  <si>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</si>
  <si>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</si>
  <si>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</si>
  <si>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</si>
  <si>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</si>
  <si>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</si>
  <si>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</si>
  <si>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</si>
  <si>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</si>
  <si>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</si>
  <si>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</si>
  <si>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</si>
  <si>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</si>
  <si>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</si>
  <si>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</si>
  <si>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</si>
  <si>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</si>
  <si>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</si>
  <si>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</si>
  <si>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</si>
  <si>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</si>
  <si>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</si>
  <si>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</si>
  <si>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</si>
  <si>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</si>
  <si>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</si>
  <si>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</si>
  <si>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</si>
  <si>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</si>
  <si>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</si>
  <si>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</si>
  <si>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</si>
  <si>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</si>
  <si>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</si>
  <si>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</si>
  <si>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</si>
  <si>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</si>
  <si>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</si>
  <si>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</si>
  <si>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</si>
  <si>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</si>
  <si>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</si>
  <si>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</si>
  <si>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</si>
  <si>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</si>
  <si>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</si>
  <si>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</si>
  <si>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</si>
  <si>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</si>
  <si>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</si>
  <si>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</si>
  <si>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</si>
  <si>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</si>
  <si>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</si>
  <si>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</si>
  <si>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</si>
  <si>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</si>
  <si>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</si>
  <si>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</si>
  <si>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</si>
  <si>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</si>
  <si>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</si>
  <si>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</si>
  <si>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</si>
  <si>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</si>
  <si>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</si>
  <si>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</si>
  <si>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</si>
  <si>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</si>
  <si>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</si>
  <si>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</si>
  <si>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</si>
  <si>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</si>
  <si>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</si>
  <si>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</si>
  <si>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</si>
  <si>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</si>
  <si>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</si>
  <si>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</si>
  <si>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</si>
  <si>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</si>
  <si>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</si>
  <si>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</si>
  <si>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</si>
  <si>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</si>
  <si>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</si>
  <si>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</si>
  <si>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</si>
  <si>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</si>
  <si>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</si>
  <si>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</si>
  <si>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</si>
  <si>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</si>
  <si>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</si>
  <si>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</si>
  <si>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</si>
  <si>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</si>
  <si>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</si>
  <si>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</si>
  <si>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</si>
  <si>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</si>
  <si>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</si>
  <si>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</si>
  <si>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</si>
  <si>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</si>
  <si>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</si>
  <si>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</si>
  <si>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</si>
  <si>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</si>
  <si>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</si>
  <si>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</si>
  <si>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</si>
  <si>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</si>
  <si>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</si>
  <si>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</si>
  <si>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</si>
  <si>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</si>
  <si>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</si>
  <si>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</si>
  <si>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</si>
  <si>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</si>
  <si>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</si>
  <si>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</si>
  <si>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</si>
  <si>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</si>
  <si>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7"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</si>
  <si>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rFont val="Times New Roman"/>
        <family val="1"/>
      </rPr>
      <t>111/01/01~113/12/31)</t>
    </r>
    <phoneticPr fontId="7" type="noConversion"/>
  </si>
  <si>
    <r>
      <rPr>
        <sz val="12"/>
        <rFont val="標楷體"/>
        <family val="4"/>
        <charset val="136"/>
      </rPr>
      <t>三年移動平均計算起始日</t>
    </r>
    <phoneticPr fontId="7" type="noConversion"/>
  </si>
  <si>
    <r>
      <rPr>
        <b/>
        <sz val="12"/>
        <rFont val="標楷體"/>
        <family val="4"/>
        <charset val="136"/>
      </rPr>
      <t>指數名稱</t>
    </r>
    <phoneticPr fontId="7"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</si>
  <si>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</si>
  <si>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</si>
  <si>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7" type="noConversion"/>
  </si>
  <si>
    <r>
      <rPr>
        <b/>
        <sz val="12"/>
        <rFont val="標楷體"/>
        <family val="4"/>
        <charset val="136"/>
      </rPr>
      <t>日曆日</t>
    </r>
    <phoneticPr fontId="7" type="noConversion"/>
  </si>
  <si>
    <r>
      <rPr>
        <b/>
        <sz val="12"/>
        <rFont val="標楷體"/>
        <family val="4"/>
        <charset val="136"/>
      </rPr>
      <t>收盤價</t>
    </r>
    <phoneticPr fontId="7" type="noConversion"/>
  </si>
  <si>
    <r>
      <rPr>
        <b/>
        <sz val="12"/>
        <rFont val="標楷體"/>
        <family val="4"/>
        <charset val="136"/>
      </rPr>
      <t>資產負債表日收盤價</t>
    </r>
    <r>
      <rPr>
        <b/>
        <sz val="12"/>
        <rFont val="Times New Roman"/>
        <family val="1"/>
      </rPr>
      <t>(CI)</t>
    </r>
    <phoneticPr fontId="7"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</si>
  <si>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7" type="noConversion"/>
  </si>
  <si>
    <r>
      <rPr>
        <b/>
        <sz val="12"/>
        <rFont val="標楷體"/>
        <family val="4"/>
        <charset val="136"/>
      </rPr>
      <t>調整項</t>
    </r>
    <r>
      <rPr>
        <b/>
        <sz val="12"/>
        <rFont val="Times New Roman"/>
        <family val="1"/>
      </rPr>
      <t xml:space="preserve"> × 0.85</t>
    </r>
  </si>
  <si>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9"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</si>
  <si>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r>
      <rPr>
        <sz val="12"/>
        <color indexed="8"/>
        <rFont val="Times New Roman"/>
        <family val="1"/>
      </rPr>
      <t>(</t>
    </r>
    <r>
      <rPr>
        <sz val="12"/>
        <color indexed="8"/>
        <rFont val="標楷體"/>
        <family val="4"/>
        <charset val="136"/>
      </rPr>
      <t>公開公司</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非公開公司</t>
    </r>
    <r>
      <rPr>
        <sz val="12"/>
        <color indexed="8"/>
        <rFont val="Times New Roman"/>
        <family val="1"/>
      </rPr>
      <t>)</t>
    </r>
    <r>
      <rPr>
        <sz val="12"/>
        <color indexed="8"/>
        <rFont val="標楷體"/>
        <family val="4"/>
        <charset val="136"/>
      </rPr>
      <t>。</t>
    </r>
    <phoneticPr fontId="7" type="noConversion"/>
  </si>
  <si>
    <r>
      <rPr>
        <sz val="12"/>
        <color rgb="FFFF0000"/>
        <rFont val="標楷體"/>
        <family val="4"/>
        <charset val="136"/>
      </rPr>
      <t>說明：「市價</t>
    </r>
    <r>
      <rPr>
        <sz val="12"/>
        <color rgb="FFFF0000"/>
        <rFont val="Times New Roman"/>
        <family val="1"/>
      </rPr>
      <t>_</t>
    </r>
    <r>
      <rPr>
        <sz val="12"/>
        <color rgb="FFFF0000"/>
        <rFont val="標楷體"/>
        <family val="4"/>
        <charset val="136"/>
      </rPr>
      <t>評價日」與「日均價」所使用之匯率，均採用與公司財務報表一致之評價匯率來源，以確保資料的一致性。</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</si>
</sst>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6" formatCode="&quot;$&quot;#,##0;[Red]\-&quot;$&quot;#,##0"/>
    <numFmt numFmtId="41" formatCode="_-* #,##0_-;\-* #,##0_-;_-* &quot;-&quot;_-;_-@_-"/>
    <numFmt numFmtId="43" formatCode="_-* #,##0.00_-;\-* #,##0.00_-;_-* &quot;-&quot;??_-;_-@_-"/>
    <numFmt numFmtId="176" formatCode="0.00_ "/>
    <numFmt numFmtId="177" formatCode="#,##0_);[Red]\(#,##0\)"/>
    <numFmt numFmtId="178" formatCode="_(* #,##0_);_(* \(#,##0\);_(* &quot;-&quot;_);_(@_)"/>
    <numFmt numFmtId="179" formatCode="_-* #,##0_-;\-* #,##0_-;_-* &quot;-&quot;??_-;_-@_-"/>
    <numFmt numFmtId="180" formatCode="?,???,???,??0"/>
    <numFmt numFmtId="181" formatCode="??0.00%"/>
    <numFmt numFmtId="182" formatCode="0.0000_ "/>
    <numFmt numFmtId="183" formatCode="?,???,???,???"/>
    <numFmt numFmtId="184" formatCode="0.0000"/>
    <numFmt numFmtId="185" formatCode="#,##0_ "/>
    <numFmt numFmtId="186" formatCode="?0.0000"/>
    <numFmt numFmtId="187" formatCode="0.0000_);[Red]\(0.0000\)"/>
    <numFmt numFmtId="188" formatCode="0.000_ "/>
    <numFmt numFmtId="189" formatCode="&quot;$&quot;#,##0_);[Red]\(&quot;$&quot;#,##0\)"/>
    <numFmt numFmtId="190" formatCode="_(* #,##0_);_(* \(#,##0\);_(* &quot;-&quot;??_);_(@_)"/>
    <numFmt numFmtId="191" formatCode="#"/>
    <numFmt numFmtId="192" formatCode="#,##0;\-#,##0;#"/>
    <numFmt numFmtId="193" formatCode="0.00_);[Red]\(0.00\)"/>
    <numFmt numFmtId="194" formatCode="#,##0_ ;[Red]\-#,##0\ "/>
    <numFmt numFmtId="195" formatCode="_(* #,##0.0000_);_(* \(#,##0.0000\);_(* &quot;-&quot;??_);_(@_)"/>
    <numFmt numFmtId="196" formatCode="0.00%;\-0.00%;#"/>
    <numFmt numFmtId="197" formatCode="_(* #,##0.00_);_(* \(#,##0.00\);_(* &quot;-&quot;??_);_(@_)"/>
    <numFmt numFmtId="198" formatCode="_(* #,##0.00_);_(* \(#,##0.00\);_(* &quot;-&quot;_);_(@_)"/>
    <numFmt numFmtId="199" formatCode="0.0000_);\(0.0000\)"/>
    <numFmt numFmtId="200" formatCode="0_ "/>
    <numFmt numFmtId="201" formatCode="0_);[Red]\(0\)"/>
    <numFmt numFmtId="202" formatCode="m&quot;月&quot;d&quot;日&quot;"/>
    <numFmt numFmtId="203" formatCode="0.000"/>
    <numFmt numFmtId="204" formatCode="_._.* #,##0_)_%;_._.* \(#,##0\)_%;_._.* 0_)_%;_._.@_)_%"/>
    <numFmt numFmtId="205" formatCode="_._.* \(#,##0\)_%;_._.* #,##0_)_%;_._.* 0_)_%;_._.@_)_%"/>
    <numFmt numFmtId="206" formatCode="* \(#,##0\);* #,##0_);&quot;-&quot;??_);@"/>
    <numFmt numFmtId="207" formatCode="* #,##0_);* \(#,##0\);&quot;-&quot;??_);@"/>
    <numFmt numFmtId="208" formatCode="_-[$€-2]* #,##0.00_-;\-[$€-2]* #,##0.00_-;_-[$€-2]* &quot;-&quot;??_-"/>
    <numFmt numFmtId="209" formatCode="0%_);\(0%\)"/>
    <numFmt numFmtId="210" formatCode="#,##0_);\(#,##0\)"/>
    <numFmt numFmtId="211" formatCode="0.00000_ "/>
    <numFmt numFmtId="212" formatCode="yyyy/m/d;@"/>
    <numFmt numFmtId="213" formatCode="#,###_0;\-#,###_0;#"/>
    <numFmt numFmtId="214" formatCode="yyyy/mm/dd"/>
    <numFmt numFmtId="215" formatCode="0E+00"/>
    <numFmt numFmtId="216" formatCode="_-* #,##0.00,,_-;\-* #,##0.00,,_-;_-* &quot;-&quot;?_-;_-@_-"/>
    <numFmt numFmtId="217" formatCode="_-* #,##0,,_-;\-* #,##0,,_-;_-* &quot;-&quot;?_-;_-@_-"/>
    <numFmt numFmtId="218" formatCode="_-* #,##0.000_-;\-* #,##0.000_-;_-* &quot;-&quot;??_-;_-@_-"/>
    <numFmt numFmtId="219" formatCode="0.0%"/>
    <numFmt numFmtId="220" formatCode="0.000%"/>
    <numFmt numFmtId="221" formatCode="_-* #,##0.00000_-;\-* #,##0.00000_-;_-* &quot;-&quot;??_-;_-@_-"/>
    <numFmt numFmtId="222" formatCode="0.000_);[Red]\(0.000\)"/>
    <numFmt numFmtId="223" formatCode="#,##0.0_ "/>
    <numFmt numFmtId="224" formatCode="_-* #,##0.0000_-;\-* #,##0.0000_-;_-* &quot;-&quot;??_-;_-@_-"/>
    <numFmt numFmtId="225" formatCode="0.00000"/>
    <numFmt numFmtId="226" formatCode="0.0000%"/>
    <numFmt numFmtId="227" formatCode="\[0\]"/>
    <numFmt numFmtId="228" formatCode="0.00000%"/>
    <numFmt numFmtId="229" formatCode="0.000000%"/>
  </numFmts>
  <fonts count="196">
    <font>
      <sz val="12"/>
      <name val="新細明體"/>
      <family val="1"/>
      <charset val="136"/>
    </font>
    <font>
      <sz val="12"/>
      <color indexed="8"/>
      <name val="新細明體"/>
      <family val="1"/>
      <charset val="136"/>
    </font>
    <font>
      <sz val="12"/>
      <color indexed="8"/>
      <name val="新細明體"/>
      <family val="1"/>
      <charset val="136"/>
    </font>
    <font>
      <sz val="12"/>
      <name val="新細明體"/>
      <family val="1"/>
      <charset val="136"/>
    </font>
    <font>
      <sz val="12"/>
      <name val="新細明體"/>
      <family val="1"/>
      <charset val="136"/>
    </font>
    <font>
      <sz val="12"/>
      <name val="Times New Roman"/>
      <family val="1"/>
    </font>
    <font>
      <sz val="12"/>
      <name val="Courier"/>
      <family val="3"/>
    </font>
    <font>
      <sz val="9"/>
      <name val="細明體"/>
      <family val="3"/>
      <charset val="136"/>
    </font>
    <font>
      <sz val="10"/>
      <name val="標楷體"/>
      <family val="4"/>
      <charset val="136"/>
    </font>
    <font>
      <sz val="9"/>
      <name val="新細明體"/>
      <family val="1"/>
      <charset val="136"/>
    </font>
    <font>
      <sz val="10"/>
      <name val="Times New Roman"/>
      <family val="1"/>
    </font>
    <font>
      <sz val="9"/>
      <name val="Times New Roman"/>
      <family val="1"/>
    </font>
    <font>
      <sz val="9"/>
      <name val="標楷體"/>
      <family val="4"/>
      <charset val="136"/>
    </font>
    <font>
      <sz val="12"/>
      <name val="標楷體"/>
      <family val="4"/>
      <charset val="136"/>
    </font>
    <font>
      <sz val="10"/>
      <name val="細明體"/>
      <family val="3"/>
      <charset val="136"/>
    </font>
    <font>
      <b/>
      <sz val="12"/>
      <name val="Times New Roman"/>
      <family val="1"/>
    </font>
    <font>
      <sz val="10"/>
      <name val="Arial"/>
      <family val="2"/>
    </font>
    <font>
      <sz val="8"/>
      <name val="Times New Roman"/>
      <family val="1"/>
    </font>
    <font>
      <b/>
      <sz val="8"/>
      <name val="Arial"/>
      <family val="2"/>
    </font>
    <font>
      <b/>
      <sz val="9"/>
      <name val="Arial"/>
      <family val="2"/>
    </font>
    <font>
      <sz val="8"/>
      <name val="Arial"/>
      <family val="2"/>
    </font>
    <font>
      <sz val="16"/>
      <name val="標楷體"/>
      <family val="4"/>
      <charset val="136"/>
    </font>
    <font>
      <sz val="36"/>
      <name val="標楷體"/>
      <family val="4"/>
      <charset val="136"/>
    </font>
    <font>
      <sz val="24"/>
      <name val="標楷體"/>
      <family val="4"/>
      <charset val="136"/>
    </font>
    <font>
      <u/>
      <sz val="32"/>
      <name val="標楷體"/>
      <family val="4"/>
      <charset val="136"/>
    </font>
    <font>
      <sz val="30"/>
      <name val="標楷體"/>
      <family val="4"/>
      <charset val="136"/>
    </font>
    <font>
      <sz val="12"/>
      <color indexed="17"/>
      <name val="新細明體"/>
      <family val="1"/>
      <charset val="136"/>
    </font>
    <font>
      <sz val="12"/>
      <color indexed="20"/>
      <name val="新細明體"/>
      <family val="1"/>
      <charset val="136"/>
    </font>
    <font>
      <sz val="12"/>
      <color indexed="8"/>
      <name val="標楷體"/>
      <family val="4"/>
      <charset val="136"/>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0"/>
      <name val="Book Antiqua"/>
      <family val="1"/>
    </font>
    <font>
      <sz val="10"/>
      <color indexed="10"/>
      <name val="Book Antiqua"/>
      <family val="1"/>
    </font>
    <font>
      <sz val="10"/>
      <color indexed="30"/>
      <name val="標楷體"/>
      <family val="4"/>
      <charset val="136"/>
    </font>
    <font>
      <sz val="12"/>
      <color indexed="8"/>
      <name val="新細明體"/>
      <family val="1"/>
      <charset val="136"/>
    </font>
    <font>
      <sz val="10"/>
      <color indexed="60"/>
      <name val="標楷體"/>
      <family val="4"/>
      <charset val="136"/>
    </font>
    <font>
      <b/>
      <sz val="12"/>
      <name val="標楷體"/>
      <family val="4"/>
      <charset val="136"/>
    </font>
    <font>
      <vertAlign val="subscript"/>
      <sz val="12"/>
      <name val="Times New Roman"/>
      <family val="1"/>
    </font>
    <font>
      <sz val="11"/>
      <name val="Book Antiqua"/>
      <family val="1"/>
    </font>
    <font>
      <sz val="9"/>
      <name val="Book Antiqua"/>
      <family val="1"/>
    </font>
    <font>
      <b/>
      <sz val="32"/>
      <name val="標楷體"/>
      <family val="4"/>
      <charset val="136"/>
    </font>
    <font>
      <sz val="12"/>
      <name val="Book Antiqua"/>
      <family val="1"/>
    </font>
    <font>
      <u/>
      <sz val="10"/>
      <name val="Book Antiqua"/>
      <family val="1"/>
    </font>
    <font>
      <u/>
      <sz val="10"/>
      <name val="標楷體"/>
      <family val="4"/>
      <charset val="136"/>
    </font>
    <font>
      <b/>
      <u/>
      <sz val="10"/>
      <name val="Book Antiqua"/>
      <family val="1"/>
    </font>
    <font>
      <b/>
      <i/>
      <sz val="12"/>
      <name val="Times New Roman"/>
      <family val="1"/>
    </font>
    <font>
      <b/>
      <i/>
      <vertAlign val="subscript"/>
      <sz val="12"/>
      <name val="Times New Roman"/>
      <family val="1"/>
    </font>
    <font>
      <b/>
      <i/>
      <vertAlign val="superscript"/>
      <sz val="12"/>
      <name val="Times New Roman"/>
      <family val="1"/>
    </font>
    <font>
      <sz val="11"/>
      <name val="標楷體"/>
      <family val="4"/>
      <charset val="136"/>
    </font>
    <font>
      <b/>
      <sz val="10"/>
      <name val="Book Antiqua"/>
      <family val="1"/>
    </font>
    <font>
      <b/>
      <sz val="10"/>
      <name val="標楷體"/>
      <family val="4"/>
      <charset val="136"/>
    </font>
    <font>
      <vertAlign val="subscript"/>
      <sz val="12"/>
      <name val="標楷體"/>
      <family val="4"/>
      <charset val="136"/>
    </font>
    <font>
      <strike/>
      <sz val="10"/>
      <name val="Book Antiqua"/>
      <family val="1"/>
    </font>
    <font>
      <i/>
      <sz val="10"/>
      <name val="標楷體"/>
      <family val="4"/>
      <charset val="136"/>
    </font>
    <font>
      <sz val="10"/>
      <name val="華康仿宋體W6"/>
      <family val="3"/>
      <charset val="136"/>
    </font>
    <font>
      <sz val="11"/>
      <name val="新細明體"/>
      <family val="1"/>
      <charset val="136"/>
    </font>
    <font>
      <sz val="10"/>
      <name val="新細明體"/>
      <family val="1"/>
      <charset val="136"/>
    </font>
    <font>
      <sz val="12"/>
      <color indexed="8"/>
      <name val="新細明體"/>
      <family val="1"/>
      <charset val="136"/>
    </font>
    <font>
      <sz val="10"/>
      <color indexed="10"/>
      <name val="標楷體"/>
      <family val="4"/>
      <charset val="136"/>
    </font>
    <font>
      <sz val="12"/>
      <color indexed="8"/>
      <name val="Times New Roman"/>
      <family val="1"/>
    </font>
    <font>
      <sz val="12"/>
      <color indexed="10"/>
      <name val="Times New Roman"/>
      <family val="1"/>
    </font>
    <font>
      <sz val="10"/>
      <color indexed="8"/>
      <name val="標楷體"/>
      <family val="4"/>
      <charset val="136"/>
    </font>
    <font>
      <b/>
      <sz val="12"/>
      <color indexed="8"/>
      <name val="Times New Roman"/>
      <family val="1"/>
    </font>
    <font>
      <sz val="12"/>
      <color indexed="10"/>
      <name val="標楷體"/>
      <family val="4"/>
      <charset val="136"/>
    </font>
    <font>
      <sz val="10"/>
      <color indexed="8"/>
      <name val="Book Antiqua"/>
      <family val="1"/>
    </font>
    <font>
      <sz val="10"/>
      <color indexed="8"/>
      <name val="Times New Roman"/>
      <family val="1"/>
    </font>
    <font>
      <b/>
      <sz val="10"/>
      <color indexed="8"/>
      <name val="Book Antiqua"/>
      <family val="1"/>
    </font>
    <font>
      <b/>
      <sz val="10"/>
      <color indexed="8"/>
      <name val="標楷體"/>
      <family val="4"/>
      <charset val="136"/>
    </font>
    <font>
      <b/>
      <u/>
      <sz val="10"/>
      <color indexed="8"/>
      <name val="標楷體"/>
      <family val="4"/>
      <charset val="136"/>
    </font>
    <font>
      <sz val="10"/>
      <color indexed="8"/>
      <name val="微軟正黑體"/>
      <family val="2"/>
      <charset val="136"/>
    </font>
    <font>
      <sz val="10"/>
      <name val="Book Antiqua"/>
      <family val="1"/>
    </font>
    <font>
      <sz val="10"/>
      <color indexed="10"/>
      <name val="Times New Roman"/>
      <family val="1"/>
    </font>
    <font>
      <sz val="12"/>
      <name val="Times New Roman"/>
      <family val="1"/>
    </font>
    <font>
      <sz val="12"/>
      <color indexed="8"/>
      <name val="標楷體"/>
      <family val="4"/>
      <charset val="136"/>
    </font>
    <font>
      <sz val="10"/>
      <color indexed="8"/>
      <name val="Book Antiqua"/>
      <family val="1"/>
    </font>
    <font>
      <sz val="12"/>
      <color indexed="8"/>
      <name val="新細明體"/>
      <family val="1"/>
      <charset val="136"/>
    </font>
    <font>
      <sz val="12"/>
      <color indexed="8"/>
      <name val="Book Antiqua"/>
      <family val="1"/>
    </font>
    <font>
      <sz val="10"/>
      <color indexed="8"/>
      <name val="標楷體"/>
      <family val="4"/>
      <charset val="136"/>
    </font>
    <font>
      <sz val="10"/>
      <color indexed="8"/>
      <name val="Times New Roman"/>
      <family val="1"/>
    </font>
    <font>
      <b/>
      <sz val="10"/>
      <color indexed="8"/>
      <name val="Times New Roman"/>
      <family val="1"/>
    </font>
    <font>
      <b/>
      <sz val="10"/>
      <color indexed="8"/>
      <name val="標楷體"/>
      <family val="4"/>
      <charset val="136"/>
    </font>
    <font>
      <b/>
      <sz val="12"/>
      <color indexed="8"/>
      <name val="新細明體"/>
      <family val="1"/>
      <charset val="136"/>
    </font>
    <font>
      <b/>
      <u/>
      <sz val="10"/>
      <color indexed="8"/>
      <name val="標楷體"/>
      <family val="4"/>
      <charset val="136"/>
    </font>
    <font>
      <u/>
      <sz val="10"/>
      <color indexed="8"/>
      <name val="標楷體"/>
      <family val="4"/>
      <charset val="136"/>
    </font>
    <font>
      <i/>
      <sz val="10"/>
      <color indexed="8"/>
      <name val="標楷體"/>
      <family val="4"/>
      <charset val="136"/>
    </font>
    <font>
      <sz val="9"/>
      <color indexed="8"/>
      <name val="標楷體"/>
      <family val="4"/>
      <charset val="136"/>
    </font>
    <font>
      <b/>
      <sz val="10"/>
      <color indexed="8"/>
      <name val="Book Antiqua"/>
      <family val="1"/>
    </font>
    <font>
      <sz val="16"/>
      <name val="Times New Roman"/>
      <family val="1"/>
    </font>
    <font>
      <b/>
      <sz val="16"/>
      <name val="Times New Roman"/>
      <family val="1"/>
    </font>
    <font>
      <sz val="12"/>
      <color indexed="8"/>
      <name val="新細明體"/>
      <family val="1"/>
      <charset val="136"/>
    </font>
    <font>
      <sz val="12"/>
      <name val="Calibri Light"/>
      <family val="2"/>
    </font>
    <font>
      <sz val="12"/>
      <color indexed="8"/>
      <name val="新細明體"/>
      <family val="1"/>
      <charset val="136"/>
    </font>
    <font>
      <sz val="12"/>
      <color indexed="8"/>
      <name val="Calibri"/>
      <family val="2"/>
    </font>
    <font>
      <sz val="12"/>
      <color indexed="8"/>
      <name val="標楷體"/>
      <family val="4"/>
      <charset val="136"/>
    </font>
    <font>
      <b/>
      <sz val="12"/>
      <name val="Times New Roman"/>
      <family val="1"/>
    </font>
    <font>
      <sz val="9"/>
      <name val="新細明體"/>
      <family val="1"/>
      <charset val="136"/>
    </font>
    <font>
      <sz val="12"/>
      <color indexed="18"/>
      <name val="Times New Roman"/>
      <family val="1"/>
    </font>
    <font>
      <b/>
      <sz val="12"/>
      <color indexed="10"/>
      <name val="Times New Roman"/>
      <family val="1"/>
    </font>
    <font>
      <b/>
      <sz val="12"/>
      <color indexed="10"/>
      <name val="標楷體"/>
      <family val="4"/>
      <charset val="136"/>
    </font>
    <font>
      <sz val="12"/>
      <color indexed="8"/>
      <name val="Times New Roman"/>
      <family val="1"/>
    </font>
    <font>
      <sz val="12"/>
      <color indexed="8"/>
      <name val="標楷體"/>
      <family val="4"/>
      <charset val="136"/>
    </font>
    <font>
      <sz val="12"/>
      <color indexed="8"/>
      <name val="Times New Roman"/>
      <family val="1"/>
    </font>
    <font>
      <sz val="9"/>
      <name val="新細明體"/>
      <family val="1"/>
      <charset val="136"/>
    </font>
    <font>
      <sz val="12"/>
      <name val="Times New Roman"/>
      <family val="1"/>
    </font>
    <font>
      <sz val="12"/>
      <color indexed="8"/>
      <name val="Calibri Light"/>
      <family val="2"/>
    </font>
    <font>
      <sz val="12"/>
      <color indexed="8"/>
      <name val="標楷體"/>
      <family val="4"/>
      <charset val="136"/>
    </font>
    <font>
      <sz val="12"/>
      <color indexed="8"/>
      <name val="Calibri Light"/>
      <family val="2"/>
    </font>
    <font>
      <sz val="12"/>
      <color indexed="10"/>
      <name val="Times New Roman"/>
      <family val="1"/>
    </font>
    <font>
      <b/>
      <sz val="12"/>
      <color indexed="8"/>
      <name val="Times New Roman"/>
      <family val="1"/>
    </font>
    <font>
      <sz val="12"/>
      <color indexed="8"/>
      <name val="Times New Roman"/>
      <family val="1"/>
    </font>
    <font>
      <sz val="24"/>
      <name val="Times New Roman"/>
      <family val="1"/>
    </font>
    <font>
      <b/>
      <sz val="12"/>
      <color indexed="12"/>
      <name val="新細明體"/>
      <family val="1"/>
      <charset val="136"/>
    </font>
    <font>
      <sz val="16"/>
      <name val="Times New Roman"/>
      <family val="1"/>
    </font>
    <font>
      <b/>
      <sz val="12"/>
      <color indexed="8"/>
      <name val="標楷體"/>
      <family val="4"/>
      <charset val="136"/>
    </font>
    <font>
      <sz val="12"/>
      <color indexed="8"/>
      <name val="微軟正黑體"/>
      <family val="2"/>
      <charset val="136"/>
    </font>
    <font>
      <u/>
      <sz val="12"/>
      <color indexed="8"/>
      <name val="Times New Roman"/>
      <family val="1"/>
    </font>
    <font>
      <sz val="12"/>
      <color indexed="8"/>
      <name val="新細明體"/>
      <family val="1"/>
      <charset val="136"/>
    </font>
    <font>
      <sz val="10"/>
      <color indexed="8"/>
      <name val="標楷體"/>
      <family val="4"/>
      <charset val="136"/>
    </font>
    <font>
      <sz val="10"/>
      <color indexed="8"/>
      <name val="Times New Roman"/>
      <family val="1"/>
    </font>
    <font>
      <sz val="10"/>
      <color indexed="8"/>
      <name val="Book Antiqua"/>
      <family val="1"/>
    </font>
    <font>
      <strike/>
      <sz val="12"/>
      <color indexed="8"/>
      <name val="Times New Roman"/>
      <family val="1"/>
    </font>
    <font>
      <sz val="12"/>
      <color indexed="8"/>
      <name val="Book Antiqua"/>
      <family val="1"/>
    </font>
    <font>
      <b/>
      <sz val="10"/>
      <color indexed="8"/>
      <name val="Book Antiqua"/>
      <family val="1"/>
    </font>
    <font>
      <sz val="9"/>
      <color indexed="8"/>
      <name val="Times New Roman"/>
      <family val="1"/>
    </font>
    <font>
      <sz val="11"/>
      <color indexed="8"/>
      <name val="Times New Roman"/>
      <family val="1"/>
    </font>
    <font>
      <sz val="12"/>
      <color indexed="8"/>
      <name val="Times New Roman"/>
      <family val="1"/>
    </font>
    <font>
      <sz val="10"/>
      <color indexed="8"/>
      <name val="Arial"/>
      <family val="2"/>
    </font>
    <font>
      <sz val="16"/>
      <color indexed="8"/>
      <name val="標楷體"/>
      <family val="4"/>
      <charset val="136"/>
    </font>
    <font>
      <u/>
      <sz val="10"/>
      <color indexed="8"/>
      <name val="Times New Roman"/>
      <family val="1"/>
    </font>
    <font>
      <sz val="12"/>
      <color indexed="8"/>
      <name val="Microsoft JhengHei"/>
      <family val="2"/>
      <charset val="136"/>
    </font>
    <font>
      <sz val="10"/>
      <color indexed="8"/>
      <name val="Times New Roman"/>
      <family val="1"/>
    </font>
    <font>
      <sz val="12"/>
      <color indexed="10"/>
      <name val="Times New Roman"/>
      <family val="1"/>
    </font>
    <font>
      <sz val="12"/>
      <name val="微軟正黑體"/>
      <family val="2"/>
      <charset val="136"/>
    </font>
    <font>
      <sz val="16"/>
      <color indexed="10"/>
      <name val="Times New Roman"/>
      <family val="1"/>
    </font>
    <font>
      <sz val="12"/>
      <color indexed="10"/>
      <name val="標楷體"/>
      <family val="4"/>
      <charset val="136"/>
    </font>
    <font>
      <sz val="12"/>
      <name val="微軟正黑體"/>
      <family val="2"/>
      <charset val="136"/>
    </font>
    <font>
      <b/>
      <sz val="12"/>
      <color indexed="59"/>
      <name val="標楷體"/>
      <family val="4"/>
      <charset val="136"/>
    </font>
    <font>
      <sz val="12"/>
      <color indexed="59"/>
      <name val="Times New Roman"/>
      <family val="1"/>
    </font>
    <font>
      <b/>
      <sz val="12"/>
      <color indexed="59"/>
      <name val="Times New Roman"/>
      <family val="1"/>
    </font>
    <font>
      <sz val="9"/>
      <color indexed="8"/>
      <name val="新細明體"/>
      <family val="1"/>
      <charset val="136"/>
    </font>
    <font>
      <b/>
      <sz val="12"/>
      <name val="微軟正黑體"/>
      <family val="2"/>
      <charset val="136"/>
    </font>
    <font>
      <b/>
      <sz val="11"/>
      <name val="微軟正黑體"/>
      <family val="2"/>
      <charset val="136"/>
    </font>
    <font>
      <sz val="11"/>
      <name val="微軟正黑體"/>
      <family val="2"/>
      <charset val="136"/>
    </font>
    <font>
      <sz val="9"/>
      <name val="新細明體"/>
      <family val="1"/>
      <charset val="136"/>
    </font>
    <font>
      <sz val="10"/>
      <color indexed="8"/>
      <name val="Book Antiqua"/>
      <family val="1"/>
    </font>
    <font>
      <sz val="12"/>
      <color theme="1"/>
      <name val="新細明體"/>
      <family val="1"/>
      <charset val="136"/>
      <scheme val="minor"/>
    </font>
    <font>
      <sz val="10"/>
      <color theme="1"/>
      <name val="Arial Unicode MS"/>
      <family val="1"/>
      <charset val="136"/>
    </font>
    <font>
      <sz val="10"/>
      <color theme="1"/>
      <name val="Arial"/>
      <family val="2"/>
    </font>
    <font>
      <sz val="12"/>
      <color theme="1"/>
      <name val="Calibri"/>
      <family val="2"/>
    </font>
    <font>
      <sz val="12"/>
      <color theme="1"/>
      <name val="標楷體"/>
      <family val="4"/>
      <charset val="136"/>
    </font>
    <font>
      <sz val="10"/>
      <color rgb="FFFF0000"/>
      <name val="標楷體"/>
      <family val="4"/>
      <charset val="136"/>
    </font>
    <font>
      <sz val="10"/>
      <color rgb="FFFF0000"/>
      <name val="Times New Roman"/>
      <family val="1"/>
    </font>
    <font>
      <sz val="12"/>
      <color rgb="FFFF0000"/>
      <name val="標楷體"/>
      <family val="4"/>
      <charset val="136"/>
    </font>
    <font>
      <b/>
      <sz val="12"/>
      <color theme="1"/>
      <name val="Times New Roman"/>
      <family val="1"/>
    </font>
    <font>
      <b/>
      <sz val="12"/>
      <color theme="1"/>
      <name val="標楷體"/>
      <family val="4"/>
      <charset val="136"/>
    </font>
    <font>
      <sz val="10"/>
      <color theme="1"/>
      <name val="Book Antiqua"/>
      <family val="1"/>
    </font>
    <font>
      <sz val="10"/>
      <color theme="1"/>
      <name val="標楷體"/>
      <family val="4"/>
      <charset val="136"/>
    </font>
    <font>
      <sz val="10"/>
      <color theme="1"/>
      <name val="Times New Roman"/>
      <family val="1"/>
    </font>
    <font>
      <sz val="12"/>
      <color theme="1"/>
      <name val="Book Antiqua"/>
      <family val="1"/>
    </font>
    <font>
      <sz val="12"/>
      <color rgb="FFFF0000"/>
      <name val="Times New Roman"/>
      <family val="1"/>
    </font>
    <font>
      <sz val="12"/>
      <name val="Times New Roman"/>
      <family val="4"/>
      <charset val="136"/>
    </font>
    <font>
      <b/>
      <sz val="12"/>
      <color rgb="FFFF0000"/>
      <name val="Times New Roman"/>
      <family val="1"/>
    </font>
    <font>
      <sz val="16"/>
      <name val="Times New Roman"/>
      <family val="4"/>
      <charset val="136"/>
    </font>
    <font>
      <sz val="12"/>
      <color rgb="FF000000"/>
      <name val="Times New Roman"/>
      <family val="1"/>
    </font>
    <font>
      <sz val="16"/>
      <color rgb="FFFF0000"/>
      <name val="Times New Roman"/>
      <family val="1"/>
    </font>
    <font>
      <strike/>
      <sz val="12"/>
      <name val="Times New Roman"/>
      <family val="1"/>
    </font>
    <font>
      <u/>
      <sz val="12"/>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000000"/>
      <name val="標楷體"/>
      <family val="4"/>
      <charset val="136"/>
    </font>
    <font>
      <sz val="12"/>
      <color theme="1"/>
      <name val="Times New Roman"/>
      <family val="1"/>
    </font>
    <font>
      <strike/>
      <sz val="12"/>
      <color theme="1"/>
      <name val="Times New Roman"/>
      <family val="1"/>
    </font>
    <font>
      <b/>
      <sz val="12"/>
      <name val="Times New Roman"/>
      <family val="4"/>
      <charset val="136"/>
    </font>
    <font>
      <b/>
      <sz val="12"/>
      <color rgb="FFFF0000"/>
      <name val="標楷體"/>
      <family val="4"/>
      <charset val="136"/>
    </font>
    <font>
      <b/>
      <sz val="12"/>
      <color rgb="FFFF0000"/>
      <name val="Times New Roman"/>
      <family val="4"/>
      <charset val="136"/>
    </font>
    <font>
      <b/>
      <vertAlign val="subscript"/>
      <sz val="12"/>
      <color theme="1"/>
      <name val="標楷體"/>
      <family val="4"/>
      <charset val="136"/>
    </font>
    <font>
      <b/>
      <vertAlign val="subscript"/>
      <sz val="12"/>
      <color theme="1"/>
      <name val="Times New Roman"/>
      <family val="1"/>
    </font>
    <font>
      <b/>
      <sz val="16"/>
      <color theme="1"/>
      <name val="Times New Roman"/>
      <family val="1"/>
    </font>
    <font>
      <sz val="16"/>
      <color theme="1"/>
      <name val="Times New Roman"/>
      <family val="1"/>
    </font>
    <font>
      <sz val="10"/>
      <color rgb="FFFF0000"/>
      <name val="Book Antiqua"/>
      <family val="1"/>
    </font>
    <font>
      <sz val="12"/>
      <color indexed="8"/>
      <name val="Times New Roman"/>
      <family val="4"/>
      <charset val="136"/>
    </font>
    <font>
      <sz val="10"/>
      <color indexed="8"/>
      <name val="Book Antiqua"/>
      <family val="4"/>
      <charset val="136"/>
    </font>
    <font>
      <vertAlign val="subscript"/>
      <sz val="12"/>
      <color theme="1"/>
      <name val="Times New Roman"/>
      <family val="1"/>
    </font>
    <font>
      <sz val="10"/>
      <name val="Times New Roman"/>
      <family val="4"/>
      <charset val="136"/>
    </font>
    <font>
      <b/>
      <u/>
      <sz val="12"/>
      <name val="標楷體"/>
      <family val="4"/>
      <charset val="136"/>
    </font>
    <font>
      <i/>
      <sz val="10"/>
      <name val="Book Antiqua"/>
      <family val="1"/>
    </font>
    <font>
      <i/>
      <vertAlign val="subscript"/>
      <sz val="10"/>
      <name val="Book Antiqua"/>
      <family val="1"/>
    </font>
    <font>
      <i/>
      <vertAlign val="superscript"/>
      <sz val="10"/>
      <name val="Book Antiqua"/>
      <family val="1"/>
    </font>
    <font>
      <sz val="12"/>
      <color rgb="FFFF0000"/>
      <name val="新細明體"/>
      <family val="1"/>
      <charset val="136"/>
    </font>
  </fonts>
  <fills count="31">
    <fill>
      <patternFill patternType="none"/>
    </fill>
    <fill>
      <patternFill patternType="gray125"/>
    </fill>
    <fill>
      <patternFill patternType="solid">
        <fgColor indexed="4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gray0625">
        <bgColor indexed="42"/>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7"/>
        <bgColor indexed="8"/>
      </patternFill>
    </fill>
    <fill>
      <patternFill patternType="solid">
        <fgColor indexed="41"/>
        <bgColor indexed="64"/>
      </patternFill>
    </fill>
    <fill>
      <patternFill patternType="solid">
        <fgColor indexed="47"/>
        <bgColor indexed="64"/>
      </patternFill>
    </fill>
    <fill>
      <patternFill patternType="solid">
        <fgColor indexed="51"/>
        <bgColor indexed="64"/>
      </patternFill>
    </fill>
    <fill>
      <patternFill patternType="solid">
        <fgColor indexed="9"/>
        <bgColor indexed="8"/>
      </patternFill>
    </fill>
    <fill>
      <patternFill patternType="solid">
        <fgColor indexed="23"/>
        <bgColor indexed="64"/>
      </patternFill>
    </fill>
    <fill>
      <patternFill patternType="solid">
        <fgColor indexed="52"/>
        <bgColor indexed="64"/>
      </patternFill>
    </fill>
    <fill>
      <patternFill patternType="solid">
        <fgColor indexed="52"/>
        <bgColor indexed="8"/>
      </patternFill>
    </fill>
    <fill>
      <patternFill patternType="solid">
        <fgColor indexed="29"/>
        <bgColor indexed="64"/>
      </patternFill>
    </fill>
    <fill>
      <patternFill patternType="gray0625">
        <bgColor theme="0" tint="-0.14996795556505021"/>
      </patternFill>
    </fill>
    <fill>
      <patternFill patternType="solid">
        <fgColor theme="0" tint="-0.249977111117893"/>
        <bgColor indexed="64"/>
      </patternFill>
    </fill>
    <fill>
      <patternFill patternType="solid">
        <fgColor rgb="FFB7DB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CCFF"/>
        <bgColor indexed="64"/>
      </patternFill>
    </fill>
    <fill>
      <patternFill patternType="solid">
        <fgColor theme="0" tint="-0.34998626667073579"/>
        <bgColor indexed="64"/>
      </patternFill>
    </fill>
    <fill>
      <patternFill patternType="solid">
        <fgColor rgb="FFFFFF00"/>
        <bgColor indexed="64"/>
      </patternFill>
    </fill>
  </fills>
  <borders count="388">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slantDashDot">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style="hair">
        <color indexed="64"/>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slantDashDot">
        <color indexed="64"/>
      </right>
      <top style="thin">
        <color indexed="64"/>
      </top>
      <bottom style="hair">
        <color indexed="64"/>
      </bottom>
      <diagonal/>
    </border>
    <border>
      <left style="slantDashDot">
        <color indexed="64"/>
      </left>
      <right/>
      <top/>
      <bottom style="slantDashDot">
        <color indexed="64"/>
      </bottom>
      <diagonal/>
    </border>
    <border>
      <left style="thin">
        <color indexed="64"/>
      </left>
      <right style="hair">
        <color indexed="64"/>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diagonalDown="1">
      <left style="thin">
        <color indexed="64"/>
      </left>
      <right style="hair">
        <color indexed="64"/>
      </right>
      <top style="hair">
        <color indexed="64"/>
      </top>
      <bottom style="hair">
        <color indexed="64"/>
      </bottom>
      <diagonal style="thin">
        <color indexed="64"/>
      </diagonal>
    </border>
    <border diagonalUp="1" diagonalDown="1">
      <left style="hair">
        <color indexed="64"/>
      </left>
      <right style="hair">
        <color indexed="64"/>
      </right>
      <top style="hair">
        <color indexed="64"/>
      </top>
      <bottom style="hair">
        <color indexed="64"/>
      </bottom>
      <diagonal style="thin">
        <color indexed="64"/>
      </diagonal>
    </border>
    <border diagonalUp="1" diagonalDown="1">
      <left style="thin">
        <color indexed="64"/>
      </left>
      <right style="hair">
        <color indexed="64"/>
      </right>
      <top style="hair">
        <color indexed="64"/>
      </top>
      <bottom style="double">
        <color indexed="64"/>
      </bottom>
      <diagonal style="thin">
        <color indexed="64"/>
      </diagonal>
    </border>
    <border diagonalUp="1" diagonalDown="1">
      <left style="hair">
        <color indexed="64"/>
      </left>
      <right style="hair">
        <color indexed="64"/>
      </right>
      <top style="hair">
        <color indexed="64"/>
      </top>
      <bottom style="double">
        <color indexed="64"/>
      </bottom>
      <diagonal style="thin">
        <color indexed="64"/>
      </diagonal>
    </border>
    <border>
      <left style="hair">
        <color indexed="64"/>
      </left>
      <right style="hair">
        <color indexed="64"/>
      </right>
      <top/>
      <bottom/>
      <diagonal/>
    </border>
    <border diagonalUp="1" diagonalDown="1">
      <left style="hair">
        <color indexed="64"/>
      </left>
      <right style="hair">
        <color indexed="64"/>
      </right>
      <top style="hair">
        <color indexed="64"/>
      </top>
      <bottom style="double">
        <color indexed="64"/>
      </bottom>
      <diagonal style="hair">
        <color indexed="64"/>
      </diagonal>
    </border>
    <border>
      <left style="hair">
        <color indexed="64"/>
      </left>
      <right style="medium">
        <color indexed="64"/>
      </right>
      <top/>
      <bottom/>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hair">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hair">
        <color indexed="64"/>
      </right>
      <top/>
      <bottom style="medium">
        <color indexed="64"/>
      </bottom>
      <diagonal/>
    </border>
    <border>
      <left/>
      <right style="thin">
        <color indexed="64"/>
      </right>
      <top style="thin">
        <color indexed="64"/>
      </top>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diagonal/>
    </border>
    <border>
      <left/>
      <right/>
      <top style="medium">
        <color indexed="64"/>
      </top>
      <bottom/>
      <diagonal/>
    </border>
    <border diagonalUp="1" diagonalDown="1">
      <left style="thin">
        <color indexed="64"/>
      </left>
      <right/>
      <top style="medium">
        <color indexed="64"/>
      </top>
      <bottom style="thin">
        <color indexed="64"/>
      </bottom>
      <diagonal style="thin">
        <color indexed="64"/>
      </diagonal>
    </border>
    <border>
      <left style="medium">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64"/>
      </left>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diagonalUp="1" diagonalDown="1">
      <left style="medium">
        <color indexed="64"/>
      </left>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diagonalUp="1" diagonalDown="1">
      <left style="medium">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hair">
        <color indexed="64"/>
      </left>
      <right style="hair">
        <color indexed="64"/>
      </right>
      <top style="thin">
        <color indexed="64"/>
      </top>
      <bottom style="hair">
        <color indexed="64"/>
      </bottom>
      <diagonal style="thin">
        <color indexed="64"/>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thin">
        <color indexed="64"/>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medium">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style="slantDashDot">
        <color indexed="64"/>
      </top>
      <bottom style="thin">
        <color indexed="64"/>
      </bottom>
      <diagonal/>
    </border>
    <border>
      <left style="hair">
        <color indexed="64"/>
      </left>
      <right style="slantDashDot">
        <color indexed="64"/>
      </right>
      <top style="slantDashDot">
        <color indexed="64"/>
      </top>
      <bottom style="thin">
        <color indexed="64"/>
      </bottom>
      <diagonal/>
    </border>
    <border>
      <left style="slantDashDot">
        <color indexed="64"/>
      </left>
      <right/>
      <top style="hair">
        <color indexed="64"/>
      </top>
      <bottom style="hair">
        <color indexed="64"/>
      </bottom>
      <diagonal/>
    </border>
    <border>
      <left style="hair">
        <color indexed="64"/>
      </left>
      <right style="slantDashDot">
        <color indexed="64"/>
      </right>
      <top style="thin">
        <color indexed="64"/>
      </top>
      <bottom style="hair">
        <color indexed="64"/>
      </bottom>
      <diagonal/>
    </border>
    <border>
      <left style="hair">
        <color indexed="64"/>
      </left>
      <right style="slantDashDot">
        <color indexed="64"/>
      </right>
      <top style="hair">
        <color indexed="64"/>
      </top>
      <bottom style="hair">
        <color indexed="64"/>
      </bottom>
      <diagonal/>
    </border>
    <border>
      <left style="slantDashDot">
        <color indexed="64"/>
      </left>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slantDashDot">
        <color indexed="64"/>
      </right>
      <top style="thin">
        <color indexed="64"/>
      </top>
      <bottom style="double">
        <color indexed="64"/>
      </bottom>
      <diagonal/>
    </border>
    <border>
      <left style="hair">
        <color indexed="64"/>
      </left>
      <right style="slantDashDot">
        <color indexed="64"/>
      </right>
      <top style="thin">
        <color indexed="64"/>
      </top>
      <bottom style="slantDashDot">
        <color indexed="64"/>
      </bottom>
      <diagonal/>
    </border>
    <border>
      <left style="hair">
        <color indexed="64"/>
      </left>
      <right style="hair">
        <color indexed="64"/>
      </right>
      <top style="slantDashDot">
        <color indexed="64"/>
      </top>
      <bottom style="thin">
        <color indexed="64"/>
      </bottom>
      <diagonal/>
    </border>
    <border>
      <left style="slantDashDot">
        <color indexed="64"/>
      </left>
      <right/>
      <top style="double">
        <color indexed="64"/>
      </top>
      <bottom style="slantDashDot">
        <color indexed="64"/>
      </bottom>
      <diagonal/>
    </border>
    <border>
      <left style="thin">
        <color indexed="64"/>
      </left>
      <right style="hair">
        <color indexed="64"/>
      </right>
      <top style="double">
        <color indexed="64"/>
      </top>
      <bottom style="slantDashDot">
        <color indexed="64"/>
      </bottom>
      <diagonal/>
    </border>
    <border>
      <left style="hair">
        <color indexed="64"/>
      </left>
      <right style="hair">
        <color indexed="64"/>
      </right>
      <top style="double">
        <color indexed="64"/>
      </top>
      <bottom style="slantDashDot">
        <color indexed="64"/>
      </bottom>
      <diagonal/>
    </border>
    <border>
      <left style="hair">
        <color indexed="64"/>
      </left>
      <right style="slantDashDot">
        <color indexed="64"/>
      </right>
      <top style="double">
        <color indexed="64"/>
      </top>
      <bottom style="slantDashDot">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slantDashDot">
        <color indexed="64"/>
      </bottom>
      <diagonal/>
    </border>
    <border>
      <left/>
      <right style="hair">
        <color indexed="64"/>
      </right>
      <top/>
      <bottom style="hair">
        <color indexed="64"/>
      </bottom>
      <diagonal/>
    </border>
    <border>
      <left/>
      <right style="hair">
        <color indexed="64"/>
      </right>
      <top style="hair">
        <color indexed="64"/>
      </top>
      <bottom/>
      <diagonal/>
    </border>
    <border>
      <left style="medium">
        <color indexed="12"/>
      </left>
      <right style="medium">
        <color indexed="12"/>
      </right>
      <top style="medium">
        <color indexed="12"/>
      </top>
      <bottom style="hair">
        <color indexed="64"/>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style="hair">
        <color indexed="64"/>
      </top>
      <bottom style="medium">
        <color indexed="12"/>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diagonalUp="1" diagonalDown="1">
      <left/>
      <right style="hair">
        <color indexed="64"/>
      </right>
      <top style="hair">
        <color indexed="64"/>
      </top>
      <bottom style="hair">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medium">
        <color indexed="64"/>
      </right>
      <top/>
      <bottom style="medium">
        <color indexed="64"/>
      </bottom>
      <diagonal/>
    </border>
    <border diagonalUp="1" diagonalDown="1">
      <left/>
      <right style="hair">
        <color indexed="64"/>
      </right>
      <top style="hair">
        <color indexed="64"/>
      </top>
      <bottom/>
      <diagonal style="hair">
        <color indexed="64"/>
      </diagonal>
    </border>
    <border diagonalUp="1" diagonalDown="1">
      <left style="hair">
        <color indexed="64"/>
      </left>
      <right style="medium">
        <color indexed="64"/>
      </right>
      <top style="hair">
        <color indexed="64"/>
      </top>
      <bottom style="hair">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right/>
      <top/>
      <bottom style="double">
        <color indexed="64"/>
      </bottom>
      <diagonal/>
    </border>
    <border diagonalUp="1" diagonalDown="1">
      <left style="hair">
        <color indexed="64"/>
      </left>
      <right style="hair">
        <color indexed="64"/>
      </right>
      <top/>
      <bottom style="double">
        <color indexed="64"/>
      </bottom>
      <diagonal style="thin">
        <color indexed="64"/>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top/>
      <bottom style="hair">
        <color indexed="64"/>
      </bottom>
      <diagonal/>
    </border>
    <border diagonalUp="1" diagonalDown="1">
      <left style="hair">
        <color indexed="64"/>
      </left>
      <right style="medium">
        <color indexed="64"/>
      </right>
      <top style="hair">
        <color indexed="64"/>
      </top>
      <bottom/>
      <diagonal style="hair">
        <color indexed="64"/>
      </diagonal>
    </border>
    <border diagonalUp="1" diagonalDown="1">
      <left style="hair">
        <color indexed="64"/>
      </left>
      <right style="medium">
        <color indexed="64"/>
      </right>
      <top style="hair">
        <color indexed="64"/>
      </top>
      <bottom style="medium">
        <color indexed="64"/>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8"/>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hair">
        <color indexed="64"/>
      </right>
      <top/>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double">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hair">
        <color indexed="64"/>
      </top>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64"/>
      </left>
      <right style="double">
        <color indexed="64"/>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double">
        <color indexed="64"/>
      </left>
      <right style="medium">
        <color indexed="64"/>
      </right>
      <top style="medium">
        <color indexed="64"/>
      </top>
      <bottom style="thin">
        <color indexed="8"/>
      </bottom>
      <diagonal/>
    </border>
    <border>
      <left style="double">
        <color indexed="64"/>
      </left>
      <right style="medium">
        <color indexed="64"/>
      </right>
      <top style="thin">
        <color indexed="8"/>
      </top>
      <bottom style="thin">
        <color indexed="8"/>
      </bottom>
      <diagonal/>
    </border>
    <border>
      <left style="thin">
        <color indexed="8"/>
      </left>
      <right/>
      <top style="thin">
        <color indexed="8"/>
      </top>
      <bottom style="medium">
        <color indexed="64"/>
      </bottom>
      <diagonal/>
    </border>
    <border>
      <left style="thin">
        <color indexed="64"/>
      </left>
      <right/>
      <top style="thin">
        <color indexed="8"/>
      </top>
      <bottom style="medium">
        <color indexed="64"/>
      </bottom>
      <diagonal/>
    </border>
    <border>
      <left style="double">
        <color indexed="64"/>
      </left>
      <right style="medium">
        <color indexed="64"/>
      </right>
      <top style="thin">
        <color indexed="8"/>
      </top>
      <bottom style="medium">
        <color indexed="64"/>
      </bottom>
      <diagonal/>
    </border>
    <border>
      <left style="double">
        <color indexed="64"/>
      </left>
      <right style="medium">
        <color indexed="64"/>
      </right>
      <top style="thin">
        <color indexed="8"/>
      </top>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medium">
        <color indexed="64"/>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double">
        <color indexed="64"/>
      </left>
      <right/>
      <top style="medium">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right style="medium">
        <color indexed="64"/>
      </right>
      <top style="medium">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bottom style="mediumDashDot">
        <color indexed="64"/>
      </bottom>
      <diagonal/>
    </border>
    <border>
      <left style="thin">
        <color indexed="8"/>
      </left>
      <right/>
      <top style="medium">
        <color indexed="64"/>
      </top>
      <bottom style="thin">
        <color indexed="64"/>
      </bottom>
      <diagonal/>
    </border>
  </borders>
  <cellStyleXfs count="278">
    <xf numFmtId="0" fontId="0" fillId="0" borderId="0"/>
    <xf numFmtId="0" fontId="16" fillId="0" borderId="0"/>
    <xf numFmtId="0" fontId="29" fillId="0" borderId="0" applyFill="0" applyBorder="0" applyProtection="0">
      <alignment horizontal="center"/>
      <protection locked="0"/>
    </xf>
    <xf numFmtId="204" fontId="30" fillId="0" borderId="0" applyFill="0" applyBorder="0" applyAlignment="0" applyProtection="0"/>
    <xf numFmtId="205" fontId="31" fillId="0" borderId="0" applyFill="0" applyBorder="0" applyProtection="0"/>
    <xf numFmtId="206" fontId="10" fillId="0" borderId="0" applyFill="0" applyBorder="0" applyProtection="0"/>
    <xf numFmtId="206" fontId="10" fillId="0" borderId="1" applyFill="0" applyProtection="0"/>
    <xf numFmtId="206" fontId="10" fillId="0" borderId="2" applyFill="0" applyProtection="0"/>
    <xf numFmtId="207" fontId="10" fillId="0" borderId="0" applyFill="0" applyBorder="0" applyProtection="0"/>
    <xf numFmtId="207" fontId="10" fillId="0" borderId="1" applyFill="0" applyProtection="0"/>
    <xf numFmtId="207" fontId="10" fillId="0" borderId="2" applyFill="0" applyProtection="0"/>
    <xf numFmtId="208" fontId="3" fillId="0" borderId="0" applyFont="0" applyFill="0" applyBorder="0" applyAlignment="0" applyProtection="0">
      <alignment vertical="center"/>
    </xf>
    <xf numFmtId="208" fontId="4" fillId="0" borderId="0" applyFont="0" applyFill="0" applyBorder="0" applyAlignment="0" applyProtection="0">
      <alignment vertical="center"/>
    </xf>
    <xf numFmtId="0" fontId="17" fillId="0" borderId="0" applyFill="0" applyBorder="0" applyProtection="0">
      <alignment horizontal="left"/>
    </xf>
    <xf numFmtId="14" fontId="32" fillId="4" borderId="3">
      <alignment horizontal="center" vertical="center" wrapText="1"/>
    </xf>
    <xf numFmtId="0" fontId="29" fillId="0" borderId="0" applyFill="0" applyAlignment="0" applyProtection="0">
      <protection locked="0"/>
    </xf>
    <xf numFmtId="0" fontId="16" fillId="23" borderId="4" applyNumberFormat="0" applyFont="0" applyBorder="0" applyAlignment="0"/>
    <xf numFmtId="0" fontId="33" fillId="0" borderId="0"/>
    <xf numFmtId="0" fontId="16" fillId="0" borderId="0"/>
    <xf numFmtId="209" fontId="16" fillId="0" borderId="0" applyFont="0" applyFill="0" applyBorder="0" applyAlignment="0" applyProtection="0"/>
    <xf numFmtId="0" fontId="18" fillId="0" borderId="0" applyBorder="0" applyProtection="0">
      <alignment horizontal="left"/>
    </xf>
    <xf numFmtId="0" fontId="19" fillId="0" borderId="0" applyFill="0" applyBorder="0" applyProtection="0">
      <alignment horizontal="left"/>
    </xf>
    <xf numFmtId="0" fontId="20" fillId="0" borderId="5" applyFill="0" applyBorder="0" applyProtection="0">
      <alignment horizontal="left" vertical="top"/>
    </xf>
    <xf numFmtId="0" fontId="34" fillId="0" borderId="0" applyFill="0" applyBorder="0" applyProtection="0">
      <alignment horizontal="left" vertical="top"/>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151" fillId="0" borderId="0">
      <alignment vertical="center"/>
    </xf>
    <xf numFmtId="0" fontId="3" fillId="0" borderId="0"/>
    <xf numFmtId="0" fontId="152" fillId="0" borderId="0">
      <alignment vertical="center"/>
    </xf>
    <xf numFmtId="0" fontId="40" fillId="0" borderId="0"/>
    <xf numFmtId="0" fontId="151" fillId="0" borderId="0">
      <alignment vertical="center"/>
    </xf>
    <xf numFmtId="0" fontId="4" fillId="0" borderId="0"/>
    <xf numFmtId="0" fontId="3" fillId="0" borderId="0"/>
    <xf numFmtId="0" fontId="5" fillId="0" borderId="0"/>
    <xf numFmtId="0" fontId="3" fillId="0" borderId="0"/>
    <xf numFmtId="0" fontId="153" fillId="0" borderId="0">
      <alignment vertical="center"/>
    </xf>
    <xf numFmtId="0" fontId="154" fillId="0" borderId="0">
      <alignment vertical="center"/>
    </xf>
    <xf numFmtId="0" fontId="5" fillId="0" borderId="0"/>
    <xf numFmtId="0" fontId="40" fillId="0" borderId="0">
      <alignment vertical="center"/>
    </xf>
    <xf numFmtId="0" fontId="40" fillId="0" borderId="0">
      <alignment vertical="center"/>
    </xf>
    <xf numFmtId="0" fontId="40" fillId="0" borderId="0">
      <alignment vertical="center"/>
    </xf>
    <xf numFmtId="0" fontId="151" fillId="0" borderId="0">
      <alignment vertical="center"/>
    </xf>
    <xf numFmtId="0" fontId="3" fillId="0" borderId="0">
      <alignment vertical="center"/>
    </xf>
    <xf numFmtId="0" fontId="155" fillId="0" borderId="0">
      <alignment vertical="center"/>
    </xf>
    <xf numFmtId="0" fontId="4" fillId="0" borderId="0">
      <alignment vertical="center"/>
    </xf>
    <xf numFmtId="0" fontId="151" fillId="0" borderId="0">
      <alignment vertical="center"/>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4" fillId="0" borderId="0"/>
    <xf numFmtId="0" fontId="3" fillId="0" borderId="0"/>
    <xf numFmtId="0" fontId="4"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5" fillId="0" borderId="0"/>
    <xf numFmtId="0" fontId="5" fillId="0" borderId="0"/>
    <xf numFmtId="43" fontId="4" fillId="0" borderId="0" applyFont="0" applyFill="0" applyBorder="0" applyAlignment="0" applyProtection="0"/>
    <xf numFmtId="43" fontId="3"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19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7"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alignment vertical="center"/>
    </xf>
    <xf numFmtId="43" fontId="2"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2" fillId="0" borderId="0" applyFont="0" applyFill="0" applyBorder="0" applyAlignment="0" applyProtection="0">
      <alignment vertical="center"/>
    </xf>
    <xf numFmtId="43" fontId="97" fillId="0" borderId="0" applyFont="0" applyFill="0" applyBorder="0" applyAlignment="0" applyProtection="0">
      <alignment vertical="center"/>
    </xf>
    <xf numFmtId="41" fontId="4" fillId="0" borderId="0" applyFont="0" applyFill="0" applyBorder="0" applyAlignment="0" applyProtection="0"/>
    <xf numFmtId="41" fontId="3"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78"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alignment vertical="center"/>
    </xf>
    <xf numFmtId="9" fontId="4" fillId="0" borderId="0" applyFont="0" applyFill="0" applyBorder="0" applyAlignment="0" applyProtection="0">
      <alignment vertical="center"/>
    </xf>
    <xf numFmtId="9" fontId="5" fillId="0" borderId="0" applyFont="0" applyFill="0" applyBorder="0" applyAlignment="0" applyProtection="0"/>
    <xf numFmtId="9" fontId="4" fillId="0" borderId="0" applyFont="0" applyFill="0" applyBorder="0" applyAlignment="0" applyProtection="0"/>
    <xf numFmtId="9" fontId="145" fillId="0" borderId="0" applyFont="0" applyFill="0" applyBorder="0" applyAlignment="0" applyProtection="0"/>
    <xf numFmtId="9" fontId="4" fillId="0" borderId="0" applyFont="0" applyFill="0" applyBorder="0" applyAlignment="0" applyProtection="0">
      <alignment vertical="center"/>
    </xf>
    <xf numFmtId="9" fontId="97" fillId="0" borderId="0" applyFont="0" applyFill="0" applyBorder="0" applyAlignment="0" applyProtection="0">
      <alignment vertical="center"/>
    </xf>
    <xf numFmtId="9" fontId="3" fillId="0" borderId="0" applyFont="0" applyFill="0" applyBorder="0" applyAlignment="0" applyProtection="0"/>
    <xf numFmtId="9" fontId="95" fillId="0" borderId="0" applyFont="0" applyFill="0" applyBorder="0" applyAlignment="0" applyProtection="0">
      <alignment vertical="center"/>
    </xf>
    <xf numFmtId="9" fontId="2" fillId="0" borderId="0" applyFont="0" applyFill="0" applyBorder="0" applyAlignment="0" applyProtection="0">
      <alignment vertical="center"/>
    </xf>
    <xf numFmtId="189"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cellStyleXfs>
  <cellXfs count="3970">
    <xf numFmtId="0" fontId="0" fillId="0" borderId="0" xfId="0"/>
    <xf numFmtId="0" fontId="22" fillId="0" borderId="0" xfId="130" applyFont="1" applyAlignment="1">
      <alignment horizontal="centerContinuous"/>
    </xf>
    <xf numFmtId="0" fontId="13" fillId="0" borderId="0" xfId="130" applyFont="1" applyAlignment="1">
      <alignment horizontal="centerContinuous"/>
    </xf>
    <xf numFmtId="0" fontId="13" fillId="0" borderId="0" xfId="130" applyFont="1"/>
    <xf numFmtId="0" fontId="23" fillId="0" borderId="0" xfId="130" applyFont="1" applyAlignment="1" applyProtection="1">
      <alignment horizontal="centerContinuous"/>
      <protection locked="0"/>
    </xf>
    <xf numFmtId="0" fontId="23" fillId="0" borderId="0" xfId="130" quotePrefix="1" applyFont="1" applyAlignment="1">
      <alignment horizontal="centerContinuous"/>
    </xf>
    <xf numFmtId="0" fontId="24" fillId="0" borderId="0" xfId="130" applyFont="1" applyAlignment="1" applyProtection="1">
      <alignment horizontal="centerContinuous"/>
      <protection locked="0"/>
    </xf>
    <xf numFmtId="0" fontId="25" fillId="0" borderId="0" xfId="130" applyFont="1" applyAlignment="1" applyProtection="1">
      <alignment horizontal="centerContinuous"/>
      <protection locked="0"/>
    </xf>
    <xf numFmtId="0" fontId="21" fillId="0" borderId="0" xfId="130" applyFont="1"/>
    <xf numFmtId="0" fontId="5" fillId="0" borderId="0" xfId="0" applyFont="1" applyAlignment="1">
      <alignment wrapText="1"/>
    </xf>
    <xf numFmtId="0" fontId="13" fillId="0" borderId="0" xfId="122" applyFont="1"/>
    <xf numFmtId="0" fontId="13" fillId="0" borderId="0" xfId="128" applyFont="1" applyAlignment="1" applyProtection="1">
      <alignment vertical="center"/>
      <protection locked="0"/>
    </xf>
    <xf numFmtId="0" fontId="13" fillId="0" borderId="0" xfId="81" applyFont="1" applyProtection="1">
      <alignment vertical="center"/>
      <protection locked="0"/>
    </xf>
    <xf numFmtId="0" fontId="13" fillId="0" borderId="0" xfId="0" applyFont="1" applyProtection="1">
      <protection locked="0"/>
    </xf>
    <xf numFmtId="0" fontId="13" fillId="0" borderId="0" xfId="71" applyFont="1" applyAlignment="1">
      <alignment vertical="center"/>
    </xf>
    <xf numFmtId="0" fontId="5" fillId="0" borderId="0" xfId="81" applyFont="1" applyAlignment="1">
      <alignment vertical="center" wrapText="1"/>
    </xf>
    <xf numFmtId="190" fontId="5" fillId="0" borderId="0" xfId="242" applyNumberFormat="1" applyFont="1" applyAlignment="1" applyProtection="1">
      <alignment vertical="center" wrapText="1"/>
    </xf>
    <xf numFmtId="0" fontId="5" fillId="0" borderId="0" xfId="58" applyFont="1" applyAlignment="1">
      <alignment vertical="center" wrapText="1"/>
    </xf>
    <xf numFmtId="0" fontId="37" fillId="0" borderId="6" xfId="66" applyFont="1" applyBorder="1" applyAlignment="1">
      <alignment horizontal="center"/>
    </xf>
    <xf numFmtId="0" fontId="37" fillId="0" borderId="0" xfId="63" applyFont="1"/>
    <xf numFmtId="0" fontId="5" fillId="0" borderId="7" xfId="58" applyFont="1" applyBorder="1" applyAlignment="1">
      <alignment horizontal="left" vertical="center" wrapText="1"/>
    </xf>
    <xf numFmtId="0" fontId="37" fillId="5" borderId="6" xfId="58" applyFont="1" applyFill="1" applyBorder="1"/>
    <xf numFmtId="0" fontId="37" fillId="0" borderId="8" xfId="63" applyFont="1" applyBorder="1" applyAlignment="1">
      <alignment horizontal="justify" vertical="center"/>
    </xf>
    <xf numFmtId="0" fontId="37" fillId="0" borderId="9" xfId="63" applyFont="1" applyBorder="1" applyAlignment="1">
      <alignment horizontal="left" vertical="center"/>
    </xf>
    <xf numFmtId="0" fontId="13" fillId="0" borderId="0" xfId="58" applyFont="1" applyAlignment="1">
      <alignment vertical="center"/>
    </xf>
    <xf numFmtId="0" fontId="15" fillId="0" borderId="10" xfId="71" applyFont="1" applyBorder="1" applyAlignment="1">
      <alignment horizontal="center" vertical="center" wrapText="1"/>
    </xf>
    <xf numFmtId="0" fontId="15" fillId="0" borderId="11" xfId="81" applyFont="1" applyBorder="1" applyAlignment="1">
      <alignment horizontal="center" vertical="center" wrapText="1"/>
    </xf>
    <xf numFmtId="0" fontId="46" fillId="0" borderId="0" xfId="130" applyFont="1" applyAlignment="1" applyProtection="1">
      <alignment horizontal="centerContinuous"/>
      <protection locked="0"/>
    </xf>
    <xf numFmtId="0" fontId="5" fillId="0" borderId="0" xfId="58" applyFont="1" applyAlignment="1" applyProtection="1">
      <alignment horizontal="center" vertical="center" wrapText="1"/>
      <protection locked="0"/>
    </xf>
    <xf numFmtId="0" fontId="5" fillId="0" borderId="0" xfId="58" applyFont="1" applyAlignment="1">
      <alignment horizontal="center" vertical="center" wrapText="1"/>
    </xf>
    <xf numFmtId="0" fontId="37" fillId="0" borderId="0" xfId="57" applyFont="1">
      <alignment vertical="center"/>
    </xf>
    <xf numFmtId="0" fontId="37" fillId="0" borderId="0" xfId="57" applyFont="1" applyAlignment="1">
      <alignment horizontal="left"/>
    </xf>
    <xf numFmtId="185" fontId="37" fillId="0" borderId="0" xfId="66" applyNumberFormat="1" applyFont="1" applyAlignment="1">
      <alignment horizontal="right"/>
    </xf>
    <xf numFmtId="0" fontId="37" fillId="0" borderId="10" xfId="71" applyFont="1" applyBorder="1" applyAlignment="1">
      <alignment horizontal="center" vertical="center" wrapText="1"/>
    </xf>
    <xf numFmtId="49" fontId="37" fillId="0" borderId="10" xfId="71" applyNumberFormat="1" applyFont="1" applyBorder="1" applyAlignment="1">
      <alignment horizontal="center" vertical="center" wrapText="1"/>
    </xf>
    <xf numFmtId="49" fontId="37" fillId="0" borderId="12" xfId="71" applyNumberFormat="1" applyFont="1" applyBorder="1" applyAlignment="1">
      <alignment horizontal="center" vertical="center" wrapText="1"/>
    </xf>
    <xf numFmtId="0" fontId="37" fillId="0" borderId="6" xfId="57" applyFont="1" applyBorder="1">
      <alignment vertical="center"/>
    </xf>
    <xf numFmtId="191" fontId="37" fillId="0" borderId="10" xfId="71" applyNumberFormat="1" applyFont="1" applyBorder="1" applyAlignment="1" applyProtection="1">
      <alignment horizontal="left" vertical="center" wrapText="1"/>
      <protection locked="0"/>
    </xf>
    <xf numFmtId="0" fontId="37" fillId="0" borderId="10" xfId="57" applyFont="1" applyBorder="1" applyProtection="1">
      <alignment vertical="center"/>
      <protection locked="0"/>
    </xf>
    <xf numFmtId="0" fontId="37" fillId="0" borderId="12" xfId="57" applyFont="1" applyBorder="1" applyProtection="1">
      <alignment vertical="center"/>
      <protection locked="0"/>
    </xf>
    <xf numFmtId="0" fontId="37" fillId="6" borderId="13" xfId="57" applyFont="1" applyFill="1" applyBorder="1">
      <alignment vertical="center"/>
    </xf>
    <xf numFmtId="191" fontId="37" fillId="6" borderId="14" xfId="71" applyNumberFormat="1" applyFont="1" applyFill="1" applyBorder="1" applyAlignment="1">
      <alignment horizontal="center" vertical="center" wrapText="1"/>
    </xf>
    <xf numFmtId="191" fontId="37" fillId="0" borderId="15" xfId="71" applyNumberFormat="1" applyFont="1" applyBorder="1" applyAlignment="1">
      <alignment vertical="center" wrapText="1"/>
    </xf>
    <xf numFmtId="0" fontId="47" fillId="0" borderId="0" xfId="57" applyFont="1">
      <alignment vertical="center"/>
    </xf>
    <xf numFmtId="0" fontId="37" fillId="0" borderId="0" xfId="57" applyFont="1" applyAlignment="1">
      <alignment horizontal="center" vertical="center"/>
    </xf>
    <xf numFmtId="0" fontId="37" fillId="0" borderId="0" xfId="71" applyFont="1" applyAlignment="1">
      <alignment vertical="center" wrapText="1"/>
    </xf>
    <xf numFmtId="0" fontId="37" fillId="0" borderId="0" xfId="70" applyFont="1"/>
    <xf numFmtId="0" fontId="48" fillId="0" borderId="0" xfId="70" applyFont="1" applyAlignment="1">
      <alignment horizontal="left"/>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xf numFmtId="0" fontId="37" fillId="0" borderId="6" xfId="71" applyFont="1" applyBorder="1" applyAlignment="1">
      <alignment horizontal="center" vertical="center" wrapText="1"/>
    </xf>
    <xf numFmtId="191" fontId="37" fillId="0" borderId="10" xfId="71" applyNumberFormat="1" applyFont="1" applyBorder="1" applyAlignment="1" applyProtection="1">
      <alignment horizontal="center" vertical="center" wrapText="1"/>
      <protection locked="0"/>
    </xf>
    <xf numFmtId="0" fontId="37" fillId="0" borderId="10" xfId="0" applyFont="1" applyBorder="1" applyProtection="1">
      <protection locked="0"/>
    </xf>
    <xf numFmtId="0" fontId="37" fillId="6" borderId="12" xfId="0" applyFont="1" applyFill="1" applyBorder="1"/>
    <xf numFmtId="0" fontId="37" fillId="6" borderId="13" xfId="71" applyFont="1" applyFill="1" applyBorder="1" applyAlignment="1">
      <alignment horizontal="center" vertical="center" wrapText="1"/>
    </xf>
    <xf numFmtId="0" fontId="37" fillId="0" borderId="18" xfId="71" applyFont="1" applyBorder="1" applyAlignment="1">
      <alignment vertical="center" wrapText="1"/>
    </xf>
    <xf numFmtId="0" fontId="37" fillId="0" borderId="18" xfId="71" applyFont="1" applyBorder="1" applyAlignment="1">
      <alignment horizontal="center" vertical="center" wrapText="1"/>
    </xf>
    <xf numFmtId="0" fontId="37" fillId="6" borderId="15" xfId="70" applyFont="1" applyFill="1" applyBorder="1"/>
    <xf numFmtId="0" fontId="47" fillId="0" borderId="0" xfId="70" applyFont="1"/>
    <xf numFmtId="0" fontId="37" fillId="0" borderId="0" xfId="71" applyFont="1" applyAlignment="1">
      <alignment horizontal="center" vertical="center" wrapText="1"/>
    </xf>
    <xf numFmtId="0" fontId="37" fillId="0" borderId="0" xfId="0" applyFont="1" applyAlignment="1">
      <alignment horizontal="center" vertical="center"/>
    </xf>
    <xf numFmtId="0" fontId="5" fillId="0" borderId="3" xfId="81" applyFont="1" applyBorder="1" applyAlignment="1">
      <alignment horizontal="left"/>
    </xf>
    <xf numFmtId="0" fontId="5" fillId="0" borderId="3" xfId="58" applyFont="1" applyBorder="1" applyAlignment="1">
      <alignment vertical="center" wrapText="1"/>
    </xf>
    <xf numFmtId="0" fontId="5" fillId="0" borderId="3" xfId="81" applyFont="1" applyBorder="1" applyAlignment="1">
      <alignment vertical="center" wrapText="1"/>
    </xf>
    <xf numFmtId="0" fontId="15" fillId="0" borderId="19" xfId="81" applyFont="1" applyBorder="1" applyAlignment="1">
      <alignment horizontal="center" vertical="center" wrapText="1"/>
    </xf>
    <xf numFmtId="0" fontId="15" fillId="0" borderId="20" xfId="81" applyFont="1" applyBorder="1" applyAlignment="1">
      <alignment horizontal="center" vertical="center" wrapText="1"/>
    </xf>
    <xf numFmtId="0" fontId="15" fillId="0" borderId="17" xfId="81" applyFont="1" applyBorder="1" applyAlignment="1">
      <alignment horizontal="center" vertical="center" wrapText="1"/>
    </xf>
    <xf numFmtId="0" fontId="15" fillId="0" borderId="10" xfId="93" quotePrefix="1" applyFont="1" applyBorder="1" applyAlignment="1">
      <alignment horizontal="center" vertical="center" wrapText="1"/>
    </xf>
    <xf numFmtId="0" fontId="15" fillId="0" borderId="12" xfId="93" quotePrefix="1" applyFont="1" applyBorder="1" applyAlignment="1">
      <alignment horizontal="center" vertical="center" wrapText="1"/>
    </xf>
    <xf numFmtId="0" fontId="5" fillId="0" borderId="10" xfId="81" applyFont="1" applyBorder="1" applyAlignment="1">
      <alignment vertical="center" wrapText="1"/>
    </xf>
    <xf numFmtId="195" fontId="5" fillId="5" borderId="10" xfId="189" applyNumberFormat="1" applyFont="1" applyFill="1" applyBorder="1" applyAlignment="1">
      <alignment vertical="center" wrapText="1"/>
    </xf>
    <xf numFmtId="190" fontId="5" fillId="5" borderId="10" xfId="189" applyNumberFormat="1" applyFont="1" applyFill="1" applyBorder="1" applyAlignment="1">
      <alignment vertical="center" wrapText="1"/>
    </xf>
    <xf numFmtId="195" fontId="5" fillId="5" borderId="12" xfId="189" applyNumberFormat="1" applyFont="1" applyFill="1" applyBorder="1" applyAlignment="1">
      <alignment vertical="center" wrapText="1"/>
    </xf>
    <xf numFmtId="0" fontId="5" fillId="0" borderId="10" xfId="81" applyFont="1" applyBorder="1" applyAlignment="1">
      <alignment horizontal="left" vertical="center" wrapText="1" indent="2"/>
    </xf>
    <xf numFmtId="0" fontId="5" fillId="0" borderId="10" xfId="81" applyFont="1" applyBorder="1" applyAlignment="1">
      <alignment horizontal="left" vertical="center" wrapText="1" indent="4"/>
    </xf>
    <xf numFmtId="195" fontId="5" fillId="0" borderId="10" xfId="189" applyNumberFormat="1" applyFont="1" applyFill="1" applyBorder="1" applyAlignment="1">
      <alignment vertical="center" wrapText="1"/>
    </xf>
    <xf numFmtId="190" fontId="5" fillId="0" borderId="10" xfId="189" applyNumberFormat="1" applyFont="1" applyFill="1" applyBorder="1" applyAlignment="1">
      <alignment vertical="center" wrapText="1"/>
    </xf>
    <xf numFmtId="195" fontId="5" fillId="0" borderId="12" xfId="189" applyNumberFormat="1" applyFont="1" applyFill="1" applyBorder="1" applyAlignment="1">
      <alignment vertical="center" wrapText="1"/>
    </xf>
    <xf numFmtId="0" fontId="15" fillId="0" borderId="13" xfId="81" applyFont="1" applyBorder="1" applyAlignment="1">
      <alignment horizontal="center" vertical="center" wrapText="1"/>
    </xf>
    <xf numFmtId="0" fontId="13" fillId="0" borderId="18" xfId="81" applyFont="1" applyBorder="1" applyAlignment="1">
      <alignment horizontal="left" vertical="center" wrapText="1" indent="2"/>
    </xf>
    <xf numFmtId="195" fontId="5" fillId="0" borderId="18" xfId="189" applyNumberFormat="1" applyFont="1" applyFill="1" applyBorder="1" applyAlignment="1">
      <alignment vertical="center" wrapText="1"/>
    </xf>
    <xf numFmtId="190" fontId="5" fillId="0" borderId="18" xfId="189" applyNumberFormat="1" applyFont="1" applyFill="1" applyBorder="1" applyAlignment="1">
      <alignment vertical="center" wrapText="1"/>
    </xf>
    <xf numFmtId="195" fontId="5" fillId="0" borderId="15" xfId="189" applyNumberFormat="1" applyFont="1" applyFill="1" applyBorder="1" applyAlignment="1">
      <alignment vertical="center" wrapText="1"/>
    </xf>
    <xf numFmtId="0" fontId="5" fillId="0" borderId="20" xfId="81" applyFont="1" applyBorder="1" applyAlignment="1">
      <alignment vertical="center" wrapText="1"/>
    </xf>
    <xf numFmtId="195" fontId="5" fillId="5" borderId="20" xfId="189" applyNumberFormat="1" applyFont="1" applyFill="1" applyBorder="1" applyAlignment="1">
      <alignment vertical="center" wrapText="1"/>
    </xf>
    <xf numFmtId="195" fontId="5" fillId="5" borderId="21" xfId="189" applyNumberFormat="1" applyFont="1" applyFill="1" applyBorder="1" applyAlignment="1">
      <alignment vertical="center" wrapText="1"/>
    </xf>
    <xf numFmtId="0" fontId="50" fillId="0" borderId="0" xfId="66" applyFont="1" applyAlignment="1">
      <alignment horizontal="center" vertical="center"/>
    </xf>
    <xf numFmtId="0" fontId="37" fillId="0" borderId="0" xfId="66" applyFont="1"/>
    <xf numFmtId="0" fontId="37" fillId="0" borderId="0" xfId="66" applyFont="1" applyAlignment="1">
      <alignment horizontal="left"/>
    </xf>
    <xf numFmtId="0" fontId="37" fillId="0" borderId="0" xfId="66" applyFont="1" applyAlignment="1">
      <alignment horizontal="center"/>
    </xf>
    <xf numFmtId="0" fontId="37" fillId="0" borderId="22" xfId="66" applyFont="1" applyBorder="1" applyAlignment="1">
      <alignment horizontal="center"/>
    </xf>
    <xf numFmtId="0" fontId="37" fillId="0" borderId="16" xfId="66" applyFont="1" applyBorder="1" applyAlignment="1">
      <alignment horizontal="center"/>
    </xf>
    <xf numFmtId="185" fontId="37" fillId="0" borderId="17" xfId="66" applyNumberFormat="1" applyFont="1" applyBorder="1" applyAlignment="1">
      <alignment horizontal="center"/>
    </xf>
    <xf numFmtId="0" fontId="37" fillId="0" borderId="10" xfId="66" quotePrefix="1" applyFont="1" applyBorder="1" applyAlignment="1">
      <alignment horizontal="center"/>
    </xf>
    <xf numFmtId="185" fontId="37" fillId="0" borderId="12" xfId="66" quotePrefix="1" applyNumberFormat="1" applyFont="1" applyBorder="1" applyAlignment="1">
      <alignment horizontal="center"/>
    </xf>
    <xf numFmtId="0" fontId="37" fillId="0" borderId="23" xfId="66" applyFont="1" applyBorder="1" applyAlignment="1">
      <alignment horizontal="center"/>
    </xf>
    <xf numFmtId="0" fontId="37" fillId="0" borderId="23" xfId="66" applyFont="1" applyBorder="1" applyAlignment="1" applyProtection="1">
      <alignment horizontal="center"/>
      <protection locked="0"/>
    </xf>
    <xf numFmtId="177" fontId="37" fillId="0" borderId="24" xfId="66" applyNumberFormat="1" applyFont="1" applyBorder="1" applyAlignment="1" applyProtection="1">
      <alignment horizontal="center"/>
      <protection locked="0"/>
    </xf>
    <xf numFmtId="0" fontId="37" fillId="0" borderId="25" xfId="66" applyFont="1" applyBorder="1" applyAlignment="1">
      <alignment horizontal="center"/>
    </xf>
    <xf numFmtId="0" fontId="37" fillId="0" borderId="25" xfId="66" applyFont="1" applyBorder="1" applyAlignment="1" applyProtection="1">
      <alignment horizontal="center"/>
      <protection locked="0"/>
    </xf>
    <xf numFmtId="177" fontId="37" fillId="0" borderId="26" xfId="66" applyNumberFormat="1" applyFont="1" applyBorder="1" applyAlignment="1" applyProtection="1">
      <alignment horizontal="center"/>
      <protection locked="0"/>
    </xf>
    <xf numFmtId="0" fontId="37" fillId="0" borderId="20" xfId="66" applyFont="1" applyBorder="1" applyAlignment="1">
      <alignment horizontal="center"/>
    </xf>
    <xf numFmtId="0" fontId="37" fillId="0" borderId="20" xfId="66" applyFont="1" applyBorder="1" applyAlignment="1" applyProtection="1">
      <alignment horizontal="center"/>
      <protection locked="0"/>
    </xf>
    <xf numFmtId="177" fontId="37" fillId="0" borderId="21" xfId="66" applyNumberFormat="1" applyFont="1" applyBorder="1" applyAlignment="1" applyProtection="1">
      <alignment horizontal="center"/>
      <protection locked="0"/>
    </xf>
    <xf numFmtId="0" fontId="37" fillId="5" borderId="10" xfId="66" applyFont="1" applyFill="1" applyBorder="1" applyAlignment="1">
      <alignment horizontal="center"/>
    </xf>
    <xf numFmtId="177" fontId="37" fillId="5" borderId="12" xfId="66" applyNumberFormat="1" applyFont="1" applyFill="1" applyBorder="1" applyAlignment="1">
      <alignment horizontal="center"/>
    </xf>
    <xf numFmtId="0" fontId="47" fillId="0" borderId="0" xfId="66" applyFont="1"/>
    <xf numFmtId="0" fontId="37" fillId="5" borderId="10" xfId="66" applyFont="1" applyFill="1" applyBorder="1"/>
    <xf numFmtId="0" fontId="37" fillId="5" borderId="11" xfId="66" applyFont="1" applyFill="1" applyBorder="1"/>
    <xf numFmtId="0" fontId="37" fillId="0" borderId="13" xfId="66" applyFont="1" applyBorder="1" applyAlignment="1">
      <alignment horizontal="center"/>
    </xf>
    <xf numFmtId="0" fontId="37" fillId="5" borderId="18" xfId="66" applyFont="1" applyFill="1" applyBorder="1" applyAlignment="1">
      <alignment horizontal="center" wrapText="1"/>
    </xf>
    <xf numFmtId="0" fontId="37" fillId="5" borderId="18" xfId="66" applyFont="1" applyFill="1" applyBorder="1" applyAlignment="1">
      <alignment horizontal="center"/>
    </xf>
    <xf numFmtId="177" fontId="37" fillId="5" borderId="15" xfId="66" applyNumberFormat="1" applyFont="1" applyFill="1" applyBorder="1" applyAlignment="1">
      <alignment horizontal="center"/>
    </xf>
    <xf numFmtId="185" fontId="37" fillId="0" borderId="0" xfId="66" applyNumberFormat="1" applyFont="1" applyAlignment="1">
      <alignment horizontal="center"/>
    </xf>
    <xf numFmtId="0" fontId="37" fillId="0" borderId="0" xfId="66" applyFont="1" applyAlignment="1">
      <alignment horizontal="center" vertical="center"/>
    </xf>
    <xf numFmtId="0" fontId="37" fillId="0" borderId="0" xfId="66" applyFont="1" applyAlignment="1">
      <alignment horizontal="left" vertical="center" wrapText="1"/>
    </xf>
    <xf numFmtId="0" fontId="37" fillId="0" borderId="0" xfId="66" applyFont="1" applyAlignment="1">
      <alignment vertical="center"/>
    </xf>
    <xf numFmtId="0" fontId="37" fillId="0" borderId="0" xfId="58" applyFont="1" applyAlignment="1">
      <alignment horizontal="center" vertical="center"/>
    </xf>
    <xf numFmtId="0" fontId="37" fillId="0" borderId="0" xfId="58" applyFont="1"/>
    <xf numFmtId="0" fontId="37" fillId="0" borderId="0" xfId="58" applyFont="1" applyAlignment="1">
      <alignment horizontal="left" vertical="center"/>
    </xf>
    <xf numFmtId="0" fontId="37" fillId="0" borderId="0" xfId="58" applyFont="1" applyAlignment="1">
      <alignment horizontal="right" vertical="center"/>
    </xf>
    <xf numFmtId="0" fontId="37" fillId="0" borderId="0" xfId="63" applyFont="1" applyAlignment="1">
      <alignment vertical="center"/>
    </xf>
    <xf numFmtId="0" fontId="37" fillId="0" borderId="0" xfId="63" applyFont="1" applyAlignment="1">
      <alignment horizontal="center" vertical="center"/>
    </xf>
    <xf numFmtId="0" fontId="37" fillId="0" borderId="0" xfId="63" applyFont="1" applyAlignment="1">
      <alignment horizontal="right" vertical="center"/>
    </xf>
    <xf numFmtId="0" fontId="37" fillId="0" borderId="27" xfId="63" applyFont="1" applyBorder="1" applyAlignment="1">
      <alignment vertical="center"/>
    </xf>
    <xf numFmtId="0" fontId="37" fillId="0" borderId="28" xfId="63" applyFont="1" applyBorder="1" applyAlignment="1">
      <alignment horizontal="center" vertical="center"/>
    </xf>
    <xf numFmtId="0" fontId="37" fillId="0" borderId="29" xfId="63" applyFont="1" applyBorder="1" applyAlignment="1">
      <alignment horizontal="center" vertical="center"/>
    </xf>
    <xf numFmtId="0" fontId="37" fillId="0" borderId="30" xfId="63" applyFont="1" applyBorder="1" applyAlignment="1">
      <alignment horizontal="center" vertical="center"/>
    </xf>
    <xf numFmtId="0" fontId="37" fillId="0" borderId="31" xfId="63" applyFont="1" applyBorder="1" applyAlignment="1">
      <alignment horizontal="center" vertical="center"/>
    </xf>
    <xf numFmtId="0" fontId="37" fillId="0" borderId="32" xfId="63" applyFont="1" applyBorder="1" applyAlignment="1">
      <alignment vertical="center"/>
    </xf>
    <xf numFmtId="0" fontId="37" fillId="0" borderId="33" xfId="63" applyFont="1" applyBorder="1" applyAlignment="1">
      <alignment horizontal="center" vertical="center"/>
    </xf>
    <xf numFmtId="0" fontId="37" fillId="0" borderId="34" xfId="63" applyFont="1" applyBorder="1" applyAlignment="1">
      <alignment horizontal="center" vertical="center"/>
    </xf>
    <xf numFmtId="0" fontId="37" fillId="0" borderId="35" xfId="63" applyFont="1" applyBorder="1" applyAlignment="1">
      <alignment horizontal="center" vertical="center"/>
    </xf>
    <xf numFmtId="0" fontId="37" fillId="0" borderId="36" xfId="63" applyFont="1" applyBorder="1" applyAlignment="1">
      <alignment horizontal="center" vertical="center"/>
    </xf>
    <xf numFmtId="0" fontId="37" fillId="0" borderId="37" xfId="86" applyFont="1" applyBorder="1"/>
    <xf numFmtId="183" fontId="37" fillId="0" borderId="38" xfId="63" applyNumberFormat="1" applyFont="1" applyBorder="1" applyAlignment="1" applyProtection="1">
      <alignment horizontal="center" vertical="center"/>
      <protection locked="0"/>
    </xf>
    <xf numFmtId="183" fontId="37" fillId="0" borderId="39" xfId="63" applyNumberFormat="1" applyFont="1" applyBorder="1" applyAlignment="1" applyProtection="1">
      <alignment horizontal="center" vertical="center"/>
      <protection locked="0"/>
    </xf>
    <xf numFmtId="183" fontId="37" fillId="0" borderId="39" xfId="63" applyNumberFormat="1" applyFont="1" applyBorder="1" applyAlignment="1">
      <alignment horizontal="center" vertical="center"/>
    </xf>
    <xf numFmtId="183" fontId="37" fillId="7" borderId="40" xfId="63" applyNumberFormat="1" applyFont="1" applyFill="1" applyBorder="1" applyAlignment="1">
      <alignment horizontal="center" vertical="center"/>
    </xf>
    <xf numFmtId="181" fontId="37" fillId="0" borderId="40" xfId="63" applyNumberFormat="1" applyFont="1" applyBorder="1" applyAlignment="1">
      <alignment horizontal="center" vertical="center"/>
    </xf>
    <xf numFmtId="0" fontId="37" fillId="5" borderId="41" xfId="63" applyFont="1" applyFill="1" applyBorder="1" applyAlignment="1">
      <alignment horizontal="center" vertical="center"/>
    </xf>
    <xf numFmtId="183" fontId="45" fillId="0" borderId="42" xfId="0" applyNumberFormat="1" applyFont="1" applyBorder="1" applyAlignment="1" applyProtection="1">
      <alignment horizontal="center" vertical="center"/>
      <protection locked="0"/>
    </xf>
    <xf numFmtId="183" fontId="45" fillId="0" borderId="43" xfId="0" applyNumberFormat="1" applyFont="1" applyBorder="1" applyAlignment="1" applyProtection="1">
      <alignment horizontal="center" vertical="center"/>
      <protection locked="0"/>
    </xf>
    <xf numFmtId="183" fontId="37" fillId="0" borderId="43" xfId="63" applyNumberFormat="1" applyFont="1" applyBorder="1" applyAlignment="1">
      <alignment horizontal="center" vertical="center"/>
    </xf>
    <xf numFmtId="183" fontId="37" fillId="0" borderId="44" xfId="63" applyNumberFormat="1" applyFont="1" applyBorder="1" applyAlignment="1">
      <alignment horizontal="center" vertical="center"/>
    </xf>
    <xf numFmtId="181" fontId="37" fillId="0" borderId="44" xfId="63" applyNumberFormat="1" applyFont="1" applyBorder="1" applyAlignment="1">
      <alignment horizontal="center" vertical="center"/>
    </xf>
    <xf numFmtId="0" fontId="37" fillId="5" borderId="45" xfId="63" applyFont="1" applyFill="1" applyBorder="1" applyAlignment="1">
      <alignment horizontal="center" vertical="center"/>
    </xf>
    <xf numFmtId="0" fontId="37" fillId="0" borderId="46" xfId="86" applyFont="1" applyBorder="1"/>
    <xf numFmtId="183" fontId="45" fillId="0" borderId="47" xfId="0" applyNumberFormat="1" applyFont="1" applyBorder="1" applyAlignment="1" applyProtection="1">
      <alignment horizontal="center" vertical="center"/>
      <protection locked="0"/>
    </xf>
    <xf numFmtId="183" fontId="45" fillId="0" borderId="48" xfId="0" applyNumberFormat="1" applyFont="1" applyBorder="1" applyAlignment="1" applyProtection="1">
      <alignment horizontal="center" vertical="center"/>
      <protection locked="0"/>
    </xf>
    <xf numFmtId="183" fontId="37" fillId="0" borderId="49" xfId="63" applyNumberFormat="1" applyFont="1" applyBorder="1" applyAlignment="1">
      <alignment horizontal="center" vertical="center"/>
    </xf>
    <xf numFmtId="10" fontId="37" fillId="5" borderId="50" xfId="63" applyNumberFormat="1" applyFont="1" applyFill="1" applyBorder="1" applyAlignment="1">
      <alignment horizontal="center" vertical="center"/>
    </xf>
    <xf numFmtId="0" fontId="37" fillId="5" borderId="51" xfId="63" applyFont="1" applyFill="1" applyBorder="1" applyAlignment="1">
      <alignment horizontal="center" vertical="center"/>
    </xf>
    <xf numFmtId="0" fontId="37" fillId="0" borderId="52" xfId="86" applyFont="1" applyBorder="1"/>
    <xf numFmtId="0" fontId="37" fillId="5" borderId="38" xfId="63" applyFont="1" applyFill="1" applyBorder="1" applyAlignment="1">
      <alignment horizontal="center" vertical="center"/>
    </xf>
    <xf numFmtId="0" fontId="37" fillId="5" borderId="39" xfId="63" applyFont="1" applyFill="1" applyBorder="1" applyAlignment="1">
      <alignment horizontal="center" vertical="center"/>
    </xf>
    <xf numFmtId="0" fontId="37" fillId="5" borderId="40" xfId="63" applyFont="1" applyFill="1" applyBorder="1" applyAlignment="1">
      <alignment horizontal="center" vertical="center"/>
    </xf>
    <xf numFmtId="0" fontId="37" fillId="0" borderId="53" xfId="86" applyFont="1" applyBorder="1"/>
    <xf numFmtId="0" fontId="37" fillId="5" borderId="54" xfId="63" applyFont="1" applyFill="1" applyBorder="1" applyAlignment="1">
      <alignment horizontal="center" vertical="center"/>
    </xf>
    <xf numFmtId="0" fontId="37" fillId="5" borderId="55" xfId="63" applyFont="1" applyFill="1" applyBorder="1" applyAlignment="1">
      <alignment horizontal="center" vertical="center"/>
    </xf>
    <xf numFmtId="0" fontId="37" fillId="5" borderId="56" xfId="63" applyFont="1" applyFill="1" applyBorder="1" applyAlignment="1">
      <alignment horizontal="center" vertical="center"/>
    </xf>
    <xf numFmtId="181" fontId="37" fillId="0" borderId="56" xfId="63" applyNumberFormat="1" applyFont="1" applyBorder="1" applyAlignment="1">
      <alignment horizontal="center" vertical="center"/>
    </xf>
    <xf numFmtId="0" fontId="37" fillId="5" borderId="57" xfId="63" applyFont="1" applyFill="1" applyBorder="1" applyAlignment="1">
      <alignment horizontal="center" vertical="center"/>
    </xf>
    <xf numFmtId="0" fontId="37" fillId="0" borderId="58" xfId="86" applyFont="1" applyBorder="1"/>
    <xf numFmtId="0" fontId="37" fillId="5" borderId="59" xfId="63" applyFont="1" applyFill="1" applyBorder="1" applyAlignment="1">
      <alignment horizontal="center" vertical="center"/>
    </xf>
    <xf numFmtId="0" fontId="37" fillId="5" borderId="60" xfId="63" applyFont="1" applyFill="1" applyBorder="1" applyAlignment="1">
      <alignment horizontal="center" vertical="center"/>
    </xf>
    <xf numFmtId="0" fontId="37" fillId="5" borderId="61" xfId="63" applyFont="1" applyFill="1" applyBorder="1" applyAlignment="1">
      <alignment horizontal="center" vertical="center"/>
    </xf>
    <xf numFmtId="182" fontId="37" fillId="7" borderId="62" xfId="63" applyNumberFormat="1" applyFont="1" applyFill="1" applyBorder="1" applyAlignment="1">
      <alignment horizontal="center" vertical="center"/>
    </xf>
    <xf numFmtId="0" fontId="37" fillId="0" borderId="63" xfId="63" applyFont="1" applyBorder="1" applyAlignment="1">
      <alignment vertical="center"/>
    </xf>
    <xf numFmtId="0" fontId="37" fillId="0" borderId="64" xfId="63" applyFont="1" applyBorder="1" applyAlignment="1">
      <alignment horizontal="center" vertical="center"/>
    </xf>
    <xf numFmtId="0" fontId="37" fillId="0" borderId="65" xfId="63" applyFont="1" applyBorder="1" applyAlignment="1">
      <alignment horizontal="center" vertical="center"/>
    </xf>
    <xf numFmtId="0" fontId="37" fillId="0" borderId="66" xfId="86" applyFont="1" applyBorder="1"/>
    <xf numFmtId="10" fontId="37" fillId="0" borderId="67" xfId="63" applyNumberFormat="1" applyFont="1" applyBorder="1" applyAlignment="1">
      <alignment horizontal="center" vertical="center"/>
    </xf>
    <xf numFmtId="0" fontId="37" fillId="5" borderId="68" xfId="63" applyFont="1" applyFill="1" applyBorder="1" applyAlignment="1">
      <alignment horizontal="center" vertical="center"/>
    </xf>
    <xf numFmtId="0" fontId="37" fillId="0" borderId="69" xfId="86" applyFont="1" applyBorder="1"/>
    <xf numFmtId="0" fontId="37" fillId="5" borderId="70" xfId="63" applyFont="1" applyFill="1" applyBorder="1" applyAlignment="1">
      <alignment horizontal="center" vertical="center"/>
    </xf>
    <xf numFmtId="0" fontId="37" fillId="7" borderId="71" xfId="63" applyFont="1" applyFill="1" applyBorder="1" applyAlignment="1">
      <alignment horizontal="center" vertical="center"/>
    </xf>
    <xf numFmtId="0" fontId="47" fillId="0" borderId="0" xfId="63" applyFont="1"/>
    <xf numFmtId="0" fontId="5" fillId="0" borderId="0" xfId="58" applyFont="1" applyAlignment="1">
      <alignment horizontal="left" vertical="center"/>
    </xf>
    <xf numFmtId="0" fontId="5" fillId="0" borderId="0" xfId="58" applyFont="1" applyAlignment="1">
      <alignment horizontal="right" vertical="center"/>
    </xf>
    <xf numFmtId="0" fontId="15" fillId="0" borderId="10" xfId="58" applyFont="1" applyBorder="1" applyAlignment="1">
      <alignment horizontal="center" vertical="center" wrapText="1"/>
    </xf>
    <xf numFmtId="0" fontId="51" fillId="0" borderId="10" xfId="58" applyFont="1" applyBorder="1" applyAlignment="1">
      <alignment horizontal="center" vertical="center" wrapText="1"/>
    </xf>
    <xf numFmtId="190" fontId="5" fillId="0" borderId="7" xfId="189" applyNumberFormat="1" applyFont="1" applyFill="1" applyBorder="1" applyAlignment="1" applyProtection="1">
      <alignment horizontal="center" vertical="center" wrapText="1"/>
    </xf>
    <xf numFmtId="10" fontId="5" fillId="0" borderId="7" xfId="256" applyNumberFormat="1" applyFont="1" applyFill="1" applyBorder="1" applyAlignment="1" applyProtection="1">
      <alignment horizontal="center" vertical="center" wrapText="1"/>
    </xf>
    <xf numFmtId="195" fontId="5" fillId="0" borderId="7" xfId="189" applyNumberFormat="1" applyFont="1" applyFill="1" applyBorder="1" applyAlignment="1" applyProtection="1">
      <alignment horizontal="center" vertical="center" wrapText="1"/>
    </xf>
    <xf numFmtId="0" fontId="5" fillId="0" borderId="25" xfId="58" applyFont="1" applyBorder="1" applyAlignment="1">
      <alignment horizontal="left" vertical="center" wrapText="1"/>
    </xf>
    <xf numFmtId="190" fontId="5" fillId="0" borderId="25" xfId="189" applyNumberFormat="1" applyFont="1" applyFill="1" applyBorder="1" applyAlignment="1" applyProtection="1">
      <alignment horizontal="center" vertical="center" wrapText="1"/>
    </xf>
    <xf numFmtId="10" fontId="5" fillId="0" borderId="25" xfId="256" applyNumberFormat="1" applyFont="1" applyFill="1" applyBorder="1" applyAlignment="1" applyProtection="1">
      <alignment horizontal="center" vertical="center" wrapText="1"/>
    </xf>
    <xf numFmtId="195" fontId="5" fillId="0" borderId="25" xfId="189" applyNumberFormat="1" applyFont="1" applyFill="1" applyBorder="1" applyAlignment="1" applyProtection="1">
      <alignment horizontal="center" vertical="center" wrapText="1"/>
    </xf>
    <xf numFmtId="0" fontId="5" fillId="0" borderId="72" xfId="58" applyFont="1" applyBorder="1" applyAlignment="1">
      <alignment horizontal="left" vertical="center" wrapText="1"/>
    </xf>
    <xf numFmtId="190" fontId="5" fillId="0" borderId="72" xfId="189" applyNumberFormat="1" applyFont="1" applyFill="1" applyBorder="1" applyAlignment="1" applyProtection="1">
      <alignment horizontal="center" vertical="center" wrapText="1"/>
    </xf>
    <xf numFmtId="10" fontId="5" fillId="5" borderId="72" xfId="256" applyNumberFormat="1" applyFont="1" applyFill="1" applyBorder="1" applyAlignment="1" applyProtection="1">
      <alignment horizontal="center" vertical="center" wrapText="1"/>
    </xf>
    <xf numFmtId="195" fontId="5" fillId="0" borderId="72" xfId="189" applyNumberFormat="1" applyFont="1" applyFill="1" applyBorder="1" applyAlignment="1" applyProtection="1">
      <alignment horizontal="center" vertical="center" wrapText="1"/>
    </xf>
    <xf numFmtId="0" fontId="5" fillId="0" borderId="20" xfId="58" applyFont="1" applyBorder="1" applyAlignment="1">
      <alignment horizontal="left" vertical="center" wrapText="1"/>
    </xf>
    <xf numFmtId="190" fontId="5" fillId="5" borderId="20" xfId="189" applyNumberFormat="1" applyFont="1" applyFill="1" applyBorder="1" applyAlignment="1" applyProtection="1">
      <alignment horizontal="center" vertical="center" wrapText="1"/>
    </xf>
    <xf numFmtId="10" fontId="5" fillId="5" borderId="20" xfId="256" applyNumberFormat="1" applyFont="1" applyFill="1" applyBorder="1" applyAlignment="1" applyProtection="1">
      <alignment horizontal="center" vertical="center" wrapText="1"/>
    </xf>
    <xf numFmtId="195" fontId="5" fillId="0" borderId="20" xfId="189" applyNumberFormat="1" applyFont="1" applyFill="1" applyBorder="1" applyAlignment="1" applyProtection="1">
      <alignment horizontal="center" wrapText="1"/>
    </xf>
    <xf numFmtId="182" fontId="5" fillId="0" borderId="0" xfId="0" applyNumberFormat="1" applyFont="1" applyAlignment="1">
      <alignment wrapText="1"/>
    </xf>
    <xf numFmtId="0" fontId="5" fillId="0" borderId="0" xfId="58" applyFont="1" applyAlignment="1">
      <alignment horizontal="left" vertical="center" wrapText="1"/>
    </xf>
    <xf numFmtId="203" fontId="15" fillId="0" borderId="0" xfId="58" applyNumberFormat="1" applyFont="1" applyAlignment="1">
      <alignment horizontal="center" vertical="center" wrapText="1"/>
    </xf>
    <xf numFmtId="203" fontId="5" fillId="0" borderId="0" xfId="58" applyNumberFormat="1" applyFont="1" applyAlignment="1">
      <alignment horizontal="center" vertical="center" wrapText="1"/>
    </xf>
    <xf numFmtId="195" fontId="5" fillId="0" borderId="76" xfId="189" applyNumberFormat="1" applyFont="1" applyFill="1" applyBorder="1" applyAlignment="1" applyProtection="1">
      <alignment horizontal="center" vertical="center" wrapText="1"/>
    </xf>
    <xf numFmtId="195" fontId="5" fillId="0" borderId="79" xfId="189" applyNumberFormat="1" applyFont="1" applyFill="1" applyBorder="1" applyAlignment="1" applyProtection="1">
      <alignment horizontal="center" vertical="center" wrapText="1"/>
    </xf>
    <xf numFmtId="188" fontId="5" fillId="0" borderId="0" xfId="0" applyNumberFormat="1" applyFont="1" applyAlignment="1">
      <alignment wrapText="1"/>
    </xf>
    <xf numFmtId="0" fontId="37" fillId="0" borderId="0" xfId="58" applyFont="1" applyAlignment="1">
      <alignment horizontal="center"/>
    </xf>
    <xf numFmtId="190" fontId="37" fillId="0" borderId="0" xfId="242" applyNumberFormat="1" applyFont="1" applyAlignment="1" applyProtection="1">
      <alignment horizontal="center"/>
      <protection locked="0"/>
    </xf>
    <xf numFmtId="182" fontId="37" fillId="0" borderId="0" xfId="58" applyNumberFormat="1" applyFont="1" applyAlignment="1">
      <alignment horizontal="center"/>
    </xf>
    <xf numFmtId="190" fontId="37" fillId="0" borderId="0" xfId="242" applyNumberFormat="1" applyFont="1" applyAlignment="1">
      <alignment horizontal="center"/>
    </xf>
    <xf numFmtId="0" fontId="47" fillId="0" borderId="0" xfId="81" applyFont="1">
      <alignment vertical="center"/>
    </xf>
    <xf numFmtId="0" fontId="37" fillId="0" borderId="22" xfId="58" applyFont="1" applyBorder="1" applyAlignment="1">
      <alignment horizontal="center" vertical="center" wrapText="1"/>
    </xf>
    <xf numFmtId="0" fontId="37" fillId="0" borderId="16" xfId="58" applyFont="1" applyBorder="1" applyAlignment="1">
      <alignment horizontal="center" vertical="center" wrapText="1"/>
    </xf>
    <xf numFmtId="49" fontId="37" fillId="0" borderId="16" xfId="242" applyNumberFormat="1" applyFont="1" applyBorder="1" applyAlignment="1" applyProtection="1">
      <alignment horizontal="center" vertical="center" wrapText="1"/>
      <protection locked="0"/>
    </xf>
    <xf numFmtId="182" fontId="37" fillId="0" borderId="16" xfId="58" applyNumberFormat="1" applyFont="1" applyBorder="1" applyAlignment="1">
      <alignment horizontal="center" vertical="center" wrapText="1"/>
    </xf>
    <xf numFmtId="49" fontId="37" fillId="0" borderId="17" xfId="242" applyNumberFormat="1" applyFont="1" applyBorder="1" applyAlignment="1">
      <alignment horizontal="center" vertical="center" wrapText="1"/>
    </xf>
    <xf numFmtId="0" fontId="37" fillId="5" borderId="10" xfId="58" applyFont="1" applyFill="1" applyBorder="1" applyAlignment="1">
      <alignment horizontal="center"/>
    </xf>
    <xf numFmtId="190" fontId="37" fillId="5" borderId="10" xfId="242" applyNumberFormat="1" applyFont="1" applyFill="1" applyBorder="1" applyAlignment="1" applyProtection="1">
      <alignment horizontal="center"/>
      <protection locked="0"/>
    </xf>
    <xf numFmtId="182" fontId="37" fillId="5" borderId="10" xfId="58" applyNumberFormat="1" applyFont="1" applyFill="1" applyBorder="1" applyAlignment="1">
      <alignment horizontal="center"/>
    </xf>
    <xf numFmtId="190" fontId="37" fillId="5" borderId="12" xfId="242" applyNumberFormat="1" applyFont="1" applyFill="1" applyBorder="1" applyAlignment="1">
      <alignment horizontal="center"/>
    </xf>
    <xf numFmtId="0" fontId="37" fillId="0" borderId="80" xfId="58" applyFont="1" applyBorder="1"/>
    <xf numFmtId="0" fontId="37" fillId="0" borderId="23" xfId="58" applyFont="1" applyBorder="1" applyAlignment="1">
      <alignment horizontal="center"/>
    </xf>
    <xf numFmtId="190" fontId="37" fillId="6" borderId="23" xfId="242" applyNumberFormat="1" applyFont="1" applyFill="1" applyBorder="1" applyAlignment="1" applyProtection="1">
      <alignment horizontal="center"/>
    </xf>
    <xf numFmtId="182" fontId="37" fillId="5" borderId="23" xfId="58" applyNumberFormat="1" applyFont="1" applyFill="1" applyBorder="1" applyAlignment="1">
      <alignment horizontal="center"/>
    </xf>
    <xf numFmtId="190" fontId="37" fillId="5" borderId="24" xfId="242" applyNumberFormat="1" applyFont="1" applyFill="1" applyBorder="1" applyAlignment="1" applyProtection="1">
      <alignment horizontal="center"/>
    </xf>
    <xf numFmtId="0" fontId="37" fillId="0" borderId="81" xfId="58" applyFont="1" applyBorder="1"/>
    <xf numFmtId="0" fontId="37" fillId="0" borderId="82" xfId="58" applyFont="1" applyBorder="1" applyAlignment="1">
      <alignment horizontal="center"/>
    </xf>
    <xf numFmtId="190" fontId="37" fillId="6" borderId="82" xfId="242" applyNumberFormat="1" applyFont="1" applyFill="1" applyBorder="1" applyAlignment="1" applyProtection="1">
      <alignment horizontal="center"/>
    </xf>
    <xf numFmtId="182" fontId="37" fillId="5" borderId="82" xfId="58" applyNumberFormat="1" applyFont="1" applyFill="1" applyBorder="1" applyAlignment="1">
      <alignment horizontal="center"/>
    </xf>
    <xf numFmtId="190" fontId="37" fillId="5" borderId="83" xfId="242" applyNumberFormat="1" applyFont="1" applyFill="1" applyBorder="1" applyAlignment="1" applyProtection="1">
      <alignment horizontal="center"/>
    </xf>
    <xf numFmtId="0" fontId="37" fillId="0" borderId="84" xfId="58" applyFont="1" applyBorder="1"/>
    <xf numFmtId="0" fontId="37" fillId="0" borderId="20" xfId="58" applyFont="1" applyBorder="1" applyAlignment="1">
      <alignment horizontal="center"/>
    </xf>
    <xf numFmtId="190" fontId="37" fillId="6" borderId="20" xfId="242" applyNumberFormat="1" applyFont="1" applyFill="1" applyBorder="1" applyAlignment="1" applyProtection="1">
      <alignment horizontal="center"/>
    </xf>
    <xf numFmtId="182" fontId="37" fillId="5" borderId="20" xfId="58" applyNumberFormat="1" applyFont="1" applyFill="1" applyBorder="1" applyAlignment="1">
      <alignment horizontal="center"/>
    </xf>
    <xf numFmtId="190" fontId="37" fillId="5" borderId="21" xfId="242" applyNumberFormat="1" applyFont="1" applyFill="1" applyBorder="1" applyAlignment="1" applyProtection="1">
      <alignment horizontal="center"/>
    </xf>
    <xf numFmtId="190" fontId="37" fillId="6" borderId="85" xfId="242" applyNumberFormat="1" applyFont="1" applyFill="1" applyBorder="1" applyAlignment="1" applyProtection="1">
      <alignment horizontal="center"/>
    </xf>
    <xf numFmtId="182" fontId="37" fillId="5" borderId="4" xfId="58" applyNumberFormat="1" applyFont="1" applyFill="1" applyBorder="1" applyAlignment="1">
      <alignment horizontal="center"/>
    </xf>
    <xf numFmtId="190" fontId="37" fillId="6" borderId="5" xfId="242" applyNumberFormat="1" applyFont="1" applyFill="1" applyBorder="1" applyAlignment="1" applyProtection="1">
      <alignment horizontal="center"/>
    </xf>
    <xf numFmtId="0" fontId="37" fillId="0" borderId="81" xfId="58" applyFont="1" applyBorder="1" applyAlignment="1">
      <alignment horizontal="left" vertical="top" wrapText="1"/>
    </xf>
    <xf numFmtId="182" fontId="37" fillId="5" borderId="19" xfId="58" applyNumberFormat="1" applyFont="1" applyFill="1" applyBorder="1" applyAlignment="1">
      <alignment horizontal="center"/>
    </xf>
    <xf numFmtId="0" fontId="37" fillId="0" borderId="80" xfId="58" applyFont="1" applyBorder="1" applyAlignment="1">
      <alignment horizontal="left" vertical="top" wrapText="1"/>
    </xf>
    <xf numFmtId="0" fontId="37" fillId="7" borderId="6" xfId="58" applyFont="1" applyFill="1" applyBorder="1"/>
    <xf numFmtId="0" fontId="37" fillId="7" borderId="10" xfId="58" applyFont="1" applyFill="1" applyBorder="1" applyAlignment="1">
      <alignment horizontal="center"/>
    </xf>
    <xf numFmtId="190" fontId="37" fillId="7" borderId="10" xfId="242" applyNumberFormat="1" applyFont="1" applyFill="1" applyBorder="1" applyAlignment="1" applyProtection="1">
      <alignment horizontal="center"/>
    </xf>
    <xf numFmtId="182" fontId="37" fillId="7" borderId="10" xfId="58" applyNumberFormat="1" applyFont="1" applyFill="1" applyBorder="1" applyAlignment="1">
      <alignment horizontal="center"/>
    </xf>
    <xf numFmtId="190" fontId="37" fillId="7" borderId="12" xfId="242" applyNumberFormat="1" applyFont="1" applyFill="1" applyBorder="1" applyAlignment="1" applyProtection="1">
      <alignment horizontal="center"/>
    </xf>
    <xf numFmtId="190" fontId="37" fillId="5" borderId="10" xfId="242" applyNumberFormat="1" applyFont="1" applyFill="1" applyBorder="1" applyAlignment="1" applyProtection="1">
      <alignment horizontal="center"/>
    </xf>
    <xf numFmtId="190" fontId="37" fillId="5" borderId="12" xfId="242" applyNumberFormat="1" applyFont="1" applyFill="1" applyBorder="1" applyAlignment="1" applyProtection="1">
      <alignment horizontal="center"/>
    </xf>
    <xf numFmtId="0" fontId="37" fillId="7" borderId="13" xfId="58" applyFont="1" applyFill="1" applyBorder="1"/>
    <xf numFmtId="0" fontId="37" fillId="7" borderId="18" xfId="58" applyFont="1" applyFill="1" applyBorder="1" applyAlignment="1">
      <alignment horizontal="center"/>
    </xf>
    <xf numFmtId="190" fontId="37" fillId="7" borderId="18" xfId="242" applyNumberFormat="1" applyFont="1" applyFill="1" applyBorder="1" applyAlignment="1" applyProtection="1">
      <alignment horizontal="center"/>
    </xf>
    <xf numFmtId="182" fontId="37" fillId="7" borderId="18" xfId="58" applyNumberFormat="1" applyFont="1" applyFill="1" applyBorder="1" applyAlignment="1">
      <alignment horizontal="center"/>
    </xf>
    <xf numFmtId="190" fontId="37" fillId="7" borderId="15" xfId="242" applyNumberFormat="1" applyFont="1" applyFill="1" applyBorder="1" applyAlignment="1" applyProtection="1">
      <alignment horizontal="center"/>
    </xf>
    <xf numFmtId="0" fontId="37" fillId="0" borderId="0" xfId="81" applyFont="1">
      <alignment vertical="center"/>
    </xf>
    <xf numFmtId="0" fontId="5" fillId="0" borderId="0" xfId="71" applyFont="1" applyAlignment="1">
      <alignment vertical="center" wrapText="1"/>
    </xf>
    <xf numFmtId="0" fontId="5" fillId="0" borderId="0" xfId="0" applyFont="1" applyAlignment="1">
      <alignment vertical="center" wrapText="1"/>
    </xf>
    <xf numFmtId="0" fontId="5" fillId="0" borderId="0" xfId="71" applyFont="1" applyAlignment="1">
      <alignment vertical="center"/>
    </xf>
    <xf numFmtId="0" fontId="5" fillId="0" borderId="0" xfId="71" applyFont="1" applyAlignment="1">
      <alignment horizontal="right" vertical="center"/>
    </xf>
    <xf numFmtId="49" fontId="15" fillId="0" borderId="10" xfId="71" applyNumberFormat="1" applyFont="1" applyBorder="1" applyAlignment="1">
      <alignment horizontal="center" vertical="center" wrapText="1"/>
    </xf>
    <xf numFmtId="0" fontId="5" fillId="0" borderId="10" xfId="71" applyFont="1" applyBorder="1" applyAlignment="1">
      <alignment horizontal="center" vertical="center" wrapText="1"/>
    </xf>
    <xf numFmtId="191" fontId="5" fillId="0" borderId="20" xfId="71" applyNumberFormat="1" applyFont="1" applyBorder="1" applyAlignment="1">
      <alignment horizontal="center" vertical="center" wrapText="1"/>
    </xf>
    <xf numFmtId="191" fontId="5" fillId="0" borderId="20" xfId="71" applyNumberFormat="1" applyFont="1" applyBorder="1" applyAlignment="1">
      <alignment horizontal="left" vertical="center" wrapText="1"/>
    </xf>
    <xf numFmtId="196" fontId="5" fillId="0" borderId="20" xfId="71" applyNumberFormat="1" applyFont="1" applyBorder="1" applyAlignment="1">
      <alignment horizontal="right" vertical="center" wrapText="1"/>
    </xf>
    <xf numFmtId="192" fontId="5" fillId="0" borderId="20" xfId="71" applyNumberFormat="1" applyFont="1" applyBorder="1" applyAlignment="1">
      <alignment horizontal="right" vertical="center" wrapText="1"/>
    </xf>
    <xf numFmtId="0" fontId="5" fillId="0" borderId="0" xfId="71" applyFont="1" applyAlignment="1">
      <alignment horizontal="center" vertical="center" wrapText="1"/>
    </xf>
    <xf numFmtId="191" fontId="5" fillId="0" borderId="0" xfId="71" applyNumberFormat="1" applyFont="1" applyAlignment="1">
      <alignment horizontal="center" vertical="center" wrapText="1"/>
    </xf>
    <xf numFmtId="191" fontId="5" fillId="0" borderId="0" xfId="71" applyNumberFormat="1" applyFont="1" applyAlignment="1">
      <alignment horizontal="left" vertical="center" wrapText="1"/>
    </xf>
    <xf numFmtId="196" fontId="5" fillId="0" borderId="0" xfId="71" applyNumberFormat="1" applyFont="1" applyAlignment="1">
      <alignment horizontal="right" vertical="center" wrapText="1"/>
    </xf>
    <xf numFmtId="192" fontId="5" fillId="0" borderId="0" xfId="71" applyNumberFormat="1" applyFont="1" applyAlignment="1">
      <alignment horizontal="right" vertical="center" wrapText="1"/>
    </xf>
    <xf numFmtId="191" fontId="15" fillId="0" borderId="10" xfId="71" applyNumberFormat="1" applyFont="1" applyBorder="1" applyAlignment="1">
      <alignment horizontal="center" vertical="center" wrapText="1"/>
    </xf>
    <xf numFmtId="191" fontId="5" fillId="0" borderId="10" xfId="71" applyNumberFormat="1" applyFont="1" applyBorder="1" applyAlignment="1">
      <alignment horizontal="left" vertical="center" wrapText="1"/>
    </xf>
    <xf numFmtId="190" fontId="5" fillId="5"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center" vertical="center" wrapText="1"/>
    </xf>
    <xf numFmtId="190" fontId="5" fillId="0"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2"/>
    </xf>
    <xf numFmtId="190" fontId="5" fillId="5"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4"/>
    </xf>
    <xf numFmtId="190" fontId="5" fillId="0"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left" vertical="center" wrapText="1" indent="6"/>
    </xf>
    <xf numFmtId="0" fontId="5" fillId="0" borderId="0" xfId="71" applyFont="1" applyAlignment="1">
      <alignment horizontal="center" vertical="center"/>
    </xf>
    <xf numFmtId="0" fontId="5" fillId="0" borderId="0" xfId="71" applyFont="1" applyAlignment="1">
      <alignment horizontal="left" vertical="center" wrapText="1"/>
    </xf>
    <xf numFmtId="0" fontId="5" fillId="0" borderId="0" xfId="71" applyFont="1" applyAlignment="1">
      <alignment horizontal="left" vertical="center"/>
    </xf>
    <xf numFmtId="0" fontId="5" fillId="0" borderId="0" xfId="108" applyFont="1" applyAlignment="1">
      <alignment horizontal="center" vertical="center" wrapText="1"/>
    </xf>
    <xf numFmtId="0" fontId="5" fillId="0" borderId="0" xfId="92" applyAlignment="1">
      <alignment vertical="center"/>
    </xf>
    <xf numFmtId="0" fontId="5" fillId="0" borderId="0" xfId="92" applyAlignment="1">
      <alignment wrapText="1"/>
    </xf>
    <xf numFmtId="0" fontId="37" fillId="0" borderId="23" xfId="71" applyFont="1" applyBorder="1" applyAlignment="1">
      <alignment horizontal="center" vertical="center" wrapText="1"/>
    </xf>
    <xf numFmtId="0" fontId="37" fillId="0" borderId="0" xfId="71" applyFont="1" applyAlignment="1">
      <alignment horizontal="left" vertical="center"/>
    </xf>
    <xf numFmtId="0" fontId="8" fillId="0" borderId="0" xfId="0" applyFont="1" applyAlignment="1">
      <alignment vertical="center"/>
    </xf>
    <xf numFmtId="0" fontId="37" fillId="0" borderId="0" xfId="71" applyFont="1" applyAlignment="1">
      <alignment vertical="center"/>
    </xf>
    <xf numFmtId="0" fontId="37" fillId="0" borderId="0" xfId="71" quotePrefix="1" applyFont="1" applyAlignment="1">
      <alignment vertical="center"/>
    </xf>
    <xf numFmtId="0" fontId="37" fillId="0" borderId="10" xfId="71" quotePrefix="1" applyFont="1" applyBorder="1" applyAlignment="1">
      <alignment horizontal="center" vertical="center"/>
    </xf>
    <xf numFmtId="0" fontId="37" fillId="0" borderId="10" xfId="71" quotePrefix="1" applyFont="1" applyBorder="1" applyAlignment="1">
      <alignment vertical="center"/>
    </xf>
    <xf numFmtId="0" fontId="37" fillId="0" borderId="0" xfId="81" applyFont="1" applyAlignment="1">
      <alignment horizontal="center" vertical="center"/>
    </xf>
    <xf numFmtId="0" fontId="47" fillId="0" borderId="0" xfId="0" applyFont="1"/>
    <xf numFmtId="0" fontId="37" fillId="0" borderId="0" xfId="58" applyFont="1" applyAlignment="1">
      <alignment vertical="center"/>
    </xf>
    <xf numFmtId="0" fontId="55" fillId="0" borderId="86" xfId="63" applyFont="1" applyBorder="1" applyAlignment="1">
      <alignment horizontal="center" vertical="center"/>
    </xf>
    <xf numFmtId="0" fontId="55" fillId="0" borderId="87" xfId="63" applyFont="1" applyBorder="1" applyAlignment="1">
      <alignment horizontal="center" vertical="center"/>
    </xf>
    <xf numFmtId="0" fontId="37" fillId="0" borderId="9" xfId="63" applyFont="1" applyBorder="1" applyAlignment="1">
      <alignment horizontal="left" vertical="center" indent="2"/>
    </xf>
    <xf numFmtId="0" fontId="55" fillId="0" borderId="88" xfId="63" applyFont="1" applyBorder="1" applyAlignment="1">
      <alignment vertical="center"/>
    </xf>
    <xf numFmtId="0" fontId="37" fillId="0" borderId="89" xfId="63" applyFont="1" applyBorder="1" applyAlignment="1">
      <alignment vertical="center"/>
    </xf>
    <xf numFmtId="180" fontId="37" fillId="0" borderId="3" xfId="63" applyNumberFormat="1" applyFont="1" applyBorder="1" applyAlignment="1">
      <alignment horizontal="center" vertical="center"/>
    </xf>
    <xf numFmtId="182" fontId="37" fillId="0" borderId="90" xfId="63" applyNumberFormat="1" applyFont="1" applyBorder="1" applyAlignment="1">
      <alignment horizontal="center" vertical="center"/>
    </xf>
    <xf numFmtId="183" fontId="37" fillId="0" borderId="0" xfId="63" applyNumberFormat="1" applyFont="1" applyAlignment="1">
      <alignment horizontal="center" vertical="center"/>
    </xf>
    <xf numFmtId="182" fontId="37" fillId="0" borderId="0" xfId="63" applyNumberFormat="1" applyFont="1" applyAlignment="1">
      <alignment horizontal="center" vertical="center"/>
    </xf>
    <xf numFmtId="0" fontId="47" fillId="0" borderId="0" xfId="63" applyFont="1" applyAlignment="1">
      <alignment vertical="center"/>
    </xf>
    <xf numFmtId="0" fontId="37" fillId="0" borderId="0" xfId="58" applyFont="1" applyAlignment="1">
      <alignment horizontal="right"/>
    </xf>
    <xf numFmtId="0" fontId="55" fillId="0" borderId="22" xfId="58" applyFont="1" applyBorder="1" applyAlignment="1">
      <alignment horizontal="center" vertical="center"/>
    </xf>
    <xf numFmtId="0" fontId="55" fillId="0" borderId="16" xfId="58" applyFont="1" applyBorder="1" applyAlignment="1">
      <alignment horizontal="center" vertical="center"/>
    </xf>
    <xf numFmtId="0" fontId="55" fillId="0" borderId="91" xfId="63" applyFont="1" applyBorder="1" applyAlignment="1">
      <alignment horizontal="center" vertical="center" wrapText="1"/>
    </xf>
    <xf numFmtId="0" fontId="55" fillId="0" borderId="91" xfId="63" applyFont="1" applyBorder="1" applyAlignment="1">
      <alignment horizontal="center" vertical="center"/>
    </xf>
    <xf numFmtId="0" fontId="55" fillId="0" borderId="16" xfId="63" applyFont="1" applyBorder="1" applyAlignment="1">
      <alignment horizontal="center" vertical="center"/>
    </xf>
    <xf numFmtId="0" fontId="55" fillId="0" borderId="92" xfId="63" applyFont="1" applyBorder="1" applyAlignment="1">
      <alignment horizontal="center" vertical="center"/>
    </xf>
    <xf numFmtId="0" fontId="58" fillId="0" borderId="76" xfId="58" applyFont="1" applyBorder="1" applyAlignment="1" applyProtection="1">
      <alignment horizontal="left" vertical="center" wrapText="1"/>
      <protection locked="0"/>
    </xf>
    <xf numFmtId="0" fontId="37" fillId="0" borderId="67" xfId="58" applyFont="1" applyBorder="1" applyAlignment="1" applyProtection="1">
      <alignment horizontal="left" vertical="center" wrapText="1"/>
      <protection locked="0"/>
    </xf>
    <xf numFmtId="0" fontId="37" fillId="0" borderId="39" xfId="58" applyFont="1" applyBorder="1" applyAlignment="1" applyProtection="1">
      <alignment horizontal="left" vertical="center" wrapText="1"/>
      <protection locked="0"/>
    </xf>
    <xf numFmtId="211" fontId="37" fillId="8" borderId="39" xfId="58" applyNumberFormat="1" applyFont="1" applyFill="1" applyBorder="1" applyAlignment="1">
      <alignment horizontal="center" vertical="center" wrapText="1"/>
    </xf>
    <xf numFmtId="194" fontId="37" fillId="0" borderId="93" xfId="242" applyNumberFormat="1" applyFont="1" applyFill="1" applyBorder="1" applyAlignment="1" applyProtection="1">
      <alignment horizontal="right" vertical="center"/>
      <protection locked="0"/>
    </xf>
    <xf numFmtId="0" fontId="37" fillId="0" borderId="94" xfId="63" applyFont="1" applyBorder="1" applyAlignment="1">
      <alignment horizontal="left" vertical="center" indent="2"/>
    </xf>
    <xf numFmtId="0" fontId="37" fillId="9" borderId="95" xfId="58" applyFont="1" applyFill="1" applyBorder="1" applyAlignment="1" applyProtection="1">
      <alignment horizontal="left" vertical="center" wrapText="1"/>
      <protection locked="0"/>
    </xf>
    <xf numFmtId="0" fontId="37" fillId="9" borderId="43" xfId="58" applyFont="1" applyFill="1" applyBorder="1" applyAlignment="1" applyProtection="1">
      <alignment horizontal="left" vertical="center" wrapText="1"/>
      <protection locked="0"/>
    </xf>
    <xf numFmtId="210" fontId="37" fillId="9" borderId="43" xfId="189" applyNumberFormat="1" applyFont="1" applyFill="1" applyBorder="1" applyProtection="1">
      <protection locked="0"/>
    </xf>
    <xf numFmtId="211" fontId="37" fillId="9" borderId="43" xfId="58" applyNumberFormat="1" applyFont="1" applyFill="1" applyBorder="1" applyAlignment="1">
      <alignment horizontal="center" vertical="center" wrapText="1"/>
    </xf>
    <xf numFmtId="194" fontId="37" fillId="9" borderId="96" xfId="242" applyNumberFormat="1" applyFont="1" applyFill="1" applyBorder="1" applyAlignment="1" applyProtection="1">
      <alignment horizontal="right" vertical="center"/>
      <protection locked="0"/>
    </xf>
    <xf numFmtId="0" fontId="37" fillId="0" borderId="9" xfId="63" applyFont="1" applyBorder="1" applyAlignment="1">
      <alignment horizontal="left" vertical="center" indent="4"/>
    </xf>
    <xf numFmtId="0" fontId="37" fillId="0" borderId="25" xfId="63" applyFont="1" applyBorder="1" applyAlignment="1">
      <alignment horizontal="left" vertical="center"/>
    </xf>
    <xf numFmtId="0" fontId="37" fillId="0" borderId="97" xfId="63" applyFont="1" applyBorder="1" applyAlignment="1">
      <alignment horizontal="left" vertical="center"/>
    </xf>
    <xf numFmtId="0" fontId="37" fillId="0" borderId="98" xfId="63" applyFont="1" applyBorder="1" applyAlignment="1">
      <alignment horizontal="left" vertical="center"/>
    </xf>
    <xf numFmtId="210" fontId="37" fillId="0" borderId="43" xfId="189" applyNumberFormat="1" applyFont="1" applyFill="1" applyBorder="1" applyProtection="1">
      <protection locked="0"/>
    </xf>
    <xf numFmtId="211" fontId="37" fillId="0" borderId="43" xfId="58" applyNumberFormat="1" applyFont="1" applyBorder="1" applyAlignment="1">
      <alignment horizontal="right" vertical="center" wrapText="1"/>
    </xf>
    <xf numFmtId="194" fontId="37" fillId="0" borderId="96" xfId="242" applyNumberFormat="1" applyFont="1" applyFill="1" applyBorder="1" applyAlignment="1" applyProtection="1">
      <alignment horizontal="right" vertical="center"/>
      <protection locked="0"/>
    </xf>
    <xf numFmtId="0" fontId="37" fillId="0" borderId="95" xfId="63" applyFont="1" applyBorder="1" applyAlignment="1">
      <alignment horizontal="left" vertical="center"/>
    </xf>
    <xf numFmtId="0" fontId="37" fillId="0" borderId="43" xfId="63" applyFont="1" applyBorder="1" applyAlignment="1">
      <alignment horizontal="left" vertical="center"/>
    </xf>
    <xf numFmtId="210" fontId="37" fillId="0" borderId="43" xfId="189" applyNumberFormat="1" applyFont="1" applyBorder="1" applyProtection="1">
      <protection locked="0"/>
    </xf>
    <xf numFmtId="194" fontId="37" fillId="0" borderId="43" xfId="242" applyNumberFormat="1" applyFont="1" applyFill="1" applyBorder="1" applyAlignment="1" applyProtection="1">
      <alignment horizontal="right" vertical="center"/>
      <protection locked="0"/>
    </xf>
    <xf numFmtId="211" fontId="37" fillId="8" borderId="43" xfId="58" applyNumberFormat="1" applyFont="1" applyFill="1" applyBorder="1" applyAlignment="1">
      <alignment horizontal="right" vertical="center" wrapText="1"/>
    </xf>
    <xf numFmtId="0" fontId="8" fillId="0" borderId="0" xfId="58" applyFont="1" applyAlignment="1">
      <alignment vertical="center"/>
    </xf>
    <xf numFmtId="0" fontId="58" fillId="0" borderId="5" xfId="63" applyFont="1" applyBorder="1" applyAlignment="1">
      <alignment horizontal="left" vertical="center"/>
    </xf>
    <xf numFmtId="0" fontId="37" fillId="9" borderId="95" xfId="63" applyFont="1" applyFill="1" applyBorder="1" applyAlignment="1">
      <alignment horizontal="left" vertical="center"/>
    </xf>
    <xf numFmtId="0" fontId="37" fillId="9" borderId="43" xfId="63" applyFont="1" applyFill="1" applyBorder="1" applyAlignment="1">
      <alignment horizontal="left" vertical="center"/>
    </xf>
    <xf numFmtId="194" fontId="37" fillId="9" borderId="43" xfId="242" applyNumberFormat="1" applyFont="1" applyFill="1" applyBorder="1" applyAlignment="1" applyProtection="1">
      <alignment horizontal="right" vertical="center"/>
      <protection locked="0"/>
    </xf>
    <xf numFmtId="211" fontId="37" fillId="9" borderId="43" xfId="58" applyNumberFormat="1" applyFont="1" applyFill="1" applyBorder="1" applyAlignment="1">
      <alignment horizontal="right" vertical="center" wrapText="1"/>
    </xf>
    <xf numFmtId="0" fontId="37" fillId="0" borderId="99" xfId="63" applyFont="1" applyBorder="1" applyAlignment="1">
      <alignment horizontal="left" vertical="center"/>
    </xf>
    <xf numFmtId="0" fontId="37" fillId="0" borderId="100" xfId="63" applyFont="1" applyBorder="1" applyAlignment="1">
      <alignment horizontal="left" vertical="center"/>
    </xf>
    <xf numFmtId="210" fontId="37" fillId="0" borderId="101" xfId="189" applyNumberFormat="1" applyFont="1" applyFill="1" applyBorder="1" applyProtection="1">
      <protection locked="0"/>
    </xf>
    <xf numFmtId="194" fontId="37" fillId="0" borderId="102" xfId="242" applyNumberFormat="1" applyFont="1" applyFill="1" applyBorder="1" applyAlignment="1" applyProtection="1">
      <alignment horizontal="right" vertical="center"/>
      <protection locked="0"/>
    </xf>
    <xf numFmtId="211" fontId="37" fillId="8" borderId="101" xfId="58" applyNumberFormat="1" applyFont="1" applyFill="1" applyBorder="1" applyAlignment="1">
      <alignment horizontal="right" vertical="center" wrapText="1"/>
    </xf>
    <xf numFmtId="194" fontId="37" fillId="0" borderId="103" xfId="242" applyNumberFormat="1" applyFont="1" applyFill="1" applyBorder="1" applyAlignment="1" applyProtection="1">
      <alignment horizontal="right" vertical="center"/>
      <protection locked="0"/>
    </xf>
    <xf numFmtId="194" fontId="37" fillId="0" borderId="104" xfId="242" applyNumberFormat="1" applyFont="1" applyFill="1" applyBorder="1" applyAlignment="1" applyProtection="1">
      <alignment horizontal="right" vertical="center"/>
      <protection locked="0"/>
    </xf>
    <xf numFmtId="0" fontId="55" fillId="0" borderId="88" xfId="58" applyFont="1" applyBorder="1" applyAlignment="1">
      <alignment vertical="center"/>
    </xf>
    <xf numFmtId="194" fontId="58" fillId="0" borderId="105" xfId="242" applyNumberFormat="1" applyFont="1" applyFill="1" applyBorder="1" applyAlignment="1" applyProtection="1">
      <alignment horizontal="right" vertical="center"/>
      <protection locked="0"/>
    </xf>
    <xf numFmtId="194" fontId="37" fillId="0" borderId="106" xfId="242" applyNumberFormat="1" applyFont="1" applyFill="1" applyBorder="1" applyAlignment="1" applyProtection="1">
      <alignment horizontal="right" vertical="center"/>
      <protection locked="0"/>
    </xf>
    <xf numFmtId="194" fontId="37" fillId="0" borderId="107" xfId="242" applyNumberFormat="1" applyFont="1" applyFill="1" applyBorder="1" applyAlignment="1" applyProtection="1">
      <alignment horizontal="right" vertical="center"/>
      <protection locked="0"/>
    </xf>
    <xf numFmtId="182" fontId="37" fillId="0" borderId="107" xfId="58" applyNumberFormat="1" applyFont="1" applyBorder="1" applyAlignment="1">
      <alignment horizontal="center" vertical="center"/>
    </xf>
    <xf numFmtId="194" fontId="37" fillId="0" borderId="108" xfId="242" applyNumberFormat="1" applyFont="1" applyFill="1" applyBorder="1" applyAlignment="1" applyProtection="1">
      <alignment horizontal="right" vertical="center"/>
      <protection locked="0"/>
    </xf>
    <xf numFmtId="0" fontId="5" fillId="0" borderId="0" xfId="81" applyFont="1" applyAlignment="1">
      <alignment horizontal="left" vertical="center"/>
    </xf>
    <xf numFmtId="190" fontId="5" fillId="0" borderId="0" xfId="242" applyNumberFormat="1" applyFont="1" applyFill="1" applyBorder="1" applyAlignment="1" applyProtection="1">
      <alignment horizontal="center" vertical="center" wrapText="1"/>
    </xf>
    <xf numFmtId="0" fontId="5" fillId="0" borderId="0" xfId="81" applyFont="1" applyAlignment="1">
      <alignment horizontal="left" wrapText="1"/>
    </xf>
    <xf numFmtId="0" fontId="5" fillId="0" borderId="0" xfId="95" applyFont="1" applyAlignment="1">
      <alignment horizontal="right"/>
    </xf>
    <xf numFmtId="0" fontId="15" fillId="0" borderId="10" xfId="81" applyFont="1" applyBorder="1" applyAlignment="1">
      <alignment horizontal="center" vertical="center" wrapText="1"/>
    </xf>
    <xf numFmtId="49" fontId="15" fillId="0" borderId="12" xfId="242" applyNumberFormat="1" applyFont="1" applyFill="1" applyBorder="1" applyAlignment="1" applyProtection="1">
      <alignment horizontal="center" vertical="center" wrapText="1"/>
    </xf>
    <xf numFmtId="0" fontId="15" fillId="0" borderId="18" xfId="93" quotePrefix="1" applyFont="1" applyBorder="1" applyAlignment="1">
      <alignment horizontal="center" vertical="center" wrapText="1"/>
    </xf>
    <xf numFmtId="0" fontId="15" fillId="0" borderId="15" xfId="93" quotePrefix="1" applyFont="1" applyBorder="1" applyAlignment="1">
      <alignment horizontal="center" vertical="center" wrapText="1"/>
    </xf>
    <xf numFmtId="190" fontId="5" fillId="0" borderId="76" xfId="189" applyNumberFormat="1" applyFont="1" applyFill="1" applyBorder="1" applyAlignment="1" applyProtection="1">
      <alignment horizontal="center" vertical="center" wrapText="1"/>
    </xf>
    <xf numFmtId="190" fontId="5" fillId="0" borderId="109" xfId="189" applyNumberFormat="1" applyFont="1" applyFill="1" applyBorder="1" applyAlignment="1" applyProtection="1">
      <alignment horizontal="center" vertical="center" wrapText="1"/>
    </xf>
    <xf numFmtId="190" fontId="5" fillId="0" borderId="25" xfId="189" applyNumberFormat="1" applyFont="1" applyFill="1" applyBorder="1" applyAlignment="1" applyProtection="1">
      <alignment vertical="center" wrapText="1"/>
      <protection locked="0"/>
    </xf>
    <xf numFmtId="190" fontId="5" fillId="0" borderId="26" xfId="189" applyNumberFormat="1" applyFont="1" applyFill="1" applyBorder="1" applyAlignment="1" applyProtection="1">
      <alignment horizontal="center" vertical="center" wrapText="1"/>
    </xf>
    <xf numFmtId="190" fontId="5" fillId="0" borderId="110" xfId="189" applyNumberFormat="1" applyFont="1" applyFill="1" applyBorder="1" applyAlignment="1" applyProtection="1">
      <alignment vertical="center" wrapText="1"/>
      <protection locked="0"/>
    </xf>
    <xf numFmtId="190" fontId="5" fillId="0" borderId="110" xfId="189" applyNumberFormat="1" applyFont="1" applyFill="1" applyBorder="1" applyAlignment="1" applyProtection="1">
      <alignment horizontal="center" vertical="center" wrapText="1"/>
    </xf>
    <xf numFmtId="190" fontId="5" fillId="0" borderId="111" xfId="189" applyNumberFormat="1" applyFont="1" applyFill="1" applyBorder="1" applyAlignment="1" applyProtection="1">
      <alignment horizontal="center" vertical="center" wrapText="1"/>
    </xf>
    <xf numFmtId="190" fontId="5" fillId="6" borderId="10" xfId="189" applyNumberFormat="1" applyFont="1" applyFill="1" applyBorder="1" applyAlignment="1" applyProtection="1">
      <alignment vertical="center" wrapText="1"/>
      <protection locked="0"/>
    </xf>
    <xf numFmtId="190" fontId="5" fillId="6" borderId="12" xfId="189" applyNumberFormat="1" applyFont="1" applyFill="1" applyBorder="1" applyAlignment="1" applyProtection="1">
      <alignment vertical="center" wrapText="1"/>
      <protection locked="0"/>
    </xf>
    <xf numFmtId="190" fontId="5" fillId="0" borderId="76" xfId="189" applyNumberFormat="1" applyFont="1" applyFill="1" applyBorder="1" applyAlignment="1" applyProtection="1">
      <alignment vertical="center" wrapText="1"/>
      <protection locked="0"/>
    </xf>
    <xf numFmtId="190" fontId="5" fillId="6" borderId="10" xfId="189" applyNumberFormat="1" applyFont="1" applyFill="1" applyBorder="1" applyAlignment="1">
      <alignment vertical="center" wrapText="1"/>
    </xf>
    <xf numFmtId="190" fontId="5" fillId="6" borderId="12" xfId="189" applyNumberFormat="1" applyFont="1" applyFill="1" applyBorder="1" applyAlignment="1" applyProtection="1">
      <alignment vertical="center" wrapText="1"/>
    </xf>
    <xf numFmtId="190" fontId="5" fillId="0" borderId="3" xfId="189" applyNumberFormat="1" applyFont="1" applyBorder="1" applyAlignment="1">
      <alignment wrapText="1"/>
    </xf>
    <xf numFmtId="190" fontId="5" fillId="0" borderId="112" xfId="189" applyNumberFormat="1" applyFont="1" applyBorder="1" applyAlignment="1">
      <alignment wrapText="1"/>
    </xf>
    <xf numFmtId="0" fontId="5" fillId="0" borderId="0" xfId="63" applyFont="1" applyAlignment="1">
      <alignment horizontal="center" vertical="center" wrapText="1"/>
    </xf>
    <xf numFmtId="0" fontId="5" fillId="0" borderId="0" xfId="63" applyFont="1" applyAlignment="1">
      <alignment vertical="center" wrapText="1"/>
    </xf>
    <xf numFmtId="0" fontId="5" fillId="0" borderId="0" xfId="58" quotePrefix="1" applyFont="1" applyAlignment="1">
      <alignment horizontal="left" vertical="center" indent="2"/>
    </xf>
    <xf numFmtId="0" fontId="5" fillId="0" borderId="0" xfId="63" applyFont="1" applyAlignment="1">
      <alignment wrapText="1"/>
    </xf>
    <xf numFmtId="0" fontId="5" fillId="0" borderId="0" xfId="81" applyFont="1">
      <alignment vertical="center"/>
    </xf>
    <xf numFmtId="49" fontId="5" fillId="0" borderId="0" xfId="58" applyNumberFormat="1" applyFont="1" applyAlignment="1">
      <alignment horizontal="left" vertical="center" indent="2"/>
    </xf>
    <xf numFmtId="0" fontId="5" fillId="0" borderId="0" xfId="63" applyFont="1" applyAlignment="1">
      <alignment horizontal="right" vertical="center" wrapText="1"/>
    </xf>
    <xf numFmtId="0" fontId="5" fillId="0" borderId="0" xfId="58" applyFont="1" applyAlignment="1">
      <alignment vertical="center"/>
    </xf>
    <xf numFmtId="0" fontId="15" fillId="0" borderId="22" xfId="63" applyFont="1" applyBorder="1" applyAlignment="1">
      <alignment horizontal="center" vertical="center" wrapText="1"/>
    </xf>
    <xf numFmtId="0" fontId="15" fillId="0" borderId="113" xfId="63" applyFont="1" applyBorder="1" applyAlignment="1">
      <alignment horizontal="center" vertical="center" wrapText="1"/>
    </xf>
    <xf numFmtId="0" fontId="15" fillId="0" borderId="114" xfId="63" applyFont="1" applyBorder="1" applyAlignment="1">
      <alignment horizontal="center" vertical="center" wrapText="1"/>
    </xf>
    <xf numFmtId="0" fontId="15" fillId="0" borderId="92" xfId="63" applyFont="1" applyBorder="1" applyAlignment="1">
      <alignment horizontal="center" vertical="center" wrapText="1"/>
    </xf>
    <xf numFmtId="0" fontId="42" fillId="0" borderId="22" xfId="58" applyFont="1" applyBorder="1" applyAlignment="1">
      <alignment horizontal="center" vertical="center" wrapText="1"/>
    </xf>
    <xf numFmtId="190" fontId="42" fillId="0" borderId="16" xfId="242" applyNumberFormat="1" applyFont="1" applyBorder="1" applyAlignment="1" applyProtection="1">
      <alignment horizontal="center" vertical="center" wrapText="1"/>
    </xf>
    <xf numFmtId="190" fontId="42" fillId="0" borderId="91" xfId="242" applyNumberFormat="1" applyFont="1" applyBorder="1" applyAlignment="1" applyProtection="1">
      <alignment horizontal="center" vertical="center" wrapText="1"/>
    </xf>
    <xf numFmtId="190" fontId="42" fillId="0" borderId="17" xfId="242" applyNumberFormat="1" applyFont="1" applyBorder="1" applyAlignment="1" applyProtection="1">
      <alignment horizontal="center" vertical="center" wrapText="1"/>
    </xf>
    <xf numFmtId="0" fontId="5" fillId="0" borderId="8" xfId="63" applyFont="1" applyBorder="1" applyAlignment="1">
      <alignment vertical="center" wrapText="1"/>
    </xf>
    <xf numFmtId="179" fontId="5" fillId="0" borderId="67" xfId="132" applyNumberFormat="1" applyFont="1" applyBorder="1" applyAlignment="1" applyProtection="1">
      <alignment horizontal="center" vertical="center" wrapText="1"/>
    </xf>
    <xf numFmtId="10" fontId="5" fillId="0" borderId="39" xfId="253" applyNumberFormat="1" applyFont="1" applyBorder="1" applyAlignment="1" applyProtection="1">
      <alignment horizontal="center" vertical="center" wrapText="1"/>
    </xf>
    <xf numFmtId="10" fontId="5" fillId="0" borderId="93" xfId="253" applyNumberFormat="1" applyFont="1" applyBorder="1" applyAlignment="1" applyProtection="1">
      <alignment horizontal="center" vertical="center" wrapText="1"/>
    </xf>
    <xf numFmtId="0" fontId="13" fillId="0" borderId="115" xfId="58" applyFont="1" applyBorder="1" applyAlignment="1">
      <alignment vertical="center" wrapText="1"/>
    </xf>
    <xf numFmtId="190" fontId="5" fillId="0" borderId="75" xfId="189" applyNumberFormat="1" applyFont="1" applyBorder="1" applyAlignment="1" applyProtection="1">
      <alignment horizontal="center" vertical="center" wrapText="1"/>
    </xf>
    <xf numFmtId="0" fontId="5" fillId="0" borderId="116" xfId="63" applyFont="1" applyBorder="1" applyAlignment="1">
      <alignment horizontal="left" vertical="center" wrapText="1" indent="2"/>
    </xf>
    <xf numFmtId="179" fontId="5" fillId="0" borderId="117" xfId="132" applyNumberFormat="1" applyFont="1" applyBorder="1" applyAlignment="1" applyProtection="1">
      <alignment horizontal="center" vertical="center" wrapText="1"/>
    </xf>
    <xf numFmtId="10" fontId="5" fillId="0" borderId="43" xfId="253" applyNumberFormat="1" applyFont="1" applyBorder="1" applyAlignment="1" applyProtection="1">
      <alignment horizontal="center" vertical="center" wrapText="1"/>
    </xf>
    <xf numFmtId="10" fontId="5" fillId="0" borderId="96" xfId="253" applyNumberFormat="1" applyFont="1" applyBorder="1" applyAlignment="1" applyProtection="1">
      <alignment horizontal="center" vertical="center" wrapText="1"/>
    </xf>
    <xf numFmtId="0" fontId="13" fillId="0" borderId="118" xfId="58" applyFont="1" applyBorder="1" applyAlignment="1">
      <alignment horizontal="left" vertical="center"/>
    </xf>
    <xf numFmtId="190" fontId="5" fillId="0" borderId="119" xfId="189" applyNumberFormat="1" applyFont="1" applyBorder="1" applyAlignment="1" applyProtection="1">
      <alignment horizontal="center" vertical="center" wrapText="1"/>
    </xf>
    <xf numFmtId="190" fontId="5" fillId="0" borderId="120" xfId="189" applyNumberFormat="1" applyFont="1" applyFill="1" applyBorder="1" applyAlignment="1" applyProtection="1">
      <alignment horizontal="center" vertical="center" wrapText="1"/>
    </xf>
    <xf numFmtId="10" fontId="5" fillId="0" borderId="101" xfId="253" applyNumberFormat="1" applyFont="1" applyBorder="1" applyAlignment="1" applyProtection="1">
      <alignment horizontal="center" vertical="center" wrapText="1"/>
    </xf>
    <xf numFmtId="10" fontId="5" fillId="0" borderId="121" xfId="253" applyNumberFormat="1" applyFont="1" applyBorder="1" applyAlignment="1" applyProtection="1">
      <alignment horizontal="center" vertical="center" wrapText="1"/>
    </xf>
    <xf numFmtId="0" fontId="42" fillId="0" borderId="88" xfId="58" applyFont="1" applyBorder="1" applyAlignment="1">
      <alignment vertical="center" wrapText="1"/>
    </xf>
    <xf numFmtId="10" fontId="15" fillId="10" borderId="89" xfId="256" applyNumberFormat="1" applyFont="1" applyFill="1" applyBorder="1" applyAlignment="1" applyProtection="1">
      <alignment horizontal="center" vertical="center" wrapText="1"/>
    </xf>
    <xf numFmtId="10" fontId="15" fillId="10" borderId="105" xfId="256" applyNumberFormat="1" applyFont="1" applyFill="1" applyBorder="1" applyAlignment="1" applyProtection="1">
      <alignment horizontal="center" vertical="center" wrapText="1"/>
    </xf>
    <xf numFmtId="10" fontId="15" fillId="0" borderId="122" xfId="256" applyNumberFormat="1" applyFont="1" applyFill="1" applyBorder="1" applyAlignment="1" applyProtection="1">
      <alignment horizontal="center" vertical="center" wrapText="1"/>
    </xf>
    <xf numFmtId="0" fontId="5" fillId="0" borderId="116" xfId="63" applyFont="1" applyBorder="1" applyAlignment="1">
      <alignment vertical="center" wrapText="1"/>
    </xf>
    <xf numFmtId="179" fontId="5" fillId="0" borderId="95" xfId="132" applyNumberFormat="1" applyFont="1" applyBorder="1" applyAlignment="1" applyProtection="1">
      <alignment horizontal="center" vertical="center" wrapText="1"/>
    </xf>
    <xf numFmtId="0" fontId="5" fillId="0" borderId="116" xfId="63" applyFont="1" applyBorder="1" applyAlignment="1">
      <alignment horizontal="left" vertical="center" wrapText="1"/>
    </xf>
    <xf numFmtId="0" fontId="13" fillId="0" borderId="116" xfId="63" applyFont="1" applyBorder="1" applyAlignment="1">
      <alignment horizontal="left" vertical="center" wrapText="1"/>
    </xf>
    <xf numFmtId="0" fontId="5" fillId="0" borderId="115" xfId="63" applyFont="1" applyBorder="1" applyAlignment="1">
      <alignment vertical="center" wrapText="1"/>
    </xf>
    <xf numFmtId="10" fontId="5" fillId="0" borderId="123" xfId="253" applyNumberFormat="1" applyFont="1" applyBorder="1" applyAlignment="1" applyProtection="1">
      <alignment horizontal="center" vertical="center" wrapText="1"/>
    </xf>
    <xf numFmtId="0" fontId="5" fillId="0" borderId="124" xfId="63" applyFont="1" applyBorder="1" applyAlignment="1">
      <alignment vertical="center" wrapText="1"/>
    </xf>
    <xf numFmtId="179" fontId="5" fillId="0" borderId="125" xfId="132" applyNumberFormat="1" applyFont="1" applyBorder="1" applyAlignment="1" applyProtection="1">
      <alignment horizontal="center" vertical="center" wrapText="1"/>
    </xf>
    <xf numFmtId="10" fontId="5" fillId="0" borderId="48" xfId="253" applyNumberFormat="1" applyFont="1" applyBorder="1" applyAlignment="1" applyProtection="1">
      <alignment horizontal="center" vertical="center" wrapText="1"/>
    </xf>
    <xf numFmtId="10" fontId="5" fillId="0" borderId="126" xfId="253" applyNumberFormat="1" applyFont="1" applyBorder="1" applyAlignment="1" applyProtection="1">
      <alignment horizontal="center" vertical="center" wrapText="1"/>
    </xf>
    <xf numFmtId="10" fontId="5" fillId="0" borderId="123" xfId="253" applyNumberFormat="1" applyFont="1" applyFill="1" applyBorder="1" applyAlignment="1" applyProtection="1">
      <alignment horizontal="center" vertical="center" wrapText="1"/>
    </xf>
    <xf numFmtId="10" fontId="5" fillId="5" borderId="127" xfId="253" applyNumberFormat="1" applyFont="1" applyFill="1" applyBorder="1" applyAlignment="1" applyProtection="1">
      <alignment horizontal="center" vertical="center" wrapText="1"/>
    </xf>
    <xf numFmtId="179" fontId="5" fillId="0" borderId="128" xfId="132" applyNumberFormat="1" applyFont="1" applyBorder="1" applyAlignment="1" applyProtection="1">
      <alignment horizontal="center" vertical="center" wrapText="1"/>
    </xf>
    <xf numFmtId="10" fontId="5" fillId="5" borderId="48" xfId="253" applyNumberFormat="1" applyFont="1" applyFill="1" applyBorder="1" applyAlignment="1" applyProtection="1">
      <alignment vertical="center" wrapText="1"/>
    </xf>
    <xf numFmtId="10" fontId="5" fillId="5" borderId="129" xfId="253" applyNumberFormat="1" applyFont="1" applyFill="1" applyBorder="1" applyAlignment="1" applyProtection="1">
      <alignment vertical="center" wrapText="1"/>
    </xf>
    <xf numFmtId="0" fontId="5" fillId="0" borderId="118" xfId="63" applyFont="1" applyBorder="1" applyAlignment="1">
      <alignment horizontal="left" vertical="center" wrapText="1"/>
    </xf>
    <xf numFmtId="179" fontId="5" fillId="0" borderId="130" xfId="132" applyNumberFormat="1" applyFont="1" applyBorder="1" applyAlignment="1" applyProtection="1">
      <alignment horizontal="center" vertical="center" wrapText="1"/>
    </xf>
    <xf numFmtId="10" fontId="5" fillId="5" borderId="131" xfId="253" applyNumberFormat="1" applyFont="1" applyFill="1" applyBorder="1" applyAlignment="1" applyProtection="1">
      <alignment vertical="center" wrapText="1"/>
    </xf>
    <xf numFmtId="10" fontId="5" fillId="5" borderId="132" xfId="253" applyNumberFormat="1" applyFont="1" applyFill="1" applyBorder="1" applyAlignment="1" applyProtection="1">
      <alignment vertical="center" wrapText="1"/>
    </xf>
    <xf numFmtId="0" fontId="42" fillId="0" borderId="88" xfId="63" applyFont="1" applyBorder="1" applyAlignment="1">
      <alignment vertical="center" wrapText="1"/>
    </xf>
    <xf numFmtId="179" fontId="15" fillId="11" borderId="133" xfId="132" applyNumberFormat="1" applyFont="1" applyFill="1" applyBorder="1" applyAlignment="1" applyProtection="1">
      <alignment horizontal="center" vertical="center" wrapText="1"/>
    </xf>
    <xf numFmtId="10" fontId="15" fillId="5" borderId="90" xfId="253" applyNumberFormat="1" applyFont="1" applyFill="1" applyBorder="1" applyAlignment="1" applyProtection="1">
      <alignment vertical="center" wrapText="1"/>
    </xf>
    <xf numFmtId="10" fontId="15" fillId="5" borderId="112" xfId="253" applyNumberFormat="1" applyFont="1" applyFill="1" applyBorder="1" applyAlignment="1" applyProtection="1">
      <alignment vertical="center" wrapText="1"/>
    </xf>
    <xf numFmtId="0" fontId="37" fillId="0" borderId="0" xfId="99" applyFont="1" applyAlignment="1">
      <alignment horizontal="right"/>
    </xf>
    <xf numFmtId="0" fontId="8" fillId="0" borderId="23" xfId="124" applyFont="1" applyBorder="1" applyAlignment="1">
      <alignment horizontal="distributed" vertical="center"/>
    </xf>
    <xf numFmtId="0" fontId="8" fillId="0" borderId="23" xfId="124" applyFont="1" applyBorder="1" applyAlignment="1">
      <alignment horizontal="distributed" vertical="center" wrapText="1"/>
    </xf>
    <xf numFmtId="0" fontId="8" fillId="0" borderId="23" xfId="0" applyFont="1" applyBorder="1" applyAlignment="1">
      <alignment horizontal="distributed" vertical="center"/>
    </xf>
    <xf numFmtId="0" fontId="8" fillId="0" borderId="10" xfId="91" applyFont="1" applyBorder="1" applyAlignment="1">
      <alignment vertical="center"/>
    </xf>
    <xf numFmtId="0" fontId="8" fillId="0" borderId="10" xfId="113" applyFont="1" applyBorder="1" applyAlignment="1">
      <alignment vertical="center"/>
    </xf>
    <xf numFmtId="0" fontId="37" fillId="0" borderId="0" xfId="99" applyFont="1"/>
    <xf numFmtId="0" fontId="37" fillId="0" borderId="0" xfId="99" quotePrefix="1" applyFont="1" applyAlignment="1">
      <alignment horizontal="left"/>
    </xf>
    <xf numFmtId="0" fontId="8" fillId="0" borderId="23" xfId="99" applyFont="1" applyBorder="1" applyAlignment="1">
      <alignment horizontal="distributed" vertical="center"/>
    </xf>
    <xf numFmtId="0" fontId="37" fillId="0" borderId="23" xfId="99" applyFont="1" applyBorder="1" applyAlignment="1">
      <alignment horizontal="distributed" vertical="center"/>
    </xf>
    <xf numFmtId="0" fontId="37" fillId="0" borderId="0" xfId="99" applyFont="1" applyAlignment="1">
      <alignment horizontal="distributed" vertical="center"/>
    </xf>
    <xf numFmtId="0" fontId="37" fillId="0" borderId="20" xfId="99" quotePrefix="1" applyFont="1" applyBorder="1" applyAlignment="1">
      <alignment horizontal="center" vertical="center"/>
    </xf>
    <xf numFmtId="0" fontId="37" fillId="0" borderId="82" xfId="99" applyFont="1" applyBorder="1" applyAlignment="1">
      <alignment horizontal="distributed" vertical="center"/>
    </xf>
    <xf numFmtId="0" fontId="37" fillId="0" borderId="10" xfId="121" applyFont="1" applyBorder="1" applyAlignment="1">
      <alignment horizontal="center"/>
    </xf>
    <xf numFmtId="194" fontId="37" fillId="0" borderId="10" xfId="95" applyNumberFormat="1" applyFont="1" applyBorder="1" applyAlignment="1" applyProtection="1">
      <alignment horizontal="right" vertical="center" wrapText="1"/>
      <protection locked="0"/>
    </xf>
    <xf numFmtId="49" fontId="37" fillId="0" borderId="10" xfId="95" applyNumberFormat="1" applyFont="1" applyBorder="1" applyAlignment="1" applyProtection="1">
      <alignment horizontal="center" vertical="center" wrapText="1"/>
      <protection locked="0"/>
    </xf>
    <xf numFmtId="0" fontId="37" fillId="0" borderId="0" xfId="95" applyFont="1" applyAlignment="1">
      <alignment horizontal="left"/>
    </xf>
    <xf numFmtId="0" fontId="13" fillId="0" borderId="0" xfId="99" applyFont="1"/>
    <xf numFmtId="0" fontId="8" fillId="0" borderId="0" xfId="0" applyFont="1" applyAlignment="1">
      <alignment horizontal="left" vertical="center"/>
    </xf>
    <xf numFmtId="0" fontId="8" fillId="0" borderId="10" xfId="0" applyFont="1" applyBorder="1" applyAlignment="1">
      <alignment horizontal="center" vertical="center"/>
    </xf>
    <xf numFmtId="0" fontId="8" fillId="0" borderId="0" xfId="0" applyFont="1" applyAlignment="1">
      <alignment horizontal="center" vertical="center"/>
    </xf>
    <xf numFmtId="0" fontId="49" fillId="0" borderId="0" xfId="0" applyFont="1" applyAlignment="1">
      <alignment horizontal="left" vertical="center"/>
    </xf>
    <xf numFmtId="0" fontId="8" fillId="0" borderId="0" xfId="95" applyFont="1" applyAlignment="1">
      <alignment horizontal="left" vertical="center"/>
    </xf>
    <xf numFmtId="0" fontId="59" fillId="0" borderId="0" xfId="0" applyFont="1" applyAlignment="1">
      <alignment vertical="center"/>
    </xf>
    <xf numFmtId="0" fontId="8" fillId="0" borderId="0" xfId="0" applyFont="1" applyAlignment="1">
      <alignment horizontal="right" vertical="center"/>
    </xf>
    <xf numFmtId="0" fontId="8" fillId="0" borderId="23" xfId="126" applyFont="1" applyBorder="1" applyAlignment="1">
      <alignment horizontal="distributed" vertical="center"/>
    </xf>
    <xf numFmtId="0" fontId="8" fillId="0" borderId="82" xfId="113" applyFont="1" applyBorder="1" applyAlignment="1">
      <alignment horizontal="center" vertical="center" wrapText="1"/>
    </xf>
    <xf numFmtId="179" fontId="10" fillId="0" borderId="20" xfId="132" quotePrefix="1" applyNumberFormat="1" applyFont="1" applyFill="1" applyBorder="1" applyAlignment="1">
      <alignment horizontal="center" vertical="center"/>
    </xf>
    <xf numFmtId="194" fontId="10" fillId="0" borderId="10" xfId="0" applyNumberFormat="1" applyFont="1" applyBorder="1" applyAlignment="1" applyProtection="1">
      <alignment vertical="center"/>
      <protection locked="0"/>
    </xf>
    <xf numFmtId="10" fontId="10" fillId="0" borderId="10" xfId="253" applyNumberFormat="1" applyFont="1" applyFill="1" applyBorder="1" applyAlignment="1" applyProtection="1">
      <alignment vertical="center"/>
      <protection locked="0"/>
    </xf>
    <xf numFmtId="10" fontId="10" fillId="0" borderId="10" xfId="253" applyNumberFormat="1" applyFont="1" applyFill="1" applyBorder="1" applyAlignment="1" applyProtection="1">
      <alignment horizontal="right" vertical="center" wrapText="1"/>
      <protection locked="0"/>
    </xf>
    <xf numFmtId="49" fontId="10" fillId="0" borderId="10" xfId="0" applyNumberFormat="1" applyFont="1" applyBorder="1" applyAlignment="1" applyProtection="1">
      <alignment horizontal="right" vertical="center" wrapText="1"/>
      <protection locked="0"/>
    </xf>
    <xf numFmtId="0" fontId="0" fillId="0" borderId="10" xfId="0" applyBorder="1"/>
    <xf numFmtId="0" fontId="8" fillId="0" borderId="10" xfId="0" applyFont="1" applyBorder="1"/>
    <xf numFmtId="49" fontId="10" fillId="0" borderId="10" xfId="0" applyNumberFormat="1" applyFont="1" applyBorder="1" applyAlignment="1" applyProtection="1">
      <alignment horizontal="right" vertical="center"/>
      <protection locked="0"/>
    </xf>
    <xf numFmtId="0" fontId="8" fillId="0" borderId="10" xfId="113" applyFont="1" applyBorder="1" applyAlignment="1">
      <alignment horizontal="distributed" vertical="center"/>
    </xf>
    <xf numFmtId="194" fontId="10" fillId="0" borderId="10" xfId="241" applyNumberFormat="1" applyFont="1" applyFill="1" applyBorder="1" applyAlignment="1" applyProtection="1">
      <alignment vertical="center"/>
      <protection locked="0"/>
    </xf>
    <xf numFmtId="177" fontId="10" fillId="0" borderId="10" xfId="241" applyNumberFormat="1" applyFont="1" applyFill="1" applyBorder="1" applyAlignment="1">
      <alignment vertical="center"/>
    </xf>
    <xf numFmtId="0" fontId="8" fillId="0" borderId="0" xfId="88" applyFont="1" applyAlignment="1">
      <alignment vertical="center"/>
    </xf>
    <xf numFmtId="0" fontId="8" fillId="0" borderId="0" xfId="113" applyFont="1" applyAlignment="1">
      <alignment vertical="center"/>
    </xf>
    <xf numFmtId="0" fontId="8" fillId="0" borderId="0" xfId="113" applyFont="1" applyAlignment="1">
      <alignment horizontal="left" vertical="center"/>
    </xf>
    <xf numFmtId="0" fontId="8" fillId="0" borderId="0" xfId="91" applyFont="1" applyAlignment="1">
      <alignment vertical="center"/>
    </xf>
    <xf numFmtId="0" fontId="8" fillId="0" borderId="0" xfId="84" applyFont="1" applyAlignment="1">
      <alignment horizontal="right"/>
    </xf>
    <xf numFmtId="0" fontId="8" fillId="0" borderId="10" xfId="91" applyFont="1" applyBorder="1" applyAlignment="1">
      <alignment horizontal="center" vertical="center"/>
    </xf>
    <xf numFmtId="0" fontId="8" fillId="0" borderId="10" xfId="68" applyFont="1" applyBorder="1" applyAlignment="1">
      <alignment horizontal="centerContinuous" vertical="center"/>
    </xf>
    <xf numFmtId="0" fontId="8" fillId="0" borderId="23" xfId="113" applyFont="1" applyBorder="1" applyAlignment="1">
      <alignment horizontal="center" vertical="center" wrapText="1"/>
    </xf>
    <xf numFmtId="0" fontId="8" fillId="0" borderId="10" xfId="93" applyFont="1" applyBorder="1" applyAlignment="1">
      <alignment vertical="center" wrapText="1"/>
    </xf>
    <xf numFmtId="0" fontId="8" fillId="0" borderId="20" xfId="68" applyFont="1" applyBorder="1" applyAlignment="1">
      <alignment horizontal="center" vertical="center" wrapText="1"/>
    </xf>
    <xf numFmtId="0" fontId="8" fillId="0" borderId="10" xfId="68" applyFont="1" applyBorder="1" applyAlignment="1">
      <alignment horizontal="center" vertical="center" wrapText="1"/>
    </xf>
    <xf numFmtId="0" fontId="10" fillId="0" borderId="20" xfId="93" quotePrefix="1" applyFont="1" applyBorder="1" applyAlignment="1">
      <alignment horizontal="center"/>
    </xf>
    <xf numFmtId="0" fontId="10" fillId="0" borderId="20" xfId="93" quotePrefix="1" applyFont="1" applyBorder="1" applyAlignment="1">
      <alignment horizontal="center" wrapText="1"/>
    </xf>
    <xf numFmtId="0" fontId="8" fillId="0" borderId="10" xfId="91" applyFont="1" applyBorder="1" applyAlignment="1" applyProtection="1">
      <alignment horizontal="center" vertical="center" wrapText="1"/>
      <protection locked="0"/>
    </xf>
    <xf numFmtId="194" fontId="10" fillId="0" borderId="10" xfId="113" quotePrefix="1" applyNumberFormat="1" applyFont="1" applyBorder="1" applyAlignment="1" applyProtection="1">
      <alignment vertical="center"/>
      <protection locked="0"/>
    </xf>
    <xf numFmtId="194" fontId="10" fillId="0" borderId="10" xfId="113" quotePrefix="1" applyNumberFormat="1" applyFont="1" applyBorder="1" applyAlignment="1" applyProtection="1">
      <alignment vertical="center" wrapText="1"/>
      <protection locked="0"/>
    </xf>
    <xf numFmtId="194" fontId="10" fillId="0" borderId="10" xfId="113" applyNumberFormat="1" applyFont="1" applyBorder="1" applyAlignment="1" applyProtection="1">
      <alignment vertical="center"/>
      <protection locked="0"/>
    </xf>
    <xf numFmtId="194" fontId="10" fillId="0" borderId="10" xfId="253" applyNumberFormat="1" applyFont="1" applyFill="1" applyBorder="1" applyAlignment="1" applyProtection="1">
      <alignment vertical="center"/>
      <protection locked="0"/>
    </xf>
    <xf numFmtId="0" fontId="10" fillId="0" borderId="10" xfId="113" applyFont="1" applyBorder="1" applyAlignment="1" applyProtection="1">
      <alignment vertical="center"/>
      <protection locked="0"/>
    </xf>
    <xf numFmtId="0" fontId="14" fillId="0" borderId="10" xfId="113" applyFont="1" applyBorder="1" applyAlignment="1" applyProtection="1">
      <alignment vertical="center"/>
      <protection locked="0"/>
    </xf>
    <xf numFmtId="177" fontId="10" fillId="0" borderId="10" xfId="113" applyNumberFormat="1" applyFont="1" applyBorder="1" applyAlignment="1">
      <alignment vertical="center"/>
    </xf>
    <xf numFmtId="0" fontId="8" fillId="0" borderId="0" xfId="93" applyFont="1"/>
    <xf numFmtId="0" fontId="8" fillId="0" borderId="0" xfId="93" applyFont="1" applyAlignment="1">
      <alignment horizontal="left" wrapText="1"/>
    </xf>
    <xf numFmtId="0" fontId="8" fillId="0" borderId="0" xfId="93" applyFont="1" applyAlignment="1">
      <alignment wrapText="1"/>
    </xf>
    <xf numFmtId="0" fontId="13" fillId="0" borderId="0" xfId="93" applyFont="1" applyAlignment="1">
      <alignment wrapText="1"/>
    </xf>
    <xf numFmtId="0" fontId="8" fillId="0" borderId="0" xfId="93" applyFont="1" applyAlignment="1">
      <alignment horizontal="center"/>
    </xf>
    <xf numFmtId="0" fontId="8" fillId="0" borderId="11" xfId="91" applyFont="1" applyBorder="1" applyAlignment="1">
      <alignment horizontal="center" vertical="center"/>
    </xf>
    <xf numFmtId="0" fontId="8" fillId="0" borderId="23" xfId="93" applyFont="1" applyBorder="1" applyAlignment="1">
      <alignment horizontal="distributed" vertical="center"/>
    </xf>
    <xf numFmtId="0" fontId="8" fillId="0" borderId="82" xfId="93" applyFont="1" applyBorder="1" applyAlignment="1">
      <alignment horizontal="distributed" vertical="center"/>
    </xf>
    <xf numFmtId="0" fontId="8" fillId="0" borderId="0" xfId="113" applyFont="1" applyAlignment="1">
      <alignment horizontal="distributed" vertical="center"/>
    </xf>
    <xf numFmtId="0" fontId="8" fillId="0" borderId="20" xfId="93" quotePrefix="1" applyFont="1" applyBorder="1" applyAlignment="1">
      <alignment horizontal="center"/>
    </xf>
    <xf numFmtId="0" fontId="8" fillId="0" borderId="20" xfId="93" quotePrefix="1" applyFont="1" applyBorder="1" applyAlignment="1">
      <alignment horizontal="center" wrapText="1"/>
    </xf>
    <xf numFmtId="0" fontId="8" fillId="0" borderId="10" xfId="91" applyFont="1" applyBorder="1" applyAlignment="1">
      <alignment horizontal="center"/>
    </xf>
    <xf numFmtId="0" fontId="8" fillId="0" borderId="10" xfId="91" applyFont="1" applyBorder="1" applyAlignment="1">
      <alignment horizontal="left"/>
    </xf>
    <xf numFmtId="0" fontId="8" fillId="0" borderId="10" xfId="91" applyFont="1" applyBorder="1" applyAlignment="1">
      <alignment horizontal="left" vertical="center"/>
    </xf>
    <xf numFmtId="177" fontId="8" fillId="0" borderId="10" xfId="241" applyNumberFormat="1" applyFont="1" applyFill="1" applyBorder="1" applyAlignment="1">
      <alignment vertical="center"/>
    </xf>
    <xf numFmtId="177" fontId="8" fillId="0" borderId="10" xfId="113" applyNumberFormat="1" applyFont="1" applyBorder="1" applyAlignment="1">
      <alignment vertical="center"/>
    </xf>
    <xf numFmtId="177" fontId="8" fillId="0" borderId="10" xfId="253" applyNumberFormat="1" applyFont="1" applyFill="1" applyBorder="1" applyAlignment="1">
      <alignment vertical="center"/>
    </xf>
    <xf numFmtId="0" fontId="8" fillId="0" borderId="10" xfId="91" applyFont="1" applyBorder="1" applyAlignment="1">
      <alignment horizontal="left" vertical="center" wrapText="1"/>
    </xf>
    <xf numFmtId="0" fontId="13" fillId="0" borderId="0" xfId="113" applyFont="1" applyAlignment="1">
      <alignment vertical="center"/>
    </xf>
    <xf numFmtId="0" fontId="8" fillId="0" borderId="0" xfId="93" applyFont="1" applyAlignment="1">
      <alignment horizontal="left"/>
    </xf>
    <xf numFmtId="0" fontId="8" fillId="0" borderId="0" xfId="74" applyFont="1" applyAlignment="1">
      <alignment vertical="center"/>
    </xf>
    <xf numFmtId="0" fontId="56" fillId="0" borderId="0" xfId="91" applyFont="1" applyAlignment="1">
      <alignment vertical="center"/>
    </xf>
    <xf numFmtId="0" fontId="47" fillId="0" borderId="0" xfId="83" applyFont="1">
      <alignment vertical="center"/>
    </xf>
    <xf numFmtId="0" fontId="37" fillId="0" borderId="0" xfId="80" applyFont="1" applyAlignment="1">
      <alignment vertical="center"/>
    </xf>
    <xf numFmtId="0" fontId="37" fillId="0" borderId="6" xfId="80" applyFont="1" applyBorder="1" applyAlignment="1">
      <alignment horizontal="center" vertical="center" wrapText="1"/>
    </xf>
    <xf numFmtId="0" fontId="37" fillId="0" borderId="12" xfId="80" applyFont="1" applyBorder="1" applyAlignment="1">
      <alignment horizontal="center" vertical="center" wrapText="1"/>
    </xf>
    <xf numFmtId="0" fontId="37" fillId="0" borderId="11" xfId="80"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0" xfId="80" applyNumberFormat="1" applyFont="1" applyBorder="1" applyAlignment="1">
      <alignment horizontal="center" vertical="center" wrapText="1"/>
    </xf>
    <xf numFmtId="49" fontId="37" fillId="0" borderId="24" xfId="80" applyNumberFormat="1" applyFont="1" applyBorder="1" applyAlignment="1">
      <alignment horizontal="center" vertical="center" wrapText="1"/>
    </xf>
    <xf numFmtId="49" fontId="37" fillId="0" borderId="134" xfId="80" applyNumberFormat="1" applyFont="1" applyBorder="1" applyAlignment="1">
      <alignment horizontal="center" vertical="center" wrapText="1"/>
    </xf>
    <xf numFmtId="0" fontId="37" fillId="0" borderId="22" xfId="108" applyFont="1" applyBorder="1" applyAlignment="1">
      <alignment horizontal="center" vertical="center"/>
    </xf>
    <xf numFmtId="0" fontId="37" fillId="0" borderId="91" xfId="81" applyFont="1" applyBorder="1">
      <alignment vertical="center"/>
    </xf>
    <xf numFmtId="0" fontId="47" fillId="0" borderId="135" xfId="83" applyFont="1" applyBorder="1">
      <alignment vertical="center"/>
    </xf>
    <xf numFmtId="0" fontId="47" fillId="0" borderId="136" xfId="83" applyFont="1" applyBorder="1">
      <alignment vertical="center"/>
    </xf>
    <xf numFmtId="0" fontId="47" fillId="0" borderId="137" xfId="83" applyFont="1" applyBorder="1">
      <alignment vertical="center"/>
    </xf>
    <xf numFmtId="0" fontId="37" fillId="0" borderId="138" xfId="81" applyFont="1" applyBorder="1" applyAlignment="1">
      <alignment horizontal="right" vertical="center"/>
    </xf>
    <xf numFmtId="0" fontId="37" fillId="0" borderId="16" xfId="81" applyFont="1" applyBorder="1" applyAlignment="1">
      <alignment horizontal="right" vertical="center"/>
    </xf>
    <xf numFmtId="0" fontId="37" fillId="0" borderId="16" xfId="80" applyFont="1" applyBorder="1" applyAlignment="1">
      <alignment horizontal="right" vertical="center" wrapText="1"/>
    </xf>
    <xf numFmtId="0" fontId="37" fillId="0" borderId="17" xfId="80" applyFont="1" applyBorder="1" applyAlignment="1">
      <alignment horizontal="right" vertical="center" wrapText="1"/>
    </xf>
    <xf numFmtId="0" fontId="37" fillId="0" borderId="6" xfId="108" applyFont="1" applyBorder="1" applyAlignment="1">
      <alignment horizontal="center" vertical="center"/>
    </xf>
    <xf numFmtId="0" fontId="37" fillId="0" borderId="73" xfId="80" applyFont="1" applyBorder="1" applyAlignment="1">
      <alignment horizontal="left" vertical="center" wrapText="1"/>
    </xf>
    <xf numFmtId="0" fontId="37" fillId="0" borderId="139" xfId="80" applyFont="1" applyBorder="1" applyAlignment="1">
      <alignment horizontal="right" vertical="center" wrapText="1"/>
    </xf>
    <xf numFmtId="0" fontId="37" fillId="0" borderId="140" xfId="80" applyFont="1" applyBorder="1" applyAlignment="1">
      <alignment horizontal="right" vertical="center" wrapText="1"/>
    </xf>
    <xf numFmtId="0" fontId="37" fillId="0" borderId="141" xfId="80" applyFont="1" applyBorder="1" applyAlignment="1">
      <alignment horizontal="right" vertical="center" wrapText="1"/>
    </xf>
    <xf numFmtId="0" fontId="37" fillId="0" borderId="11" xfId="80" applyFont="1" applyBorder="1" applyAlignment="1">
      <alignment horizontal="right" vertical="center" wrapText="1"/>
    </xf>
    <xf numFmtId="0" fontId="37" fillId="0" borderId="10" xfId="80" applyFont="1" applyBorder="1" applyAlignment="1">
      <alignment horizontal="right" vertical="center" wrapText="1"/>
    </xf>
    <xf numFmtId="0" fontId="37" fillId="0" borderId="12" xfId="80" applyFont="1" applyBorder="1" applyAlignment="1">
      <alignment horizontal="right" vertical="center" wrapText="1"/>
    </xf>
    <xf numFmtId="0" fontId="37" fillId="0" borderId="14" xfId="81" applyFont="1" applyBorder="1">
      <alignment vertical="center"/>
    </xf>
    <xf numFmtId="0" fontId="37" fillId="0" borderId="142" xfId="81" applyFont="1" applyBorder="1" applyAlignment="1">
      <alignment horizontal="right" vertical="center"/>
    </xf>
    <xf numFmtId="0" fontId="37" fillId="0" borderId="143" xfId="81" applyFont="1" applyBorder="1" applyAlignment="1">
      <alignment horizontal="right" vertical="center"/>
    </xf>
    <xf numFmtId="0" fontId="37" fillId="0" borderId="144" xfId="81" applyFont="1" applyBorder="1" applyAlignment="1">
      <alignment horizontal="right" vertical="center"/>
    </xf>
    <xf numFmtId="0" fontId="37" fillId="0" borderId="145" xfId="81" applyFont="1" applyBorder="1" applyAlignment="1">
      <alignment horizontal="right" vertical="center"/>
    </xf>
    <xf numFmtId="0" fontId="37" fillId="0" borderId="18" xfId="81" applyFont="1" applyBorder="1" applyAlignment="1">
      <alignment horizontal="right" vertical="center"/>
    </xf>
    <xf numFmtId="0" fontId="37" fillId="0" borderId="15" xfId="81" applyFont="1" applyBorder="1" applyAlignment="1">
      <alignment horizontal="right" vertical="center"/>
    </xf>
    <xf numFmtId="0" fontId="37" fillId="0" borderId="22" xfId="80" applyFont="1" applyBorder="1" applyAlignment="1">
      <alignment horizontal="right" vertical="center" wrapText="1"/>
    </xf>
    <xf numFmtId="0" fontId="37" fillId="0" borderId="138" xfId="80" applyFont="1" applyBorder="1" applyAlignment="1">
      <alignment horizontal="right" vertical="center" wrapText="1"/>
    </xf>
    <xf numFmtId="0" fontId="37" fillId="0" borderId="6" xfId="80" applyFont="1" applyBorder="1" applyAlignment="1">
      <alignment horizontal="right" vertical="center" wrapText="1"/>
    </xf>
    <xf numFmtId="0" fontId="37" fillId="0" borderId="13" xfId="81" applyFont="1" applyBorder="1" applyAlignment="1">
      <alignment horizontal="right" vertical="center"/>
    </xf>
    <xf numFmtId="0" fontId="37" fillId="0" borderId="22" xfId="81" applyFont="1" applyBorder="1" applyAlignment="1">
      <alignment horizontal="right" vertical="center"/>
    </xf>
    <xf numFmtId="0" fontId="37" fillId="0" borderId="17" xfId="81" applyFont="1" applyBorder="1" applyAlignment="1">
      <alignment horizontal="right" vertical="center"/>
    </xf>
    <xf numFmtId="0" fontId="37" fillId="6" borderId="88" xfId="71" applyFont="1" applyFill="1" applyBorder="1" applyAlignment="1">
      <alignment horizontal="right" vertical="center" wrapText="1"/>
    </xf>
    <xf numFmtId="0" fontId="37" fillId="0" borderId="89" xfId="71" applyFont="1" applyBorder="1" applyAlignment="1">
      <alignment horizontal="right" vertical="center" wrapText="1"/>
    </xf>
    <xf numFmtId="0" fontId="37" fillId="0" borderId="122" xfId="71" applyFont="1" applyBorder="1" applyAlignment="1">
      <alignment horizontal="right" vertical="center" wrapText="1"/>
    </xf>
    <xf numFmtId="0" fontId="37" fillId="6" borderId="146" xfId="71" applyFont="1" applyFill="1" applyBorder="1" applyAlignment="1">
      <alignment horizontal="right" vertical="center" wrapText="1"/>
    </xf>
    <xf numFmtId="0" fontId="47" fillId="0" borderId="0" xfId="81" applyFont="1" applyAlignment="1">
      <alignment horizontal="center" vertical="center"/>
    </xf>
    <xf numFmtId="0" fontId="37" fillId="0" borderId="16" xfId="81" applyFont="1" applyBorder="1">
      <alignment vertical="center"/>
    </xf>
    <xf numFmtId="0" fontId="37" fillId="0" borderId="10" xfId="80" applyFont="1" applyBorder="1" applyAlignment="1">
      <alignment horizontal="left" vertical="center" wrapText="1"/>
    </xf>
    <xf numFmtId="0" fontId="37" fillId="0" borderId="13" xfId="108" applyFont="1" applyBorder="1" applyAlignment="1">
      <alignment horizontal="center" vertical="center"/>
    </xf>
    <xf numFmtId="0" fontId="37" fillId="0" borderId="18" xfId="81" applyFont="1" applyBorder="1">
      <alignment vertical="center"/>
    </xf>
    <xf numFmtId="0" fontId="37" fillId="0" borderId="10" xfId="81" applyFont="1" applyBorder="1" applyAlignment="1">
      <alignment horizontal="right" vertical="center"/>
    </xf>
    <xf numFmtId="0" fontId="37" fillId="0" borderId="88" xfId="108" applyFont="1" applyBorder="1" applyAlignment="1">
      <alignment horizontal="center" vertical="center"/>
    </xf>
    <xf numFmtId="0" fontId="37" fillId="6" borderId="89" xfId="71" applyFont="1" applyFill="1" applyBorder="1" applyAlignment="1">
      <alignment horizontal="right" vertical="center" wrapText="1"/>
    </xf>
    <xf numFmtId="0" fontId="37" fillId="0" borderId="85" xfId="80" applyFont="1" applyBorder="1" applyAlignment="1">
      <alignment horizontal="center" vertical="center" wrapText="1"/>
    </xf>
    <xf numFmtId="0" fontId="37" fillId="0" borderId="24" xfId="80"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82" xfId="80" applyNumberFormat="1" applyFont="1" applyBorder="1" applyAlignment="1">
      <alignment horizontal="center" vertical="center" wrapText="1"/>
    </xf>
    <xf numFmtId="49" fontId="37" fillId="0" borderId="147" xfId="80" applyNumberFormat="1" applyFont="1" applyBorder="1" applyAlignment="1">
      <alignment horizontal="center" vertical="center" wrapText="1"/>
    </xf>
    <xf numFmtId="49" fontId="37" fillId="0" borderId="83" xfId="80" applyNumberFormat="1" applyFont="1" applyBorder="1" applyAlignment="1">
      <alignment horizontal="center" vertical="center" wrapText="1"/>
    </xf>
    <xf numFmtId="49" fontId="37" fillId="0" borderId="4" xfId="80" applyNumberFormat="1" applyFont="1" applyBorder="1" applyAlignment="1">
      <alignment horizontal="center" vertical="center" wrapText="1"/>
    </xf>
    <xf numFmtId="0" fontId="37" fillId="0" borderId="148" xfId="81" applyFont="1" applyBorder="1">
      <alignment vertical="center"/>
    </xf>
    <xf numFmtId="0" fontId="37" fillId="0" borderId="135" xfId="81" applyFont="1" applyBorder="1" applyAlignment="1">
      <alignment horizontal="right" vertical="center"/>
    </xf>
    <xf numFmtId="0" fontId="37" fillId="0" borderId="136" xfId="80" applyFont="1" applyBorder="1" applyAlignment="1">
      <alignment horizontal="right" vertical="center" wrapText="1"/>
    </xf>
    <xf numFmtId="0" fontId="37" fillId="0" borderId="149" xfId="80" applyFont="1" applyBorder="1" applyAlignment="1">
      <alignment horizontal="right" vertical="center" wrapText="1"/>
    </xf>
    <xf numFmtId="0" fontId="37" fillId="0" borderId="150" xfId="80" applyFont="1" applyBorder="1" applyAlignment="1">
      <alignment horizontal="right" vertical="center" wrapText="1"/>
    </xf>
    <xf numFmtId="0" fontId="37" fillId="0" borderId="151" xfId="80" applyFont="1" applyBorder="1" applyAlignment="1">
      <alignment horizontal="right" vertical="center" wrapText="1"/>
    </xf>
    <xf numFmtId="0" fontId="37" fillId="0" borderId="152" xfId="80" applyFont="1" applyBorder="1" applyAlignment="1">
      <alignment horizontal="right" vertical="center" wrapText="1"/>
    </xf>
    <xf numFmtId="0" fontId="37" fillId="0" borderId="153" xfId="80" applyFont="1" applyBorder="1" applyAlignment="1">
      <alignment horizontal="right" vertical="center" wrapText="1"/>
    </xf>
    <xf numFmtId="0" fontId="37" fillId="0" borderId="154" xfId="81" applyFont="1" applyBorder="1" applyAlignment="1">
      <alignment horizontal="right" vertical="center"/>
    </xf>
    <xf numFmtId="0" fontId="37" fillId="0" borderId="155" xfId="81" applyFont="1" applyBorder="1" applyAlignment="1">
      <alignment horizontal="right" vertical="center"/>
    </xf>
    <xf numFmtId="0" fontId="37" fillId="6" borderId="156" xfId="81" applyFont="1" applyFill="1" applyBorder="1" applyAlignment="1">
      <alignment horizontal="right" vertical="center"/>
    </xf>
    <xf numFmtId="0" fontId="37" fillId="0" borderId="157" xfId="81" applyFont="1" applyBorder="1" applyAlignment="1">
      <alignment horizontal="right" vertical="center"/>
    </xf>
    <xf numFmtId="0" fontId="37" fillId="6" borderId="145" xfId="81" applyFont="1" applyFill="1" applyBorder="1" applyAlignment="1">
      <alignment horizontal="right" vertical="center"/>
    </xf>
    <xf numFmtId="0" fontId="37" fillId="0" borderId="139" xfId="81" applyFont="1" applyBorder="1" applyAlignment="1">
      <alignment horizontal="right" vertical="center"/>
    </xf>
    <xf numFmtId="0" fontId="37" fillId="0" borderId="92" xfId="80" applyFont="1" applyBorder="1" applyAlignment="1">
      <alignment horizontal="right" vertical="center" wrapText="1"/>
    </xf>
    <xf numFmtId="0" fontId="37" fillId="0" borderId="154" xfId="80" applyFont="1" applyBorder="1" applyAlignment="1">
      <alignment horizontal="right" vertical="center" wrapText="1"/>
    </xf>
    <xf numFmtId="0" fontId="37" fillId="0" borderId="158" xfId="80" applyFont="1" applyBorder="1" applyAlignment="1">
      <alignment horizontal="right" vertical="center" wrapText="1"/>
    </xf>
    <xf numFmtId="0" fontId="37" fillId="0" borderId="159" xfId="80" applyFont="1" applyBorder="1" applyAlignment="1">
      <alignment horizontal="right" vertical="center" wrapText="1"/>
    </xf>
    <xf numFmtId="0" fontId="37" fillId="0" borderId="23" xfId="80" applyFont="1" applyBorder="1" applyAlignment="1">
      <alignment horizontal="right" vertical="center" wrapText="1"/>
    </xf>
    <xf numFmtId="0" fontId="37" fillId="0" borderId="160" xfId="80" applyFont="1" applyBorder="1" applyAlignment="1">
      <alignment horizontal="right" vertical="center" wrapText="1"/>
    </xf>
    <xf numFmtId="0" fontId="37" fillId="0" borderId="134" xfId="80" applyFont="1" applyBorder="1" applyAlignment="1">
      <alignment horizontal="right" vertical="center" wrapText="1"/>
    </xf>
    <xf numFmtId="0" fontId="37" fillId="0" borderId="24" xfId="80" applyFont="1" applyBorder="1" applyAlignment="1">
      <alignment horizontal="right" vertical="center" wrapText="1"/>
    </xf>
    <xf numFmtId="0" fontId="37" fillId="0" borderId="80" xfId="108" applyFont="1" applyBorder="1" applyAlignment="1">
      <alignment horizontal="center" vertical="center"/>
    </xf>
    <xf numFmtId="0" fontId="37" fillId="0" borderId="156" xfId="81" applyFont="1" applyBorder="1" applyAlignment="1">
      <alignment horizontal="right" vertical="center"/>
    </xf>
    <xf numFmtId="0" fontId="37" fillId="0" borderId="5" xfId="81" applyFont="1" applyBorder="1" applyAlignment="1">
      <alignment horizontal="right" vertical="center"/>
    </xf>
    <xf numFmtId="0" fontId="37" fillId="0" borderId="91" xfId="81" applyFont="1" applyBorder="1" applyAlignment="1">
      <alignment horizontal="right" vertical="center"/>
    </xf>
    <xf numFmtId="0" fontId="37" fillId="0" borderId="161" xfId="81" applyFont="1" applyBorder="1" applyAlignment="1">
      <alignment horizontal="right" vertical="center"/>
    </xf>
    <xf numFmtId="0" fontId="37" fillId="0" borderId="162" xfId="80" applyFont="1" applyBorder="1" applyAlignment="1">
      <alignment horizontal="right" vertical="center" wrapText="1"/>
    </xf>
    <xf numFmtId="0" fontId="37" fillId="0" borderId="163" xfId="81" applyFont="1" applyBorder="1" applyAlignment="1">
      <alignment horizontal="right" vertical="center"/>
    </xf>
    <xf numFmtId="0" fontId="37" fillId="0" borderId="137" xfId="80" applyFont="1" applyBorder="1" applyAlignment="1">
      <alignment horizontal="right" vertical="center" wrapText="1"/>
    </xf>
    <xf numFmtId="0" fontId="37" fillId="0" borderId="12" xfId="83" applyFont="1" applyBorder="1">
      <alignment vertical="center"/>
    </xf>
    <xf numFmtId="0" fontId="37" fillId="0" borderId="11" xfId="81" applyFont="1" applyBorder="1" applyAlignment="1">
      <alignment horizontal="right" vertical="center"/>
    </xf>
    <xf numFmtId="0" fontId="37" fillId="0" borderId="73" xfId="81" applyFont="1" applyBorder="1" applyAlignment="1">
      <alignment horizontal="right" vertical="center"/>
    </xf>
    <xf numFmtId="0" fontId="37" fillId="0" borderId="164" xfId="80" applyFont="1" applyBorder="1" applyAlignment="1">
      <alignment horizontal="right" vertical="center" wrapText="1"/>
    </xf>
    <xf numFmtId="0" fontId="37" fillId="0" borderId="165" xfId="80" applyFont="1" applyBorder="1" applyAlignment="1">
      <alignment horizontal="right" vertical="center" wrapText="1"/>
    </xf>
    <xf numFmtId="0" fontId="37" fillId="0" borderId="166" xfId="80" applyFont="1" applyBorder="1" applyAlignment="1">
      <alignment horizontal="right" vertical="center" wrapText="1"/>
    </xf>
    <xf numFmtId="0" fontId="37" fillId="0" borderId="167" xfId="81" applyFont="1" applyBorder="1" applyAlignment="1">
      <alignment horizontal="right" vertical="center"/>
    </xf>
    <xf numFmtId="0" fontId="37" fillId="0" borderId="12" xfId="81" applyFont="1" applyBorder="1">
      <alignment vertical="center"/>
    </xf>
    <xf numFmtId="0" fontId="37" fillId="0" borderId="24" xfId="83" applyFont="1" applyBorder="1">
      <alignment vertical="center"/>
    </xf>
    <xf numFmtId="0" fontId="37" fillId="0" borderId="168" xfId="80" applyFont="1" applyBorder="1" applyAlignment="1">
      <alignment horizontal="right" vertical="center" wrapText="1"/>
    </xf>
    <xf numFmtId="0" fontId="37" fillId="0" borderId="169" xfId="80" applyFont="1" applyBorder="1" applyAlignment="1">
      <alignment horizontal="right" vertical="center" wrapText="1"/>
    </xf>
    <xf numFmtId="0" fontId="37" fillId="0" borderId="170" xfId="80" applyFont="1" applyBorder="1" applyAlignment="1">
      <alignment horizontal="right" vertical="center" wrapText="1"/>
    </xf>
    <xf numFmtId="0" fontId="37" fillId="0" borderId="171" xfId="80" applyFont="1" applyBorder="1" applyAlignment="1">
      <alignment horizontal="right" vertical="center" wrapText="1"/>
    </xf>
    <xf numFmtId="0" fontId="37" fillId="0" borderId="172" xfId="80" applyFont="1" applyBorder="1" applyAlignment="1">
      <alignment horizontal="right" vertical="center" wrapText="1"/>
    </xf>
    <xf numFmtId="0" fontId="37" fillId="0" borderId="15" xfId="83" applyFont="1" applyBorder="1">
      <alignment vertical="center"/>
    </xf>
    <xf numFmtId="0" fontId="37" fillId="0" borderId="105" xfId="81" applyFont="1" applyBorder="1" applyAlignment="1">
      <alignment horizontal="right" vertical="center"/>
    </xf>
    <xf numFmtId="0" fontId="37" fillId="0" borderId="173" xfId="81" applyFont="1" applyBorder="1" applyAlignment="1">
      <alignment horizontal="right" vertical="center"/>
    </xf>
    <xf numFmtId="0" fontId="37" fillId="0" borderId="174" xfId="81" applyFont="1" applyBorder="1" applyAlignment="1">
      <alignment horizontal="right" vertical="center"/>
    </xf>
    <xf numFmtId="0" fontId="37" fillId="0" borderId="175" xfId="81" applyFont="1" applyBorder="1" applyAlignment="1">
      <alignment horizontal="right" vertical="center"/>
    </xf>
    <xf numFmtId="0" fontId="37" fillId="0" borderId="176" xfId="81" applyFont="1" applyBorder="1">
      <alignment vertical="center"/>
    </xf>
    <xf numFmtId="0" fontId="37" fillId="0" borderId="91" xfId="80" applyFont="1" applyBorder="1" applyAlignment="1">
      <alignment horizontal="right" vertical="center" wrapText="1"/>
    </xf>
    <xf numFmtId="0" fontId="37" fillId="0" borderId="12" xfId="80" applyFont="1" applyBorder="1" applyAlignment="1">
      <alignment horizontal="left" vertical="center" wrapText="1"/>
    </xf>
    <xf numFmtId="0" fontId="37" fillId="0" borderId="73" xfId="80" applyFont="1" applyBorder="1" applyAlignment="1">
      <alignment horizontal="right" vertical="center" wrapText="1"/>
    </xf>
    <xf numFmtId="0" fontId="37" fillId="0" borderId="177" xfId="81" applyFont="1" applyBorder="1" applyAlignment="1">
      <alignment horizontal="right" vertical="center"/>
    </xf>
    <xf numFmtId="0" fontId="37" fillId="0" borderId="146" xfId="81" applyFont="1" applyBorder="1" applyAlignment="1">
      <alignment horizontal="right" vertical="center"/>
    </xf>
    <xf numFmtId="0" fontId="37" fillId="0" borderId="3" xfId="81" applyFont="1" applyBorder="1" applyAlignment="1">
      <alignment horizontal="right" vertical="center"/>
    </xf>
    <xf numFmtId="0" fontId="37" fillId="0" borderId="178" xfId="81" applyFont="1" applyBorder="1" applyAlignment="1">
      <alignment horizontal="right" vertical="center"/>
    </xf>
    <xf numFmtId="0" fontId="37" fillId="0" borderId="89" xfId="81" applyFont="1" applyBorder="1" applyAlignment="1">
      <alignment horizontal="right" vertical="center"/>
    </xf>
    <xf numFmtId="0" fontId="37" fillId="0" borderId="112" xfId="81" applyFont="1" applyBorder="1" applyAlignment="1">
      <alignment horizontal="right" vertical="center"/>
    </xf>
    <xf numFmtId="0" fontId="37" fillId="0" borderId="84" xfId="108" applyFont="1" applyBorder="1" applyAlignment="1">
      <alignment horizontal="center" vertical="center"/>
    </xf>
    <xf numFmtId="0" fontId="37" fillId="0" borderId="20" xfId="81" applyFont="1" applyBorder="1" applyAlignment="1">
      <alignment horizontal="right" vertical="center"/>
    </xf>
    <xf numFmtId="0" fontId="37" fillId="0" borderId="179" xfId="81" applyFont="1" applyBorder="1" applyAlignment="1">
      <alignment horizontal="right" vertical="center"/>
    </xf>
    <xf numFmtId="0" fontId="37" fillId="0" borderId="180" xfId="80" applyFont="1" applyBorder="1" applyAlignment="1">
      <alignment horizontal="right" vertical="center" wrapText="1"/>
    </xf>
    <xf numFmtId="0" fontId="37" fillId="0" borderId="20" xfId="80" applyFont="1" applyBorder="1" applyAlignment="1">
      <alignment horizontal="right" vertical="center" wrapText="1"/>
    </xf>
    <xf numFmtId="0" fontId="37" fillId="0" borderId="181" xfId="80" applyFont="1" applyBorder="1" applyAlignment="1">
      <alignment horizontal="right" vertical="center" wrapText="1"/>
    </xf>
    <xf numFmtId="0" fontId="37" fillId="0" borderId="19" xfId="80" applyFont="1" applyBorder="1" applyAlignment="1">
      <alignment horizontal="right" vertical="center" wrapText="1"/>
    </xf>
    <xf numFmtId="0" fontId="37" fillId="0" borderId="21" xfId="80" applyFont="1" applyBorder="1" applyAlignment="1">
      <alignment horizontal="right" vertical="center" wrapText="1"/>
    </xf>
    <xf numFmtId="0" fontId="37" fillId="0" borderId="6" xfId="81" applyFont="1" applyBorder="1" applyAlignment="1">
      <alignment horizontal="right" vertical="center"/>
    </xf>
    <xf numFmtId="0" fontId="37" fillId="0" borderId="182" xfId="80" applyFont="1" applyBorder="1" applyAlignment="1">
      <alignment horizontal="right" vertical="center" wrapText="1"/>
    </xf>
    <xf numFmtId="0" fontId="37" fillId="0" borderId="14" xfId="81" applyFont="1" applyBorder="1" applyAlignment="1">
      <alignment horizontal="right" vertical="center"/>
    </xf>
    <xf numFmtId="0" fontId="37" fillId="0" borderId="105" xfId="71" applyFont="1" applyBorder="1" applyAlignment="1">
      <alignment horizontal="right" vertical="center" wrapText="1"/>
    </xf>
    <xf numFmtId="0" fontId="60" fillId="0" borderId="0" xfId="71" applyFont="1" applyAlignment="1">
      <alignment vertical="center"/>
    </xf>
    <xf numFmtId="0" fontId="60" fillId="0" borderId="23" xfId="71" applyFont="1" applyBorder="1" applyAlignment="1">
      <alignment horizontal="center" vertical="center"/>
    </xf>
    <xf numFmtId="0" fontId="60" fillId="0" borderId="23" xfId="71" applyFont="1" applyBorder="1" applyAlignment="1">
      <alignment horizontal="center" vertical="center" wrapText="1"/>
    </xf>
    <xf numFmtId="49" fontId="37" fillId="0" borderId="20" xfId="71" applyNumberFormat="1" applyFont="1" applyBorder="1" applyAlignment="1">
      <alignment horizontal="center" vertical="center" wrapText="1"/>
    </xf>
    <xf numFmtId="49" fontId="37" fillId="0" borderId="20" xfId="71" applyNumberFormat="1" applyFont="1" applyBorder="1" applyAlignment="1">
      <alignment horizontal="center" vertical="center"/>
    </xf>
    <xf numFmtId="0" fontId="37" fillId="0" borderId="10" xfId="71" applyFont="1" applyBorder="1" applyAlignment="1">
      <alignment vertical="center"/>
    </xf>
    <xf numFmtId="0" fontId="37" fillId="0" borderId="10" xfId="71" quotePrefix="1" applyFont="1" applyBorder="1" applyAlignment="1">
      <alignment horizontal="right" vertical="center"/>
    </xf>
    <xf numFmtId="0" fontId="44" fillId="0" borderId="0" xfId="123" applyFont="1" applyAlignment="1">
      <alignment horizontal="left"/>
    </xf>
    <xf numFmtId="0" fontId="44" fillId="0" borderId="0" xfId="71" applyFont="1"/>
    <xf numFmtId="0" fontId="44" fillId="0" borderId="0" xfId="71" applyFont="1" applyAlignment="1">
      <alignment horizontal="left"/>
    </xf>
    <xf numFmtId="0" fontId="44" fillId="0" borderId="0" xfId="80" applyFont="1"/>
    <xf numFmtId="0" fontId="44" fillId="0" borderId="0" xfId="83" applyFont="1">
      <alignment vertical="center"/>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7" fillId="0" borderId="10" xfId="83" applyFont="1" applyBorder="1" applyAlignment="1">
      <alignment horizontal="center" vertical="center" wrapText="1"/>
    </xf>
    <xf numFmtId="0" fontId="44" fillId="0" borderId="10" xfId="71" applyFont="1" applyBorder="1" applyAlignment="1">
      <alignment horizontal="center" vertical="center" wrapText="1"/>
    </xf>
    <xf numFmtId="0" fontId="44"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49" fontId="44" fillId="0" borderId="24" xfId="80" applyNumberFormat="1" applyFont="1" applyBorder="1" applyAlignment="1">
      <alignment horizontal="center" vertical="center" wrapText="1"/>
    </xf>
    <xf numFmtId="0" fontId="44" fillId="0" borderId="22" xfId="71" applyFont="1" applyBorder="1" applyAlignment="1">
      <alignment horizontal="center" vertical="center"/>
    </xf>
    <xf numFmtId="201" fontId="44" fillId="0" borderId="16" xfId="83" applyNumberFormat="1" applyFont="1" applyBorder="1" applyAlignment="1"/>
    <xf numFmtId="201" fontId="44" fillId="0" borderId="16" xfId="71" applyNumberFormat="1" applyFont="1" applyBorder="1" applyAlignment="1">
      <alignment vertical="center" wrapText="1"/>
    </xf>
    <xf numFmtId="201" fontId="44" fillId="0" borderId="16" xfId="80" applyNumberFormat="1" applyFont="1" applyBorder="1" applyAlignment="1">
      <alignment vertical="center" wrapText="1"/>
    </xf>
    <xf numFmtId="201" fontId="44" fillId="0" borderId="138" xfId="80" applyNumberFormat="1" applyFont="1" applyBorder="1" applyAlignment="1">
      <alignment vertical="center" wrapText="1"/>
    </xf>
    <xf numFmtId="201" fontId="44" fillId="0" borderId="16" xfId="243" applyNumberFormat="1" applyFont="1" applyFill="1" applyBorder="1" applyAlignment="1">
      <alignment vertical="center" wrapText="1"/>
    </xf>
    <xf numFmtId="201" fontId="47" fillId="0" borderId="16" xfId="80" applyNumberFormat="1" applyFont="1" applyBorder="1" applyAlignment="1">
      <alignment vertical="center" wrapText="1"/>
    </xf>
    <xf numFmtId="201" fontId="44" fillId="0" borderId="17" xfId="80" applyNumberFormat="1" applyFont="1" applyBorder="1" applyAlignment="1">
      <alignment vertical="center" wrapText="1"/>
    </xf>
    <xf numFmtId="0" fontId="44" fillId="0" borderId="6" xfId="71" applyFont="1" applyBorder="1" applyAlignment="1">
      <alignment horizontal="center" vertical="center"/>
    </xf>
    <xf numFmtId="0" fontId="47" fillId="0" borderId="82" xfId="83" applyFont="1" applyBorder="1" applyAlignment="1">
      <alignment vertical="center" wrapText="1"/>
    </xf>
    <xf numFmtId="201" fontId="44" fillId="0" borderId="10" xfId="83" applyNumberFormat="1" applyFont="1" applyBorder="1" applyAlignment="1"/>
    <xf numFmtId="201" fontId="44" fillId="0" borderId="10" xfId="71" applyNumberFormat="1" applyFont="1" applyBorder="1" applyAlignment="1">
      <alignment vertical="center" wrapText="1"/>
    </xf>
    <xf numFmtId="201" fontId="44" fillId="0" borderId="10" xfId="80" applyNumberFormat="1" applyFont="1" applyBorder="1" applyAlignment="1">
      <alignment vertical="center" wrapText="1"/>
    </xf>
    <xf numFmtId="201" fontId="44" fillId="0" borderId="11" xfId="80" applyNumberFormat="1" applyFont="1" applyBorder="1" applyAlignment="1">
      <alignment vertical="center" wrapText="1"/>
    </xf>
    <xf numFmtId="201" fontId="44" fillId="0" borderId="10" xfId="243" applyNumberFormat="1" applyFont="1" applyFill="1" applyBorder="1" applyAlignment="1">
      <alignment vertical="center" wrapText="1"/>
    </xf>
    <xf numFmtId="201" fontId="47" fillId="0" borderId="10" xfId="80" applyNumberFormat="1" applyFont="1" applyBorder="1" applyAlignment="1">
      <alignment vertical="center" wrapText="1"/>
    </xf>
    <xf numFmtId="201" fontId="44" fillId="0" borderId="12" xfId="80" applyNumberFormat="1" applyFont="1" applyBorder="1" applyAlignment="1">
      <alignment vertical="center" wrapText="1"/>
    </xf>
    <xf numFmtId="0" fontId="47" fillId="0" borderId="23" xfId="83" applyFont="1" applyBorder="1" applyAlignment="1">
      <alignment horizontal="center" vertical="center" wrapText="1"/>
    </xf>
    <xf numFmtId="201" fontId="44" fillId="0" borderId="140" xfId="83" applyNumberFormat="1" applyFont="1" applyBorder="1" applyAlignment="1"/>
    <xf numFmtId="201" fontId="44" fillId="0" borderId="140" xfId="71" applyNumberFormat="1" applyFont="1" applyBorder="1" applyAlignment="1">
      <alignment vertical="center" wrapText="1"/>
    </xf>
    <xf numFmtId="201" fontId="44" fillId="0" borderId="140" xfId="80" applyNumberFormat="1" applyFont="1" applyBorder="1" applyAlignment="1">
      <alignment vertical="center" wrapText="1"/>
    </xf>
    <xf numFmtId="201" fontId="44" fillId="0" borderId="140" xfId="243" applyNumberFormat="1" applyFont="1" applyFill="1" applyBorder="1" applyAlignment="1">
      <alignment vertical="center" wrapText="1"/>
    </xf>
    <xf numFmtId="201" fontId="47" fillId="0" borderId="140" xfId="80" applyNumberFormat="1" applyFont="1" applyBorder="1" applyAlignment="1">
      <alignment vertical="center" wrapText="1"/>
    </xf>
    <xf numFmtId="0" fontId="47" fillId="0" borderId="20" xfId="83" applyFont="1" applyBorder="1" applyAlignment="1">
      <alignment vertical="center" wrapText="1"/>
    </xf>
    <xf numFmtId="0" fontId="47" fillId="0" borderId="18" xfId="83" applyFont="1" applyBorder="1" applyAlignment="1">
      <alignment horizontal="center" vertical="center" wrapText="1"/>
    </xf>
    <xf numFmtId="201" fontId="44" fillId="0" borderId="143" xfId="83" applyNumberFormat="1" applyFont="1" applyBorder="1" applyAlignment="1"/>
    <xf numFmtId="201" fontId="44" fillId="0" borderId="18" xfId="80" applyNumberFormat="1" applyFont="1" applyBorder="1" applyAlignment="1">
      <alignment vertical="center" wrapText="1"/>
    </xf>
    <xf numFmtId="201" fontId="44" fillId="0" borderId="143" xfId="80" applyNumberFormat="1" applyFont="1" applyBorder="1" applyAlignment="1">
      <alignment vertical="center" wrapText="1"/>
    </xf>
    <xf numFmtId="201" fontId="44" fillId="0" borderId="145" xfId="80" applyNumberFormat="1" applyFont="1" applyBorder="1" applyAlignment="1">
      <alignment vertical="center" wrapText="1"/>
    </xf>
    <xf numFmtId="201" fontId="44" fillId="0" borderId="15" xfId="80" applyNumberFormat="1" applyFont="1" applyBorder="1" applyAlignment="1">
      <alignment vertical="center" wrapText="1"/>
    </xf>
    <xf numFmtId="0" fontId="47" fillId="0" borderId="82" xfId="83" applyFont="1" applyBorder="1" applyAlignment="1">
      <alignment horizontal="center" vertical="center" wrapText="1"/>
    </xf>
    <xf numFmtId="201" fontId="44" fillId="0" borderId="10" xfId="83" applyNumberFormat="1" applyFont="1" applyBorder="1">
      <alignment vertical="center"/>
    </xf>
    <xf numFmtId="201" fontId="44" fillId="0" borderId="16" xfId="83" applyNumberFormat="1" applyFont="1" applyBorder="1">
      <alignment vertical="center"/>
    </xf>
    <xf numFmtId="0" fontId="44" fillId="0" borderId="80" xfId="71" applyFont="1" applyBorder="1" applyAlignment="1">
      <alignment horizontal="center" vertical="center"/>
    </xf>
    <xf numFmtId="201" fontId="44" fillId="0" borderId="169" xfId="83" applyNumberFormat="1" applyFont="1" applyBorder="1" applyAlignment="1"/>
    <xf numFmtId="201" fontId="44" fillId="0" borderId="169" xfId="71" applyNumberFormat="1" applyFont="1" applyBorder="1" applyAlignment="1">
      <alignment vertical="center" wrapText="1"/>
    </xf>
    <xf numFmtId="201" fontId="44" fillId="0" borderId="169" xfId="80" applyNumberFormat="1" applyFont="1" applyBorder="1" applyAlignment="1">
      <alignment vertical="center" wrapText="1"/>
    </xf>
    <xf numFmtId="201" fontId="44" fillId="0" borderId="23" xfId="80" applyNumberFormat="1" applyFont="1" applyBorder="1" applyAlignment="1">
      <alignment vertical="center" wrapText="1"/>
    </xf>
    <xf numFmtId="201" fontId="44" fillId="0" borderId="24" xfId="80" applyNumberFormat="1" applyFont="1" applyBorder="1" applyAlignment="1">
      <alignment vertical="center" wrapText="1"/>
    </xf>
    <xf numFmtId="0" fontId="44" fillId="0" borderId="180" xfId="71" applyFont="1" applyBorder="1" applyAlignment="1">
      <alignment horizontal="center" vertical="center"/>
    </xf>
    <xf numFmtId="201" fontId="44" fillId="0" borderId="183" xfId="83" applyNumberFormat="1" applyFont="1" applyBorder="1" applyAlignment="1"/>
    <xf numFmtId="201" fontId="44" fillId="0" borderId="183" xfId="71" applyNumberFormat="1" applyFont="1" applyBorder="1" applyAlignment="1">
      <alignment vertical="center" wrapText="1"/>
    </xf>
    <xf numFmtId="201" fontId="44" fillId="0" borderId="183" xfId="80" applyNumberFormat="1" applyFont="1" applyBorder="1" applyAlignment="1">
      <alignment vertical="center" wrapText="1"/>
    </xf>
    <xf numFmtId="201" fontId="44" fillId="0" borderId="184" xfId="80" applyNumberFormat="1" applyFont="1" applyBorder="1" applyAlignment="1">
      <alignment vertical="center" wrapText="1"/>
    </xf>
    <xf numFmtId="201" fontId="44" fillId="0" borderId="183" xfId="243" applyNumberFormat="1" applyFont="1" applyFill="1" applyBorder="1" applyAlignment="1">
      <alignment vertical="center" wrapText="1"/>
    </xf>
    <xf numFmtId="201" fontId="47" fillId="0" borderId="183" xfId="80" applyNumberFormat="1" applyFont="1" applyBorder="1" applyAlignment="1">
      <alignment vertical="center" wrapText="1"/>
    </xf>
    <xf numFmtId="201" fontId="44" fillId="0" borderId="185" xfId="80" applyNumberFormat="1" applyFont="1" applyBorder="1" applyAlignment="1">
      <alignment vertical="center" wrapText="1"/>
    </xf>
    <xf numFmtId="201" fontId="44" fillId="0" borderId="136" xfId="83" applyNumberFormat="1" applyFont="1" applyBorder="1">
      <alignment vertical="center"/>
    </xf>
    <xf numFmtId="201" fontId="44" fillId="0" borderId="136" xfId="243" applyNumberFormat="1" applyFont="1" applyFill="1" applyBorder="1" applyAlignment="1">
      <alignment vertical="center" wrapText="1"/>
    </xf>
    <xf numFmtId="0" fontId="47" fillId="0" borderId="10" xfId="83" applyFont="1" applyBorder="1" applyAlignment="1">
      <alignment vertical="center" wrapText="1"/>
    </xf>
    <xf numFmtId="201" fontId="47" fillId="0" borderId="143" xfId="80" applyNumberFormat="1" applyFont="1" applyBorder="1" applyAlignment="1">
      <alignment vertical="center" wrapText="1"/>
    </xf>
    <xf numFmtId="0" fontId="47" fillId="0" borderId="89" xfId="83" applyFont="1" applyBorder="1" applyAlignment="1">
      <alignment vertical="center" wrapText="1"/>
    </xf>
    <xf numFmtId="201" fontId="44" fillId="0" borderId="143" xfId="243" applyNumberFormat="1" applyFont="1" applyFill="1" applyBorder="1" applyAlignment="1">
      <alignment vertical="center" wrapText="1"/>
    </xf>
    <xf numFmtId="201" fontId="44" fillId="0" borderId="136" xfId="80" applyNumberFormat="1" applyFont="1" applyBorder="1" applyAlignment="1">
      <alignment vertical="center" wrapText="1"/>
    </xf>
    <xf numFmtId="201" fontId="44" fillId="0" borderId="140" xfId="83" applyNumberFormat="1" applyFont="1" applyBorder="1">
      <alignment vertical="center"/>
    </xf>
    <xf numFmtId="0" fontId="44" fillId="0" borderId="10" xfId="83" applyFont="1" applyBorder="1" applyAlignment="1">
      <alignment vertical="center" wrapText="1"/>
    </xf>
    <xf numFmtId="201" fontId="47" fillId="0" borderId="20" xfId="80" applyNumberFormat="1" applyFont="1" applyBorder="1" applyAlignment="1">
      <alignment vertical="center" wrapText="1"/>
    </xf>
    <xf numFmtId="201" fontId="44" fillId="0" borderId="20" xfId="80" applyNumberFormat="1" applyFont="1" applyBorder="1" applyAlignment="1">
      <alignment vertical="center" wrapText="1"/>
    </xf>
    <xf numFmtId="201" fontId="44" fillId="0" borderId="169" xfId="83" applyNumberFormat="1" applyFont="1" applyBorder="1">
      <alignment vertical="center"/>
    </xf>
    <xf numFmtId="201" fontId="44" fillId="0" borderId="169" xfId="243" applyNumberFormat="1" applyFont="1" applyFill="1" applyBorder="1" applyAlignment="1">
      <alignment vertical="center" wrapText="1"/>
    </xf>
    <xf numFmtId="201" fontId="47" fillId="0" borderId="169" xfId="80" applyNumberFormat="1" applyFont="1" applyBorder="1" applyAlignment="1">
      <alignment vertical="center" wrapText="1"/>
    </xf>
    <xf numFmtId="201" fontId="44" fillId="0" borderId="184" xfId="243" applyNumberFormat="1" applyFont="1" applyFill="1" applyBorder="1" applyAlignment="1">
      <alignment vertical="center" wrapText="1"/>
    </xf>
    <xf numFmtId="201" fontId="44" fillId="0" borderId="183" xfId="83" applyNumberFormat="1" applyFont="1" applyBorder="1">
      <alignment vertical="center"/>
    </xf>
    <xf numFmtId="0" fontId="44" fillId="0" borderId="89" xfId="71" applyFont="1" applyBorder="1" applyAlignment="1">
      <alignment horizontal="center" vertical="center"/>
    </xf>
    <xf numFmtId="201" fontId="44" fillId="0" borderId="186" xfId="83" applyNumberFormat="1" applyFont="1" applyBorder="1" applyAlignment="1"/>
    <xf numFmtId="201" fontId="44" fillId="0" borderId="186" xfId="71" applyNumberFormat="1" applyFont="1" applyBorder="1" applyAlignment="1">
      <alignment vertical="center" wrapText="1"/>
    </xf>
    <xf numFmtId="201" fontId="44" fillId="0" borderId="186" xfId="80" applyNumberFormat="1" applyFont="1" applyBorder="1" applyAlignment="1">
      <alignment vertical="center" wrapText="1"/>
    </xf>
    <xf numFmtId="201" fontId="44" fillId="0" borderId="89" xfId="243" applyNumberFormat="1" applyFont="1" applyFill="1" applyBorder="1" applyAlignment="1">
      <alignment vertical="center" wrapText="1"/>
    </xf>
    <xf numFmtId="201" fontId="44" fillId="0" borderId="186" xfId="83" applyNumberFormat="1" applyFont="1" applyBorder="1">
      <alignment vertical="center"/>
    </xf>
    <xf numFmtId="201" fontId="44" fillId="0" borderId="186" xfId="243" applyNumberFormat="1" applyFont="1" applyFill="1" applyBorder="1" applyAlignment="1">
      <alignment vertical="center" wrapText="1"/>
    </xf>
    <xf numFmtId="201" fontId="47" fillId="0" borderId="186" xfId="80" applyNumberFormat="1" applyFont="1" applyBorder="1" applyAlignment="1">
      <alignment vertical="center" wrapText="1"/>
    </xf>
    <xf numFmtId="201" fontId="44" fillId="0" borderId="122" xfId="80" applyNumberFormat="1" applyFont="1" applyBorder="1" applyAlignment="1">
      <alignment vertical="center" wrapText="1"/>
    </xf>
    <xf numFmtId="49" fontId="44" fillId="0" borderId="0" xfId="71" applyNumberFormat="1" applyFont="1" applyAlignment="1">
      <alignment horizontal="center" vertical="center"/>
    </xf>
    <xf numFmtId="0" fontId="44" fillId="0" borderId="0" xfId="71" applyFont="1" applyAlignment="1">
      <alignment horizontal="left" vertical="center"/>
    </xf>
    <xf numFmtId="0" fontId="44" fillId="0" borderId="0" xfId="80" applyFont="1" applyAlignment="1" applyProtection="1">
      <alignment horizontal="left" vertical="center"/>
      <protection locked="0"/>
    </xf>
    <xf numFmtId="0" fontId="44" fillId="0" borderId="0" xfId="80" applyFont="1" applyAlignment="1" applyProtection="1">
      <alignment horizontal="center" vertical="center" wrapText="1"/>
      <protection locked="0"/>
    </xf>
    <xf numFmtId="0" fontId="44" fillId="0" borderId="0" xfId="81" applyFont="1">
      <alignment vertical="center"/>
    </xf>
    <xf numFmtId="49" fontId="37" fillId="0" borderId="0" xfId="71" applyNumberFormat="1" applyFont="1" applyAlignment="1">
      <alignment horizontal="center" vertical="center"/>
    </xf>
    <xf numFmtId="0" fontId="44" fillId="0" borderId="0" xfId="80" applyFont="1" applyAlignment="1">
      <alignment horizontal="center" vertical="center" wrapText="1"/>
    </xf>
    <xf numFmtId="0" fontId="44" fillId="0" borderId="0" xfId="71" applyFont="1" applyAlignment="1">
      <alignment vertical="center"/>
    </xf>
    <xf numFmtId="0" fontId="44" fillId="0" borderId="0" xfId="80" applyFont="1" applyAlignment="1">
      <alignment horizontal="left" vertical="center"/>
    </xf>
    <xf numFmtId="0" fontId="44" fillId="0" borderId="0" xfId="80" applyFont="1" applyAlignment="1">
      <alignment horizontal="left" vertical="center" wrapText="1"/>
    </xf>
    <xf numFmtId="0" fontId="44" fillId="0" borderId="0" xfId="81" applyFont="1" applyAlignment="1">
      <alignment horizontal="left" vertical="center"/>
    </xf>
    <xf numFmtId="0" fontId="44" fillId="0" borderId="0" xfId="83" applyFont="1" applyAlignment="1">
      <alignment horizontal="left"/>
    </xf>
    <xf numFmtId="43" fontId="44" fillId="0" borderId="0" xfId="243" applyFont="1" applyFill="1" applyAlignment="1"/>
    <xf numFmtId="201" fontId="44" fillId="0" borderId="16" xfId="83" applyNumberFormat="1" applyFont="1" applyBorder="1" applyAlignment="1">
      <alignment horizontal="right"/>
    </xf>
    <xf numFmtId="201" fontId="44" fillId="0" borderId="16" xfId="71" applyNumberFormat="1" applyFont="1" applyBorder="1" applyAlignment="1">
      <alignment horizontal="right" vertical="center" wrapText="1"/>
    </xf>
    <xf numFmtId="201" fontId="44" fillId="0" borderId="16" xfId="80" applyNumberFormat="1" applyFont="1" applyBorder="1" applyAlignment="1">
      <alignment horizontal="right" vertical="center" wrapText="1"/>
    </xf>
    <xf numFmtId="201" fontId="44" fillId="0" borderId="16" xfId="243" applyNumberFormat="1" applyFont="1" applyFill="1" applyBorder="1" applyAlignment="1">
      <alignment horizontal="right" vertical="center" wrapText="1"/>
    </xf>
    <xf numFmtId="201" fontId="47" fillId="0" borderId="16" xfId="80" applyNumberFormat="1" applyFont="1" applyBorder="1" applyAlignment="1">
      <alignment horizontal="right" vertical="center" wrapText="1"/>
    </xf>
    <xf numFmtId="0" fontId="47" fillId="0" borderId="16" xfId="83" applyFont="1" applyBorder="1" applyAlignment="1">
      <alignment horizontal="right" vertical="center"/>
    </xf>
    <xf numFmtId="0" fontId="47" fillId="0" borderId="17" xfId="83" applyFont="1" applyBorder="1" applyAlignment="1">
      <alignment horizontal="right" vertical="center"/>
    </xf>
    <xf numFmtId="201" fontId="44" fillId="0" borderId="10" xfId="83" applyNumberFormat="1" applyFont="1" applyBorder="1" applyAlignment="1">
      <alignment horizontal="right"/>
    </xf>
    <xf numFmtId="201" fontId="44" fillId="0" borderId="10" xfId="71" applyNumberFormat="1" applyFont="1" applyBorder="1" applyAlignment="1">
      <alignment horizontal="right" vertical="center" wrapText="1"/>
    </xf>
    <xf numFmtId="201" fontId="44" fillId="0" borderId="10" xfId="80" applyNumberFormat="1" applyFont="1" applyBorder="1" applyAlignment="1">
      <alignment horizontal="right" vertical="center" wrapText="1"/>
    </xf>
    <xf numFmtId="201" fontId="44" fillId="0" borderId="10" xfId="243" applyNumberFormat="1" applyFont="1" applyFill="1" applyBorder="1" applyAlignment="1">
      <alignment horizontal="right" vertical="center" wrapText="1"/>
    </xf>
    <xf numFmtId="201" fontId="47" fillId="0" borderId="10" xfId="80" applyNumberFormat="1" applyFont="1" applyBorder="1" applyAlignment="1">
      <alignment horizontal="right" vertical="center" wrapText="1"/>
    </xf>
    <xf numFmtId="0" fontId="47" fillId="0" borderId="10" xfId="83" applyFont="1" applyBorder="1" applyAlignment="1">
      <alignment horizontal="right" vertical="center"/>
    </xf>
    <xf numFmtId="0" fontId="47" fillId="0" borderId="12" xfId="83" applyFont="1" applyBorder="1" applyAlignment="1">
      <alignment horizontal="right" vertical="center"/>
    </xf>
    <xf numFmtId="201" fontId="44" fillId="0" borderId="140" xfId="83" applyNumberFormat="1" applyFont="1" applyBorder="1" applyAlignment="1">
      <alignment horizontal="right"/>
    </xf>
    <xf numFmtId="201" fontId="44" fillId="0" borderId="140" xfId="71" applyNumberFormat="1" applyFont="1" applyBorder="1" applyAlignment="1">
      <alignment horizontal="right" vertical="center" wrapText="1"/>
    </xf>
    <xf numFmtId="201" fontId="44" fillId="0" borderId="140" xfId="80" applyNumberFormat="1" applyFont="1" applyBorder="1" applyAlignment="1">
      <alignment horizontal="right" vertical="center" wrapText="1"/>
    </xf>
    <xf numFmtId="201" fontId="47" fillId="0" borderId="140" xfId="80" applyNumberFormat="1" applyFont="1" applyBorder="1" applyAlignment="1">
      <alignment horizontal="right" vertical="center" wrapText="1"/>
    </xf>
    <xf numFmtId="0" fontId="47" fillId="0" borderId="141" xfId="83" applyFont="1" applyBorder="1" applyAlignment="1">
      <alignment horizontal="right" vertical="center"/>
    </xf>
    <xf numFmtId="201" fontId="44" fillId="0" borderId="143" xfId="83" applyNumberFormat="1" applyFont="1" applyBorder="1" applyAlignment="1">
      <alignment horizontal="right"/>
    </xf>
    <xf numFmtId="201" fontId="44" fillId="0" borderId="143" xfId="80" applyNumberFormat="1" applyFont="1" applyBorder="1" applyAlignment="1">
      <alignment horizontal="right" vertical="center" wrapText="1"/>
    </xf>
    <xf numFmtId="201" fontId="44" fillId="0" borderId="18" xfId="80" applyNumberFormat="1" applyFont="1" applyBorder="1" applyAlignment="1">
      <alignment horizontal="right" vertical="center" wrapText="1"/>
    </xf>
    <xf numFmtId="0" fontId="47" fillId="0" borderId="21" xfId="83" applyFont="1" applyBorder="1" applyAlignment="1">
      <alignment horizontal="right" vertical="center"/>
    </xf>
    <xf numFmtId="201" fontId="44" fillId="0" borderId="10" xfId="83" applyNumberFormat="1" applyFont="1" applyBorder="1" applyAlignment="1">
      <alignment horizontal="right" vertical="center"/>
    </xf>
    <xf numFmtId="201" fontId="44" fillId="0" borderId="16" xfId="83" applyNumberFormat="1" applyFont="1" applyBorder="1" applyAlignment="1">
      <alignment horizontal="right" vertical="center"/>
    </xf>
    <xf numFmtId="201" fontId="44" fillId="0" borderId="143" xfId="71" applyNumberFormat="1" applyFont="1" applyBorder="1" applyAlignment="1">
      <alignment horizontal="right" vertical="center" wrapText="1"/>
    </xf>
    <xf numFmtId="0" fontId="44" fillId="0" borderId="13" xfId="71" applyFont="1" applyBorder="1" applyAlignment="1">
      <alignment horizontal="center" vertical="center"/>
    </xf>
    <xf numFmtId="0" fontId="47" fillId="0" borderId="89" xfId="83" applyFont="1" applyBorder="1">
      <alignment vertical="center"/>
    </xf>
    <xf numFmtId="201" fontId="44" fillId="0" borderId="186" xfId="83" applyNumberFormat="1" applyFont="1" applyBorder="1" applyAlignment="1">
      <alignment horizontal="right"/>
    </xf>
    <xf numFmtId="201" fontId="44" fillId="0" borderId="186" xfId="71" applyNumberFormat="1" applyFont="1" applyBorder="1" applyAlignment="1">
      <alignment horizontal="right" vertical="center" wrapText="1"/>
    </xf>
    <xf numFmtId="201" fontId="44" fillId="0" borderId="186" xfId="80" applyNumberFormat="1" applyFont="1" applyBorder="1" applyAlignment="1">
      <alignment horizontal="right" vertical="center" wrapText="1"/>
    </xf>
    <xf numFmtId="201" fontId="44" fillId="0" borderId="89" xfId="80" applyNumberFormat="1" applyFont="1" applyBorder="1" applyAlignment="1">
      <alignment horizontal="right" vertical="center" wrapText="1"/>
    </xf>
    <xf numFmtId="201" fontId="47" fillId="0" borderId="186" xfId="80" applyNumberFormat="1" applyFont="1" applyBorder="1" applyAlignment="1">
      <alignment horizontal="right" vertical="center" wrapText="1"/>
    </xf>
    <xf numFmtId="0" fontId="47" fillId="0" borderId="89" xfId="83" applyFont="1" applyBorder="1" applyAlignment="1">
      <alignment horizontal="right" vertical="center"/>
    </xf>
    <xf numFmtId="0" fontId="47" fillId="0" borderId="122" xfId="83" applyFont="1" applyBorder="1" applyAlignment="1">
      <alignment horizontal="right" vertical="center"/>
    </xf>
    <xf numFmtId="0" fontId="44" fillId="0" borderId="150" xfId="71" applyFont="1" applyBorder="1" applyAlignment="1">
      <alignment horizontal="center" vertical="center"/>
    </xf>
    <xf numFmtId="201" fontId="44" fillId="0" borderId="136" xfId="83" applyNumberFormat="1" applyFont="1" applyBorder="1" applyAlignment="1">
      <alignment horizontal="right" vertical="center"/>
    </xf>
    <xf numFmtId="201" fontId="44" fillId="0" borderId="136" xfId="243" applyNumberFormat="1" applyFont="1" applyFill="1" applyBorder="1" applyAlignment="1">
      <alignment horizontal="right" vertical="center" wrapText="1"/>
    </xf>
    <xf numFmtId="0" fontId="44" fillId="0" borderId="152" xfId="71" applyFont="1" applyBorder="1" applyAlignment="1">
      <alignment horizontal="center" vertical="center"/>
    </xf>
    <xf numFmtId="201" fontId="44" fillId="0" borderId="140" xfId="243" applyNumberFormat="1" applyFont="1" applyFill="1" applyBorder="1" applyAlignment="1">
      <alignment horizontal="right" vertical="center" wrapText="1"/>
    </xf>
    <xf numFmtId="0" fontId="47" fillId="0" borderId="18" xfId="83" applyFont="1" applyBorder="1" applyAlignment="1">
      <alignment vertical="center" wrapText="1"/>
    </xf>
    <xf numFmtId="201" fontId="44" fillId="0" borderId="143" xfId="243" applyNumberFormat="1" applyFont="1" applyFill="1" applyBorder="1" applyAlignment="1">
      <alignment horizontal="right" vertical="center" wrapText="1"/>
    </xf>
    <xf numFmtId="201" fontId="44" fillId="0" borderId="136" xfId="80" applyNumberFormat="1" applyFont="1" applyBorder="1" applyAlignment="1">
      <alignment horizontal="right" vertical="center" wrapText="1"/>
    </xf>
    <xf numFmtId="201" fontId="44" fillId="0" borderId="140" xfId="83" applyNumberFormat="1" applyFont="1" applyBorder="1" applyAlignment="1">
      <alignment horizontal="right" vertical="center"/>
    </xf>
    <xf numFmtId="201" fontId="44" fillId="0" borderId="143" xfId="83" applyNumberFormat="1" applyFont="1" applyBorder="1" applyAlignment="1">
      <alignment horizontal="right" vertical="center"/>
    </xf>
    <xf numFmtId="0" fontId="44" fillId="0" borderId="156" xfId="71" applyFont="1" applyBorder="1" applyAlignment="1">
      <alignment horizontal="center" vertical="center"/>
    </xf>
    <xf numFmtId="201" fontId="44" fillId="0" borderId="89" xfId="243" applyNumberFormat="1" applyFont="1" applyFill="1" applyBorder="1" applyAlignment="1">
      <alignment horizontal="right" vertical="center" wrapText="1"/>
    </xf>
    <xf numFmtId="201" fontId="44" fillId="0" borderId="186" xfId="83" applyNumberFormat="1" applyFont="1" applyBorder="1" applyAlignment="1">
      <alignment horizontal="right" vertical="center"/>
    </xf>
    <xf numFmtId="201" fontId="44" fillId="0" borderId="186" xfId="243" applyNumberFormat="1" applyFont="1" applyFill="1" applyBorder="1" applyAlignment="1">
      <alignment horizontal="right" vertical="center" wrapText="1"/>
    </xf>
    <xf numFmtId="0" fontId="44" fillId="0" borderId="88" xfId="71" applyFont="1" applyBorder="1" applyAlignment="1">
      <alignment horizontal="center" vertical="center"/>
    </xf>
    <xf numFmtId="201" fontId="44" fillId="0" borderId="187" xfId="80" applyNumberFormat="1" applyFont="1" applyBorder="1" applyAlignment="1">
      <alignment horizontal="right" vertical="center" wrapText="1"/>
    </xf>
    <xf numFmtId="49" fontId="47" fillId="0" borderId="0" xfId="71" applyNumberFormat="1" applyFont="1" applyAlignment="1">
      <alignment horizontal="center" vertical="center"/>
    </xf>
    <xf numFmtId="49" fontId="44" fillId="0" borderId="18" xfId="80" applyNumberFormat="1" applyFont="1" applyBorder="1" applyAlignment="1">
      <alignment horizontal="center" vertical="center" wrapText="1"/>
    </xf>
    <xf numFmtId="49" fontId="44" fillId="0" borderId="14" xfId="80" applyNumberFormat="1" applyFont="1" applyBorder="1" applyAlignment="1">
      <alignment horizontal="center" vertical="center" wrapText="1"/>
    </xf>
    <xf numFmtId="49" fontId="44" fillId="0" borderId="160" xfId="80" applyNumberFormat="1" applyFont="1" applyBorder="1" applyAlignment="1">
      <alignment horizontal="center" vertical="center" wrapText="1"/>
    </xf>
    <xf numFmtId="201" fontId="44" fillId="0" borderId="187" xfId="243" applyNumberFormat="1" applyFont="1" applyFill="1" applyBorder="1" applyAlignment="1">
      <alignment vertical="center" wrapText="1"/>
    </xf>
    <xf numFmtId="201" fontId="44" fillId="0" borderId="141" xfId="80" applyNumberFormat="1" applyFont="1" applyBorder="1" applyAlignment="1">
      <alignment horizontal="right" vertical="center" wrapText="1"/>
    </xf>
    <xf numFmtId="201" fontId="44" fillId="0" borderId="144" xfId="80" applyNumberFormat="1" applyFont="1" applyBorder="1" applyAlignment="1">
      <alignment horizontal="right" vertical="center" wrapText="1"/>
    </xf>
    <xf numFmtId="201" fontId="44" fillId="0" borderId="16" xfId="80" applyNumberFormat="1" applyFont="1" applyBorder="1" applyAlignment="1">
      <alignment horizontal="left" vertical="center" wrapText="1"/>
    </xf>
    <xf numFmtId="201" fontId="37" fillId="0" borderId="16" xfId="80" applyNumberFormat="1" applyFont="1" applyBorder="1" applyAlignment="1">
      <alignment vertical="center" wrapText="1"/>
    </xf>
    <xf numFmtId="201" fontId="44" fillId="0" borderId="20" xfId="80" applyNumberFormat="1" applyFont="1" applyBorder="1" applyAlignment="1">
      <alignment horizontal="right" vertical="center" wrapText="1"/>
    </xf>
    <xf numFmtId="201" fontId="44" fillId="0" borderId="10" xfId="80" applyNumberFormat="1" applyFont="1" applyBorder="1" applyAlignment="1">
      <alignment horizontal="left" vertical="center" wrapText="1"/>
    </xf>
    <xf numFmtId="201" fontId="37" fillId="0" borderId="10" xfId="80" applyNumberFormat="1" applyFont="1" applyBorder="1" applyAlignment="1">
      <alignment vertical="center" wrapText="1"/>
    </xf>
    <xf numFmtId="0" fontId="47" fillId="0" borderId="33" xfId="83" applyFont="1" applyBorder="1">
      <alignment vertical="center"/>
    </xf>
    <xf numFmtId="201" fontId="44" fillId="0" borderId="20" xfId="83" applyNumberFormat="1" applyFont="1" applyBorder="1" applyAlignment="1">
      <alignment horizontal="right"/>
    </xf>
    <xf numFmtId="201" fontId="44" fillId="0" borderId="20" xfId="71" applyNumberFormat="1" applyFont="1" applyBorder="1" applyAlignment="1">
      <alignment horizontal="right" vertical="center" wrapText="1"/>
    </xf>
    <xf numFmtId="201" fontId="44" fillId="0" borderId="20" xfId="80" applyNumberFormat="1" applyFont="1" applyBorder="1" applyAlignment="1">
      <alignment horizontal="left" vertical="center" wrapText="1"/>
    </xf>
    <xf numFmtId="201" fontId="44" fillId="0" borderId="20" xfId="243" applyNumberFormat="1" applyFont="1" applyFill="1" applyBorder="1" applyAlignment="1">
      <alignment horizontal="right" vertical="center" wrapText="1"/>
    </xf>
    <xf numFmtId="201" fontId="37" fillId="0" borderId="20" xfId="80" applyNumberFormat="1" applyFont="1" applyBorder="1" applyAlignment="1">
      <alignment vertical="center" wrapText="1"/>
    </xf>
    <xf numFmtId="0" fontId="47" fillId="0" borderId="20" xfId="83" applyFont="1" applyBorder="1" applyAlignment="1">
      <alignment horizontal="right" vertical="center"/>
    </xf>
    <xf numFmtId="201" fontId="44" fillId="0" borderId="172" xfId="80" applyNumberFormat="1" applyFont="1" applyBorder="1" applyAlignment="1">
      <alignment horizontal="right" vertical="center" wrapText="1"/>
    </xf>
    <xf numFmtId="201" fontId="44" fillId="0" borderId="169" xfId="83" applyNumberFormat="1" applyFont="1" applyBorder="1" applyAlignment="1">
      <alignment horizontal="right"/>
    </xf>
    <xf numFmtId="201" fontId="44" fillId="0" borderId="169" xfId="71" applyNumberFormat="1" applyFont="1" applyBorder="1" applyAlignment="1">
      <alignment horizontal="right" vertical="center" wrapText="1"/>
    </xf>
    <xf numFmtId="201" fontId="44" fillId="0" borderId="169" xfId="80" applyNumberFormat="1" applyFont="1" applyBorder="1" applyAlignment="1">
      <alignment horizontal="right" vertical="center" wrapText="1"/>
    </xf>
    <xf numFmtId="201" fontId="44" fillId="0" borderId="23" xfId="80" applyNumberFormat="1" applyFont="1" applyBorder="1" applyAlignment="1">
      <alignment horizontal="right" vertical="center" wrapText="1"/>
    </xf>
    <xf numFmtId="0" fontId="44" fillId="0" borderId="188" xfId="71" applyFont="1" applyBorder="1" applyAlignment="1">
      <alignment horizontal="center" vertical="center"/>
    </xf>
    <xf numFmtId="0" fontId="47" fillId="0" borderId="184" xfId="83" applyFont="1" applyBorder="1">
      <alignment vertical="center"/>
    </xf>
    <xf numFmtId="201" fontId="44" fillId="0" borderId="183" xfId="83" applyNumberFormat="1" applyFont="1" applyBorder="1" applyAlignment="1">
      <alignment horizontal="right"/>
    </xf>
    <xf numFmtId="201" fontId="44" fillId="0" borderId="183" xfId="71" applyNumberFormat="1" applyFont="1" applyBorder="1" applyAlignment="1">
      <alignment horizontal="right" vertical="center" wrapText="1"/>
    </xf>
    <xf numFmtId="201" fontId="44" fillId="0" borderId="183" xfId="80" applyNumberFormat="1" applyFont="1" applyBorder="1" applyAlignment="1">
      <alignment horizontal="right" vertical="center" wrapText="1"/>
    </xf>
    <xf numFmtId="201" fontId="44" fillId="0" borderId="184" xfId="80" applyNumberFormat="1" applyFont="1" applyBorder="1" applyAlignment="1">
      <alignment horizontal="right" vertical="center" wrapText="1"/>
    </xf>
    <xf numFmtId="201" fontId="47" fillId="0" borderId="183" xfId="80" applyNumberFormat="1" applyFont="1" applyBorder="1" applyAlignment="1">
      <alignment horizontal="right" vertical="center" wrapText="1"/>
    </xf>
    <xf numFmtId="0" fontId="47" fillId="0" borderId="184" xfId="83" applyFont="1" applyBorder="1" applyAlignment="1">
      <alignment horizontal="right" vertical="center"/>
    </xf>
    <xf numFmtId="0" fontId="47" fillId="0" borderId="185" xfId="83" applyFont="1" applyBorder="1" applyAlignment="1">
      <alignment horizontal="right" vertical="center"/>
    </xf>
    <xf numFmtId="0" fontId="44" fillId="0" borderId="189" xfId="71" applyFont="1" applyBorder="1" applyAlignment="1">
      <alignment horizontal="center" vertical="center"/>
    </xf>
    <xf numFmtId="201" fontId="44" fillId="0" borderId="141" xfId="243" applyNumberFormat="1" applyFont="1" applyFill="1" applyBorder="1" applyAlignment="1">
      <alignment horizontal="right" vertical="center" wrapText="1"/>
    </xf>
    <xf numFmtId="201" fontId="44" fillId="0" borderId="144" xfId="243" applyNumberFormat="1" applyFont="1" applyFill="1" applyBorder="1" applyAlignment="1">
      <alignment horizontal="right" vertical="center" wrapText="1"/>
    </xf>
    <xf numFmtId="201" fontId="44" fillId="0" borderId="141" xfId="83" applyNumberFormat="1" applyFont="1" applyBorder="1" applyAlignment="1">
      <alignment horizontal="right" vertical="center"/>
    </xf>
    <xf numFmtId="201" fontId="44" fillId="0" borderId="172" xfId="243" applyNumberFormat="1" applyFont="1" applyFill="1" applyBorder="1" applyAlignment="1">
      <alignment horizontal="right" vertical="center" wrapText="1"/>
    </xf>
    <xf numFmtId="201" fontId="44" fillId="0" borderId="169" xfId="83" applyNumberFormat="1" applyFont="1" applyBorder="1" applyAlignment="1">
      <alignment horizontal="right" vertical="center"/>
    </xf>
    <xf numFmtId="201" fontId="44" fillId="0" borderId="169" xfId="243" applyNumberFormat="1" applyFont="1" applyFill="1" applyBorder="1" applyAlignment="1">
      <alignment horizontal="right" vertical="center" wrapText="1"/>
    </xf>
    <xf numFmtId="0" fontId="44" fillId="0" borderId="190" xfId="71" applyFont="1" applyBorder="1" applyAlignment="1">
      <alignment horizontal="center" vertical="center"/>
    </xf>
    <xf numFmtId="201" fontId="44" fillId="0" borderId="184" xfId="243" applyNumberFormat="1" applyFont="1" applyFill="1" applyBorder="1" applyAlignment="1">
      <alignment horizontal="right" vertical="center" wrapText="1"/>
    </xf>
    <xf numFmtId="201" fontId="44" fillId="0" borderId="183" xfId="83" applyNumberFormat="1" applyFont="1" applyBorder="1" applyAlignment="1">
      <alignment horizontal="right" vertical="center"/>
    </xf>
    <xf numFmtId="201" fontId="44" fillId="0" borderId="183" xfId="243" applyNumberFormat="1" applyFont="1" applyFill="1" applyBorder="1" applyAlignment="1">
      <alignment horizontal="right" vertical="center" wrapText="1"/>
    </xf>
    <xf numFmtId="201" fontId="44" fillId="0" borderId="191" xfId="243" applyNumberFormat="1" applyFont="1" applyFill="1" applyBorder="1" applyAlignment="1">
      <alignment horizontal="right" vertical="center" wrapText="1"/>
    </xf>
    <xf numFmtId="201" fontId="44" fillId="0" borderId="192" xfId="243" applyNumberFormat="1" applyFont="1" applyFill="1" applyBorder="1" applyAlignment="1">
      <alignment horizontal="right" vertical="center" wrapText="1"/>
    </xf>
    <xf numFmtId="0" fontId="47" fillId="0" borderId="148" xfId="83" applyFont="1" applyBorder="1">
      <alignment vertical="center"/>
    </xf>
    <xf numFmtId="49" fontId="37" fillId="0" borderId="0" xfId="71" applyNumberFormat="1" applyFont="1" applyAlignment="1">
      <alignment horizontal="left" vertical="center"/>
    </xf>
    <xf numFmtId="0" fontId="13" fillId="0" borderId="10" xfId="83" applyFont="1" applyBorder="1" applyAlignment="1">
      <alignment vertical="center" wrapText="1"/>
    </xf>
    <xf numFmtId="0" fontId="13" fillId="0" borderId="10" xfId="83" applyFont="1" applyBorder="1" applyAlignment="1">
      <alignment horizontal="center" vertical="center" wrapText="1"/>
    </xf>
    <xf numFmtId="201" fontId="44" fillId="0" borderId="141" xfId="80" applyNumberFormat="1" applyFont="1" applyBorder="1" applyAlignment="1">
      <alignment vertical="center" wrapText="1"/>
    </xf>
    <xf numFmtId="201" fontId="44" fillId="0" borderId="144" xfId="80" applyNumberFormat="1" applyFont="1" applyBorder="1" applyAlignment="1">
      <alignment vertical="center" wrapText="1"/>
    </xf>
    <xf numFmtId="201" fontId="44" fillId="0" borderId="143" xfId="71" applyNumberFormat="1" applyFont="1" applyBorder="1" applyAlignment="1">
      <alignment vertical="center" wrapText="1"/>
    </xf>
    <xf numFmtId="201" fontId="44" fillId="0" borderId="89" xfId="80" applyNumberFormat="1" applyFont="1" applyBorder="1" applyAlignment="1">
      <alignment vertical="center" wrapText="1"/>
    </xf>
    <xf numFmtId="201" fontId="44" fillId="0" borderId="193" xfId="80" applyNumberFormat="1" applyFont="1" applyBorder="1" applyAlignment="1">
      <alignment vertical="center" wrapText="1"/>
    </xf>
    <xf numFmtId="201" fontId="44" fillId="0" borderId="143" xfId="83" applyNumberFormat="1" applyFont="1" applyBorder="1">
      <alignment vertical="center"/>
    </xf>
    <xf numFmtId="43" fontId="44" fillId="0" borderId="0" xfId="243" applyFont="1" applyFill="1" applyAlignment="1" applyProtection="1">
      <alignment horizontal="left" vertical="center"/>
      <protection locked="0"/>
    </xf>
    <xf numFmtId="49" fontId="54" fillId="0" borderId="0" xfId="71" applyNumberFormat="1" applyFont="1" applyAlignment="1">
      <alignment horizontal="center" vertical="center"/>
    </xf>
    <xf numFmtId="0" fontId="8" fillId="0" borderId="0" xfId="71" applyFont="1" applyAlignment="1">
      <alignment horizontal="left" vertical="center"/>
    </xf>
    <xf numFmtId="43" fontId="44" fillId="0" borderId="0" xfId="243" applyFont="1" applyFill="1" applyAlignment="1">
      <alignment horizontal="center" vertical="center" wrapText="1"/>
    </xf>
    <xf numFmtId="43" fontId="44" fillId="0" borderId="0" xfId="243" applyFont="1" applyFill="1" applyAlignment="1" applyProtection="1">
      <alignment horizontal="left" vertical="center"/>
    </xf>
    <xf numFmtId="43" fontId="44" fillId="0" borderId="0" xfId="243" applyFont="1" applyFill="1" applyAlignment="1" applyProtection="1">
      <alignment horizontal="center" vertical="center" wrapText="1"/>
      <protection locked="0"/>
    </xf>
    <xf numFmtId="43" fontId="44" fillId="0" borderId="0" xfId="243" applyFont="1" applyFill="1" applyBorder="1" applyAlignment="1" applyProtection="1">
      <alignment horizontal="left" vertical="center"/>
    </xf>
    <xf numFmtId="49" fontId="44" fillId="0" borderId="134" xfId="80" applyNumberFormat="1" applyFont="1" applyBorder="1" applyAlignment="1">
      <alignment horizontal="center" vertical="center" wrapText="1"/>
    </xf>
    <xf numFmtId="49" fontId="44" fillId="0" borderId="85" xfId="80" applyNumberFormat="1" applyFont="1" applyBorder="1" applyAlignment="1">
      <alignment horizontal="center" vertical="center" wrapText="1"/>
    </xf>
    <xf numFmtId="49" fontId="44" fillId="0" borderId="12" xfId="80" applyNumberFormat="1" applyFont="1" applyBorder="1" applyAlignment="1">
      <alignment horizontal="center" vertical="center" wrapText="1"/>
    </xf>
    <xf numFmtId="201" fontId="44" fillId="0" borderId="82" xfId="80" applyNumberFormat="1" applyFont="1" applyBorder="1" applyAlignment="1">
      <alignment vertical="center" wrapText="1"/>
    </xf>
    <xf numFmtId="201" fontId="37" fillId="0" borderId="16" xfId="71" applyNumberFormat="1" applyFont="1" applyBorder="1" applyAlignment="1">
      <alignment vertical="center" wrapText="1"/>
    </xf>
    <xf numFmtId="201" fontId="37" fillId="0" borderId="11" xfId="71" applyNumberFormat="1" applyFont="1" applyBorder="1" applyAlignment="1">
      <alignment vertical="center" wrapText="1"/>
    </xf>
    <xf numFmtId="201" fontId="44" fillId="0" borderId="83" xfId="80" applyNumberFormat="1" applyFont="1" applyBorder="1" applyAlignment="1">
      <alignment vertical="center" wrapText="1"/>
    </xf>
    <xf numFmtId="201" fontId="44" fillId="0" borderId="172" xfId="80" applyNumberFormat="1" applyFont="1" applyBorder="1" applyAlignment="1">
      <alignment vertical="center" wrapText="1"/>
    </xf>
    <xf numFmtId="201" fontId="44" fillId="0" borderId="191" xfId="80" applyNumberFormat="1" applyFont="1" applyBorder="1" applyAlignment="1">
      <alignment vertical="center" wrapText="1"/>
    </xf>
    <xf numFmtId="0" fontId="44" fillId="0" borderId="81" xfId="71" applyFont="1" applyBorder="1" applyAlignment="1">
      <alignment horizontal="center" vertical="center"/>
    </xf>
    <xf numFmtId="195" fontId="66" fillId="0" borderId="10" xfId="189" applyNumberFormat="1" applyFont="1" applyFill="1" applyBorder="1" applyAlignment="1">
      <alignment vertical="center" wrapText="1"/>
    </xf>
    <xf numFmtId="195" fontId="66" fillId="0" borderId="18" xfId="189" applyNumberFormat="1" applyFont="1" applyFill="1" applyBorder="1" applyAlignment="1">
      <alignment vertical="center" wrapText="1"/>
    </xf>
    <xf numFmtId="0" fontId="65" fillId="0" borderId="0" xfId="92" applyFont="1" applyAlignment="1">
      <alignment vertical="center"/>
    </xf>
    <xf numFmtId="183" fontId="37" fillId="0" borderId="0" xfId="58" applyNumberFormat="1" applyFont="1" applyAlignment="1">
      <alignment horizontal="center" vertical="center"/>
    </xf>
    <xf numFmtId="182" fontId="37" fillId="0" borderId="0" xfId="58" applyNumberFormat="1" applyFont="1" applyAlignment="1">
      <alignment horizontal="center" vertical="center"/>
    </xf>
    <xf numFmtId="0" fontId="55" fillId="0" borderId="0" xfId="58" applyFont="1" applyAlignment="1">
      <alignment horizontal="left" vertical="center"/>
    </xf>
    <xf numFmtId="0" fontId="55" fillId="0" borderId="3" xfId="58" applyFont="1" applyBorder="1" applyAlignment="1">
      <alignment horizontal="center" vertical="center"/>
    </xf>
    <xf numFmtId="0" fontId="37" fillId="0" borderId="3" xfId="58" applyFont="1" applyBorder="1" applyAlignment="1">
      <alignment vertical="center"/>
    </xf>
    <xf numFmtId="0" fontId="37" fillId="0" borderId="3" xfId="58" applyFont="1" applyBorder="1" applyAlignment="1">
      <alignment horizontal="right"/>
    </xf>
    <xf numFmtId="0" fontId="55" fillId="0" borderId="0" xfId="63" applyFont="1" applyAlignment="1">
      <alignment horizontal="center" vertical="center"/>
    </xf>
    <xf numFmtId="0" fontId="55" fillId="0" borderId="34" xfId="63" applyFont="1" applyBorder="1" applyAlignment="1">
      <alignment horizontal="center" vertical="center" wrapText="1"/>
    </xf>
    <xf numFmtId="0" fontId="55" fillId="0" borderId="101" xfId="63" applyFont="1" applyBorder="1" applyAlignment="1">
      <alignment horizontal="center" vertical="center" wrapText="1"/>
    </xf>
    <xf numFmtId="0" fontId="56" fillId="0" borderId="0" xfId="63" applyFont="1" applyAlignment="1">
      <alignment horizontal="center" vertical="center" wrapText="1"/>
    </xf>
    <xf numFmtId="0" fontId="55" fillId="0" borderId="181" xfId="63" applyFont="1" applyBorder="1" applyAlignment="1">
      <alignment horizontal="center" vertical="center"/>
    </xf>
    <xf numFmtId="0" fontId="37" fillId="0" borderId="194" xfId="63" applyFont="1" applyBorder="1" applyAlignment="1">
      <alignment vertical="center"/>
    </xf>
    <xf numFmtId="0" fontId="37" fillId="0" borderId="7" xfId="63" applyFont="1" applyBorder="1" applyAlignment="1">
      <alignment vertical="center"/>
    </xf>
    <xf numFmtId="180" fontId="37" fillId="0" borderId="195" xfId="63" applyNumberFormat="1" applyFont="1" applyBorder="1" applyAlignment="1" applyProtection="1">
      <alignment horizontal="center" vertical="center"/>
      <protection locked="0"/>
    </xf>
    <xf numFmtId="182" fontId="37" fillId="0" borderId="39" xfId="63" applyNumberFormat="1" applyFont="1" applyBorder="1" applyAlignment="1" applyProtection="1">
      <alignment horizontal="center" vertical="center"/>
      <protection locked="0"/>
    </xf>
    <xf numFmtId="182" fontId="37" fillId="0" borderId="38" xfId="63" applyNumberFormat="1" applyFont="1" applyBorder="1" applyAlignment="1">
      <alignment horizontal="center" vertical="center"/>
    </xf>
    <xf numFmtId="182" fontId="37" fillId="0" borderId="196" xfId="63" applyNumberFormat="1" applyFont="1" applyBorder="1" applyAlignment="1">
      <alignment horizontal="center" vertical="center"/>
    </xf>
    <xf numFmtId="180" fontId="37" fillId="0" borderId="197" xfId="63" applyNumberFormat="1" applyFont="1" applyBorder="1" applyAlignment="1">
      <alignment horizontal="center" vertical="center"/>
    </xf>
    <xf numFmtId="0" fontId="37" fillId="0" borderId="25" xfId="63" applyFont="1" applyBorder="1" applyAlignment="1">
      <alignment vertical="center"/>
    </xf>
    <xf numFmtId="180" fontId="37" fillId="0" borderId="198" xfId="63" applyNumberFormat="1" applyFont="1" applyBorder="1" applyAlignment="1" applyProtection="1">
      <alignment horizontal="center" vertical="center"/>
      <protection locked="0"/>
    </xf>
    <xf numFmtId="182" fontId="37" fillId="0" borderId="43" xfId="63" applyNumberFormat="1" applyFont="1" applyBorder="1" applyAlignment="1" applyProtection="1">
      <alignment horizontal="center" vertical="center"/>
      <protection locked="0"/>
    </xf>
    <xf numFmtId="182" fontId="37" fillId="0" borderId="42" xfId="63" applyNumberFormat="1" applyFont="1" applyBorder="1" applyAlignment="1">
      <alignment horizontal="center" vertical="center"/>
    </xf>
    <xf numFmtId="182" fontId="37" fillId="0" borderId="199" xfId="63" applyNumberFormat="1" applyFont="1" applyBorder="1" applyAlignment="1">
      <alignment horizontal="center" vertical="center"/>
    </xf>
    <xf numFmtId="180" fontId="37" fillId="0" borderId="200" xfId="63" applyNumberFormat="1" applyFont="1" applyBorder="1" applyAlignment="1">
      <alignment horizontal="center" vertical="center"/>
    </xf>
    <xf numFmtId="180" fontId="37" fillId="0" borderId="198" xfId="63" applyNumberFormat="1" applyFont="1" applyBorder="1" applyAlignment="1">
      <alignment horizontal="center" vertical="center"/>
    </xf>
    <xf numFmtId="182" fontId="37" fillId="0" borderId="201" xfId="63" applyNumberFormat="1" applyFont="1" applyBorder="1" applyAlignment="1">
      <alignment horizontal="center" vertical="center"/>
    </xf>
    <xf numFmtId="182" fontId="37" fillId="0" borderId="198" xfId="63" applyNumberFormat="1" applyFont="1" applyBorder="1" applyAlignment="1">
      <alignment horizontal="center" vertical="center"/>
    </xf>
    <xf numFmtId="180" fontId="37" fillId="0" borderId="96" xfId="63" applyNumberFormat="1" applyFont="1" applyBorder="1" applyAlignment="1">
      <alignment horizontal="center" vertical="center"/>
    </xf>
    <xf numFmtId="0" fontId="37" fillId="0" borderId="94" xfId="63" applyFont="1" applyBorder="1" applyAlignment="1">
      <alignment horizontal="left" vertical="center"/>
    </xf>
    <xf numFmtId="0" fontId="37" fillId="0" borderId="82" xfId="63" applyFont="1" applyBorder="1" applyAlignment="1">
      <alignment vertical="center"/>
    </xf>
    <xf numFmtId="180" fontId="37" fillId="0" borderId="202" xfId="63" applyNumberFormat="1" applyFont="1" applyBorder="1" applyAlignment="1" applyProtection="1">
      <alignment horizontal="center" vertical="center"/>
      <protection locked="0"/>
    </xf>
    <xf numFmtId="182" fontId="37" fillId="0" borderId="101" xfId="63" applyNumberFormat="1" applyFont="1" applyBorder="1" applyAlignment="1" applyProtection="1">
      <alignment horizontal="center" vertical="center"/>
      <protection locked="0"/>
    </xf>
    <xf numFmtId="182" fontId="37" fillId="0" borderId="101" xfId="63" applyNumberFormat="1" applyFont="1" applyBorder="1" applyAlignment="1">
      <alignment horizontal="center" vertical="center"/>
    </xf>
    <xf numFmtId="180" fontId="37" fillId="0" borderId="103" xfId="63" applyNumberFormat="1" applyFont="1" applyBorder="1" applyAlignment="1">
      <alignment horizontal="center" vertical="center"/>
    </xf>
    <xf numFmtId="180" fontId="37" fillId="0" borderId="128" xfId="63" applyNumberFormat="1" applyFont="1" applyBorder="1" applyAlignment="1" applyProtection="1">
      <alignment horizontal="center" vertical="center"/>
      <protection locked="0"/>
    </xf>
    <xf numFmtId="182" fontId="37" fillId="0" borderId="201" xfId="63" applyNumberFormat="1" applyFont="1" applyBorder="1" applyAlignment="1" applyProtection="1">
      <alignment horizontal="center" vertical="center"/>
      <protection locked="0"/>
    </xf>
    <xf numFmtId="180" fontId="37" fillId="0" borderId="203" xfId="63" applyNumberFormat="1" applyFont="1" applyBorder="1" applyAlignment="1">
      <alignment horizontal="center" vertical="center"/>
    </xf>
    <xf numFmtId="0" fontId="37" fillId="0" borderId="204" xfId="63" applyFont="1" applyBorder="1" applyAlignment="1">
      <alignment horizontal="left" vertical="center" indent="2"/>
    </xf>
    <xf numFmtId="0" fontId="37" fillId="0" borderId="205" xfId="63" applyFont="1" applyBorder="1" applyAlignment="1">
      <alignment vertical="center"/>
    </xf>
    <xf numFmtId="180" fontId="37" fillId="0" borderId="206" xfId="63" applyNumberFormat="1" applyFont="1" applyBorder="1" applyAlignment="1" applyProtection="1">
      <alignment horizontal="center" vertical="center"/>
      <protection locked="0"/>
    </xf>
    <xf numFmtId="182" fontId="37" fillId="0" borderId="55" xfId="63" applyNumberFormat="1" applyFont="1" applyBorder="1" applyAlignment="1" applyProtection="1">
      <alignment horizontal="center" vertical="center"/>
      <protection locked="0"/>
    </xf>
    <xf numFmtId="182" fontId="37" fillId="0" borderId="55" xfId="63" applyNumberFormat="1" applyFont="1" applyBorder="1" applyAlignment="1">
      <alignment horizontal="center" vertical="center"/>
    </xf>
    <xf numFmtId="180" fontId="37" fillId="0" borderId="207" xfId="63" applyNumberFormat="1" applyFont="1" applyBorder="1" applyAlignment="1">
      <alignment horizontal="center" vertical="center"/>
    </xf>
    <xf numFmtId="180" fontId="37" fillId="0" borderId="112" xfId="63" applyNumberFormat="1" applyFont="1" applyBorder="1" applyAlignment="1">
      <alignment horizontal="center" vertical="center"/>
    </xf>
    <xf numFmtId="0" fontId="8" fillId="0" borderId="0" xfId="63" applyFont="1" applyAlignment="1">
      <alignment vertical="center"/>
    </xf>
    <xf numFmtId="0" fontId="79" fillId="0" borderId="0" xfId="128" applyFont="1" applyAlignment="1" applyProtection="1">
      <alignment vertical="center"/>
      <protection locked="0"/>
    </xf>
    <xf numFmtId="0" fontId="80" fillId="0" borderId="0" xfId="58" applyFont="1" applyAlignment="1">
      <alignment horizontal="center" vertical="center"/>
    </xf>
    <xf numFmtId="0" fontId="80" fillId="0" borderId="0" xfId="58" applyFont="1" applyAlignment="1">
      <alignment horizontal="left" vertical="center"/>
    </xf>
    <xf numFmtId="0" fontId="80" fillId="0" borderId="0" xfId="63" applyFont="1"/>
    <xf numFmtId="0" fontId="80" fillId="0" borderId="0" xfId="63" applyFont="1" applyAlignment="1">
      <alignment vertical="center"/>
    </xf>
    <xf numFmtId="0" fontId="79" fillId="0" borderId="0" xfId="71" applyFont="1" applyAlignment="1">
      <alignment vertical="center"/>
    </xf>
    <xf numFmtId="0" fontId="83" fillId="0" borderId="0" xfId="0" applyFont="1" applyAlignment="1">
      <alignment vertical="center"/>
    </xf>
    <xf numFmtId="0" fontId="83" fillId="0" borderId="0" xfId="0" applyFont="1"/>
    <xf numFmtId="0" fontId="83" fillId="0" borderId="0" xfId="0" applyFont="1" applyAlignment="1">
      <alignment horizontal="left"/>
    </xf>
    <xf numFmtId="0" fontId="83" fillId="0" borderId="0" xfId="0" quotePrefix="1" applyFont="1" applyAlignment="1">
      <alignment horizontal="left"/>
    </xf>
    <xf numFmtId="0" fontId="83" fillId="0" borderId="0" xfId="0" applyFont="1" applyAlignment="1">
      <alignment horizontal="right"/>
    </xf>
    <xf numFmtId="0" fontId="83" fillId="0" borderId="82" xfId="0" applyFont="1" applyBorder="1" applyAlignment="1">
      <alignment horizontal="distributed" vertical="center"/>
    </xf>
    <xf numFmtId="0" fontId="83" fillId="0" borderId="82" xfId="0" applyFont="1" applyBorder="1" applyAlignment="1">
      <alignment horizontal="center" vertical="center" wrapText="1"/>
    </xf>
    <xf numFmtId="0" fontId="83" fillId="0" borderId="82" xfId="0" quotePrefix="1" applyFont="1" applyBorder="1" applyAlignment="1">
      <alignment horizontal="distributed" vertical="center"/>
    </xf>
    <xf numFmtId="0" fontId="83" fillId="0" borderId="10" xfId="89" applyFont="1" applyBorder="1" applyAlignment="1">
      <alignment horizontal="center" vertical="center" wrapText="1"/>
    </xf>
    <xf numFmtId="0" fontId="83" fillId="0" borderId="10" xfId="91" applyFont="1" applyBorder="1" applyAlignment="1">
      <alignment vertical="center"/>
    </xf>
    <xf numFmtId="177" fontId="83" fillId="0" borderId="10" xfId="0" quotePrefix="1" applyNumberFormat="1" applyFont="1" applyBorder="1" applyAlignment="1">
      <alignment vertical="center"/>
    </xf>
    <xf numFmtId="9" fontId="83" fillId="0" borderId="10" xfId="253" quotePrefix="1" applyFont="1" applyFill="1" applyBorder="1" applyAlignment="1">
      <alignment vertical="center"/>
    </xf>
    <xf numFmtId="9" fontId="83" fillId="0" borderId="10" xfId="253" quotePrefix="1" applyFont="1" applyFill="1" applyBorder="1" applyAlignment="1">
      <alignment horizontal="right" vertical="center"/>
    </xf>
    <xf numFmtId="177" fontId="83" fillId="0" borderId="10" xfId="208" applyNumberFormat="1" applyFont="1" applyFill="1" applyBorder="1"/>
    <xf numFmtId="177" fontId="83" fillId="0" borderId="10" xfId="0" applyNumberFormat="1" applyFont="1" applyBorder="1"/>
    <xf numFmtId="0" fontId="83" fillId="0" borderId="33" xfId="0" applyFont="1" applyBorder="1"/>
    <xf numFmtId="0" fontId="83" fillId="0" borderId="167" xfId="0" applyFont="1" applyBorder="1"/>
    <xf numFmtId="0" fontId="83" fillId="0" borderId="1" xfId="0" applyFont="1" applyBorder="1"/>
    <xf numFmtId="0" fontId="79" fillId="0" borderId="0" xfId="0" applyFont="1"/>
    <xf numFmtId="0" fontId="83" fillId="0" borderId="10" xfId="90" applyFont="1" applyBorder="1" applyAlignment="1">
      <alignment horizontal="center" vertical="center" wrapText="1"/>
    </xf>
    <xf numFmtId="0" fontId="83" fillId="0" borderId="10" xfId="0" applyFont="1" applyBorder="1"/>
    <xf numFmtId="0" fontId="83" fillId="0" borderId="10" xfId="105" applyFont="1" applyBorder="1" applyAlignment="1">
      <alignment horizontal="center" vertical="center"/>
    </xf>
    <xf numFmtId="0" fontId="83" fillId="0" borderId="10" xfId="105" applyFont="1" applyBorder="1">
      <alignment vertical="center"/>
    </xf>
    <xf numFmtId="194" fontId="84"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vertical="center"/>
      <protection locked="0"/>
    </xf>
    <xf numFmtId="194" fontId="85"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horizontal="right" vertical="center"/>
      <protection locked="0"/>
    </xf>
    <xf numFmtId="194" fontId="85" fillId="0" borderId="10" xfId="208" applyNumberFormat="1" applyFont="1" applyFill="1" applyBorder="1" applyProtection="1">
      <protection locked="0"/>
    </xf>
    <xf numFmtId="49" fontId="85" fillId="0" borderId="10" xfId="0" applyNumberFormat="1" applyFont="1" applyBorder="1" applyProtection="1">
      <protection locked="0"/>
    </xf>
    <xf numFmtId="0" fontId="86" fillId="0" borderId="0" xfId="0" applyFont="1"/>
    <xf numFmtId="0" fontId="87" fillId="0" borderId="0" xfId="0" applyFont="1"/>
    <xf numFmtId="0" fontId="83" fillId="0" borderId="10" xfId="105" quotePrefix="1" applyFont="1" applyBorder="1" applyAlignment="1">
      <alignment horizontal="center" vertical="center"/>
    </xf>
    <xf numFmtId="0" fontId="83" fillId="0" borderId="10" xfId="113" applyFont="1" applyBorder="1" applyAlignment="1">
      <alignment vertical="center"/>
    </xf>
    <xf numFmtId="0" fontId="83" fillId="0" borderId="10" xfId="91" applyFont="1" applyBorder="1" applyAlignment="1">
      <alignment horizontal="distributed" vertical="center"/>
    </xf>
    <xf numFmtId="9" fontId="83" fillId="0" borderId="10" xfId="253" applyFont="1" applyFill="1" applyBorder="1"/>
    <xf numFmtId="0" fontId="83" fillId="0" borderId="0" xfId="0" applyFont="1" applyAlignment="1">
      <alignment horizontal="left" vertical="center"/>
    </xf>
    <xf numFmtId="0" fontId="83" fillId="0" borderId="0" xfId="0" applyFont="1" applyAlignment="1">
      <alignment horizontal="center" vertical="center"/>
    </xf>
    <xf numFmtId="0" fontId="83" fillId="0" borderId="0" xfId="0" applyFont="1" applyAlignment="1">
      <alignment horizontal="left" vertical="center" wrapText="1"/>
    </xf>
    <xf numFmtId="0" fontId="88" fillId="0" borderId="0" xfId="95" applyFont="1" applyAlignment="1">
      <alignment horizontal="left" vertical="center"/>
    </xf>
    <xf numFmtId="0" fontId="83" fillId="0" borderId="0" xfId="115" applyFont="1"/>
    <xf numFmtId="0" fontId="83" fillId="0" borderId="0" xfId="95" applyFont="1" applyAlignment="1">
      <alignment horizontal="left" vertical="center"/>
    </xf>
    <xf numFmtId="0" fontId="89" fillId="0" borderId="0" xfId="95" applyFont="1" applyAlignment="1">
      <alignment horizontal="left" vertical="center"/>
    </xf>
    <xf numFmtId="0" fontId="83" fillId="0" borderId="23" xfId="115" applyFont="1" applyBorder="1" applyAlignment="1">
      <alignment horizontal="center"/>
    </xf>
    <xf numFmtId="0" fontId="83" fillId="0" borderId="82" xfId="115" applyFont="1" applyBorder="1" applyAlignment="1">
      <alignment horizontal="center"/>
    </xf>
    <xf numFmtId="0" fontId="83" fillId="0" borderId="20" xfId="115" quotePrefix="1" applyFont="1" applyBorder="1" applyAlignment="1">
      <alignment horizontal="center"/>
    </xf>
    <xf numFmtId="0" fontId="83" fillId="0" borderId="10" xfId="88" applyFont="1" applyBorder="1" applyAlignment="1">
      <alignment horizontal="center" vertical="center" wrapText="1"/>
    </xf>
    <xf numFmtId="177" fontId="83" fillId="0" borderId="20" xfId="115" quotePrefix="1" applyNumberFormat="1" applyFont="1" applyBorder="1" applyAlignment="1">
      <alignment horizontal="right"/>
    </xf>
    <xf numFmtId="177" fontId="83" fillId="0" borderId="10" xfId="115" applyNumberFormat="1" applyFont="1" applyBorder="1" applyAlignment="1">
      <alignment horizontal="right"/>
    </xf>
    <xf numFmtId="0" fontId="79" fillId="0" borderId="0" xfId="115" applyFont="1"/>
    <xf numFmtId="0" fontId="83" fillId="0" borderId="5" xfId="115" applyFont="1" applyBorder="1"/>
    <xf numFmtId="177" fontId="83" fillId="0" borderId="10" xfId="241" applyNumberFormat="1" applyFont="1" applyFill="1" applyBorder="1" applyAlignment="1">
      <alignment horizontal="right" vertical="center"/>
    </xf>
    <xf numFmtId="177" fontId="83" fillId="0" borderId="10" xfId="113" applyNumberFormat="1" applyFont="1" applyBorder="1" applyAlignment="1">
      <alignment horizontal="right" vertical="center"/>
    </xf>
    <xf numFmtId="178" fontId="83" fillId="0" borderId="5" xfId="241" applyFont="1" applyFill="1" applyBorder="1" applyAlignment="1">
      <alignment vertical="center"/>
    </xf>
    <xf numFmtId="0" fontId="83" fillId="0" borderId="0" xfId="113" applyFont="1" applyAlignment="1">
      <alignment vertical="center"/>
    </xf>
    <xf numFmtId="177" fontId="83" fillId="0" borderId="10" xfId="115" quotePrefix="1" applyNumberFormat="1" applyFont="1" applyBorder="1" applyAlignment="1">
      <alignment horizontal="right"/>
    </xf>
    <xf numFmtId="0" fontId="83" fillId="0" borderId="10" xfId="113" applyFont="1" applyBorder="1" applyAlignment="1">
      <alignment horizontal="distributed" vertical="center"/>
    </xf>
    <xf numFmtId="0" fontId="83" fillId="0" borderId="0" xfId="88" applyFont="1" applyAlignment="1">
      <alignment horizontal="left" vertical="center"/>
    </xf>
    <xf numFmtId="0" fontId="83" fillId="0" borderId="0" xfId="115" applyFont="1" applyAlignment="1">
      <alignment horizontal="center"/>
    </xf>
    <xf numFmtId="0" fontId="88" fillId="0" borderId="0" xfId="98" applyFont="1" applyAlignment="1">
      <alignment horizontal="left" vertical="center"/>
    </xf>
    <xf numFmtId="0" fontId="83" fillId="0" borderId="0" xfId="98" applyFont="1" applyAlignment="1">
      <alignment horizontal="left" vertical="center"/>
    </xf>
    <xf numFmtId="0" fontId="89" fillId="0" borderId="0" xfId="98" applyFont="1" applyAlignment="1">
      <alignment horizontal="left" vertical="center"/>
    </xf>
    <xf numFmtId="0" fontId="83" fillId="0" borderId="23" xfId="115" quotePrefix="1" applyFont="1" applyBorder="1" applyAlignment="1">
      <alignment horizontal="center"/>
    </xf>
    <xf numFmtId="0" fontId="83" fillId="0" borderId="82" xfId="115" applyFont="1" applyBorder="1" applyAlignment="1">
      <alignment horizontal="distributed"/>
    </xf>
    <xf numFmtId="0" fontId="83" fillId="0" borderId="82" xfId="115" applyFont="1" applyBorder="1" applyAlignment="1">
      <alignment horizontal="center" vertical="center"/>
    </xf>
    <xf numFmtId="177" fontId="83" fillId="0" borderId="140" xfId="115" applyNumberFormat="1" applyFont="1" applyBorder="1" applyAlignment="1">
      <alignment horizontal="right"/>
    </xf>
    <xf numFmtId="0" fontId="83" fillId="0" borderId="0" xfId="89" applyFont="1" applyAlignment="1">
      <alignment horizontal="center" vertical="center" wrapText="1"/>
    </xf>
    <xf numFmtId="0" fontId="83" fillId="0" borderId="0" xfId="113" applyFont="1" applyAlignment="1">
      <alignment horizontal="distributed" vertical="center"/>
    </xf>
    <xf numFmtId="178" fontId="83" fillId="0" borderId="0" xfId="241" applyFont="1" applyFill="1" applyBorder="1" applyAlignment="1">
      <alignment vertical="center"/>
    </xf>
    <xf numFmtId="10" fontId="83" fillId="0" borderId="0" xfId="253" applyNumberFormat="1" applyFont="1" applyFill="1" applyBorder="1" applyAlignment="1">
      <alignment vertical="center"/>
    </xf>
    <xf numFmtId="0" fontId="84" fillId="0" borderId="0" xfId="0" applyFont="1" applyAlignment="1">
      <alignment horizontal="right"/>
    </xf>
    <xf numFmtId="0" fontId="89" fillId="0" borderId="0" xfId="0" applyFont="1" applyAlignment="1">
      <alignment horizontal="left" vertical="center"/>
    </xf>
    <xf numFmtId="0" fontId="81" fillId="0" borderId="0" xfId="0" applyFont="1"/>
    <xf numFmtId="0" fontId="90" fillId="0" borderId="0" xfId="0" applyFont="1" applyAlignment="1">
      <alignment vertical="center"/>
    </xf>
    <xf numFmtId="0" fontId="83" fillId="0" borderId="0" xfId="0" applyFont="1" applyAlignment="1">
      <alignment horizontal="right" vertical="center"/>
    </xf>
    <xf numFmtId="179" fontId="83" fillId="0" borderId="10" xfId="132" applyNumberFormat="1" applyFont="1" applyFill="1" applyBorder="1" applyAlignment="1">
      <alignment horizontal="center" vertical="center" wrapText="1"/>
    </xf>
    <xf numFmtId="179" fontId="84" fillId="0" borderId="20" xfId="132" quotePrefix="1" applyNumberFormat="1" applyFont="1" applyFill="1" applyBorder="1" applyAlignment="1">
      <alignment horizontal="center" vertical="center"/>
    </xf>
    <xf numFmtId="0" fontId="83" fillId="0" borderId="10" xfId="0" applyFont="1" applyBorder="1" applyAlignment="1">
      <alignment horizontal="center" vertical="center"/>
    </xf>
    <xf numFmtId="194" fontId="84" fillId="0" borderId="10" xfId="0" applyNumberFormat="1" applyFont="1" applyBorder="1" applyAlignment="1" applyProtection="1">
      <alignment vertical="center"/>
      <protection locked="0"/>
    </xf>
    <xf numFmtId="10" fontId="84" fillId="0" borderId="10" xfId="253" applyNumberFormat="1" applyFont="1" applyFill="1" applyBorder="1" applyAlignment="1" applyProtection="1">
      <alignment vertical="center"/>
      <protection locked="0"/>
    </xf>
    <xf numFmtId="10" fontId="84" fillId="0" borderId="10" xfId="253" applyNumberFormat="1" applyFont="1" applyFill="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protection locked="0"/>
    </xf>
    <xf numFmtId="194" fontId="84" fillId="0" borderId="10" xfId="241" applyNumberFormat="1" applyFont="1" applyFill="1" applyBorder="1" applyAlignment="1" applyProtection="1">
      <alignment vertical="center"/>
      <protection locked="0"/>
    </xf>
    <xf numFmtId="49" fontId="84" fillId="0" borderId="10" xfId="241" applyNumberFormat="1" applyFont="1" applyFill="1" applyBorder="1" applyAlignment="1" applyProtection="1">
      <alignment vertical="center"/>
      <protection locked="0"/>
    </xf>
    <xf numFmtId="177" fontId="84" fillId="0" borderId="10" xfId="241" applyNumberFormat="1" applyFont="1" applyFill="1" applyBorder="1" applyAlignment="1">
      <alignment vertical="center"/>
    </xf>
    <xf numFmtId="0" fontId="83" fillId="0" borderId="0" xfId="88" applyFont="1" applyAlignment="1">
      <alignment vertical="center"/>
    </xf>
    <xf numFmtId="0" fontId="84" fillId="0" borderId="0" xfId="0" applyFont="1" applyAlignment="1">
      <alignment vertical="center"/>
    </xf>
    <xf numFmtId="0" fontId="83" fillId="0" borderId="0" xfId="102" applyFont="1" applyAlignment="1">
      <alignment vertical="center"/>
    </xf>
    <xf numFmtId="0" fontId="83" fillId="0" borderId="0" xfId="102" applyFont="1" applyAlignment="1">
      <alignment horizontal="center" vertical="center"/>
    </xf>
    <xf numFmtId="0" fontId="83" fillId="0" borderId="0" xfId="102" applyFont="1"/>
    <xf numFmtId="0" fontId="83" fillId="0" borderId="0" xfId="0" quotePrefix="1" applyFont="1" applyAlignment="1">
      <alignment horizontal="left" vertical="center"/>
    </xf>
    <xf numFmtId="0" fontId="83" fillId="0" borderId="0" xfId="97" applyFont="1" applyAlignment="1">
      <alignment horizontal="right"/>
    </xf>
    <xf numFmtId="0" fontId="83" fillId="0" borderId="0" xfId="95" applyFont="1" applyAlignment="1">
      <alignment horizontal="right"/>
    </xf>
    <xf numFmtId="0" fontId="83" fillId="0" borderId="23" xfId="102" applyFont="1" applyBorder="1" applyAlignment="1">
      <alignment horizontal="center" vertical="center" wrapText="1"/>
    </xf>
    <xf numFmtId="0" fontId="83" fillId="0" borderId="20" xfId="102" quotePrefix="1" applyFont="1" applyBorder="1" applyAlignment="1">
      <alignment horizontal="center" vertical="center"/>
    </xf>
    <xf numFmtId="0" fontId="83" fillId="0" borderId="20" xfId="102" quotePrefix="1" applyFont="1" applyBorder="1" applyAlignment="1">
      <alignment horizontal="center" vertical="center" wrapText="1"/>
    </xf>
    <xf numFmtId="202" fontId="83" fillId="0" borderId="20" xfId="102" quotePrefix="1" applyNumberFormat="1" applyFont="1" applyBorder="1" applyAlignment="1">
      <alignment horizontal="center" vertical="center"/>
    </xf>
    <xf numFmtId="0" fontId="83" fillId="0" borderId="10" xfId="0" applyFont="1" applyBorder="1" applyAlignment="1">
      <alignment vertical="center"/>
    </xf>
    <xf numFmtId="194" fontId="83" fillId="0" borderId="10" xfId="102" applyNumberFormat="1" applyFont="1" applyBorder="1" applyAlignment="1" applyProtection="1">
      <alignment horizontal="right" vertical="center"/>
      <protection locked="0"/>
    </xf>
    <xf numFmtId="10" fontId="83" fillId="0" borderId="10" xfId="253" applyNumberFormat="1" applyFont="1" applyFill="1" applyBorder="1" applyAlignment="1" applyProtection="1">
      <alignment horizontal="right" vertical="center"/>
      <protection locked="0"/>
    </xf>
    <xf numFmtId="49" fontId="83" fillId="0" borderId="10" xfId="102" applyNumberFormat="1" applyFont="1" applyBorder="1" applyAlignment="1" applyProtection="1">
      <alignment horizontal="left" vertical="center" wrapText="1"/>
      <protection locked="0"/>
    </xf>
    <xf numFmtId="194" fontId="83" fillId="0" borderId="223" xfId="102" applyNumberFormat="1" applyFont="1" applyBorder="1" applyAlignment="1" applyProtection="1">
      <alignment horizontal="right" vertical="center"/>
      <protection locked="0"/>
    </xf>
    <xf numFmtId="10" fontId="83" fillId="0" borderId="223" xfId="253" applyNumberFormat="1" applyFont="1" applyFill="1" applyBorder="1" applyAlignment="1" applyProtection="1">
      <alignment horizontal="right" vertical="center"/>
      <protection locked="0"/>
    </xf>
    <xf numFmtId="49" fontId="83" fillId="0" borderId="223" xfId="102" applyNumberFormat="1" applyFont="1" applyBorder="1" applyAlignment="1" applyProtection="1">
      <alignment horizontal="left" vertical="center" wrapText="1"/>
      <protection locked="0"/>
    </xf>
    <xf numFmtId="49" fontId="83" fillId="0" borderId="23" xfId="102" applyNumberFormat="1" applyFont="1" applyBorder="1" applyAlignment="1" applyProtection="1">
      <alignment horizontal="left" vertical="center" wrapText="1"/>
      <protection locked="0"/>
    </xf>
    <xf numFmtId="0" fontId="83" fillId="0" borderId="5" xfId="102" applyFont="1" applyBorder="1" applyAlignment="1">
      <alignment vertical="center"/>
    </xf>
    <xf numFmtId="0" fontId="83" fillId="0" borderId="4" xfId="102" applyFont="1" applyBorder="1" applyAlignment="1">
      <alignment vertical="center"/>
    </xf>
    <xf numFmtId="49" fontId="83" fillId="0" borderId="20" xfId="102" applyNumberFormat="1" applyFont="1" applyBorder="1" applyAlignment="1" applyProtection="1">
      <alignment horizontal="left" vertical="center" wrapText="1"/>
      <protection locked="0"/>
    </xf>
    <xf numFmtId="0" fontId="79" fillId="0" borderId="0" xfId="102" applyFont="1" applyAlignment="1">
      <alignment vertical="center"/>
    </xf>
    <xf numFmtId="0" fontId="83" fillId="0" borderId="10" xfId="106" applyFont="1" applyBorder="1">
      <alignment vertical="center"/>
    </xf>
    <xf numFmtId="191" fontId="83" fillId="0" borderId="10" xfId="102" applyNumberFormat="1" applyFont="1" applyBorder="1" applyAlignment="1">
      <alignment horizontal="left" vertical="center" wrapText="1"/>
    </xf>
    <xf numFmtId="0" fontId="86" fillId="0" borderId="0" xfId="102" applyFont="1"/>
    <xf numFmtId="0" fontId="89" fillId="0" borderId="0" xfId="112" applyFont="1" applyAlignment="1">
      <alignment horizontal="center"/>
    </xf>
    <xf numFmtId="0" fontId="83" fillId="0" borderId="0" xfId="112" applyFont="1" applyAlignment="1">
      <alignment horizontal="center"/>
    </xf>
    <xf numFmtId="0" fontId="83" fillId="0" borderId="0" xfId="112" applyFont="1"/>
    <xf numFmtId="0" fontId="83" fillId="0" borderId="0" xfId="95" applyFont="1"/>
    <xf numFmtId="0" fontId="83" fillId="0" borderId="0" xfId="112" applyFont="1" applyAlignment="1">
      <alignment horizontal="left"/>
    </xf>
    <xf numFmtId="0" fontId="83" fillId="0" borderId="0" xfId="112" applyFont="1" applyAlignment="1">
      <alignment horizontal="right"/>
    </xf>
    <xf numFmtId="0" fontId="83" fillId="0" borderId="10" xfId="112" applyFont="1" applyBorder="1" applyAlignment="1">
      <alignment horizontal="centerContinuous" vertical="center"/>
    </xf>
    <xf numFmtId="0" fontId="83" fillId="0" borderId="10" xfId="112" applyFont="1" applyBorder="1" applyAlignment="1">
      <alignment horizontal="centerContinuous"/>
    </xf>
    <xf numFmtId="0" fontId="83" fillId="0" borderId="23" xfId="112" applyFont="1" applyBorder="1" applyAlignment="1">
      <alignment horizontal="distributed" vertical="center"/>
    </xf>
    <xf numFmtId="0" fontId="83" fillId="0" borderId="23" xfId="112" applyFont="1" applyBorder="1" applyAlignment="1">
      <alignment horizontal="distributed" vertical="center" wrapText="1"/>
    </xf>
    <xf numFmtId="0" fontId="83" fillId="0" borderId="23" xfId="112" applyFont="1" applyBorder="1" applyAlignment="1">
      <alignment horizontal="center" vertical="center" wrapText="1"/>
    </xf>
    <xf numFmtId="0" fontId="83" fillId="0" borderId="0" xfId="112" applyFont="1" applyAlignment="1">
      <alignment horizontal="distributed" vertical="center"/>
    </xf>
    <xf numFmtId="0" fontId="83" fillId="0" borderId="20" xfId="112" quotePrefix="1" applyFont="1" applyBorder="1" applyAlignment="1">
      <alignment horizontal="center" vertical="center"/>
    </xf>
    <xf numFmtId="49" fontId="83" fillId="0" borderId="20" xfId="101" applyNumberFormat="1" applyFont="1" applyBorder="1" applyAlignment="1">
      <alignment horizontal="center" vertical="center" wrapText="1"/>
    </xf>
    <xf numFmtId="0" fontId="83" fillId="0" borderId="10" xfId="112" quotePrefix="1" applyFont="1" applyBorder="1" applyAlignment="1">
      <alignment horizontal="center"/>
    </xf>
    <xf numFmtId="0" fontId="83" fillId="0" borderId="10" xfId="112" applyFont="1" applyBorder="1" applyAlignment="1">
      <alignment horizontal="left" vertical="center"/>
    </xf>
    <xf numFmtId="194" fontId="83" fillId="0" borderId="10" xfId="240" applyNumberFormat="1" applyFont="1" applyFill="1" applyBorder="1" applyProtection="1">
      <protection locked="0"/>
    </xf>
    <xf numFmtId="10" fontId="83" fillId="0" borderId="10" xfId="253" applyNumberFormat="1" applyFont="1" applyFill="1" applyBorder="1" applyAlignment="1" applyProtection="1">
      <alignment horizontal="center"/>
      <protection locked="0"/>
    </xf>
    <xf numFmtId="194" fontId="83" fillId="0" borderId="10" xfId="240" applyNumberFormat="1" applyFont="1" applyFill="1" applyBorder="1" applyAlignment="1" applyProtection="1">
      <alignment horizontal="right"/>
      <protection locked="0"/>
    </xf>
    <xf numFmtId="49" fontId="83" fillId="0" borderId="10" xfId="95" applyNumberFormat="1" applyFont="1" applyBorder="1" applyProtection="1">
      <protection locked="0"/>
    </xf>
    <xf numFmtId="0" fontId="83" fillId="0" borderId="10" xfId="112" quotePrefix="1" applyFont="1" applyBorder="1" applyAlignment="1">
      <alignment horizontal="left" vertical="center"/>
    </xf>
    <xf numFmtId="194" fontId="83" fillId="0" borderId="223" xfId="240" applyNumberFormat="1" applyFont="1" applyFill="1" applyBorder="1" applyProtection="1">
      <protection locked="0"/>
    </xf>
    <xf numFmtId="10" fontId="83" fillId="0" borderId="223" xfId="253" applyNumberFormat="1" applyFont="1" applyFill="1" applyBorder="1" applyAlignment="1" applyProtection="1">
      <alignment horizontal="center"/>
      <protection locked="0"/>
    </xf>
    <xf numFmtId="194" fontId="83" fillId="0" borderId="223" xfId="240" applyNumberFormat="1" applyFont="1" applyFill="1" applyBorder="1" applyAlignment="1" applyProtection="1">
      <alignment horizontal="right"/>
      <protection locked="0"/>
    </xf>
    <xf numFmtId="49" fontId="83" fillId="0" borderId="10" xfId="100" applyNumberFormat="1" applyFont="1" applyBorder="1" applyProtection="1">
      <protection locked="0"/>
    </xf>
    <xf numFmtId="0" fontId="79" fillId="0" borderId="0" xfId="112" applyFont="1"/>
    <xf numFmtId="10" fontId="83" fillId="0" borderId="10" xfId="253" applyNumberFormat="1" applyFont="1" applyFill="1" applyBorder="1" applyProtection="1">
      <protection locked="0"/>
    </xf>
    <xf numFmtId="177" fontId="83" fillId="0" borderId="10" xfId="95" applyNumberFormat="1" applyFont="1" applyBorder="1"/>
    <xf numFmtId="0" fontId="83" fillId="0" borderId="0" xfId="112" applyFont="1" applyAlignment="1">
      <alignment horizontal="left" vertical="center"/>
    </xf>
    <xf numFmtId="178" fontId="83" fillId="0" borderId="0" xfId="240" applyFont="1" applyFill="1" applyBorder="1"/>
    <xf numFmtId="10" fontId="83" fillId="0" borderId="0" xfId="253" applyNumberFormat="1" applyFont="1" applyFill="1" applyBorder="1"/>
    <xf numFmtId="0" fontId="83" fillId="0" borderId="0" xfId="0" applyFont="1" applyAlignment="1">
      <alignment horizontal="center"/>
    </xf>
    <xf numFmtId="0" fontId="83" fillId="0" borderId="0" xfId="96" applyFont="1"/>
    <xf numFmtId="0" fontId="86" fillId="0" borderId="0" xfId="112" applyFont="1"/>
    <xf numFmtId="0" fontId="86" fillId="0" borderId="0" xfId="96" applyFont="1"/>
    <xf numFmtId="0" fontId="83" fillId="0" borderId="0" xfId="101" applyFont="1"/>
    <xf numFmtId="0" fontId="83" fillId="0" borderId="0" xfId="124" applyFont="1" applyAlignment="1">
      <alignment vertical="center"/>
    </xf>
    <xf numFmtId="41" fontId="83" fillId="0" borderId="0" xfId="208" applyFont="1" applyFill="1" applyBorder="1" applyAlignment="1">
      <alignment vertical="center"/>
    </xf>
    <xf numFmtId="0" fontId="83" fillId="0" borderId="0" xfId="124" applyFont="1" applyAlignment="1">
      <alignment horizontal="center" vertical="center"/>
    </xf>
    <xf numFmtId="0" fontId="80" fillId="0" borderId="0" xfId="99" applyFont="1" applyAlignment="1">
      <alignment horizontal="right"/>
    </xf>
    <xf numFmtId="0" fontId="83" fillId="0" borderId="23" xfId="124" applyFont="1" applyBorder="1" applyAlignment="1">
      <alignment horizontal="center" vertical="center"/>
    </xf>
    <xf numFmtId="0" fontId="83" fillId="0" borderId="10" xfId="124" applyFont="1" applyBorder="1" applyAlignment="1">
      <alignment horizontal="centerContinuous" vertical="center"/>
    </xf>
    <xf numFmtId="0" fontId="83" fillId="0" borderId="82" xfId="124" applyFont="1" applyBorder="1" applyAlignment="1">
      <alignment horizontal="center" vertical="center"/>
    </xf>
    <xf numFmtId="0" fontId="83" fillId="0" borderId="23" xfId="124" applyFont="1" applyBorder="1" applyAlignment="1">
      <alignment horizontal="distributed" vertical="center"/>
    </xf>
    <xf numFmtId="0" fontId="83" fillId="0" borderId="23" xfId="124" applyFont="1" applyBorder="1" applyAlignment="1">
      <alignment horizontal="distributed" vertical="center" wrapText="1"/>
    </xf>
    <xf numFmtId="0" fontId="83" fillId="0" borderId="23" xfId="0" applyFont="1" applyBorder="1" applyAlignment="1">
      <alignment horizontal="distributed" vertical="center"/>
    </xf>
    <xf numFmtId="0" fontId="83" fillId="0" borderId="23" xfId="125" applyFont="1" applyBorder="1" applyAlignment="1">
      <alignment horizontal="distributed" vertical="center"/>
    </xf>
    <xf numFmtId="0" fontId="83" fillId="0" borderId="0" xfId="124" applyFont="1" applyAlignment="1">
      <alignment horizontal="distributed" vertical="center"/>
    </xf>
    <xf numFmtId="0" fontId="83" fillId="0" borderId="20" xfId="124" applyFont="1" applyBorder="1" applyAlignment="1">
      <alignment horizontal="center" vertical="center"/>
    </xf>
    <xf numFmtId="0" fontId="83" fillId="0" borderId="20" xfId="124" quotePrefix="1" applyFont="1" applyBorder="1" applyAlignment="1">
      <alignment horizontal="center" vertical="center" wrapText="1"/>
    </xf>
    <xf numFmtId="0" fontId="83" fillId="0" borderId="20" xfId="124" applyFont="1" applyBorder="1" applyAlignment="1">
      <alignment horizontal="center" vertical="center" wrapText="1"/>
    </xf>
    <xf numFmtId="49" fontId="83" fillId="0" borderId="20" xfId="125" applyNumberFormat="1" applyFont="1" applyBorder="1" applyAlignment="1">
      <alignment horizontal="center" vertical="center" wrapText="1"/>
    </xf>
    <xf numFmtId="49" fontId="83" fillId="0" borderId="20" xfId="124" applyNumberFormat="1" applyFont="1" applyBorder="1" applyAlignment="1">
      <alignment horizontal="center" vertical="center" wrapText="1"/>
    </xf>
    <xf numFmtId="0" fontId="91" fillId="0" borderId="20" xfId="0" quotePrefix="1" applyFont="1" applyBorder="1" applyAlignment="1">
      <alignment horizontal="center" vertical="center" wrapText="1"/>
    </xf>
    <xf numFmtId="49" fontId="91" fillId="0" borderId="20" xfId="0" quotePrefix="1" applyNumberFormat="1" applyFont="1" applyBorder="1" applyAlignment="1">
      <alignment horizontal="center" vertical="center" wrapText="1"/>
    </xf>
    <xf numFmtId="0" fontId="91" fillId="0" borderId="20" xfId="0" quotePrefix="1" applyFont="1" applyBorder="1" applyAlignment="1">
      <alignment horizontal="center" vertical="center"/>
    </xf>
    <xf numFmtId="0" fontId="91" fillId="0" borderId="5" xfId="0" quotePrefix="1" applyFont="1" applyBorder="1" applyAlignment="1">
      <alignment horizontal="center" vertical="center"/>
    </xf>
    <xf numFmtId="0" fontId="83" fillId="0" borderId="10" xfId="124" applyFont="1" applyBorder="1" applyAlignment="1">
      <alignment horizontal="center" vertical="center"/>
    </xf>
    <xf numFmtId="0" fontId="83" fillId="0" borderId="10" xfId="124" applyFont="1" applyBorder="1" applyAlignment="1">
      <alignment vertical="center"/>
    </xf>
    <xf numFmtId="194" fontId="83" fillId="0" borderId="10" xfId="208" applyNumberFormat="1" applyFont="1" applyFill="1" applyBorder="1" applyAlignment="1" applyProtection="1">
      <alignment vertical="center" wrapText="1"/>
      <protection locked="0"/>
    </xf>
    <xf numFmtId="10" fontId="83" fillId="0" borderId="10" xfId="253" applyNumberFormat="1" applyFont="1" applyFill="1" applyBorder="1" applyAlignment="1" applyProtection="1">
      <alignment horizontal="right" vertical="center" wrapText="1"/>
      <protection locked="0"/>
    </xf>
    <xf numFmtId="10" fontId="83" fillId="0" borderId="10" xfId="253" applyNumberFormat="1" applyFont="1" applyFill="1" applyBorder="1" applyAlignment="1" applyProtection="1">
      <alignment horizontal="center" vertical="center" wrapText="1"/>
      <protection locked="0"/>
    </xf>
    <xf numFmtId="192" fontId="83" fillId="0" borderId="10" xfId="208" applyNumberFormat="1" applyFont="1" applyFill="1" applyBorder="1" applyAlignment="1">
      <alignment horizontal="right" vertical="center"/>
    </xf>
    <xf numFmtId="0" fontId="83" fillId="0" borderId="10" xfId="124" applyFont="1" applyBorder="1" applyAlignment="1" applyProtection="1">
      <alignment vertical="center" wrapText="1"/>
      <protection locked="0"/>
    </xf>
    <xf numFmtId="0" fontId="79" fillId="0" borderId="0" xfId="124" applyFont="1" applyAlignment="1">
      <alignment vertical="center"/>
    </xf>
    <xf numFmtId="0" fontId="83" fillId="0" borderId="10" xfId="124" applyFont="1" applyBorder="1"/>
    <xf numFmtId="10" fontId="83" fillId="0" borderId="223" xfId="253" applyNumberFormat="1" applyFont="1" applyFill="1" applyBorder="1" applyAlignment="1" applyProtection="1">
      <alignment horizontal="center" vertical="center" wrapText="1"/>
      <protection locked="0"/>
    </xf>
    <xf numFmtId="194" fontId="83" fillId="0" borderId="223" xfId="208" applyNumberFormat="1" applyFont="1" applyFill="1" applyBorder="1" applyAlignment="1" applyProtection="1">
      <alignment vertical="center" wrapText="1"/>
      <protection locked="0"/>
    </xf>
    <xf numFmtId="192" fontId="83" fillId="0" borderId="223" xfId="208" applyNumberFormat="1" applyFont="1" applyFill="1" applyBorder="1" applyAlignment="1">
      <alignment horizontal="right" vertical="center"/>
    </xf>
    <xf numFmtId="194" fontId="83" fillId="0" borderId="10" xfId="124" applyNumberFormat="1" applyFont="1" applyBorder="1" applyAlignment="1" applyProtection="1">
      <alignment vertical="center" wrapText="1"/>
      <protection locked="0"/>
    </xf>
    <xf numFmtId="0" fontId="83" fillId="0" borderId="10" xfId="124" quotePrefix="1" applyFont="1" applyBorder="1" applyAlignment="1">
      <alignment horizontal="distributed" vertical="center"/>
    </xf>
    <xf numFmtId="194" fontId="83" fillId="0" borderId="10" xfId="124" applyNumberFormat="1" applyFont="1" applyBorder="1" applyAlignment="1" applyProtection="1">
      <alignment wrapText="1"/>
      <protection locked="0"/>
    </xf>
    <xf numFmtId="10" fontId="83" fillId="0" borderId="10" xfId="208" applyNumberFormat="1" applyFont="1" applyFill="1" applyBorder="1" applyAlignment="1" applyProtection="1">
      <alignment vertical="center" wrapText="1"/>
      <protection locked="0"/>
    </xf>
    <xf numFmtId="0" fontId="83" fillId="0" borderId="0" xfId="124" quotePrefix="1" applyFont="1" applyAlignment="1">
      <alignment horizontal="distributed" vertical="center"/>
    </xf>
    <xf numFmtId="0" fontId="80" fillId="0" borderId="0" xfId="58" applyFont="1" applyAlignment="1">
      <alignment horizontal="right"/>
    </xf>
    <xf numFmtId="0" fontId="92" fillId="0" borderId="86" xfId="63" applyFont="1" applyBorder="1" applyAlignment="1">
      <alignment horizontal="center" vertical="center"/>
    </xf>
    <xf numFmtId="0" fontId="92" fillId="0" borderId="87" xfId="63" applyFont="1" applyBorder="1" applyAlignment="1">
      <alignment horizontal="center" vertical="center"/>
    </xf>
    <xf numFmtId="0" fontId="92" fillId="0" borderId="224" xfId="63" applyFont="1" applyBorder="1" applyAlignment="1">
      <alignment horizontal="center" vertical="center"/>
    </xf>
    <xf numFmtId="0" fontId="92" fillId="0" borderId="225" xfId="63" applyFont="1" applyBorder="1" applyAlignment="1">
      <alignment horizontal="center" vertical="center"/>
    </xf>
    <xf numFmtId="0" fontId="80" fillId="0" borderId="25" xfId="63" applyFont="1" applyBorder="1" applyAlignment="1">
      <alignment horizontal="left" vertical="center"/>
    </xf>
    <xf numFmtId="0" fontId="80" fillId="0" borderId="9" xfId="63" applyFont="1" applyBorder="1" applyAlignment="1">
      <alignment horizontal="left" vertical="center" indent="2"/>
    </xf>
    <xf numFmtId="0" fontId="80" fillId="0" borderId="0" xfId="0" applyFont="1"/>
    <xf numFmtId="0" fontId="80" fillId="0" borderId="0" xfId="58" applyFont="1" applyAlignment="1">
      <alignment vertical="center"/>
    </xf>
    <xf numFmtId="0" fontId="92" fillId="0" borderId="226" xfId="63" applyFont="1" applyBorder="1" applyAlignment="1">
      <alignment horizontal="center" vertical="center"/>
    </xf>
    <xf numFmtId="0" fontId="92" fillId="0" borderId="224" xfId="63" applyFont="1" applyBorder="1" applyAlignment="1">
      <alignment horizontal="center" vertical="center" wrapText="1"/>
    </xf>
    <xf numFmtId="0" fontId="80" fillId="0" borderId="152" xfId="63" applyFont="1" applyBorder="1" applyAlignment="1">
      <alignment vertical="center"/>
    </xf>
    <xf numFmtId="0" fontId="80" fillId="0" borderId="10" xfId="63" applyFont="1" applyBorder="1" applyAlignment="1">
      <alignment horizontal="left" vertical="center"/>
    </xf>
    <xf numFmtId="177" fontId="80" fillId="5" borderId="167" xfId="63" applyNumberFormat="1" applyFont="1" applyFill="1" applyBorder="1" applyAlignment="1">
      <alignment vertical="center"/>
    </xf>
    <xf numFmtId="177" fontId="80" fillId="5" borderId="227" xfId="63" applyNumberFormat="1" applyFont="1" applyFill="1" applyBorder="1" applyAlignment="1">
      <alignment vertical="center"/>
    </xf>
    <xf numFmtId="186" fontId="80" fillId="5" borderId="227" xfId="63" applyNumberFormat="1" applyFont="1" applyFill="1" applyBorder="1" applyAlignment="1">
      <alignment horizontal="center" vertical="center"/>
    </xf>
    <xf numFmtId="177" fontId="80" fillId="5" borderId="153" xfId="63" applyNumberFormat="1" applyFont="1" applyFill="1" applyBorder="1" applyAlignment="1">
      <alignment horizontal="right" vertical="center"/>
    </xf>
    <xf numFmtId="0" fontId="80" fillId="0" borderId="194" xfId="63" applyFont="1" applyBorder="1" applyAlignment="1">
      <alignment horizontal="left" vertical="center" indent="2"/>
    </xf>
    <xf numFmtId="0" fontId="80" fillId="0" borderId="7" xfId="63" applyFont="1" applyBorder="1" applyAlignment="1">
      <alignment horizontal="left" vertical="center"/>
    </xf>
    <xf numFmtId="177" fontId="80" fillId="5" borderId="38" xfId="63" applyNumberFormat="1" applyFont="1" applyFill="1" applyBorder="1" applyAlignment="1">
      <alignment vertical="center"/>
    </xf>
    <xf numFmtId="177" fontId="80" fillId="5" borderId="39" xfId="63" applyNumberFormat="1" applyFont="1" applyFill="1" applyBorder="1" applyAlignment="1">
      <alignment vertical="center"/>
    </xf>
    <xf numFmtId="186" fontId="80" fillId="5" borderId="39" xfId="63" applyNumberFormat="1" applyFont="1" applyFill="1" applyBorder="1" applyAlignment="1">
      <alignment horizontal="center" vertical="center"/>
    </xf>
    <xf numFmtId="177" fontId="80" fillId="5" borderId="197" xfId="63" applyNumberFormat="1" applyFont="1" applyFill="1" applyBorder="1" applyAlignment="1">
      <alignment horizontal="right" vertical="center"/>
    </xf>
    <xf numFmtId="0" fontId="80" fillId="0" borderId="9" xfId="63" applyFont="1" applyBorder="1" applyAlignment="1">
      <alignment horizontal="left" vertical="center" indent="4"/>
    </xf>
    <xf numFmtId="177" fontId="80" fillId="0" borderId="42" xfId="63" applyNumberFormat="1" applyFont="1" applyBorder="1" applyAlignment="1">
      <alignment vertical="center"/>
    </xf>
    <xf numFmtId="177" fontId="80" fillId="0" borderId="104" xfId="63" applyNumberFormat="1" applyFont="1" applyBorder="1" applyAlignment="1">
      <alignment vertical="center"/>
    </xf>
    <xf numFmtId="186" fontId="80" fillId="0" borderId="43" xfId="63" applyNumberFormat="1" applyFont="1" applyBorder="1" applyAlignment="1">
      <alignment horizontal="center" vertical="center"/>
    </xf>
    <xf numFmtId="177" fontId="80" fillId="0" borderId="200" xfId="63" applyNumberFormat="1" applyFont="1" applyBorder="1" applyAlignment="1">
      <alignment horizontal="right" vertical="center"/>
    </xf>
    <xf numFmtId="0" fontId="82" fillId="0" borderId="0" xfId="63" applyFont="1" applyAlignment="1">
      <alignment vertical="center"/>
    </xf>
    <xf numFmtId="177" fontId="80" fillId="5" borderId="42" xfId="63" applyNumberFormat="1" applyFont="1" applyFill="1" applyBorder="1" applyAlignment="1">
      <alignment vertical="center"/>
    </xf>
    <xf numFmtId="177" fontId="80" fillId="5" borderId="43" xfId="63" applyNumberFormat="1" applyFont="1" applyFill="1" applyBorder="1" applyAlignment="1">
      <alignment vertical="center"/>
    </xf>
    <xf numFmtId="177" fontId="80" fillId="5" borderId="200" xfId="63" applyNumberFormat="1" applyFont="1" applyFill="1" applyBorder="1" applyAlignment="1">
      <alignment horizontal="right" vertical="center"/>
    </xf>
    <xf numFmtId="186" fontId="80" fillId="5" borderId="43" xfId="63" applyNumberFormat="1" applyFont="1" applyFill="1" applyBorder="1" applyAlignment="1">
      <alignment horizontal="center" vertical="center"/>
    </xf>
    <xf numFmtId="0" fontId="80" fillId="0" borderId="228" xfId="63" applyFont="1" applyBorder="1" applyAlignment="1">
      <alignment horizontal="left" vertical="center" indent="2"/>
    </xf>
    <xf numFmtId="0" fontId="80" fillId="0" borderId="79" xfId="63" applyFont="1" applyBorder="1" applyAlignment="1">
      <alignment horizontal="left" vertical="center"/>
    </xf>
    <xf numFmtId="177" fontId="80" fillId="5" borderId="47" xfId="63" applyNumberFormat="1" applyFont="1" applyFill="1" applyBorder="1" applyAlignment="1">
      <alignment vertical="center"/>
    </xf>
    <xf numFmtId="177" fontId="80" fillId="5" borderId="48" xfId="63" applyNumberFormat="1" applyFont="1" applyFill="1" applyBorder="1" applyAlignment="1">
      <alignment vertical="center"/>
    </xf>
    <xf numFmtId="186" fontId="80" fillId="5" borderId="48" xfId="63" applyNumberFormat="1" applyFont="1" applyFill="1" applyBorder="1" applyAlignment="1">
      <alignment horizontal="center" vertical="center"/>
    </xf>
    <xf numFmtId="177" fontId="80" fillId="5" borderId="129" xfId="63" applyNumberFormat="1" applyFont="1" applyFill="1" applyBorder="1" applyAlignment="1">
      <alignment horizontal="right" vertical="center"/>
    </xf>
    <xf numFmtId="0" fontId="80" fillId="0" borderId="147" xfId="63" applyFont="1" applyBorder="1" applyAlignment="1">
      <alignment horizontal="left" vertical="center" indent="1"/>
    </xf>
    <xf numFmtId="0" fontId="80" fillId="0" borderId="82" xfId="63" applyFont="1" applyBorder="1" applyAlignment="1">
      <alignment horizontal="left" vertical="center"/>
    </xf>
    <xf numFmtId="177" fontId="80" fillId="12" borderId="0" xfId="63" applyNumberFormat="1" applyFont="1" applyFill="1" applyAlignment="1">
      <alignment vertical="center"/>
    </xf>
    <xf numFmtId="177" fontId="80" fillId="12" borderId="101" xfId="63" applyNumberFormat="1" applyFont="1" applyFill="1" applyBorder="1" applyAlignment="1">
      <alignment vertical="center"/>
    </xf>
    <xf numFmtId="186" fontId="80" fillId="12" borderId="101" xfId="63" applyNumberFormat="1" applyFont="1" applyFill="1" applyBorder="1" applyAlignment="1">
      <alignment horizontal="center" vertical="center"/>
    </xf>
    <xf numFmtId="177" fontId="80" fillId="12" borderId="229" xfId="63" applyNumberFormat="1" applyFont="1" applyFill="1" applyBorder="1" applyAlignment="1">
      <alignment horizontal="right" vertical="center"/>
    </xf>
    <xf numFmtId="0" fontId="80" fillId="0" borderId="147" xfId="63" applyFont="1" applyBorder="1" applyAlignment="1">
      <alignment vertical="center"/>
    </xf>
    <xf numFmtId="0" fontId="80" fillId="0" borderId="152" xfId="63" applyFont="1" applyBorder="1" applyAlignment="1">
      <alignment horizontal="justify" vertical="center"/>
    </xf>
    <xf numFmtId="177" fontId="80" fillId="0" borderId="43" xfId="63" applyNumberFormat="1" applyFont="1" applyBorder="1" applyAlignment="1">
      <alignment vertical="center"/>
    </xf>
    <xf numFmtId="0" fontId="92" fillId="7" borderId="230" xfId="63" applyFont="1" applyFill="1" applyBorder="1" applyAlignment="1">
      <alignment vertical="center"/>
    </xf>
    <xf numFmtId="0" fontId="80" fillId="7" borderId="231" xfId="63" applyFont="1" applyFill="1" applyBorder="1" applyAlignment="1">
      <alignment vertical="center"/>
    </xf>
    <xf numFmtId="177" fontId="80" fillId="7" borderId="232" xfId="63" applyNumberFormat="1" applyFont="1" applyFill="1" applyBorder="1" applyAlignment="1">
      <alignment vertical="center"/>
    </xf>
    <xf numFmtId="177" fontId="80" fillId="7" borderId="107" xfId="63" applyNumberFormat="1" applyFont="1" applyFill="1" applyBorder="1" applyAlignment="1">
      <alignment vertical="center"/>
    </xf>
    <xf numFmtId="177" fontId="80" fillId="7" borderId="233" xfId="63" applyNumberFormat="1" applyFont="1" applyFill="1" applyBorder="1" applyAlignment="1">
      <alignment horizontal="right" vertical="center"/>
    </xf>
    <xf numFmtId="183" fontId="80" fillId="0" borderId="0" xfId="63" applyNumberFormat="1" applyFont="1" applyAlignment="1">
      <alignment horizontal="center" vertical="center"/>
    </xf>
    <xf numFmtId="187" fontId="80" fillId="0" borderId="0" xfId="63" applyNumberFormat="1" applyFont="1" applyAlignment="1">
      <alignment horizontal="center" vertical="center"/>
    </xf>
    <xf numFmtId="0" fontId="76" fillId="0" borderId="0" xfId="66" applyFont="1" applyAlignment="1">
      <alignment horizontal="left"/>
    </xf>
    <xf numFmtId="0" fontId="84" fillId="0" borderId="0" xfId="79" applyFont="1" applyAlignment="1">
      <alignment horizontal="left"/>
    </xf>
    <xf numFmtId="43" fontId="5" fillId="0" borderId="76" xfId="132" applyFont="1" applyBorder="1" applyAlignment="1" applyProtection="1">
      <alignment horizontal="center" vertical="center" wrapText="1"/>
    </xf>
    <xf numFmtId="43" fontId="5" fillId="0" borderId="242" xfId="132" applyFont="1" applyBorder="1" applyAlignment="1" applyProtection="1">
      <alignment horizontal="center" vertical="center" wrapText="1"/>
    </xf>
    <xf numFmtId="0" fontId="78" fillId="0" borderId="0" xfId="71" applyFont="1" applyAlignment="1">
      <alignment vertical="center"/>
    </xf>
    <xf numFmtId="0" fontId="5" fillId="0" borderId="6" xfId="81" applyFont="1" applyBorder="1" applyAlignment="1">
      <alignment vertical="center" wrapText="1"/>
    </xf>
    <xf numFmtId="0" fontId="5" fillId="0" borderId="80" xfId="81" applyFont="1" applyBorder="1" applyAlignment="1">
      <alignment vertical="center" wrapText="1"/>
    </xf>
    <xf numFmtId="195" fontId="5" fillId="0" borderId="25" xfId="196" applyNumberFormat="1" applyFont="1" applyFill="1" applyBorder="1" applyAlignment="1">
      <alignment horizontal="center" vertical="center" wrapText="1"/>
    </xf>
    <xf numFmtId="195" fontId="5" fillId="0" borderId="110" xfId="196" applyNumberFormat="1" applyFont="1" applyFill="1" applyBorder="1" applyAlignment="1">
      <alignment horizontal="center" vertical="center" wrapText="1"/>
    </xf>
    <xf numFmtId="0" fontId="93" fillId="8" borderId="0" xfId="0" applyFont="1" applyFill="1" applyAlignment="1">
      <alignment vertical="center"/>
    </xf>
    <xf numFmtId="0" fontId="15" fillId="0" borderId="10" xfId="25" applyFont="1" applyBorder="1" applyAlignment="1">
      <alignment horizontal="center" vertical="center" wrapText="1"/>
    </xf>
    <xf numFmtId="0" fontId="5" fillId="0" borderId="20" xfId="25" applyFont="1" applyBorder="1" applyAlignment="1">
      <alignment horizontal="center" vertical="center"/>
    </xf>
    <xf numFmtId="0" fontId="5" fillId="0" borderId="10" xfId="25" applyFont="1" applyBorder="1" applyAlignment="1">
      <alignment horizontal="center" vertical="center"/>
    </xf>
    <xf numFmtId="0" fontId="5" fillId="0" borderId="23" xfId="25" applyFont="1" applyBorder="1" applyAlignment="1">
      <alignment horizontal="center" vertical="center"/>
    </xf>
    <xf numFmtId="0" fontId="5" fillId="0" borderId="16" xfId="25" applyFont="1" applyBorder="1" applyAlignment="1">
      <alignment horizontal="center" vertical="center"/>
    </xf>
    <xf numFmtId="0" fontId="5" fillId="0" borderId="18" xfId="25" applyFont="1" applyBorder="1" applyAlignment="1">
      <alignment horizontal="center" vertical="center"/>
    </xf>
    <xf numFmtId="0" fontId="15" fillId="13" borderId="10" xfId="25" applyFont="1" applyFill="1" applyBorder="1" applyAlignment="1">
      <alignment horizontal="center" vertical="center"/>
    </xf>
    <xf numFmtId="0" fontId="105" fillId="0" borderId="10" xfId="25" applyFont="1" applyBorder="1" applyAlignment="1">
      <alignment horizontal="center" vertical="center"/>
    </xf>
    <xf numFmtId="0" fontId="105" fillId="5" borderId="10" xfId="25" applyFont="1" applyFill="1" applyBorder="1" applyAlignment="1">
      <alignment horizontal="center" vertical="center"/>
    </xf>
    <xf numFmtId="0" fontId="105" fillId="8" borderId="0" xfId="25" applyFont="1" applyFill="1">
      <alignment vertical="center"/>
    </xf>
    <xf numFmtId="0" fontId="105" fillId="8" borderId="0" xfId="25" applyFont="1" applyFill="1" applyAlignment="1">
      <alignment horizontal="center" vertical="center"/>
    </xf>
    <xf numFmtId="0" fontId="13" fillId="0" borderId="10" xfId="25" applyFont="1" applyBorder="1" applyAlignment="1">
      <alignment horizontal="center" vertical="center"/>
    </xf>
    <xf numFmtId="0" fontId="5" fillId="8" borderId="0" xfId="25" applyFont="1" applyFill="1" applyAlignment="1">
      <alignment horizontal="center" vertical="center"/>
    </xf>
    <xf numFmtId="0" fontId="5" fillId="8" borderId="0" xfId="25" applyFont="1" applyFill="1">
      <alignment vertical="center"/>
    </xf>
    <xf numFmtId="0" fontId="5" fillId="14" borderId="10" xfId="25" applyFont="1" applyFill="1" applyBorder="1" applyAlignment="1">
      <alignment horizontal="center" vertical="center"/>
    </xf>
    <xf numFmtId="0" fontId="13" fillId="14" borderId="73" xfId="25" applyFont="1" applyFill="1" applyBorder="1" applyAlignment="1">
      <alignment horizontal="center" vertical="center"/>
    </xf>
    <xf numFmtId="0" fontId="13" fillId="8" borderId="5" xfId="25" applyFont="1" applyFill="1" applyBorder="1" applyAlignment="1">
      <alignment horizontal="center" vertical="center"/>
    </xf>
    <xf numFmtId="0" fontId="5" fillId="14" borderId="10" xfId="25" applyFont="1" applyFill="1" applyBorder="1" applyAlignment="1">
      <alignment horizontal="center" vertical="center" wrapText="1"/>
    </xf>
    <xf numFmtId="0" fontId="13" fillId="8" borderId="5" xfId="25" applyFont="1" applyFill="1" applyBorder="1">
      <alignment vertical="center"/>
    </xf>
    <xf numFmtId="0" fontId="115" fillId="0" borderId="0" xfId="0" applyFont="1"/>
    <xf numFmtId="0" fontId="115" fillId="0" borderId="0" xfId="0" applyFont="1" applyAlignment="1">
      <alignment vertical="center"/>
    </xf>
    <xf numFmtId="226" fontId="5" fillId="8" borderId="0" xfId="25" applyNumberFormat="1" applyFont="1" applyFill="1" applyAlignment="1"/>
    <xf numFmtId="0" fontId="118" fillId="8" borderId="0" xfId="0" applyFont="1" applyFill="1" applyAlignment="1">
      <alignment vertical="center"/>
    </xf>
    <xf numFmtId="0" fontId="99" fillId="0" borderId="0" xfId="122" applyFont="1"/>
    <xf numFmtId="0" fontId="115" fillId="0" borderId="0" xfId="121" applyFont="1"/>
    <xf numFmtId="0" fontId="115" fillId="0" borderId="0" xfId="82" applyFont="1" applyAlignment="1">
      <alignment vertical="center" wrapText="1"/>
    </xf>
    <xf numFmtId="49" fontId="115" fillId="0" borderId="33" xfId="69" quotePrefix="1" applyNumberFormat="1" applyFont="1" applyBorder="1" applyAlignment="1">
      <alignment vertical="center"/>
    </xf>
    <xf numFmtId="0" fontId="115" fillId="0" borderId="33" xfId="120" applyFont="1" applyBorder="1" applyAlignment="1">
      <alignment vertical="center"/>
    </xf>
    <xf numFmtId="0" fontId="115" fillId="0" borderId="33" xfId="75" applyFont="1" applyBorder="1" applyAlignment="1">
      <alignment wrapText="1"/>
    </xf>
    <xf numFmtId="0" fontId="115" fillId="0" borderId="33" xfId="82" applyFont="1" applyBorder="1" applyAlignment="1">
      <alignment horizontal="center" vertical="center" wrapText="1"/>
    </xf>
    <xf numFmtId="0" fontId="115" fillId="0" borderId="33" xfId="82" applyFont="1" applyBorder="1" applyAlignment="1">
      <alignment horizontal="right" vertical="center"/>
    </xf>
    <xf numFmtId="49" fontId="114" fillId="0" borderId="10" xfId="69" applyNumberFormat="1" applyFont="1" applyBorder="1" applyAlignment="1">
      <alignment horizontal="centerContinuous" vertical="center" wrapText="1"/>
    </xf>
    <xf numFmtId="49" fontId="114" fillId="0" borderId="10" xfId="69" quotePrefix="1" applyNumberFormat="1" applyFont="1" applyBorder="1" applyAlignment="1">
      <alignment horizontal="centerContinuous" vertical="center" wrapText="1"/>
    </xf>
    <xf numFmtId="49" fontId="115" fillId="0" borderId="10" xfId="69" applyNumberFormat="1" applyFont="1" applyBorder="1" applyAlignment="1">
      <alignment vertical="center" wrapText="1"/>
    </xf>
    <xf numFmtId="192" fontId="115" fillId="0" borderId="10" xfId="69" applyNumberFormat="1" applyFont="1" applyBorder="1" applyAlignment="1">
      <alignment horizontal="right" vertical="center" wrapText="1"/>
    </xf>
    <xf numFmtId="196" fontId="115" fillId="0" borderId="10" xfId="69" applyNumberFormat="1" applyFont="1" applyBorder="1" applyAlignment="1">
      <alignment horizontal="right" vertical="center" wrapText="1"/>
    </xf>
    <xf numFmtId="0" fontId="115" fillId="0" borderId="243" xfId="82" applyFont="1" applyBorder="1" applyAlignment="1">
      <alignment vertical="center" wrapText="1"/>
    </xf>
    <xf numFmtId="49" fontId="115" fillId="0" borderId="10" xfId="66" applyNumberFormat="1" applyFont="1" applyBorder="1" applyAlignment="1">
      <alignment horizontal="left" vertical="center" wrapText="1" indent="2"/>
    </xf>
    <xf numFmtId="49" fontId="115" fillId="0" borderId="10" xfId="69" applyNumberFormat="1" applyFont="1" applyBorder="1" applyAlignment="1">
      <alignment horizontal="left" vertical="center" wrapText="1" indent="4"/>
    </xf>
    <xf numFmtId="0" fontId="115" fillId="0" borderId="10" xfId="82" applyFont="1" applyBorder="1" applyAlignment="1">
      <alignment vertical="center" wrapText="1"/>
    </xf>
    <xf numFmtId="49" fontId="115" fillId="0" borderId="10" xfId="69" applyNumberFormat="1" applyFont="1" applyBorder="1" applyAlignment="1">
      <alignment horizontal="left" vertical="center" wrapText="1" indent="6"/>
    </xf>
    <xf numFmtId="49" fontId="115" fillId="0" borderId="10" xfId="69" applyNumberFormat="1" applyFont="1" applyBorder="1" applyAlignment="1">
      <alignment horizontal="left" vertical="center" wrapText="1" indent="8"/>
    </xf>
    <xf numFmtId="49" fontId="115" fillId="0" borderId="10" xfId="69" applyNumberFormat="1" applyFont="1" applyBorder="1" applyAlignment="1">
      <alignment horizontal="left" vertical="center" wrapText="1" indent="2"/>
    </xf>
    <xf numFmtId="49" fontId="99" fillId="0" borderId="10" xfId="69" applyNumberFormat="1" applyFont="1" applyBorder="1" applyAlignment="1">
      <alignment horizontal="left" vertical="center" wrapText="1" indent="8"/>
    </xf>
    <xf numFmtId="201" fontId="115" fillId="0" borderId="10" xfId="69" quotePrefix="1" applyNumberFormat="1" applyFont="1" applyBorder="1" applyAlignment="1">
      <alignment horizontal="center" vertical="center" wrapText="1"/>
    </xf>
    <xf numFmtId="49" fontId="115" fillId="0" borderId="10" xfId="66" applyNumberFormat="1" applyFont="1" applyBorder="1" applyAlignment="1">
      <alignment horizontal="left" vertical="center" wrapText="1" indent="4"/>
    </xf>
    <xf numFmtId="49" fontId="115" fillId="0" borderId="1" xfId="69" applyNumberFormat="1" applyFont="1" applyBorder="1" applyAlignment="1">
      <alignment horizontal="center" vertical="center"/>
    </xf>
    <xf numFmtId="49" fontId="115" fillId="0" borderId="1" xfId="69" applyNumberFormat="1" applyFont="1" applyBorder="1" applyAlignment="1">
      <alignment horizontal="left" vertical="center"/>
    </xf>
    <xf numFmtId="49" fontId="115" fillId="0" borderId="1" xfId="69" applyNumberFormat="1" applyFont="1" applyBorder="1" applyAlignment="1">
      <alignment horizontal="left" vertical="center" wrapText="1"/>
    </xf>
    <xf numFmtId="49" fontId="115" fillId="0" borderId="0" xfId="69" applyNumberFormat="1" applyFont="1" applyAlignment="1">
      <alignment vertical="center" wrapText="1"/>
    </xf>
    <xf numFmtId="49" fontId="115" fillId="0" borderId="0" xfId="69" applyNumberFormat="1" applyFont="1" applyAlignment="1">
      <alignment horizontal="center" vertical="center"/>
    </xf>
    <xf numFmtId="49" fontId="115" fillId="0" borderId="0" xfId="69" applyNumberFormat="1" applyFont="1" applyAlignment="1">
      <alignment horizontal="left" vertical="center"/>
    </xf>
    <xf numFmtId="49" fontId="115" fillId="0" borderId="0" xfId="69" applyNumberFormat="1" applyFont="1" applyAlignment="1">
      <alignment horizontal="left" vertical="center" wrapText="1"/>
    </xf>
    <xf numFmtId="0" fontId="115" fillId="0" borderId="0" xfId="120" applyFont="1" applyAlignment="1">
      <alignment vertical="center"/>
    </xf>
    <xf numFmtId="0" fontId="115" fillId="0" borderId="0" xfId="120" applyFont="1" applyAlignment="1">
      <alignment vertical="center" wrapText="1"/>
    </xf>
    <xf numFmtId="0" fontId="115" fillId="0" borderId="0" xfId="71" applyFont="1" applyAlignment="1">
      <alignment vertical="center"/>
    </xf>
    <xf numFmtId="0" fontId="115" fillId="0" borderId="0" xfId="118" applyFont="1" applyAlignment="1">
      <alignment vertical="center"/>
    </xf>
    <xf numFmtId="0" fontId="115" fillId="0" borderId="0" xfId="118" applyFont="1" applyAlignment="1">
      <alignment vertical="center" wrapText="1"/>
    </xf>
    <xf numFmtId="49" fontId="115" fillId="0" borderId="0" xfId="69" applyNumberFormat="1" applyFont="1" applyAlignment="1">
      <alignment vertical="center"/>
    </xf>
    <xf numFmtId="0" fontId="115" fillId="0" borderId="0" xfId="82" applyFont="1" applyAlignment="1">
      <alignment horizontal="center" vertical="center"/>
    </xf>
    <xf numFmtId="0" fontId="115" fillId="0" borderId="0" xfId="82" applyFont="1">
      <alignment vertical="center"/>
    </xf>
    <xf numFmtId="0" fontId="99" fillId="0" borderId="0" xfId="82" applyFont="1">
      <alignment vertical="center"/>
    </xf>
    <xf numFmtId="0" fontId="115" fillId="0" borderId="0" xfId="82" applyFont="1" applyAlignment="1">
      <alignment horizontal="center" vertical="center" wrapText="1"/>
    </xf>
    <xf numFmtId="0" fontId="115" fillId="0" borderId="0" xfId="71" applyFont="1" applyAlignment="1">
      <alignment vertical="center" wrapText="1"/>
    </xf>
    <xf numFmtId="0" fontId="115" fillId="0" borderId="33" xfId="71" quotePrefix="1" applyFont="1" applyBorder="1" applyAlignment="1">
      <alignment vertical="center"/>
    </xf>
    <xf numFmtId="0" fontId="115" fillId="0" borderId="33" xfId="118" applyFont="1" applyBorder="1" applyAlignment="1">
      <alignment vertical="center" wrapText="1"/>
    </xf>
    <xf numFmtId="0" fontId="114" fillId="0" borderId="10" xfId="71" applyFont="1" applyBorder="1" applyAlignment="1">
      <alignment vertical="center" wrapText="1"/>
    </xf>
    <xf numFmtId="0" fontId="114" fillId="0" borderId="10" xfId="71" quotePrefix="1" applyFont="1" applyBorder="1" applyAlignment="1">
      <alignment horizontal="center" vertical="center" wrapText="1"/>
    </xf>
    <xf numFmtId="0" fontId="115" fillId="0" borderId="10" xfId="108" applyFont="1" applyBorder="1" applyAlignment="1">
      <alignment horizontal="center" vertical="center" wrapText="1"/>
    </xf>
    <xf numFmtId="192" fontId="115" fillId="0" borderId="10" xfId="71" applyNumberFormat="1" applyFont="1" applyBorder="1" applyAlignment="1">
      <alignment horizontal="center" vertical="center" wrapText="1"/>
    </xf>
    <xf numFmtId="192" fontId="115" fillId="0" borderId="10" xfId="71" applyNumberFormat="1" applyFont="1" applyBorder="1" applyAlignment="1">
      <alignment horizontal="left" vertical="center" wrapText="1"/>
    </xf>
    <xf numFmtId="192" fontId="115" fillId="0" borderId="10" xfId="118" applyNumberFormat="1" applyFont="1" applyBorder="1" applyAlignment="1">
      <alignment horizontal="left" vertical="center" wrapText="1"/>
    </xf>
    <xf numFmtId="192" fontId="115" fillId="0" borderId="10" xfId="118" applyNumberFormat="1" applyFont="1" applyBorder="1" applyAlignment="1">
      <alignment horizontal="center" vertical="center" wrapText="1"/>
    </xf>
    <xf numFmtId="0" fontId="115" fillId="0" borderId="0" xfId="108" applyFont="1" applyAlignment="1">
      <alignment horizontal="center" vertical="center" wrapText="1"/>
    </xf>
    <xf numFmtId="192" fontId="115" fillId="0" borderId="0" xfId="118" applyNumberFormat="1" applyFont="1" applyAlignment="1">
      <alignment horizontal="center" vertical="center" wrapText="1"/>
    </xf>
    <xf numFmtId="192" fontId="115" fillId="0" borderId="0" xfId="118" applyNumberFormat="1" applyFont="1" applyAlignment="1">
      <alignment horizontal="left" vertical="center" wrapText="1"/>
    </xf>
    <xf numFmtId="192" fontId="115" fillId="0" borderId="0" xfId="71" applyNumberFormat="1" applyFont="1" applyAlignment="1">
      <alignment horizontal="left" vertical="center" wrapText="1"/>
    </xf>
    <xf numFmtId="0" fontId="115" fillId="0" borderId="0" xfId="71" applyFont="1" applyAlignment="1">
      <alignment horizontal="center" vertical="center"/>
    </xf>
    <xf numFmtId="0" fontId="115" fillId="0" borderId="0" xfId="71" applyFont="1" applyAlignment="1">
      <alignment horizontal="left" vertical="center"/>
    </xf>
    <xf numFmtId="0" fontId="99" fillId="0" borderId="0" xfId="71" applyFont="1" applyAlignment="1">
      <alignment vertical="center"/>
    </xf>
    <xf numFmtId="49" fontId="115" fillId="0" borderId="0" xfId="71" applyNumberFormat="1" applyFont="1" applyAlignment="1">
      <alignment vertical="center"/>
    </xf>
    <xf numFmtId="49" fontId="99" fillId="0" borderId="0" xfId="71" applyNumberFormat="1" applyFont="1" applyAlignment="1">
      <alignment vertical="center"/>
    </xf>
    <xf numFmtId="0" fontId="115" fillId="0" borderId="0" xfId="92" applyFont="1" applyAlignment="1">
      <alignment vertical="center"/>
    </xf>
    <xf numFmtId="0" fontId="115" fillId="0" borderId="0" xfId="85" applyFont="1" applyAlignment="1">
      <alignment vertical="center" wrapText="1"/>
    </xf>
    <xf numFmtId="0" fontId="121" fillId="0" borderId="0" xfId="103" applyFont="1" applyAlignment="1">
      <alignment horizontal="center" vertical="center" wrapText="1"/>
    </xf>
    <xf numFmtId="0" fontId="115" fillId="0" borderId="0" xfId="104" applyFont="1" applyAlignment="1">
      <alignment vertical="center" wrapText="1"/>
    </xf>
    <xf numFmtId="0" fontId="115" fillId="0" borderId="0" xfId="103" applyFont="1" applyAlignment="1">
      <alignment vertical="center"/>
    </xf>
    <xf numFmtId="0" fontId="115" fillId="0" borderId="0" xfId="103" applyFont="1" applyAlignment="1">
      <alignment vertical="center" wrapText="1"/>
    </xf>
    <xf numFmtId="0" fontId="115" fillId="0" borderId="0" xfId="103" applyFont="1" applyAlignment="1">
      <alignment horizontal="right" vertical="center" wrapText="1"/>
    </xf>
    <xf numFmtId="0" fontId="115" fillId="0" borderId="0" xfId="103" applyFont="1" applyAlignment="1">
      <alignment horizontal="right" vertical="center"/>
    </xf>
    <xf numFmtId="194" fontId="114" fillId="0" borderId="10" xfId="103" applyNumberFormat="1" applyFont="1" applyBorder="1" applyAlignment="1">
      <alignment horizontal="center" vertical="center" wrapText="1"/>
    </xf>
    <xf numFmtId="49" fontId="114" fillId="0" borderId="10" xfId="103" applyNumberFormat="1" applyFont="1" applyBorder="1" applyAlignment="1">
      <alignment horizontal="center" vertical="center" wrapText="1"/>
    </xf>
    <xf numFmtId="194" fontId="114" fillId="0" borderId="10" xfId="103" quotePrefix="1" applyNumberFormat="1" applyFont="1" applyBorder="1" applyAlignment="1">
      <alignment horizontal="center" vertical="center" wrapText="1"/>
    </xf>
    <xf numFmtId="0" fontId="115" fillId="0" borderId="10" xfId="103" applyFont="1" applyBorder="1" applyAlignment="1">
      <alignment horizontal="center" vertical="center" wrapText="1"/>
    </xf>
    <xf numFmtId="49" fontId="115" fillId="0" borderId="10" xfId="103" applyNumberFormat="1" applyFont="1" applyBorder="1" applyAlignment="1">
      <alignment horizontal="left" vertical="center" wrapText="1"/>
    </xf>
    <xf numFmtId="176" fontId="115" fillId="6" borderId="76" xfId="103" applyNumberFormat="1" applyFont="1" applyFill="1" applyBorder="1" applyAlignment="1">
      <alignment horizontal="left" vertical="center" wrapText="1"/>
    </xf>
    <xf numFmtId="179" fontId="115" fillId="0" borderId="244"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2"/>
    </xf>
    <xf numFmtId="176" fontId="115" fillId="6" borderId="25" xfId="103" applyNumberFormat="1" applyFont="1" applyFill="1" applyBorder="1" applyAlignment="1">
      <alignment horizontal="left" vertical="center" wrapText="1"/>
    </xf>
    <xf numFmtId="179" fontId="115" fillId="6" borderId="25"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4"/>
    </xf>
    <xf numFmtId="49" fontId="115" fillId="0" borderId="10" xfId="103" applyNumberFormat="1" applyFont="1" applyBorder="1" applyAlignment="1">
      <alignment horizontal="left" vertical="center" wrapText="1" indent="6"/>
    </xf>
    <xf numFmtId="179" fontId="115" fillId="0" borderId="25" xfId="132" applyNumberFormat="1" applyFont="1" applyFill="1" applyBorder="1" applyAlignment="1">
      <alignment horizontal="right" vertical="center" wrapText="1"/>
    </xf>
    <xf numFmtId="179" fontId="115" fillId="0" borderId="245" xfId="132" applyNumberFormat="1" applyFont="1" applyFill="1" applyBorder="1" applyAlignment="1">
      <alignment horizontal="right" vertical="center" wrapText="1"/>
    </xf>
    <xf numFmtId="49" fontId="115" fillId="8" borderId="10" xfId="103" applyNumberFormat="1" applyFont="1" applyFill="1" applyBorder="1" applyAlignment="1">
      <alignment horizontal="left" vertical="center" wrapText="1" indent="6"/>
    </xf>
    <xf numFmtId="49" fontId="115" fillId="0" borderId="10" xfId="103" applyNumberFormat="1" applyFont="1" applyBorder="1" applyAlignment="1">
      <alignment horizontal="center" vertical="center" wrapText="1"/>
    </xf>
    <xf numFmtId="49" fontId="115" fillId="8" borderId="10" xfId="103" quotePrefix="1" applyNumberFormat="1" applyFont="1" applyFill="1" applyBorder="1" applyAlignment="1">
      <alignment horizontal="left" vertical="center" wrapText="1" indent="6"/>
    </xf>
    <xf numFmtId="0" fontId="115" fillId="0" borderId="20" xfId="103" applyFont="1" applyBorder="1" applyAlignment="1">
      <alignment vertical="center" wrapText="1"/>
    </xf>
    <xf numFmtId="176" fontId="115" fillId="6" borderId="25" xfId="103" applyNumberFormat="1" applyFont="1" applyFill="1" applyBorder="1" applyAlignment="1">
      <alignment vertical="center" wrapText="1"/>
    </xf>
    <xf numFmtId="176" fontId="115" fillId="6" borderId="25" xfId="103" applyNumberFormat="1" applyFont="1" applyFill="1" applyBorder="1" applyAlignment="1">
      <alignment horizontal="center" vertical="center" wrapText="1"/>
    </xf>
    <xf numFmtId="179" fontId="115" fillId="0" borderId="25" xfId="132" applyNumberFormat="1" applyFont="1" applyFill="1" applyBorder="1" applyAlignment="1">
      <alignment horizontal="left" vertical="center" wrapText="1"/>
    </xf>
    <xf numFmtId="0" fontId="115" fillId="0" borderId="10" xfId="103" applyFont="1" applyBorder="1" applyAlignment="1">
      <alignment horizontal="left" vertical="center" wrapText="1"/>
    </xf>
    <xf numFmtId="176" fontId="115" fillId="6" borderId="79" xfId="103" applyNumberFormat="1" applyFont="1" applyFill="1" applyBorder="1" applyAlignment="1">
      <alignment horizontal="left" vertical="center" wrapText="1"/>
    </xf>
    <xf numFmtId="179" fontId="115" fillId="6" borderId="79" xfId="132" applyNumberFormat="1" applyFont="1" applyFill="1" applyBorder="1" applyAlignment="1">
      <alignment horizontal="right" vertical="center" wrapText="1"/>
    </xf>
    <xf numFmtId="0" fontId="115" fillId="0" borderId="0" xfId="103" applyFont="1" applyAlignment="1">
      <alignment horizontal="left" vertical="center" wrapText="1"/>
    </xf>
    <xf numFmtId="0" fontId="115" fillId="0" borderId="0" xfId="81" applyFont="1" applyAlignment="1">
      <alignment vertical="center" wrapText="1"/>
    </xf>
    <xf numFmtId="0" fontId="115" fillId="0" borderId="0" xfId="103" applyFont="1" applyAlignment="1">
      <alignment horizontal="center" vertical="center" wrapText="1"/>
    </xf>
    <xf numFmtId="0" fontId="115" fillId="0" borderId="0" xfId="103" applyFont="1" applyAlignment="1">
      <alignment horizontal="center" vertical="center"/>
    </xf>
    <xf numFmtId="200" fontId="115" fillId="0" borderId="76" xfId="66" applyNumberFormat="1" applyFont="1" applyBorder="1" applyAlignment="1">
      <alignment horizontal="center" vertical="center" wrapText="1"/>
    </xf>
    <xf numFmtId="49" fontId="114" fillId="0" borderId="76" xfId="103" applyNumberFormat="1" applyFont="1" applyBorder="1" applyAlignment="1">
      <alignment horizontal="left" vertical="center" wrapText="1"/>
    </xf>
    <xf numFmtId="192" fontId="115" fillId="0" borderId="76" xfId="103" applyNumberFormat="1" applyFont="1" applyBorder="1" applyAlignment="1">
      <alignment horizontal="right" vertical="center" wrapText="1"/>
    </xf>
    <xf numFmtId="194" fontId="115" fillId="0" borderId="244" xfId="103" applyNumberFormat="1" applyFont="1" applyBorder="1" applyAlignment="1">
      <alignment horizontal="right" vertical="center" wrapText="1"/>
    </xf>
    <xf numFmtId="200" fontId="115" fillId="0" borderId="25" xfId="66" applyNumberFormat="1" applyFont="1" applyBorder="1" applyAlignment="1">
      <alignment horizontal="center" vertical="center" wrapText="1"/>
    </xf>
    <xf numFmtId="0" fontId="115" fillId="0" borderId="76" xfId="103" applyFont="1" applyBorder="1" applyAlignment="1">
      <alignment horizontal="left" vertical="center" wrapText="1" indent="2"/>
    </xf>
    <xf numFmtId="192" fontId="115" fillId="0" borderId="25" xfId="103" applyNumberFormat="1" applyFont="1" applyBorder="1" applyAlignment="1">
      <alignment horizontal="right" vertical="center" wrapText="1"/>
    </xf>
    <xf numFmtId="194" fontId="115" fillId="6" borderId="25" xfId="103" applyNumberFormat="1" applyFont="1" applyFill="1" applyBorder="1" applyAlignment="1">
      <alignment horizontal="right" vertical="center" wrapText="1"/>
    </xf>
    <xf numFmtId="0" fontId="115" fillId="0" borderId="25" xfId="103" applyFont="1" applyBorder="1" applyAlignment="1">
      <alignment horizontal="left" vertical="center" wrapText="1" indent="4"/>
    </xf>
    <xf numFmtId="192" fontId="115" fillId="0" borderId="245" xfId="103" applyNumberFormat="1" applyFont="1" applyBorder="1" applyAlignment="1">
      <alignment horizontal="right" vertical="center" wrapText="1"/>
    </xf>
    <xf numFmtId="194" fontId="115" fillId="0" borderId="25" xfId="103" applyNumberFormat="1" applyFont="1" applyBorder="1" applyAlignment="1">
      <alignment horizontal="right" vertical="center" wrapText="1"/>
    </xf>
    <xf numFmtId="200" fontId="115" fillId="0" borderId="79" xfId="66" applyNumberFormat="1" applyFont="1" applyBorder="1" applyAlignment="1">
      <alignment horizontal="center" vertical="center" wrapText="1"/>
    </xf>
    <xf numFmtId="0" fontId="115" fillId="0" borderId="79" xfId="103" applyFont="1" applyBorder="1" applyAlignment="1">
      <alignment horizontal="left" vertical="center" wrapText="1" indent="4"/>
    </xf>
    <xf numFmtId="192" fontId="115" fillId="0" borderId="79" xfId="103" applyNumberFormat="1" applyFont="1" applyBorder="1" applyAlignment="1">
      <alignment horizontal="right" vertical="center" wrapText="1"/>
    </xf>
    <xf numFmtId="192" fontId="115" fillId="0" borderId="246" xfId="103" applyNumberFormat="1" applyFont="1" applyBorder="1" applyAlignment="1">
      <alignment horizontal="right" vertical="center" wrapText="1"/>
    </xf>
    <xf numFmtId="194" fontId="115" fillId="0" borderId="79" xfId="103" applyNumberFormat="1" applyFont="1" applyBorder="1" applyAlignment="1">
      <alignment horizontal="right" vertical="center" wrapText="1"/>
    </xf>
    <xf numFmtId="194" fontId="115" fillId="6" borderId="76" xfId="103" applyNumberFormat="1" applyFont="1" applyFill="1" applyBorder="1" applyAlignment="1">
      <alignment horizontal="right" vertical="center" wrapText="1"/>
    </xf>
    <xf numFmtId="200" fontId="115" fillId="0" borderId="110" xfId="66" applyNumberFormat="1" applyFont="1" applyBorder="1" applyAlignment="1">
      <alignment horizontal="center" vertical="center" wrapText="1"/>
    </xf>
    <xf numFmtId="0" fontId="115" fillId="0" borderId="110" xfId="103" applyFont="1" applyBorder="1" applyAlignment="1">
      <alignment horizontal="left" vertical="center" wrapText="1" indent="4"/>
    </xf>
    <xf numFmtId="192" fontId="115" fillId="0" borderId="110" xfId="103" applyNumberFormat="1" applyFont="1" applyBorder="1" applyAlignment="1">
      <alignment horizontal="right" vertical="center" wrapText="1"/>
    </xf>
    <xf numFmtId="192" fontId="115" fillId="0" borderId="247" xfId="103" applyNumberFormat="1" applyFont="1" applyBorder="1" applyAlignment="1">
      <alignment horizontal="right" vertical="center" wrapText="1"/>
    </xf>
    <xf numFmtId="194" fontId="115" fillId="0" borderId="110" xfId="103" applyNumberFormat="1" applyFont="1" applyBorder="1" applyAlignment="1">
      <alignment horizontal="right" vertical="center" wrapText="1"/>
    </xf>
    <xf numFmtId="200" fontId="115" fillId="0" borderId="10" xfId="66" applyNumberFormat="1" applyFont="1" applyBorder="1" applyAlignment="1">
      <alignment horizontal="center" vertical="center" wrapText="1"/>
    </xf>
    <xf numFmtId="0" fontId="115" fillId="0" borderId="10" xfId="103" applyFont="1" applyBorder="1" applyAlignment="1">
      <alignment horizontal="left" vertical="center" wrapText="1" indent="2"/>
    </xf>
    <xf numFmtId="192" fontId="115" fillId="0" borderId="10" xfId="103" applyNumberFormat="1" applyFont="1" applyBorder="1" applyAlignment="1">
      <alignment horizontal="right" vertical="center" wrapText="1"/>
    </xf>
    <xf numFmtId="194" fontId="115" fillId="0" borderId="140" xfId="103" applyNumberFormat="1" applyFont="1" applyBorder="1" applyAlignment="1">
      <alignment horizontal="right" vertical="center" wrapText="1"/>
    </xf>
    <xf numFmtId="0" fontId="115" fillId="0" borderId="25" xfId="103" applyFont="1" applyBorder="1" applyAlignment="1">
      <alignment horizontal="left" vertical="center" wrapText="1" indent="6"/>
    </xf>
    <xf numFmtId="0" fontId="115" fillId="0" borderId="79" xfId="103" applyFont="1" applyBorder="1" applyAlignment="1">
      <alignment horizontal="left" vertical="center" wrapText="1" indent="6"/>
    </xf>
    <xf numFmtId="194" fontId="115" fillId="0" borderId="246" xfId="103" applyNumberFormat="1" applyFont="1" applyBorder="1" applyAlignment="1">
      <alignment horizontal="right" vertical="center" wrapText="1"/>
    </xf>
    <xf numFmtId="194" fontId="115" fillId="0" borderId="245" xfId="103" applyNumberFormat="1" applyFont="1" applyBorder="1" applyAlignment="1">
      <alignment horizontal="right" vertical="center" wrapText="1"/>
    </xf>
    <xf numFmtId="49" fontId="115" fillId="0" borderId="25" xfId="66" applyNumberFormat="1" applyFont="1" applyBorder="1" applyAlignment="1">
      <alignment horizontal="center" vertical="center" wrapText="1"/>
    </xf>
    <xf numFmtId="49" fontId="115" fillId="8" borderId="25" xfId="103" quotePrefix="1" applyNumberFormat="1" applyFont="1" applyFill="1" applyBorder="1" applyAlignment="1">
      <alignment horizontal="left" vertical="center" wrapText="1" indent="6"/>
    </xf>
    <xf numFmtId="49" fontId="115" fillId="0" borderId="76" xfId="66" applyNumberFormat="1" applyFont="1" applyBorder="1" applyAlignment="1">
      <alignment horizontal="center" vertical="center" wrapText="1"/>
    </xf>
    <xf numFmtId="192" fontId="115" fillId="0" borderId="248" xfId="103" applyNumberFormat="1" applyFont="1" applyBorder="1" applyAlignment="1">
      <alignment horizontal="right" vertical="center" wrapText="1"/>
    </xf>
    <xf numFmtId="49" fontId="115" fillId="0" borderId="110" xfId="66" applyNumberFormat="1" applyFont="1" applyBorder="1" applyAlignment="1">
      <alignment horizontal="center" vertical="center" wrapText="1"/>
    </xf>
    <xf numFmtId="192" fontId="115" fillId="0" borderId="249" xfId="103" applyNumberFormat="1" applyFont="1" applyBorder="1" applyAlignment="1">
      <alignment horizontal="right" vertical="center" wrapText="1"/>
    </xf>
    <xf numFmtId="49" fontId="114" fillId="0" borderId="10" xfId="103" applyNumberFormat="1" applyFont="1" applyBorder="1" applyAlignment="1">
      <alignment horizontal="left" vertical="center" wrapText="1"/>
    </xf>
    <xf numFmtId="194" fontId="115" fillId="6" borderId="10" xfId="103" applyNumberFormat="1" applyFont="1" applyFill="1" applyBorder="1" applyAlignment="1">
      <alignment horizontal="right" vertical="center" wrapText="1"/>
    </xf>
    <xf numFmtId="49" fontId="115" fillId="0" borderId="76" xfId="103" applyNumberFormat="1" applyFont="1" applyBorder="1" applyAlignment="1">
      <alignment horizontal="left" vertical="center" wrapText="1" indent="2"/>
    </xf>
    <xf numFmtId="49" fontId="115" fillId="0" borderId="25" xfId="103" applyNumberFormat="1" applyFont="1" applyBorder="1" applyAlignment="1">
      <alignment horizontal="left" vertical="center" wrapText="1" indent="4"/>
    </xf>
    <xf numFmtId="201" fontId="115" fillId="0" borderId="25" xfId="66" applyNumberFormat="1" applyFont="1" applyBorder="1" applyAlignment="1">
      <alignment horizontal="center" vertical="center" wrapText="1"/>
    </xf>
    <xf numFmtId="201" fontId="115" fillId="0" borderId="79" xfId="66" applyNumberFormat="1" applyFont="1" applyBorder="1" applyAlignment="1">
      <alignment horizontal="center" vertical="center" wrapText="1"/>
    </xf>
    <xf numFmtId="201" fontId="115" fillId="0" borderId="76" xfId="66" applyNumberFormat="1" applyFont="1" applyBorder="1" applyAlignment="1">
      <alignment horizontal="center" vertical="center" wrapText="1"/>
    </xf>
    <xf numFmtId="201" fontId="115" fillId="0" borderId="110" xfId="66" applyNumberFormat="1" applyFont="1" applyBorder="1" applyAlignment="1">
      <alignment horizontal="center" vertical="center" wrapText="1"/>
    </xf>
    <xf numFmtId="194" fontId="115" fillId="0" borderId="247" xfId="103" applyNumberFormat="1" applyFont="1" applyBorder="1" applyAlignment="1">
      <alignment horizontal="right" vertical="center" wrapText="1"/>
    </xf>
    <xf numFmtId="201" fontId="115" fillId="0" borderId="10" xfId="66" applyNumberFormat="1" applyFont="1" applyBorder="1" applyAlignment="1">
      <alignment horizontal="center" vertical="center" wrapText="1"/>
    </xf>
    <xf numFmtId="201" fontId="115" fillId="0" borderId="20" xfId="66" applyNumberFormat="1" applyFont="1" applyBorder="1" applyAlignment="1">
      <alignment horizontal="center" vertical="center" wrapText="1"/>
    </xf>
    <xf numFmtId="0" fontId="114" fillId="0" borderId="20" xfId="103" applyFont="1" applyBorder="1" applyAlignment="1">
      <alignment horizontal="left" vertical="center" wrapText="1"/>
    </xf>
    <xf numFmtId="192" fontId="115" fillId="0" borderId="20" xfId="103" applyNumberFormat="1" applyFont="1" applyBorder="1" applyAlignment="1">
      <alignment horizontal="right" vertical="center" wrapText="1"/>
    </xf>
    <xf numFmtId="194" fontId="115" fillId="0" borderId="20" xfId="103" applyNumberFormat="1" applyFont="1" applyBorder="1" applyAlignment="1">
      <alignment horizontal="right" vertical="center" wrapText="1"/>
    </xf>
    <xf numFmtId="201" fontId="115" fillId="0" borderId="0" xfId="66" applyNumberFormat="1" applyFont="1" applyAlignment="1">
      <alignment horizontal="center" vertical="center" wrapText="1"/>
    </xf>
    <xf numFmtId="0" fontId="114" fillId="0" borderId="0" xfId="103" applyFont="1" applyAlignment="1">
      <alignment horizontal="left" vertical="center" wrapText="1"/>
    </xf>
    <xf numFmtId="192" fontId="115" fillId="0" borderId="0" xfId="103" applyNumberFormat="1" applyFont="1" applyAlignment="1">
      <alignment horizontal="right" vertical="center" wrapText="1"/>
    </xf>
    <xf numFmtId="194" fontId="115" fillId="0" borderId="0" xfId="103" applyNumberFormat="1" applyFont="1" applyAlignment="1">
      <alignment horizontal="right" vertical="center" wrapText="1"/>
    </xf>
    <xf numFmtId="0" fontId="115" fillId="0" borderId="0" xfId="103" applyFont="1" applyAlignment="1">
      <alignment vertical="top" wrapText="1"/>
    </xf>
    <xf numFmtId="0" fontId="115" fillId="0" borderId="0" xfId="103" applyFont="1" applyAlignment="1">
      <alignment horizontal="left" vertical="center"/>
    </xf>
    <xf numFmtId="49" fontId="115" fillId="0" borderId="0" xfId="103" applyNumberFormat="1" applyFont="1" applyAlignment="1">
      <alignment horizontal="center" vertical="center" wrapText="1"/>
    </xf>
    <xf numFmtId="0" fontId="115" fillId="0" borderId="0" xfId="76" applyFont="1" applyAlignment="1">
      <alignment vertical="center" wrapText="1"/>
    </xf>
    <xf numFmtId="0" fontId="115" fillId="0" borderId="0" xfId="76" quotePrefix="1" applyFont="1" applyAlignment="1">
      <alignment vertical="center"/>
    </xf>
    <xf numFmtId="0" fontId="115" fillId="0" borderId="0" xfId="76" quotePrefix="1" applyFont="1" applyAlignment="1">
      <alignment vertical="center" wrapText="1"/>
    </xf>
    <xf numFmtId="0" fontId="114" fillId="0" borderId="10" xfId="76" applyFont="1" applyBorder="1" applyAlignment="1">
      <alignment horizontal="centerContinuous" vertical="center" wrapText="1"/>
    </xf>
    <xf numFmtId="179" fontId="115" fillId="0" borderId="10" xfId="132" applyNumberFormat="1" applyFont="1" applyFill="1" applyBorder="1" applyAlignment="1" applyProtection="1">
      <alignment horizontal="right" vertical="center" wrapText="1"/>
      <protection locked="0"/>
    </xf>
    <xf numFmtId="0" fontId="115" fillId="0" borderId="10" xfId="76" applyFont="1" applyBorder="1" applyAlignment="1">
      <alignment horizontal="left" vertical="center" wrapText="1" indent="2"/>
    </xf>
    <xf numFmtId="0" fontId="115" fillId="0" borderId="10" xfId="76" applyFont="1" applyBorder="1" applyAlignment="1">
      <alignment horizontal="left" vertical="center" wrapText="1"/>
    </xf>
    <xf numFmtId="0" fontId="115" fillId="0" borderId="10" xfId="76" applyFont="1" applyBorder="1" applyAlignment="1">
      <alignment vertical="center"/>
    </xf>
    <xf numFmtId="192" fontId="99" fillId="0" borderId="10" xfId="71" applyNumberFormat="1" applyFont="1" applyBorder="1" applyAlignment="1">
      <alignment horizontal="left" vertical="center" wrapText="1"/>
    </xf>
    <xf numFmtId="179" fontId="115" fillId="6" borderId="10" xfId="132" applyNumberFormat="1" applyFont="1" applyFill="1" applyBorder="1" applyAlignment="1">
      <alignment horizontal="right" vertical="center" wrapText="1"/>
    </xf>
    <xf numFmtId="0" fontId="115" fillId="0" borderId="11" xfId="71" applyFont="1" applyBorder="1" applyAlignment="1">
      <alignment horizontal="left" vertical="center" indent="2"/>
    </xf>
    <xf numFmtId="0" fontId="115" fillId="0" borderId="11" xfId="71" applyFont="1" applyBorder="1" applyAlignment="1">
      <alignment horizontal="left" vertical="center" indent="4"/>
    </xf>
    <xf numFmtId="0" fontId="99" fillId="0" borderId="11" xfId="71" applyFont="1" applyBorder="1" applyAlignment="1">
      <alignment horizontal="left" vertical="center" indent="6"/>
    </xf>
    <xf numFmtId="0" fontId="115" fillId="0" borderId="11" xfId="71" applyFont="1" applyBorder="1" applyAlignment="1">
      <alignment horizontal="left" vertical="center" indent="6"/>
    </xf>
    <xf numFmtId="0" fontId="99" fillId="0" borderId="11" xfId="71" applyFont="1" applyBorder="1" applyAlignment="1">
      <alignment horizontal="left" vertical="center"/>
    </xf>
    <xf numFmtId="0" fontId="99" fillId="0" borderId="11" xfId="71" applyFont="1" applyBorder="1" applyAlignment="1">
      <alignment horizontal="left" vertical="center" indent="4"/>
    </xf>
    <xf numFmtId="0" fontId="115" fillId="0" borderId="11" xfId="71" applyFont="1" applyBorder="1" applyAlignment="1">
      <alignment vertical="center"/>
    </xf>
    <xf numFmtId="0" fontId="115" fillId="0" borderId="0" xfId="71" applyFont="1" applyAlignment="1">
      <alignment horizontal="left" vertical="center" wrapText="1"/>
    </xf>
    <xf numFmtId="0" fontId="115" fillId="0" borderId="0" xfId="120" applyFont="1" applyAlignment="1">
      <alignment wrapText="1"/>
    </xf>
    <xf numFmtId="0" fontId="115" fillId="0" borderId="10" xfId="71" applyFont="1" applyBorder="1" applyAlignment="1">
      <alignment horizontal="center" vertical="center" wrapText="1"/>
    </xf>
    <xf numFmtId="0" fontId="115" fillId="0" borderId="10" xfId="71" applyFont="1" applyBorder="1" applyAlignment="1">
      <alignment horizontal="left" vertical="center" wrapText="1"/>
    </xf>
    <xf numFmtId="179" fontId="99" fillId="6" borderId="10" xfId="132" applyNumberFormat="1" applyFont="1" applyFill="1" applyBorder="1" applyAlignment="1" applyProtection="1">
      <alignment horizontal="center" vertical="center" wrapText="1"/>
    </xf>
    <xf numFmtId="179" fontId="115" fillId="6" borderId="140" xfId="132" applyNumberFormat="1" applyFont="1" applyFill="1" applyBorder="1" applyAlignment="1">
      <alignment horizontal="left" vertical="center" wrapText="1"/>
    </xf>
    <xf numFmtId="0" fontId="99" fillId="6" borderId="20" xfId="71" applyFont="1" applyFill="1" applyBorder="1" applyAlignment="1">
      <alignment horizontal="center" vertical="center" wrapText="1"/>
    </xf>
    <xf numFmtId="0" fontId="115" fillId="0" borderId="0" xfId="71" applyFont="1" applyAlignment="1">
      <alignment horizontal="center" vertical="center" wrapText="1"/>
    </xf>
    <xf numFmtId="0" fontId="115" fillId="0" borderId="0" xfId="92" applyFont="1" applyAlignment="1">
      <alignment wrapText="1"/>
    </xf>
    <xf numFmtId="0" fontId="123" fillId="0" borderId="0" xfId="113" applyFont="1" applyAlignment="1">
      <alignment horizontal="left" vertical="center"/>
    </xf>
    <xf numFmtId="0" fontId="123" fillId="0" borderId="0" xfId="0" applyFont="1" applyAlignment="1">
      <alignment horizontal="left" vertical="center"/>
    </xf>
    <xf numFmtId="0" fontId="123" fillId="0" borderId="0" xfId="113" applyFont="1" applyAlignment="1">
      <alignment vertical="center"/>
    </xf>
    <xf numFmtId="0" fontId="123" fillId="0" borderId="0" xfId="91" applyFont="1" applyAlignment="1">
      <alignment vertical="center"/>
    </xf>
    <xf numFmtId="0" fontId="123" fillId="0" borderId="0" xfId="84" applyFont="1" applyAlignment="1">
      <alignment horizontal="right"/>
    </xf>
    <xf numFmtId="0" fontId="123" fillId="0" borderId="10" xfId="67" applyFont="1" applyBorder="1" applyAlignment="1">
      <alignment horizontal="centerContinuous" vertical="center"/>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3" fillId="0" borderId="20" xfId="67" applyFont="1" applyBorder="1" applyAlignment="1">
      <alignment horizontal="center" vertical="center" wrapText="1"/>
    </xf>
    <xf numFmtId="0" fontId="124" fillId="0" borderId="20" xfId="93" quotePrefix="1" applyFont="1" applyBorder="1" applyAlignment="1">
      <alignment horizontal="center"/>
    </xf>
    <xf numFmtId="0" fontId="124" fillId="0" borderId="20" xfId="93" quotePrefix="1" applyFont="1" applyBorder="1" applyAlignment="1">
      <alignment horizontal="center" wrapText="1"/>
    </xf>
    <xf numFmtId="0" fontId="123" fillId="0" borderId="10" xfId="91" applyFont="1" applyBorder="1" applyAlignment="1">
      <alignment horizontal="center" vertical="center"/>
    </xf>
    <xf numFmtId="0" fontId="123" fillId="0" borderId="10" xfId="91" applyFont="1" applyBorder="1" applyAlignment="1" applyProtection="1">
      <alignment horizontal="center" vertical="center" wrapText="1"/>
      <protection locked="0"/>
    </xf>
    <xf numFmtId="194" fontId="124" fillId="0" borderId="10" xfId="113" applyNumberFormat="1" applyFont="1" applyBorder="1" applyAlignment="1" applyProtection="1">
      <alignment vertical="center"/>
      <protection locked="0"/>
    </xf>
    <xf numFmtId="194" fontId="124" fillId="0" borderId="10" xfId="253" applyNumberFormat="1" applyFont="1" applyFill="1" applyBorder="1" applyAlignment="1" applyProtection="1">
      <alignment vertical="center"/>
      <protection locked="0"/>
    </xf>
    <xf numFmtId="0" fontId="123" fillId="0" borderId="167" xfId="91" applyFont="1" applyBorder="1" applyAlignment="1">
      <alignment horizontal="center" vertical="center"/>
    </xf>
    <xf numFmtId="0" fontId="123" fillId="0" borderId="0" xfId="93" applyFont="1"/>
    <xf numFmtId="0" fontId="123" fillId="0" borderId="0" xfId="93" applyFont="1" applyAlignment="1">
      <alignment horizontal="left" wrapText="1"/>
    </xf>
    <xf numFmtId="0" fontId="124" fillId="0" borderId="0" xfId="93" applyFont="1" applyAlignment="1">
      <alignment horizontal="center"/>
    </xf>
    <xf numFmtId="0" fontId="124" fillId="0" borderId="0" xfId="93" applyFont="1" applyAlignment="1">
      <alignment horizontal="center" vertical="center"/>
    </xf>
    <xf numFmtId="0" fontId="124" fillId="0" borderId="0" xfId="93" applyFont="1" applyAlignment="1">
      <alignment horizontal="left"/>
    </xf>
    <xf numFmtId="0" fontId="124" fillId="0" borderId="0" xfId="93" applyFont="1" applyAlignment="1">
      <alignment horizontal="left" wrapText="1"/>
    </xf>
    <xf numFmtId="0" fontId="115" fillId="0" borderId="0" xfId="93" applyFont="1" applyAlignment="1">
      <alignment horizontal="left" wrapText="1"/>
    </xf>
    <xf numFmtId="0" fontId="122" fillId="0" borderId="0" xfId="0" applyFont="1"/>
    <xf numFmtId="0" fontId="123" fillId="0" borderId="0" xfId="0" applyFont="1" applyAlignment="1">
      <alignment horizontal="left" wrapText="1"/>
    </xf>
    <xf numFmtId="0" fontId="123" fillId="0" borderId="0" xfId="0" applyFont="1"/>
    <xf numFmtId="0" fontId="125" fillId="0" borderId="0" xfId="84" applyFont="1" applyAlignment="1">
      <alignment horizontal="right"/>
    </xf>
    <xf numFmtId="0" fontId="124" fillId="0" borderId="10" xfId="113" applyFont="1" applyBorder="1" applyAlignment="1" applyProtection="1">
      <alignment vertical="center"/>
      <protection locked="0"/>
    </xf>
    <xf numFmtId="177" fontId="124" fillId="0" borderId="10" xfId="113" applyNumberFormat="1" applyFont="1" applyBorder="1" applyAlignment="1">
      <alignment vertical="center"/>
    </xf>
    <xf numFmtId="0" fontId="123" fillId="0" borderId="0" xfId="93" applyFont="1" applyAlignment="1">
      <alignment wrapText="1"/>
    </xf>
    <xf numFmtId="0" fontId="115" fillId="0" borderId="0" xfId="94" applyFont="1" applyAlignment="1">
      <alignment horizontal="left" wrapText="1"/>
    </xf>
    <xf numFmtId="0" fontId="125" fillId="0" borderId="0" xfId="93" applyFont="1" applyAlignment="1">
      <alignment horizontal="left" wrapText="1"/>
    </xf>
    <xf numFmtId="0" fontId="115" fillId="0" borderId="0" xfId="63" applyFont="1" applyAlignment="1">
      <alignment vertical="center" wrapText="1"/>
    </xf>
    <xf numFmtId="0" fontId="115" fillId="0" borderId="0" xfId="58" applyFont="1" applyAlignment="1" applyProtection="1">
      <alignment horizontal="center" vertical="center" wrapText="1"/>
      <protection locked="0"/>
    </xf>
    <xf numFmtId="0" fontId="115" fillId="0" borderId="0" xfId="58" applyFont="1" applyAlignment="1">
      <alignment horizontal="center" vertical="center" wrapText="1"/>
    </xf>
    <xf numFmtId="0" fontId="115" fillId="0" borderId="0" xfId="58" applyFont="1" applyAlignment="1">
      <alignment vertical="center" wrapText="1"/>
    </xf>
    <xf numFmtId="0" fontId="115" fillId="0" borderId="0" xfId="61" applyFont="1" applyAlignment="1">
      <alignment horizontal="left" vertical="center"/>
    </xf>
    <xf numFmtId="0" fontId="115" fillId="0" borderId="0" xfId="61" applyFont="1" applyAlignment="1">
      <alignment horizontal="left" vertical="center" wrapText="1"/>
    </xf>
    <xf numFmtId="0" fontId="115" fillId="0" borderId="0" xfId="61" applyFont="1" applyAlignment="1">
      <alignment horizontal="center" vertical="center" wrapText="1"/>
    </xf>
    <xf numFmtId="0" fontId="115" fillId="0" borderId="0" xfId="61" applyFont="1" applyAlignment="1">
      <alignment horizontal="right"/>
    </xf>
    <xf numFmtId="0" fontId="115" fillId="0" borderId="0" xfId="61" applyFont="1" applyAlignment="1">
      <alignment vertical="center" wrapText="1"/>
    </xf>
    <xf numFmtId="49" fontId="114" fillId="0" borderId="10" xfId="63" applyNumberFormat="1" applyFont="1" applyBorder="1" applyAlignment="1">
      <alignment horizontal="center" vertical="center" wrapText="1"/>
    </xf>
    <xf numFmtId="0" fontId="115" fillId="0" borderId="20" xfId="81" applyFont="1" applyBorder="1" applyAlignment="1">
      <alignment horizontal="center" vertical="center" wrapText="1"/>
    </xf>
    <xf numFmtId="0" fontId="115" fillId="5" borderId="76" xfId="63" applyFont="1" applyFill="1" applyBorder="1" applyAlignment="1">
      <alignment vertical="center" wrapText="1"/>
    </xf>
    <xf numFmtId="0" fontId="115" fillId="5" borderId="76" xfId="63" applyFont="1" applyFill="1" applyBorder="1" applyAlignment="1" applyProtection="1">
      <alignment horizontal="left" vertical="center" wrapText="1"/>
      <protection locked="0"/>
    </xf>
    <xf numFmtId="179" fontId="115" fillId="5" borderId="76" xfId="132" applyNumberFormat="1" applyFont="1" applyFill="1" applyBorder="1" applyAlignment="1" applyProtection="1">
      <alignment horizontal="center" vertical="center" wrapText="1"/>
    </xf>
    <xf numFmtId="0" fontId="115" fillId="0" borderId="10" xfId="81" applyFont="1" applyBorder="1" applyAlignment="1">
      <alignment horizontal="center" vertical="center" wrapText="1"/>
    </xf>
    <xf numFmtId="0" fontId="115" fillId="5" borderId="25" xfId="63" applyFont="1" applyFill="1" applyBorder="1" applyAlignment="1">
      <alignment horizontal="left" vertical="center" wrapText="1" indent="2"/>
    </xf>
    <xf numFmtId="0" fontId="115" fillId="5" borderId="25" xfId="63" applyFont="1" applyFill="1" applyBorder="1" applyAlignment="1" applyProtection="1">
      <alignment horizontal="left" vertical="center" wrapText="1"/>
      <protection locked="0"/>
    </xf>
    <xf numFmtId="179" fontId="115" fillId="5"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4"/>
    </xf>
    <xf numFmtId="179" fontId="115" fillId="5" borderId="25" xfId="132" applyNumberFormat="1" applyFont="1" applyFill="1" applyBorder="1" applyAlignment="1" applyProtection="1">
      <alignment horizontal="center" vertical="center" wrapText="1"/>
      <protection locked="0"/>
    </xf>
    <xf numFmtId="0" fontId="115" fillId="0" borderId="25" xfId="63" applyFont="1" applyBorder="1" applyAlignment="1">
      <alignment horizontal="left" vertical="center" wrapText="1" indent="6"/>
    </xf>
    <xf numFmtId="0" fontId="115" fillId="0" borderId="25" xfId="63" applyFont="1" applyBorder="1" applyAlignment="1" applyProtection="1">
      <alignment horizontal="left" vertical="center" wrapText="1"/>
      <protection locked="0"/>
    </xf>
    <xf numFmtId="179" fontId="115" fillId="0" borderId="25" xfId="132" applyNumberFormat="1" applyFont="1" applyFill="1" applyBorder="1" applyAlignment="1" applyProtection="1">
      <alignment horizontal="center" vertical="center" wrapText="1"/>
      <protection locked="0"/>
    </xf>
    <xf numFmtId="179" fontId="115" fillId="0"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6"/>
    </xf>
    <xf numFmtId="0" fontId="115" fillId="0" borderId="25" xfId="63" applyFont="1" applyBorder="1" applyAlignment="1">
      <alignment horizontal="left" vertical="center" wrapText="1" indent="8"/>
    </xf>
    <xf numFmtId="0" fontId="115" fillId="0" borderId="25" xfId="63" applyFont="1" applyBorder="1" applyAlignment="1">
      <alignment horizontal="left" vertical="center" wrapText="1" indent="4"/>
    </xf>
    <xf numFmtId="0" fontId="115" fillId="0" borderId="25" xfId="81" applyFont="1" applyBorder="1" applyAlignment="1" applyProtection="1">
      <alignment horizontal="left" vertical="center" wrapText="1"/>
      <protection locked="0"/>
    </xf>
    <xf numFmtId="0" fontId="115" fillId="5" borderId="25" xfId="81" applyFont="1" applyFill="1" applyBorder="1" applyAlignment="1" applyProtection="1">
      <alignment horizontal="left" vertical="center" wrapText="1"/>
      <protection locked="0"/>
    </xf>
    <xf numFmtId="0" fontId="115" fillId="0" borderId="25" xfId="81" applyFont="1" applyBorder="1" applyAlignment="1" applyProtection="1">
      <alignment horizontal="left" vertical="top" wrapText="1"/>
      <protection locked="0"/>
    </xf>
    <xf numFmtId="0" fontId="126" fillId="5" borderId="25" xfId="63"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6"/>
    </xf>
    <xf numFmtId="0" fontId="115" fillId="5" borderId="25" xfId="81" applyFont="1" applyFill="1" applyBorder="1" applyAlignment="1">
      <alignment horizontal="left" vertical="center" wrapText="1" indent="4"/>
    </xf>
    <xf numFmtId="0" fontId="115" fillId="5" borderId="25" xfId="81" applyFont="1" applyFill="1" applyBorder="1" applyAlignment="1">
      <alignment horizontal="left" vertical="center" wrapText="1" indent="6"/>
    </xf>
    <xf numFmtId="190" fontId="115" fillId="5" borderId="25" xfId="242" applyNumberFormat="1" applyFont="1" applyFill="1" applyBorder="1" applyAlignment="1" applyProtection="1">
      <alignment horizontal="center" vertical="center" wrapText="1"/>
    </xf>
    <xf numFmtId="0" fontId="115" fillId="0" borderId="25" xfId="81" applyFont="1" applyBorder="1" applyAlignment="1">
      <alignment horizontal="left" vertical="center" wrapText="1" indent="8"/>
    </xf>
    <xf numFmtId="0" fontId="115" fillId="0" borderId="25" xfId="0" applyFont="1" applyBorder="1" applyAlignment="1" applyProtection="1">
      <alignment horizontal="left" vertical="center" wrapText="1"/>
      <protection locked="0"/>
    </xf>
    <xf numFmtId="177"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xf>
    <xf numFmtId="49"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protection locked="0"/>
    </xf>
    <xf numFmtId="0" fontId="115" fillId="0" borderId="0" xfId="0" applyFont="1" applyAlignment="1">
      <alignment horizontal="center" vertical="center"/>
    </xf>
    <xf numFmtId="0" fontId="115" fillId="5" borderId="25" xfId="63" applyFont="1" applyFill="1" applyBorder="1" applyAlignment="1">
      <alignment vertical="center" wrapText="1"/>
    </xf>
    <xf numFmtId="0" fontId="115" fillId="5" borderId="25" xfId="81" applyFont="1" applyFill="1" applyBorder="1" applyAlignment="1">
      <alignment vertical="center" wrapText="1"/>
    </xf>
    <xf numFmtId="177" fontId="115" fillId="0" borderId="10" xfId="81" quotePrefix="1" applyNumberFormat="1" applyFont="1" applyBorder="1" applyAlignment="1">
      <alignment horizontal="center" vertical="center" wrapText="1"/>
    </xf>
    <xf numFmtId="49" fontId="115" fillId="0" borderId="10" xfId="81" quotePrefix="1" applyNumberFormat="1" applyFont="1" applyBorder="1" applyAlignment="1">
      <alignment horizontal="center" vertical="center" wrapText="1"/>
    </xf>
    <xf numFmtId="0" fontId="115" fillId="0" borderId="72" xfId="81" applyFont="1" applyBorder="1" applyAlignment="1">
      <alignment horizontal="center" vertical="center" wrapText="1"/>
    </xf>
    <xf numFmtId="0" fontId="115" fillId="0" borderId="205" xfId="81" applyFont="1" applyBorder="1" applyAlignment="1">
      <alignment horizontal="left" vertical="center" wrapText="1"/>
    </xf>
    <xf numFmtId="0" fontId="115" fillId="0" borderId="205" xfId="81" applyFont="1" applyBorder="1" applyAlignment="1" applyProtection="1">
      <alignment horizontal="left" vertical="center" wrapText="1"/>
      <protection locked="0"/>
    </xf>
    <xf numFmtId="179" fontId="115" fillId="0" borderId="205" xfId="132" applyNumberFormat="1" applyFont="1" applyFill="1" applyBorder="1" applyAlignment="1" applyProtection="1">
      <alignment horizontal="center" vertical="center" wrapText="1"/>
      <protection locked="0"/>
    </xf>
    <xf numFmtId="0" fontId="114" fillId="7" borderId="20" xfId="81" applyFont="1" applyFill="1" applyBorder="1" applyAlignment="1">
      <alignment horizontal="center" vertical="center" wrapText="1"/>
    </xf>
    <xf numFmtId="0" fontId="114" fillId="7" borderId="20" xfId="63" applyFont="1" applyFill="1" applyBorder="1" applyAlignment="1">
      <alignment vertical="center" wrapText="1"/>
    </xf>
    <xf numFmtId="179" fontId="114" fillId="7" borderId="20" xfId="132" applyNumberFormat="1" applyFont="1" applyFill="1" applyBorder="1" applyAlignment="1" applyProtection="1">
      <alignment horizontal="center" vertical="center" wrapText="1"/>
    </xf>
    <xf numFmtId="0" fontId="115" fillId="0" borderId="0" xfId="58" applyFont="1" applyAlignment="1">
      <alignment horizontal="center" vertical="center"/>
    </xf>
    <xf numFmtId="0" fontId="115" fillId="0" borderId="0" xfId="81" applyFont="1" applyAlignment="1">
      <alignment horizontal="center" vertical="center" wrapText="1"/>
    </xf>
    <xf numFmtId="0" fontId="99" fillId="0" borderId="0" xfId="63" applyFont="1" applyAlignment="1">
      <alignment horizontal="left" vertical="top"/>
    </xf>
    <xf numFmtId="0" fontId="115" fillId="0" borderId="0" xfId="63" applyFont="1" applyAlignment="1">
      <alignment horizontal="left" vertical="top"/>
    </xf>
    <xf numFmtId="0" fontId="115" fillId="0" borderId="0" xfId="63" applyFont="1" applyAlignment="1">
      <alignment vertical="top" wrapText="1"/>
    </xf>
    <xf numFmtId="0" fontId="99" fillId="0" borderId="0" xfId="63" applyFont="1" applyAlignment="1">
      <alignment horizontal="left" vertical="center"/>
    </xf>
    <xf numFmtId="0" fontId="115" fillId="0" borderId="0" xfId="63" applyFont="1" applyAlignment="1">
      <alignment vertical="center"/>
    </xf>
    <xf numFmtId="0" fontId="99" fillId="0" borderId="0" xfId="63" applyFont="1" applyAlignment="1">
      <alignment vertical="center"/>
    </xf>
    <xf numFmtId="183" fontId="115" fillId="0" borderId="0" xfId="63" applyNumberFormat="1" applyFont="1" applyAlignment="1">
      <alignment horizontal="center" vertical="center"/>
    </xf>
    <xf numFmtId="183" fontId="115" fillId="0" borderId="0" xfId="63" applyNumberFormat="1" applyFont="1" applyAlignment="1">
      <alignment horizontal="center" vertical="center" wrapText="1"/>
    </xf>
    <xf numFmtId="0" fontId="99" fillId="0" borderId="0" xfId="128" applyFont="1" applyAlignment="1" applyProtection="1">
      <alignment vertical="center"/>
      <protection locked="0"/>
    </xf>
    <xf numFmtId="0" fontId="115" fillId="0" borderId="0" xfId="81" applyFont="1" applyAlignment="1" applyProtection="1">
      <alignment vertical="center" wrapText="1"/>
      <protection locked="0"/>
    </xf>
    <xf numFmtId="0" fontId="115" fillId="0" borderId="0" xfId="81" applyFont="1" applyAlignment="1">
      <alignment horizontal="left" vertical="center"/>
    </xf>
    <xf numFmtId="0" fontId="115" fillId="0" borderId="0" xfId="81" applyFont="1" applyAlignment="1">
      <alignment horizontal="left" vertical="center" wrapText="1"/>
    </xf>
    <xf numFmtId="190" fontId="115" fillId="0" borderId="0" xfId="242" applyNumberFormat="1" applyFont="1" applyFill="1" applyBorder="1" applyAlignment="1" applyProtection="1">
      <alignment horizontal="center" vertical="center" wrapText="1"/>
    </xf>
    <xf numFmtId="190" fontId="99" fillId="0" borderId="0" xfId="242" applyNumberFormat="1" applyFont="1" applyFill="1" applyBorder="1" applyAlignment="1" applyProtection="1">
      <alignment horizontal="right" wrapText="1"/>
    </xf>
    <xf numFmtId="190" fontId="115" fillId="0" borderId="0" xfId="242" applyNumberFormat="1" applyFont="1" applyFill="1" applyBorder="1" applyAlignment="1" applyProtection="1">
      <alignment horizontal="right" wrapText="1"/>
    </xf>
    <xf numFmtId="190" fontId="119" fillId="0" borderId="10" xfId="242" applyNumberFormat="1" applyFont="1" applyFill="1" applyBorder="1" applyAlignment="1" applyProtection="1">
      <alignment horizontal="center" vertical="center" wrapText="1"/>
    </xf>
    <xf numFmtId="190" fontId="114" fillId="0" borderId="0" xfId="242" applyNumberFormat="1" applyFont="1" applyFill="1" applyBorder="1" applyAlignment="1" applyProtection="1">
      <alignment horizontal="center" vertical="center" wrapText="1"/>
    </xf>
    <xf numFmtId="0" fontId="119" fillId="0" borderId="10" xfId="242" quotePrefix="1" applyNumberFormat="1" applyFont="1" applyFill="1" applyBorder="1" applyAlignment="1" applyProtection="1">
      <alignment horizontal="center" vertical="center" wrapText="1"/>
    </xf>
    <xf numFmtId="0" fontId="119" fillId="0" borderId="10" xfId="63" applyFont="1" applyBorder="1" applyAlignment="1">
      <alignment horizontal="center" vertical="center" wrapText="1"/>
    </xf>
    <xf numFmtId="201" fontId="115" fillId="0" borderId="20" xfId="81" applyNumberFormat="1" applyFont="1" applyBorder="1" applyAlignment="1">
      <alignment horizontal="center" vertical="center" wrapText="1"/>
    </xf>
    <xf numFmtId="0" fontId="115" fillId="5" borderId="76" xfId="81" applyFont="1" applyFill="1" applyBorder="1" applyAlignment="1">
      <alignment vertical="center" wrapText="1"/>
    </xf>
    <xf numFmtId="0" fontId="115" fillId="5" borderId="76" xfId="81" applyFont="1" applyFill="1" applyBorder="1" applyAlignment="1">
      <alignment horizontal="left" vertical="center" wrapText="1"/>
    </xf>
    <xf numFmtId="190" fontId="115" fillId="5" borderId="76" xfId="242" applyNumberFormat="1" applyFont="1" applyFill="1" applyBorder="1" applyAlignment="1" applyProtection="1">
      <alignment horizontal="center" vertical="center" wrapText="1"/>
    </xf>
    <xf numFmtId="201" fontId="115" fillId="0" borderId="10" xfId="81" applyNumberFormat="1" applyFont="1" applyBorder="1" applyAlignment="1">
      <alignment horizontal="center" vertical="center" wrapText="1"/>
    </xf>
    <xf numFmtId="0" fontId="115" fillId="0" borderId="25" xfId="81" applyFont="1" applyBorder="1" applyAlignment="1">
      <alignment horizontal="left" vertical="center" wrapText="1" indent="2"/>
    </xf>
    <xf numFmtId="0" fontId="115" fillId="5" borderId="25" xfId="81" applyFont="1" applyFill="1" applyBorder="1" applyAlignment="1">
      <alignment horizontal="left" vertical="center" wrapText="1" indent="2"/>
    </xf>
    <xf numFmtId="184" fontId="115" fillId="5" borderId="25" xfId="81" applyNumberFormat="1" applyFont="1" applyFill="1" applyBorder="1" applyAlignment="1">
      <alignment horizontal="center" vertical="center" wrapText="1"/>
    </xf>
    <xf numFmtId="0" fontId="126" fillId="5" borderId="25" xfId="81" applyFont="1" applyFill="1" applyBorder="1" applyAlignment="1" applyProtection="1">
      <alignment horizontal="left" vertical="center" wrapText="1"/>
      <protection locked="0"/>
    </xf>
    <xf numFmtId="0" fontId="115" fillId="5" borderId="25" xfId="81" applyFont="1" applyFill="1" applyBorder="1" applyAlignment="1">
      <alignment horizontal="left" vertical="center" wrapText="1" indent="8"/>
    </xf>
    <xf numFmtId="0" fontId="115" fillId="0" borderId="25" xfId="81" applyFont="1" applyBorder="1" applyAlignment="1">
      <alignment horizontal="left" vertical="center" wrapText="1" indent="10"/>
    </xf>
    <xf numFmtId="0" fontId="121" fillId="5" borderId="25" xfId="81"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4"/>
    </xf>
    <xf numFmtId="201" fontId="115" fillId="0" borderId="10" xfId="81" quotePrefix="1" applyNumberFormat="1" applyFont="1" applyBorder="1" applyAlignment="1">
      <alignment horizontal="center" vertical="center" wrapText="1"/>
    </xf>
    <xf numFmtId="0" fontId="122" fillId="0" borderId="25" xfId="81" applyFont="1" applyBorder="1" applyAlignment="1">
      <alignment horizontal="left" vertical="center" wrapText="1" indent="6"/>
    </xf>
    <xf numFmtId="0" fontId="99" fillId="5" borderId="25" xfId="81" applyFont="1" applyFill="1" applyBorder="1" applyAlignment="1" applyProtection="1">
      <alignment horizontal="left" vertical="center" wrapText="1"/>
      <protection locked="0"/>
    </xf>
    <xf numFmtId="190" fontId="115" fillId="0" borderId="25" xfId="242" applyNumberFormat="1" applyFont="1" applyFill="1" applyBorder="1" applyAlignment="1" applyProtection="1">
      <alignment horizontal="center" vertical="center"/>
    </xf>
    <xf numFmtId="190" fontId="115" fillId="0" borderId="0" xfId="242" applyNumberFormat="1" applyFont="1" applyFill="1" applyBorder="1" applyAlignment="1" applyProtection="1">
      <alignment horizontal="center" vertical="center" wrapText="1"/>
      <protection locked="0"/>
    </xf>
    <xf numFmtId="190" fontId="115" fillId="5" borderId="25" xfId="242" applyNumberFormat="1" applyFont="1" applyFill="1" applyBorder="1" applyAlignment="1" applyProtection="1">
      <alignment horizontal="center" vertical="center"/>
    </xf>
    <xf numFmtId="190" fontId="115" fillId="5" borderId="25" xfId="242" applyNumberFormat="1" applyFont="1" applyFill="1" applyBorder="1" applyAlignment="1" applyProtection="1">
      <alignment horizontal="center" vertical="center" wrapText="1"/>
      <protection locked="0"/>
    </xf>
    <xf numFmtId="190" fontId="115" fillId="0" borderId="0" xfId="242" applyNumberFormat="1" applyFont="1" applyFill="1" applyAlignment="1" applyProtection="1">
      <alignment vertical="center" wrapText="1"/>
    </xf>
    <xf numFmtId="0" fontId="115" fillId="0" borderId="205" xfId="81" applyFont="1" applyBorder="1" applyAlignment="1">
      <alignment horizontal="left" vertical="center" wrapText="1" indent="4"/>
    </xf>
    <xf numFmtId="190" fontId="115" fillId="0" borderId="205" xfId="242" applyNumberFormat="1" applyFont="1" applyFill="1" applyBorder="1" applyAlignment="1" applyProtection="1">
      <alignment horizontal="center" vertical="center" wrapText="1"/>
    </xf>
    <xf numFmtId="184" fontId="115" fillId="5" borderId="205" xfId="81" applyNumberFormat="1" applyFont="1" applyFill="1" applyBorder="1" applyAlignment="1">
      <alignment horizontal="center" vertical="center" wrapText="1"/>
    </xf>
    <xf numFmtId="190" fontId="115" fillId="5" borderId="205" xfId="242" applyNumberFormat="1" applyFont="1" applyFill="1" applyBorder="1" applyAlignment="1" applyProtection="1">
      <alignment horizontal="center" vertical="center" wrapText="1"/>
      <protection locked="0"/>
    </xf>
    <xf numFmtId="201" fontId="114" fillId="7" borderId="20" xfId="81" applyNumberFormat="1" applyFont="1" applyFill="1" applyBorder="1" applyAlignment="1">
      <alignment horizontal="center" vertical="center" wrapText="1"/>
    </xf>
    <xf numFmtId="0" fontId="114" fillId="7" borderId="20" xfId="81" applyFont="1" applyFill="1" applyBorder="1" applyAlignment="1">
      <alignment vertical="center" wrapText="1"/>
    </xf>
    <xf numFmtId="0" fontId="114" fillId="7" borderId="20" xfId="81" applyFont="1" applyFill="1" applyBorder="1" applyAlignment="1">
      <alignment horizontal="left" vertical="center" wrapText="1"/>
    </xf>
    <xf numFmtId="190" fontId="114" fillId="7" borderId="20" xfId="242" applyNumberFormat="1" applyFont="1" applyFill="1" applyBorder="1" applyAlignment="1" applyProtection="1">
      <alignment horizontal="center" vertical="center" wrapText="1"/>
    </xf>
    <xf numFmtId="180" fontId="114" fillId="7" borderId="20" xfId="81" applyNumberFormat="1" applyFont="1" applyFill="1" applyBorder="1" applyAlignment="1">
      <alignment horizontal="center" vertical="center" wrapText="1"/>
    </xf>
    <xf numFmtId="0" fontId="115" fillId="0" borderId="0" xfId="58" applyFont="1" applyAlignment="1">
      <alignment vertical="center"/>
    </xf>
    <xf numFmtId="180" fontId="115" fillId="0" borderId="0" xfId="58" applyNumberFormat="1" applyFont="1" applyAlignment="1">
      <alignment horizontal="center" vertical="center" wrapText="1"/>
    </xf>
    <xf numFmtId="0" fontId="99" fillId="0" borderId="0" xfId="58" applyFont="1" applyAlignment="1">
      <alignment vertical="center"/>
    </xf>
    <xf numFmtId="0" fontId="115" fillId="0" borderId="0" xfId="81" applyFont="1" applyAlignment="1">
      <alignment horizontal="center"/>
    </xf>
    <xf numFmtId="183" fontId="115" fillId="0" borderId="0" xfId="58" applyNumberFormat="1" applyFont="1" applyAlignment="1">
      <alignment horizontal="center" vertical="center" wrapText="1"/>
    </xf>
    <xf numFmtId="0" fontId="115" fillId="0" borderId="0" xfId="81" applyFont="1" applyAlignment="1">
      <alignment wrapText="1"/>
    </xf>
    <xf numFmtId="185" fontId="99" fillId="0" borderId="0" xfId="81" applyNumberFormat="1" applyFont="1" applyAlignment="1"/>
    <xf numFmtId="185" fontId="115" fillId="0" borderId="0" xfId="81" applyNumberFormat="1" applyFont="1" applyAlignment="1"/>
    <xf numFmtId="180" fontId="115" fillId="0" borderId="0" xfId="81" applyNumberFormat="1" applyFont="1" applyAlignment="1">
      <alignment horizontal="center" vertical="center" wrapText="1"/>
    </xf>
    <xf numFmtId="185" fontId="115" fillId="0" borderId="0" xfId="81" applyNumberFormat="1" applyFont="1" applyAlignment="1">
      <alignment wrapText="1"/>
    </xf>
    <xf numFmtId="183" fontId="115" fillId="0" borderId="0" xfId="81" applyNumberFormat="1" applyFont="1" applyAlignment="1">
      <alignment horizontal="center" vertical="center" wrapText="1"/>
    </xf>
    <xf numFmtId="0" fontId="115" fillId="0" borderId="0" xfId="81" applyFont="1" applyAlignment="1">
      <alignment horizontal="left" wrapText="1"/>
    </xf>
    <xf numFmtId="0" fontId="99" fillId="0" borderId="0" xfId="0" applyFont="1" applyAlignment="1">
      <alignment horizontal="left" vertical="center"/>
    </xf>
    <xf numFmtId="0" fontId="115" fillId="0" borderId="0" xfId="0" applyFont="1" applyAlignment="1">
      <alignment vertical="center" wrapText="1"/>
    </xf>
    <xf numFmtId="0" fontId="115" fillId="0" borderId="0" xfId="0" applyFont="1" applyAlignment="1">
      <alignment horizontal="left" vertical="center"/>
    </xf>
    <xf numFmtId="0" fontId="115" fillId="0" borderId="0" xfId="0" applyFont="1" applyAlignment="1">
      <alignment horizontal="right" vertical="center"/>
    </xf>
    <xf numFmtId="0" fontId="114" fillId="0" borderId="18" xfId="0" applyFont="1" applyBorder="1" applyAlignment="1">
      <alignment horizontal="center" vertical="center" wrapText="1"/>
    </xf>
    <xf numFmtId="0" fontId="114" fillId="0" borderId="15" xfId="0" applyFont="1" applyBorder="1" applyAlignment="1">
      <alignment horizontal="center" vertical="center" wrapText="1"/>
    </xf>
    <xf numFmtId="0" fontId="115" fillId="0" borderId="84" xfId="0" applyFont="1" applyBorder="1" applyAlignment="1">
      <alignment horizontal="center" vertical="center" wrapText="1"/>
    </xf>
    <xf numFmtId="0" fontId="115" fillId="0" borderId="76" xfId="0" applyFont="1" applyBorder="1" applyAlignment="1">
      <alignment vertical="center" wrapText="1"/>
    </xf>
    <xf numFmtId="190" fontId="115" fillId="0" borderId="76" xfId="189" applyNumberFormat="1" applyFont="1" applyBorder="1" applyAlignment="1">
      <alignment vertical="center" wrapText="1"/>
    </xf>
    <xf numFmtId="195" fontId="115" fillId="0" borderId="250" xfId="189" applyNumberFormat="1" applyFont="1" applyBorder="1" applyAlignment="1">
      <alignment vertical="center" wrapText="1"/>
    </xf>
    <xf numFmtId="190" fontId="115" fillId="0" borderId="109" xfId="189" applyNumberFormat="1" applyFont="1" applyBorder="1" applyAlignment="1">
      <alignment vertical="center" wrapText="1"/>
    </xf>
    <xf numFmtId="0" fontId="115" fillId="0" borderId="6" xfId="0" applyFont="1" applyBorder="1" applyAlignment="1">
      <alignment horizontal="center" vertical="center" wrapText="1"/>
    </xf>
    <xf numFmtId="0" fontId="115" fillId="0" borderId="25" xfId="0" applyFont="1" applyBorder="1" applyAlignment="1">
      <alignment vertical="center" wrapText="1"/>
    </xf>
    <xf numFmtId="190" fontId="115" fillId="0" borderId="25" xfId="189" applyNumberFormat="1" applyFont="1" applyBorder="1" applyAlignment="1">
      <alignment vertical="center" wrapText="1"/>
    </xf>
    <xf numFmtId="195" fontId="115" fillId="0" borderId="25" xfId="189" applyNumberFormat="1" applyFont="1" applyBorder="1" applyAlignment="1">
      <alignment vertical="center" wrapText="1"/>
    </xf>
    <xf numFmtId="190" fontId="115" fillId="0" borderId="26" xfId="189" applyNumberFormat="1" applyFont="1" applyBorder="1" applyAlignment="1">
      <alignment vertical="center" wrapText="1"/>
    </xf>
    <xf numFmtId="0" fontId="115" fillId="0" borderId="110" xfId="0" applyFont="1" applyBorder="1" applyAlignment="1">
      <alignment vertical="center" wrapText="1"/>
    </xf>
    <xf numFmtId="190" fontId="115" fillId="0" borderId="110" xfId="189" applyNumberFormat="1" applyFont="1" applyBorder="1" applyAlignment="1">
      <alignment vertical="center" wrapText="1"/>
    </xf>
    <xf numFmtId="195" fontId="115" fillId="0" borderId="110" xfId="189" applyNumberFormat="1" applyFont="1" applyBorder="1" applyAlignment="1">
      <alignment vertical="center" wrapText="1"/>
    </xf>
    <xf numFmtId="190" fontId="115" fillId="0" borderId="111" xfId="189" applyNumberFormat="1" applyFont="1" applyBorder="1" applyAlignment="1">
      <alignment vertical="center" wrapText="1"/>
    </xf>
    <xf numFmtId="0" fontId="115" fillId="6" borderId="6" xfId="0" applyFont="1" applyFill="1" applyBorder="1" applyAlignment="1">
      <alignment horizontal="center" vertical="center" wrapText="1"/>
    </xf>
    <xf numFmtId="190" fontId="115" fillId="6" borderId="10" xfId="189" applyNumberFormat="1" applyFont="1" applyFill="1" applyBorder="1" applyAlignment="1">
      <alignment vertical="center" wrapText="1"/>
    </xf>
    <xf numFmtId="195" fontId="115" fillId="6" borderId="10" xfId="189" applyNumberFormat="1" applyFont="1" applyFill="1" applyBorder="1" applyAlignment="1">
      <alignment vertical="center" wrapText="1"/>
    </xf>
    <xf numFmtId="190" fontId="115" fillId="6" borderId="12" xfId="189" applyNumberFormat="1" applyFont="1" applyFill="1" applyBorder="1" applyAlignment="1">
      <alignment vertical="center" wrapText="1"/>
    </xf>
    <xf numFmtId="190" fontId="115" fillId="0" borderId="76" xfId="189" applyNumberFormat="1" applyFont="1" applyFill="1" applyBorder="1" applyAlignment="1">
      <alignment vertical="center" wrapText="1"/>
    </xf>
    <xf numFmtId="195" fontId="115" fillId="0" borderId="76" xfId="189" applyNumberFormat="1" applyFont="1" applyBorder="1" applyAlignment="1">
      <alignment vertical="center" wrapText="1"/>
    </xf>
    <xf numFmtId="190" fontId="115" fillId="6" borderId="20" xfId="189" applyNumberFormat="1" applyFont="1" applyFill="1" applyBorder="1" applyAlignment="1">
      <alignment vertical="center" wrapText="1"/>
    </xf>
    <xf numFmtId="195" fontId="115" fillId="6" borderId="20" xfId="189" applyNumberFormat="1" applyFont="1" applyFill="1" applyBorder="1" applyAlignment="1">
      <alignment vertical="center" wrapText="1"/>
    </xf>
    <xf numFmtId="190" fontId="115" fillId="6" borderId="21" xfId="189" applyNumberFormat="1" applyFont="1" applyFill="1" applyBorder="1" applyAlignment="1">
      <alignment vertical="center" wrapText="1"/>
    </xf>
    <xf numFmtId="190" fontId="115" fillId="6" borderId="23" xfId="189" applyNumberFormat="1" applyFont="1" applyFill="1" applyBorder="1" applyAlignment="1">
      <alignment vertical="center" wrapText="1"/>
    </xf>
    <xf numFmtId="195" fontId="115" fillId="6" borderId="23" xfId="189" applyNumberFormat="1" applyFont="1" applyFill="1" applyBorder="1" applyAlignment="1">
      <alignment vertical="center" wrapText="1"/>
    </xf>
    <xf numFmtId="190" fontId="115" fillId="6" borderId="24" xfId="189" applyNumberFormat="1" applyFont="1" applyFill="1" applyBorder="1" applyAlignment="1">
      <alignment vertical="center" wrapText="1"/>
    </xf>
    <xf numFmtId="0" fontId="115" fillId="0" borderId="80" xfId="0" applyFont="1" applyBorder="1" applyAlignment="1">
      <alignment horizontal="center" vertical="center" wrapText="1"/>
    </xf>
    <xf numFmtId="0" fontId="115" fillId="6" borderId="13" xfId="0" applyFont="1" applyFill="1" applyBorder="1" applyAlignment="1">
      <alignment horizontal="center" vertical="center" wrapText="1"/>
    </xf>
    <xf numFmtId="190" fontId="115" fillId="6" borderId="18" xfId="189" applyNumberFormat="1" applyFont="1" applyFill="1" applyBorder="1" applyAlignment="1">
      <alignment vertical="center" wrapText="1"/>
    </xf>
    <xf numFmtId="195" fontId="115" fillId="6" borderId="18" xfId="189" applyNumberFormat="1" applyFont="1" applyFill="1" applyBorder="1" applyAlignment="1">
      <alignment vertical="center" wrapText="1"/>
    </xf>
    <xf numFmtId="190" fontId="115" fillId="6" borderId="15" xfId="189" applyNumberFormat="1" applyFont="1" applyFill="1" applyBorder="1" applyAlignment="1">
      <alignment vertical="center" wrapText="1"/>
    </xf>
    <xf numFmtId="0" fontId="115" fillId="6" borderId="0" xfId="0" applyFont="1" applyFill="1" applyAlignment="1">
      <alignment vertical="center" wrapText="1"/>
    </xf>
    <xf numFmtId="0" fontId="115" fillId="0" borderId="0" xfId="0" applyFont="1" applyAlignment="1">
      <alignment horizontal="center" vertical="center" wrapText="1"/>
    </xf>
    <xf numFmtId="0" fontId="99" fillId="0" borderId="0" xfId="81" applyFont="1" applyAlignment="1" applyProtection="1">
      <alignment horizontal="left" vertical="center"/>
      <protection locked="0"/>
    </xf>
    <xf numFmtId="0" fontId="99" fillId="0" borderId="0" xfId="81" applyFont="1" applyProtection="1">
      <alignment vertical="center"/>
      <protection locked="0"/>
    </xf>
    <xf numFmtId="0" fontId="115" fillId="0" borderId="0" xfId="0" applyFont="1" applyAlignment="1">
      <alignment wrapText="1"/>
    </xf>
    <xf numFmtId="195" fontId="115" fillId="0" borderId="0" xfId="242" applyNumberFormat="1" applyFont="1" applyFill="1" applyBorder="1" applyAlignment="1" applyProtection="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49" fontId="114" fillId="0" borderId="10" xfId="242" applyNumberFormat="1" applyFont="1" applyFill="1" applyBorder="1" applyAlignment="1" applyProtection="1">
      <alignment horizontal="center" vertical="center" wrapText="1"/>
    </xf>
    <xf numFmtId="0" fontId="114" fillId="0" borderId="18" xfId="93" quotePrefix="1" applyFont="1" applyBorder="1" applyAlignment="1">
      <alignment horizontal="center" vertical="center" wrapText="1"/>
    </xf>
    <xf numFmtId="201" fontId="115" fillId="0" borderId="84" xfId="242" applyNumberFormat="1" applyFont="1" applyFill="1" applyBorder="1" applyAlignment="1" applyProtection="1">
      <alignment horizontal="center" vertical="center" wrapText="1"/>
    </xf>
    <xf numFmtId="0" fontId="115" fillId="0" borderId="76" xfId="81" applyFont="1" applyBorder="1" applyAlignment="1">
      <alignment vertical="center" wrapText="1"/>
    </xf>
    <xf numFmtId="190" fontId="115" fillId="0" borderId="76" xfId="189" applyNumberFormat="1" applyFont="1" applyFill="1" applyBorder="1" applyAlignment="1" applyProtection="1">
      <alignment horizontal="left" vertical="center" wrapText="1"/>
      <protection locked="0"/>
    </xf>
    <xf numFmtId="195" fontId="115" fillId="0" borderId="76" xfId="189" applyNumberFormat="1" applyFont="1" applyFill="1" applyBorder="1" applyAlignment="1" applyProtection="1">
      <alignment horizontal="right" vertical="center" wrapText="1"/>
    </xf>
    <xf numFmtId="190" fontId="115" fillId="0" borderId="76" xfId="189" applyNumberFormat="1" applyFont="1" applyFill="1" applyBorder="1" applyAlignment="1" applyProtection="1">
      <alignment horizontal="center" vertical="center" wrapText="1"/>
    </xf>
    <xf numFmtId="201" fontId="115" fillId="0" borderId="6" xfId="242" applyNumberFormat="1" applyFont="1" applyFill="1" applyBorder="1" applyAlignment="1" applyProtection="1">
      <alignment horizontal="center" vertical="center" wrapText="1"/>
    </xf>
    <xf numFmtId="0" fontId="115" fillId="0" borderId="25" xfId="81" applyFont="1" applyBorder="1" applyAlignment="1">
      <alignment vertical="center" wrapText="1"/>
    </xf>
    <xf numFmtId="190" fontId="115" fillId="0" borderId="25" xfId="189" applyNumberFormat="1" applyFont="1" applyFill="1" applyBorder="1" applyAlignment="1" applyProtection="1">
      <alignment vertical="center" wrapText="1"/>
      <protection locked="0"/>
    </xf>
    <xf numFmtId="195" fontId="115" fillId="0" borderId="25" xfId="189" applyNumberFormat="1" applyFont="1" applyFill="1" applyBorder="1" applyAlignment="1" applyProtection="1">
      <alignment horizontal="right" vertical="center" wrapText="1"/>
    </xf>
    <xf numFmtId="195" fontId="115" fillId="0" borderId="25" xfId="189" applyNumberFormat="1" applyFont="1" applyFill="1" applyBorder="1" applyAlignment="1">
      <alignment vertical="center" wrapText="1"/>
    </xf>
    <xf numFmtId="0" fontId="115" fillId="0" borderId="110" xfId="81" applyFont="1" applyBorder="1" applyAlignment="1">
      <alignment vertical="center" wrapText="1"/>
    </xf>
    <xf numFmtId="190" fontId="115" fillId="0" borderId="110" xfId="189" applyNumberFormat="1" applyFont="1" applyFill="1" applyBorder="1" applyAlignment="1" applyProtection="1">
      <alignment vertical="center" wrapText="1"/>
      <protection locked="0"/>
    </xf>
    <xf numFmtId="195" fontId="115" fillId="0" borderId="110" xfId="189" applyNumberFormat="1" applyFont="1" applyFill="1" applyBorder="1" applyAlignment="1">
      <alignment vertical="center" wrapText="1"/>
    </xf>
    <xf numFmtId="201" fontId="115" fillId="6" borderId="6" xfId="242" applyNumberFormat="1" applyFont="1" applyFill="1" applyBorder="1" applyAlignment="1" applyProtection="1">
      <alignment horizontal="center" vertical="center" wrapText="1"/>
    </xf>
    <xf numFmtId="190" fontId="115" fillId="6" borderId="10" xfId="189" applyNumberFormat="1" applyFont="1" applyFill="1" applyBorder="1" applyAlignment="1" applyProtection="1">
      <alignment vertical="center" wrapText="1"/>
      <protection locked="0"/>
    </xf>
    <xf numFmtId="200" fontId="115" fillId="0" borderId="6" xfId="71" applyNumberFormat="1" applyFont="1" applyBorder="1" applyAlignment="1">
      <alignment horizontal="center" vertical="center" wrapText="1"/>
    </xf>
    <xf numFmtId="190" fontId="115" fillId="0" borderId="76" xfId="189" applyNumberFormat="1" applyFont="1" applyFill="1" applyBorder="1" applyAlignment="1" applyProtection="1">
      <alignment vertical="center" wrapText="1"/>
      <protection locked="0"/>
    </xf>
    <xf numFmtId="195" fontId="115" fillId="6" borderId="10" xfId="189" applyNumberFormat="1" applyFont="1" applyFill="1" applyBorder="1" applyAlignment="1" applyProtection="1">
      <alignment horizontal="center" vertical="center" wrapText="1"/>
    </xf>
    <xf numFmtId="200" fontId="115" fillId="0" borderId="13" xfId="71" applyNumberFormat="1" applyFont="1" applyBorder="1" applyAlignment="1">
      <alignment horizontal="center" vertical="center" wrapText="1"/>
    </xf>
    <xf numFmtId="190" fontId="115" fillId="0" borderId="18" xfId="189" applyNumberFormat="1" applyFont="1" applyBorder="1" applyAlignment="1">
      <alignment wrapText="1"/>
    </xf>
    <xf numFmtId="190" fontId="115" fillId="0" borderId="3" xfId="189" applyNumberFormat="1" applyFont="1" applyBorder="1" applyAlignment="1">
      <alignment wrapText="1"/>
    </xf>
    <xf numFmtId="49" fontId="115" fillId="0" borderId="0" xfId="189" applyNumberFormat="1" applyFont="1" applyFill="1" applyBorder="1" applyAlignment="1" applyProtection="1">
      <alignment horizontal="center" vertical="center"/>
    </xf>
    <xf numFmtId="0" fontId="125" fillId="0" borderId="0" xfId="58" applyFont="1" applyAlignment="1">
      <alignment horizontal="left" vertical="center"/>
    </xf>
    <xf numFmtId="0" fontId="125" fillId="0" borderId="0" xfId="58" applyFont="1" applyAlignment="1">
      <alignment horizontal="center" vertical="center"/>
    </xf>
    <xf numFmtId="0" fontId="127" fillId="0" borderId="0" xfId="0" applyFont="1"/>
    <xf numFmtId="0" fontId="125" fillId="0" borderId="0" xfId="58" applyFont="1" applyAlignment="1">
      <alignment horizontal="right"/>
    </xf>
    <xf numFmtId="0" fontId="128" fillId="0" borderId="86" xfId="63" applyFont="1" applyBorder="1" applyAlignment="1">
      <alignment horizontal="center" vertical="center"/>
    </xf>
    <xf numFmtId="0" fontId="128" fillId="0" borderId="87" xfId="63" applyFont="1" applyBorder="1" applyAlignment="1">
      <alignment horizontal="center" vertical="center"/>
    </xf>
    <xf numFmtId="0" fontId="128" fillId="0" borderId="250" xfId="63" applyFont="1" applyBorder="1" applyAlignment="1">
      <alignment horizontal="center" vertical="center"/>
    </xf>
    <xf numFmtId="0" fontId="128" fillId="0" borderId="251" xfId="63" applyFont="1" applyBorder="1" applyAlignment="1">
      <alignment horizontal="center" vertical="center" wrapText="1"/>
    </xf>
    <xf numFmtId="0" fontId="128" fillId="0" borderId="224" xfId="63" applyFont="1" applyBorder="1" applyAlignment="1">
      <alignment horizontal="center" vertical="center"/>
    </xf>
    <xf numFmtId="0" fontId="128" fillId="0" borderId="225" xfId="63" applyFont="1" applyBorder="1" applyAlignment="1">
      <alignment horizontal="center" vertical="center"/>
    </xf>
    <xf numFmtId="0" fontId="125" fillId="0" borderId="9" xfId="63" applyFont="1" applyBorder="1" applyAlignment="1">
      <alignment horizontal="left" vertical="center"/>
    </xf>
    <xf numFmtId="0" fontId="125" fillId="0" borderId="25" xfId="63" applyFont="1" applyBorder="1" applyAlignment="1">
      <alignment horizontal="left" vertical="center"/>
    </xf>
    <xf numFmtId="210" fontId="125" fillId="0" borderId="25" xfId="63" applyNumberFormat="1" applyFont="1" applyBorder="1" applyAlignment="1">
      <alignment horizontal="right" vertical="center"/>
    </xf>
    <xf numFmtId="180" fontId="125" fillId="0" borderId="252" xfId="63" applyNumberFormat="1" applyFont="1" applyBorder="1" applyAlignment="1">
      <alignment horizontal="center" vertical="center"/>
    </xf>
    <xf numFmtId="182" fontId="125" fillId="0" borderId="43" xfId="63" applyNumberFormat="1" applyFont="1" applyBorder="1" applyAlignment="1">
      <alignment horizontal="center" vertical="center"/>
    </xf>
    <xf numFmtId="210" fontId="125" fillId="0" borderId="96" xfId="63" applyNumberFormat="1" applyFont="1" applyBorder="1" applyAlignment="1">
      <alignment horizontal="right" vertical="center"/>
    </xf>
    <xf numFmtId="210" fontId="125" fillId="0" borderId="121" xfId="63" applyNumberFormat="1" applyFont="1" applyBorder="1" applyAlignment="1">
      <alignment horizontal="right" vertical="center"/>
    </xf>
    <xf numFmtId="210" fontId="125" fillId="0" borderId="200" xfId="63" applyNumberFormat="1" applyFont="1" applyBorder="1" applyAlignment="1">
      <alignment horizontal="right" vertical="center"/>
    </xf>
    <xf numFmtId="0" fontId="125" fillId="0" borderId="9" xfId="63" applyFont="1" applyBorder="1" applyAlignment="1">
      <alignment horizontal="left" vertical="center" indent="2"/>
    </xf>
    <xf numFmtId="0" fontId="124" fillId="0" borderId="25" xfId="63" applyFont="1" applyBorder="1" applyAlignment="1">
      <alignment horizontal="left" vertical="center"/>
    </xf>
    <xf numFmtId="0" fontId="125" fillId="0" borderId="9" xfId="63" applyFont="1" applyBorder="1" applyAlignment="1">
      <alignment vertical="center"/>
    </xf>
    <xf numFmtId="0" fontId="125" fillId="0" borderId="25" xfId="63" applyFont="1" applyBorder="1" applyAlignment="1">
      <alignment horizontal="left" vertical="center" wrapText="1"/>
    </xf>
    <xf numFmtId="180" fontId="125" fillId="0" borderId="253" xfId="63" applyNumberFormat="1" applyFont="1" applyBorder="1" applyAlignment="1">
      <alignment horizontal="center" vertical="center"/>
    </xf>
    <xf numFmtId="182" fontId="125" fillId="9" borderId="101" xfId="63" applyNumberFormat="1" applyFont="1" applyFill="1" applyBorder="1" applyAlignment="1">
      <alignment horizontal="center" vertical="center"/>
    </xf>
    <xf numFmtId="0" fontId="127" fillId="0" borderId="0" xfId="0" applyFont="1" applyAlignment="1">
      <alignment wrapText="1"/>
    </xf>
    <xf numFmtId="0" fontId="128" fillId="0" borderId="88" xfId="63" applyFont="1" applyBorder="1" applyAlignment="1">
      <alignment vertical="center"/>
    </xf>
    <xf numFmtId="0" fontId="125" fillId="0" borderId="89" xfId="63" applyFont="1" applyBorder="1" applyAlignment="1">
      <alignment vertical="center"/>
    </xf>
    <xf numFmtId="210" fontId="125" fillId="0" borderId="89" xfId="63" applyNumberFormat="1" applyFont="1" applyBorder="1" applyAlignment="1">
      <alignment horizontal="right" vertical="center"/>
    </xf>
    <xf numFmtId="180" fontId="125" fillId="0" borderId="3" xfId="63" applyNumberFormat="1" applyFont="1" applyBorder="1" applyAlignment="1">
      <alignment horizontal="center" vertical="center"/>
    </xf>
    <xf numFmtId="182" fontId="125" fillId="0" borderId="90" xfId="63" applyNumberFormat="1" applyFont="1" applyBorder="1" applyAlignment="1">
      <alignment horizontal="center" vertical="center"/>
    </xf>
    <xf numFmtId="210" fontId="125" fillId="0" borderId="112" xfId="63" applyNumberFormat="1" applyFont="1" applyBorder="1" applyAlignment="1">
      <alignment horizontal="right" vertical="center"/>
    </xf>
    <xf numFmtId="0" fontId="125" fillId="0" borderId="0" xfId="0" applyFont="1"/>
    <xf numFmtId="0" fontId="124" fillId="0" borderId="0" xfId="0" applyFont="1"/>
    <xf numFmtId="0" fontId="127" fillId="0" borderId="0" xfId="39" applyFont="1"/>
    <xf numFmtId="0" fontId="125" fillId="0" borderId="0" xfId="81" applyFont="1" applyAlignment="1">
      <alignment horizontal="left" vertical="center"/>
    </xf>
    <xf numFmtId="190" fontId="125" fillId="0" borderId="0" xfId="242" applyNumberFormat="1" applyFont="1" applyFill="1" applyBorder="1" applyAlignment="1" applyProtection="1">
      <alignment horizontal="center" vertical="center"/>
    </xf>
    <xf numFmtId="0" fontId="125" fillId="0" borderId="0" xfId="81" applyFont="1" applyAlignment="1">
      <alignment horizontal="left"/>
    </xf>
    <xf numFmtId="195" fontId="125" fillId="0" borderId="0" xfId="242" applyNumberFormat="1" applyFont="1" applyFill="1" applyBorder="1" applyAlignment="1" applyProtection="1">
      <alignment horizontal="center" vertical="center"/>
    </xf>
    <xf numFmtId="0" fontId="125" fillId="0" borderId="0" xfId="81" applyFont="1" applyAlignment="1">
      <alignment horizontal="right"/>
    </xf>
    <xf numFmtId="0" fontId="125" fillId="0" borderId="91" xfId="81" applyFont="1" applyBorder="1" applyAlignment="1">
      <alignment horizontal="center" vertical="center" wrapText="1"/>
    </xf>
    <xf numFmtId="0" fontId="125" fillId="0" borderId="10" xfId="81" applyFont="1" applyBorder="1" applyAlignment="1">
      <alignment horizontal="center" vertical="center"/>
    </xf>
    <xf numFmtId="0" fontId="125" fillId="0" borderId="18" xfId="93" quotePrefix="1" applyFont="1" applyBorder="1" applyAlignment="1">
      <alignment horizontal="center" vertical="center"/>
    </xf>
    <xf numFmtId="0" fontId="125" fillId="0" borderId="15" xfId="93" quotePrefix="1" applyFont="1" applyBorder="1" applyAlignment="1">
      <alignment horizontal="center" vertical="center"/>
    </xf>
    <xf numFmtId="201" fontId="125" fillId="0" borderId="254" xfId="242" applyNumberFormat="1" applyFont="1" applyFill="1" applyBorder="1" applyAlignment="1" applyProtection="1">
      <alignment horizontal="center" vertical="center"/>
    </xf>
    <xf numFmtId="0" fontId="125" fillId="0" borderId="224" xfId="81" applyFont="1" applyBorder="1">
      <alignment vertical="center"/>
    </xf>
    <xf numFmtId="195" fontId="125" fillId="0" borderId="224" xfId="242" applyNumberFormat="1" applyFont="1" applyFill="1" applyBorder="1" applyAlignment="1" applyProtection="1">
      <alignment horizontal="left" vertical="center"/>
      <protection locked="0"/>
    </xf>
    <xf numFmtId="199" fontId="125" fillId="4" borderId="224" xfId="242" applyNumberFormat="1" applyFont="1" applyFill="1" applyBorder="1" applyAlignment="1" applyProtection="1">
      <alignment horizontal="right" vertical="center"/>
    </xf>
    <xf numFmtId="190" fontId="125" fillId="0" borderId="255" xfId="242" applyNumberFormat="1" applyFont="1" applyFill="1" applyBorder="1" applyAlignment="1" applyProtection="1">
      <alignment horizontal="center" vertical="center"/>
    </xf>
    <xf numFmtId="201" fontId="125" fillId="0" borderId="256" xfId="242" applyNumberFormat="1" applyFont="1" applyFill="1" applyBorder="1" applyAlignment="1" applyProtection="1">
      <alignment horizontal="center" vertical="center"/>
    </xf>
    <xf numFmtId="0" fontId="125" fillId="0" borderId="43" xfId="81" applyFont="1" applyBorder="1">
      <alignment vertical="center"/>
    </xf>
    <xf numFmtId="195" fontId="125" fillId="0" borderId="43" xfId="242" applyNumberFormat="1" applyFont="1" applyFill="1" applyBorder="1" applyAlignment="1" applyProtection="1">
      <alignment vertical="center"/>
      <protection locked="0"/>
    </xf>
    <xf numFmtId="199" fontId="125" fillId="4" borderId="43" xfId="242" applyNumberFormat="1" applyFont="1" applyFill="1" applyBorder="1" applyAlignment="1" applyProtection="1">
      <alignment horizontal="right" vertical="center"/>
    </xf>
    <xf numFmtId="195" fontId="125" fillId="0" borderId="96" xfId="242" applyNumberFormat="1" applyFont="1" applyFill="1" applyBorder="1" applyAlignment="1" applyProtection="1">
      <alignment vertical="center"/>
      <protection locked="0"/>
    </xf>
    <xf numFmtId="182" fontId="125" fillId="4" borderId="43" xfId="81" applyNumberFormat="1" applyFont="1" applyFill="1" applyBorder="1">
      <alignment vertical="center"/>
    </xf>
    <xf numFmtId="201" fontId="125" fillId="6" borderId="257" xfId="242" applyNumberFormat="1" applyFont="1" applyFill="1" applyBorder="1" applyAlignment="1" applyProtection="1">
      <alignment horizontal="center" vertical="center"/>
    </xf>
    <xf numFmtId="49" fontId="125" fillId="6" borderId="258" xfId="189" applyNumberFormat="1" applyFont="1" applyFill="1" applyBorder="1" applyAlignment="1" applyProtection="1">
      <alignment horizontal="left" vertical="center"/>
    </xf>
    <xf numFmtId="197" fontId="125" fillId="6" borderId="258" xfId="189" applyFont="1" applyFill="1" applyBorder="1" applyAlignment="1" applyProtection="1">
      <alignment vertical="center"/>
      <protection locked="0"/>
    </xf>
    <xf numFmtId="182" fontId="125" fillId="6" borderId="258" xfId="81" applyNumberFormat="1" applyFont="1" applyFill="1" applyBorder="1">
      <alignment vertical="center"/>
    </xf>
    <xf numFmtId="197" fontId="125" fillId="6" borderId="259" xfId="189" applyFont="1" applyFill="1" applyBorder="1" applyAlignment="1" applyProtection="1">
      <alignment vertical="center"/>
      <protection locked="0"/>
    </xf>
    <xf numFmtId="0" fontId="125" fillId="0" borderId="0" xfId="39" applyFont="1"/>
    <xf numFmtId="0" fontId="125" fillId="0" borderId="0" xfId="39" applyFont="1" applyAlignment="1">
      <alignment horizontal="center"/>
    </xf>
    <xf numFmtId="0" fontId="124" fillId="0" borderId="0" xfId="39" applyFont="1"/>
    <xf numFmtId="0" fontId="123" fillId="0" borderId="0" xfId="39" applyFont="1"/>
    <xf numFmtId="0" fontId="125" fillId="0" borderId="10" xfId="39" applyFont="1" applyBorder="1" applyAlignment="1">
      <alignment horizontal="center" vertical="center" wrapText="1"/>
    </xf>
    <xf numFmtId="0" fontId="125" fillId="0" borderId="10" xfId="39" applyFont="1" applyBorder="1" applyAlignment="1">
      <alignment vertical="center" wrapText="1"/>
    </xf>
    <xf numFmtId="199" fontId="125" fillId="4" borderId="10" xfId="39" applyNumberFormat="1" applyFont="1" applyFill="1" applyBorder="1" applyAlignment="1">
      <alignment horizontal="center" vertical="center" wrapText="1"/>
    </xf>
    <xf numFmtId="182" fontId="125" fillId="4" borderId="10" xfId="39" applyNumberFormat="1" applyFont="1" applyFill="1" applyBorder="1" applyAlignment="1">
      <alignment horizontal="center" vertical="center" wrapText="1"/>
    </xf>
    <xf numFmtId="0" fontId="123" fillId="0" borderId="10" xfId="72" applyFont="1" applyBorder="1" applyAlignment="1">
      <alignment horizontal="center" vertical="center" wrapText="1"/>
    </xf>
    <xf numFmtId="0" fontId="114" fillId="0" borderId="22" xfId="62" applyFont="1" applyBorder="1" applyAlignment="1">
      <alignment horizontal="center" vertical="center" wrapText="1"/>
    </xf>
    <xf numFmtId="0" fontId="114" fillId="0" borderId="16" xfId="58" applyFont="1" applyBorder="1" applyAlignment="1">
      <alignment horizontal="center" vertical="center" wrapText="1"/>
    </xf>
    <xf numFmtId="0" fontId="114" fillId="0" borderId="17" xfId="58" applyFont="1" applyBorder="1" applyAlignment="1">
      <alignment horizontal="center" vertical="center" wrapText="1"/>
    </xf>
    <xf numFmtId="0" fontId="115" fillId="0" borderId="6" xfId="62" applyFont="1" applyBorder="1" applyAlignment="1">
      <alignment horizontal="center" vertical="center" wrapText="1"/>
    </xf>
    <xf numFmtId="0" fontId="115" fillId="0" borderId="10" xfId="58" applyFont="1" applyBorder="1" applyAlignment="1">
      <alignment vertical="center" wrapText="1"/>
    </xf>
    <xf numFmtId="0" fontId="115" fillId="0" borderId="10" xfId="62" applyFont="1" applyBorder="1" applyAlignment="1" applyProtection="1">
      <alignment horizontal="left" vertical="center" wrapText="1"/>
      <protection locked="0"/>
    </xf>
    <xf numFmtId="190" fontId="115" fillId="0" borderId="10" xfId="242" applyNumberFormat="1" applyFont="1" applyFill="1" applyBorder="1" applyAlignment="1" applyProtection="1">
      <alignment horizontal="center" vertical="center" wrapText="1"/>
    </xf>
    <xf numFmtId="187" fontId="115" fillId="0" borderId="10" xfId="62" applyNumberFormat="1" applyFont="1" applyBorder="1" applyAlignment="1">
      <alignment horizontal="center" vertical="center" wrapText="1"/>
    </xf>
    <xf numFmtId="190" fontId="115" fillId="9" borderId="12" xfId="242" applyNumberFormat="1" applyFont="1" applyFill="1" applyBorder="1" applyAlignment="1" applyProtection="1">
      <alignment horizontal="right" wrapText="1"/>
    </xf>
    <xf numFmtId="0" fontId="115" fillId="0" borderId="10" xfId="62" applyFont="1" applyBorder="1" applyAlignment="1">
      <alignment horizontal="left" vertical="center"/>
    </xf>
    <xf numFmtId="0" fontId="115" fillId="0" borderId="10" xfId="62" applyFont="1" applyBorder="1" applyAlignment="1">
      <alignment horizontal="left" vertical="center" wrapText="1"/>
    </xf>
    <xf numFmtId="190" fontId="115" fillId="9" borderId="10" xfId="242" applyNumberFormat="1" applyFont="1" applyFill="1" applyBorder="1" applyAlignment="1" applyProtection="1">
      <alignment horizontal="center" vertical="center" wrapText="1"/>
    </xf>
    <xf numFmtId="9" fontId="115" fillId="0" borderId="10" xfId="256" applyFont="1" applyFill="1" applyBorder="1" applyAlignment="1" applyProtection="1">
      <alignment horizontal="center" vertical="center" wrapText="1"/>
    </xf>
    <xf numFmtId="190" fontId="115" fillId="7" borderId="12" xfId="242" applyNumberFormat="1" applyFont="1" applyFill="1" applyBorder="1" applyAlignment="1" applyProtection="1">
      <alignment horizontal="right" wrapText="1"/>
    </xf>
    <xf numFmtId="0" fontId="115" fillId="0" borderId="13" xfId="62" applyFont="1" applyBorder="1" applyAlignment="1">
      <alignment horizontal="center" vertical="center" wrapText="1"/>
    </xf>
    <xf numFmtId="0" fontId="115" fillId="0" borderId="18" xfId="62" applyFont="1" applyBorder="1" applyAlignment="1">
      <alignment horizontal="left" vertical="center"/>
    </xf>
    <xf numFmtId="0" fontId="115" fillId="0" borderId="18" xfId="62" applyFont="1" applyBorder="1" applyAlignment="1">
      <alignment horizontal="left" vertical="center" wrapText="1"/>
    </xf>
    <xf numFmtId="190" fontId="115" fillId="9" borderId="18" xfId="242" applyNumberFormat="1" applyFont="1" applyFill="1" applyBorder="1" applyAlignment="1" applyProtection="1">
      <alignment horizontal="center" vertical="center" wrapText="1"/>
    </xf>
    <xf numFmtId="9" fontId="115" fillId="0" borderId="18" xfId="256" applyFont="1" applyFill="1" applyBorder="1" applyAlignment="1" applyProtection="1">
      <alignment horizontal="center" vertical="center" wrapText="1"/>
    </xf>
    <xf numFmtId="190" fontId="115" fillId="7" borderId="15" xfId="242" applyNumberFormat="1" applyFont="1" applyFill="1" applyBorder="1" applyAlignment="1" applyProtection="1">
      <alignment horizontal="right" wrapText="1"/>
    </xf>
    <xf numFmtId="0" fontId="115" fillId="0" borderId="260" xfId="62" applyFont="1" applyBorder="1" applyAlignment="1">
      <alignment horizontal="center" vertical="center" wrapText="1"/>
    </xf>
    <xf numFmtId="0" fontId="115" fillId="0" borderId="261" xfId="62" applyFont="1" applyBorder="1" applyAlignment="1">
      <alignment vertical="center" wrapText="1"/>
    </xf>
    <xf numFmtId="0" fontId="115" fillId="0" borderId="25" xfId="62" applyFont="1" applyBorder="1" applyAlignment="1" applyProtection="1">
      <alignment horizontal="left" vertical="center" wrapText="1"/>
      <protection locked="0"/>
    </xf>
    <xf numFmtId="190" fontId="115" fillId="0" borderId="262" xfId="189" applyNumberFormat="1" applyFont="1" applyFill="1" applyBorder="1" applyAlignment="1" applyProtection="1">
      <alignment horizontal="center" vertical="center" wrapText="1"/>
    </xf>
    <xf numFmtId="195" fontId="115" fillId="0" borderId="262" xfId="189" applyNumberFormat="1" applyFont="1" applyFill="1" applyBorder="1" applyAlignment="1" applyProtection="1">
      <alignment horizontal="center" vertical="center" wrapText="1"/>
    </xf>
    <xf numFmtId="0" fontId="115" fillId="0" borderId="263" xfId="62" applyFont="1" applyBorder="1" applyAlignment="1">
      <alignment horizontal="center" vertical="center" wrapText="1"/>
    </xf>
    <xf numFmtId="0" fontId="115" fillId="0" borderId="264" xfId="62" applyFont="1" applyBorder="1" applyAlignment="1">
      <alignment horizontal="center" vertical="center" wrapText="1"/>
    </xf>
    <xf numFmtId="0" fontId="99" fillId="0" borderId="262" xfId="62" applyFont="1" applyBorder="1" applyAlignment="1">
      <alignment vertical="center" wrapText="1"/>
    </xf>
    <xf numFmtId="0" fontId="115" fillId="8" borderId="25" xfId="62" applyFont="1" applyFill="1" applyBorder="1" applyAlignment="1" applyProtection="1">
      <alignment horizontal="left" vertical="center" wrapText="1"/>
      <protection locked="0"/>
    </xf>
    <xf numFmtId="0" fontId="115" fillId="0" borderId="263" xfId="62" applyFont="1" applyBorder="1" applyAlignment="1">
      <alignment vertical="center" wrapText="1"/>
    </xf>
    <xf numFmtId="0" fontId="115" fillId="9" borderId="262" xfId="62" applyFont="1" applyFill="1" applyBorder="1" applyAlignment="1" applyProtection="1">
      <alignment horizontal="left" vertical="center" wrapText="1"/>
      <protection locked="0"/>
    </xf>
    <xf numFmtId="190" fontId="115" fillId="12" borderId="262" xfId="189" applyNumberFormat="1" applyFont="1" applyFill="1" applyBorder="1" applyAlignment="1" applyProtection="1">
      <alignment horizontal="center" vertical="center" wrapText="1"/>
    </xf>
    <xf numFmtId="0" fontId="99" fillId="0" borderId="261" xfId="62" applyFont="1" applyBorder="1" applyAlignment="1">
      <alignment vertical="center" wrapText="1"/>
    </xf>
    <xf numFmtId="0" fontId="115" fillId="0" borderId="262" xfId="62" applyFont="1" applyBorder="1" applyAlignment="1" applyProtection="1">
      <alignment horizontal="left" vertical="center" wrapText="1"/>
      <protection locked="0"/>
    </xf>
    <xf numFmtId="0" fontId="115" fillId="9" borderId="262" xfId="62" applyFont="1" applyFill="1" applyBorder="1" applyAlignment="1">
      <alignment vertical="center" wrapText="1"/>
    </xf>
    <xf numFmtId="0" fontId="115" fillId="0" borderId="265" xfId="62" applyFont="1" applyBorder="1" applyAlignment="1">
      <alignment horizontal="center" vertical="center" wrapText="1"/>
    </xf>
    <xf numFmtId="0" fontId="115" fillId="0" borderId="266" xfId="62" applyFont="1" applyBorder="1" applyAlignment="1">
      <alignment vertical="center" wrapText="1"/>
    </xf>
    <xf numFmtId="0" fontId="115" fillId="9" borderId="267" xfId="62" applyFont="1" applyFill="1" applyBorder="1" applyAlignment="1" applyProtection="1">
      <alignment horizontal="left" vertical="center" wrapText="1"/>
      <protection locked="0"/>
    </xf>
    <xf numFmtId="190" fontId="115" fillId="12" borderId="267" xfId="189" applyNumberFormat="1" applyFont="1" applyFill="1" applyBorder="1" applyAlignment="1" applyProtection="1">
      <alignment horizontal="center" vertical="center" wrapText="1"/>
    </xf>
    <xf numFmtId="195" fontId="115" fillId="0" borderId="267" xfId="189" applyNumberFormat="1" applyFont="1" applyFill="1" applyBorder="1" applyAlignment="1" applyProtection="1">
      <alignment horizontal="center" vertical="center" wrapText="1"/>
    </xf>
    <xf numFmtId="190" fontId="115" fillId="0" borderId="267" xfId="189" applyNumberFormat="1" applyFont="1" applyFill="1" applyBorder="1" applyAlignment="1" applyProtection="1">
      <alignment horizontal="center" vertical="center" wrapText="1"/>
    </xf>
    <xf numFmtId="0" fontId="115" fillId="0" borderId="268" xfId="62" applyFont="1" applyBorder="1" applyAlignment="1">
      <alignment vertical="center" wrapText="1"/>
    </xf>
    <xf numFmtId="0" fontId="115" fillId="7" borderId="81" xfId="62" applyFont="1" applyFill="1" applyBorder="1" applyAlignment="1">
      <alignment horizontal="center" vertical="center" wrapText="1"/>
    </xf>
    <xf numFmtId="0" fontId="115" fillId="7" borderId="4" xfId="62" applyFont="1" applyFill="1" applyBorder="1" applyAlignment="1">
      <alignment vertical="center" wrapText="1"/>
    </xf>
    <xf numFmtId="0" fontId="99" fillId="7" borderId="82" xfId="62" applyFont="1" applyFill="1" applyBorder="1" applyAlignment="1" applyProtection="1">
      <alignment horizontal="left" vertical="center" wrapText="1"/>
      <protection locked="0"/>
    </xf>
    <xf numFmtId="190" fontId="115" fillId="9" borderId="82" xfId="189" applyNumberFormat="1" applyFont="1" applyFill="1" applyBorder="1" applyAlignment="1" applyProtection="1">
      <alignment horizontal="center" vertical="center" wrapText="1"/>
    </xf>
    <xf numFmtId="195" fontId="115" fillId="9" borderId="82" xfId="189" applyNumberFormat="1" applyFont="1" applyFill="1" applyBorder="1" applyAlignment="1" applyProtection="1">
      <alignment horizontal="center" vertical="center" wrapText="1"/>
    </xf>
    <xf numFmtId="190" fontId="115" fillId="7" borderId="82" xfId="189" applyNumberFormat="1" applyFont="1" applyFill="1" applyBorder="1" applyAlignment="1" applyProtection="1">
      <alignment horizontal="center" vertical="center" wrapText="1"/>
    </xf>
    <xf numFmtId="0" fontId="115" fillId="0" borderId="83" xfId="62" applyFont="1" applyBorder="1" applyAlignment="1">
      <alignment vertical="center" wrapText="1"/>
    </xf>
    <xf numFmtId="0" fontId="115" fillId="0" borderId="269" xfId="62" applyFont="1" applyBorder="1" applyAlignment="1">
      <alignment horizontal="center" vertical="center" wrapText="1"/>
    </xf>
    <xf numFmtId="0" fontId="115" fillId="0" borderId="270" xfId="62" applyFont="1" applyBorder="1" applyAlignment="1">
      <alignment vertical="center" wrapText="1"/>
    </xf>
    <xf numFmtId="0" fontId="115" fillId="0" borderId="270" xfId="62" applyFont="1" applyBorder="1" applyAlignment="1" applyProtection="1">
      <alignment horizontal="left" vertical="center" wrapText="1"/>
      <protection locked="0"/>
    </xf>
    <xf numFmtId="190" fontId="115" fillId="0" borderId="270" xfId="189" applyNumberFormat="1" applyFont="1" applyFill="1" applyBorder="1" applyAlignment="1" applyProtection="1">
      <alignment horizontal="center" vertical="center" wrapText="1"/>
      <protection locked="0"/>
    </xf>
    <xf numFmtId="195" fontId="115" fillId="0" borderId="270" xfId="189" applyNumberFormat="1" applyFont="1" applyFill="1" applyBorder="1" applyAlignment="1" applyProtection="1">
      <alignment horizontal="center" vertical="center" wrapText="1"/>
    </xf>
    <xf numFmtId="190" fontId="115" fillId="0" borderId="270" xfId="189" applyNumberFormat="1" applyFont="1" applyFill="1" applyBorder="1" applyAlignment="1" applyProtection="1">
      <alignment horizontal="center" vertical="center" wrapText="1"/>
    </xf>
    <xf numFmtId="0" fontId="115" fillId="0" borderId="271" xfId="62" applyFont="1" applyBorder="1" applyAlignment="1">
      <alignment vertical="center" wrapText="1"/>
    </xf>
    <xf numFmtId="0" fontId="115" fillId="0" borderId="262" xfId="62" applyFont="1" applyBorder="1" applyAlignment="1">
      <alignment vertical="center" wrapText="1"/>
    </xf>
    <xf numFmtId="190" fontId="115" fillId="0" borderId="262" xfId="189" applyNumberFormat="1" applyFont="1" applyFill="1" applyBorder="1" applyAlignment="1" applyProtection="1">
      <alignment horizontal="center" vertical="center" wrapText="1"/>
      <protection locked="0"/>
    </xf>
    <xf numFmtId="0" fontId="115" fillId="0" borderId="267" xfId="62" applyFont="1" applyBorder="1" applyAlignment="1">
      <alignment vertical="center" wrapText="1"/>
    </xf>
    <xf numFmtId="0" fontId="115" fillId="0" borderId="272" xfId="62" applyFont="1" applyBorder="1" applyAlignment="1">
      <alignment horizontal="center" vertical="center" wrapText="1"/>
    </xf>
    <xf numFmtId="0" fontId="115" fillId="0" borderId="273" xfId="62" applyFont="1" applyBorder="1" applyAlignment="1">
      <alignment vertical="center" wrapText="1"/>
    </xf>
    <xf numFmtId="0" fontId="115" fillId="9" borderId="274" xfId="62" applyFont="1" applyFill="1" applyBorder="1" applyAlignment="1" applyProtection="1">
      <alignment horizontal="left" vertical="center" wrapText="1"/>
      <protection locked="0"/>
    </xf>
    <xf numFmtId="190" fontId="115" fillId="12" borderId="274" xfId="189" applyNumberFormat="1" applyFont="1" applyFill="1" applyBorder="1" applyAlignment="1" applyProtection="1">
      <alignment horizontal="center" vertical="center" wrapText="1"/>
    </xf>
    <xf numFmtId="195" fontId="115" fillId="0" borderId="274" xfId="189" applyNumberFormat="1" applyFont="1" applyFill="1" applyBorder="1" applyAlignment="1" applyProtection="1">
      <alignment horizontal="center" vertical="center" wrapText="1"/>
    </xf>
    <xf numFmtId="190" fontId="115" fillId="0" borderId="274" xfId="189" applyNumberFormat="1" applyFont="1" applyFill="1" applyBorder="1" applyAlignment="1" applyProtection="1">
      <alignment horizontal="center" vertical="center" wrapText="1"/>
    </xf>
    <xf numFmtId="0" fontId="115" fillId="0" borderId="275" xfId="62" applyFont="1" applyBorder="1" applyAlignment="1">
      <alignment vertical="center" wrapText="1"/>
    </xf>
    <xf numFmtId="0" fontId="115" fillId="0" borderId="274" xfId="62" applyFont="1" applyBorder="1" applyAlignment="1">
      <alignment vertical="center" wrapText="1"/>
    </xf>
    <xf numFmtId="0" fontId="99" fillId="0" borderId="274" xfId="62" applyFont="1" applyBorder="1" applyAlignment="1" applyProtection="1">
      <alignment horizontal="left" vertical="center" wrapText="1"/>
      <protection locked="0"/>
    </xf>
    <xf numFmtId="190" fontId="115" fillId="9" borderId="274" xfId="189" applyNumberFormat="1" applyFont="1" applyFill="1" applyBorder="1" applyAlignment="1" applyProtection="1">
      <alignment horizontal="center" vertical="center" wrapText="1"/>
      <protection locked="0"/>
    </xf>
    <xf numFmtId="195" fontId="115" fillId="9" borderId="274" xfId="189" applyNumberFormat="1" applyFont="1" applyFill="1" applyBorder="1" applyAlignment="1" applyProtection="1">
      <alignment horizontal="center" vertical="center" wrapText="1"/>
    </xf>
    <xf numFmtId="0" fontId="115" fillId="7" borderId="276" xfId="62" applyFont="1" applyFill="1" applyBorder="1" applyAlignment="1">
      <alignment horizontal="center" vertical="center" wrapText="1"/>
    </xf>
    <xf numFmtId="0" fontId="115" fillId="7" borderId="277" xfId="62" applyFont="1" applyFill="1" applyBorder="1" applyAlignment="1">
      <alignment vertical="center" wrapText="1"/>
    </xf>
    <xf numFmtId="0" fontId="99" fillId="7" borderId="277" xfId="62" applyFont="1" applyFill="1" applyBorder="1" applyAlignment="1" applyProtection="1">
      <alignment horizontal="left" vertical="center" wrapText="1"/>
      <protection locked="0"/>
    </xf>
    <xf numFmtId="190" fontId="115" fillId="9" borderId="277" xfId="189" applyNumberFormat="1" applyFont="1" applyFill="1" applyBorder="1" applyAlignment="1" applyProtection="1">
      <alignment horizontal="center" vertical="center" wrapText="1"/>
      <protection locked="0"/>
    </xf>
    <xf numFmtId="195" fontId="115" fillId="9" borderId="277" xfId="189" applyNumberFormat="1" applyFont="1" applyFill="1" applyBorder="1" applyAlignment="1" applyProtection="1">
      <alignment horizontal="center" vertical="center" wrapText="1"/>
    </xf>
    <xf numFmtId="190" fontId="115" fillId="7" borderId="277" xfId="189" applyNumberFormat="1" applyFont="1" applyFill="1" applyBorder="1" applyAlignment="1" applyProtection="1">
      <alignment horizontal="center" vertical="center" wrapText="1"/>
    </xf>
    <xf numFmtId="0" fontId="115" fillId="0" borderId="278" xfId="62" applyFont="1" applyBorder="1" applyAlignment="1">
      <alignment vertical="center" wrapText="1"/>
    </xf>
    <xf numFmtId="0" fontId="99" fillId="0" borderId="270" xfId="62" applyFont="1" applyBorder="1" applyAlignment="1" applyProtection="1">
      <alignment horizontal="left" vertical="center" wrapText="1"/>
      <protection locked="0"/>
    </xf>
    <xf numFmtId="0" fontId="99" fillId="0" borderId="262" xfId="62" applyFont="1" applyBorder="1" applyAlignment="1" applyProtection="1">
      <alignment horizontal="left" vertical="center" wrapText="1"/>
      <protection locked="0"/>
    </xf>
    <xf numFmtId="190" fontId="115" fillId="0" borderId="261" xfId="189" applyNumberFormat="1" applyFont="1" applyFill="1" applyBorder="1" applyAlignment="1" applyProtection="1">
      <alignment horizontal="center" vertical="center" wrapText="1"/>
    </xf>
    <xf numFmtId="190" fontId="115" fillId="0" borderId="261" xfId="189" applyNumberFormat="1" applyFont="1" applyFill="1" applyBorder="1" applyAlignment="1" applyProtection="1">
      <alignment horizontal="center" vertical="center" wrapText="1"/>
      <protection locked="0"/>
    </xf>
    <xf numFmtId="190" fontId="115" fillId="9" borderId="262" xfId="189" applyNumberFormat="1" applyFont="1" applyFill="1" applyBorder="1" applyAlignment="1" applyProtection="1">
      <alignment horizontal="center" vertical="center" wrapText="1"/>
    </xf>
    <xf numFmtId="0" fontId="115" fillId="9" borderId="279" xfId="62" applyFont="1" applyFill="1" applyBorder="1" applyAlignment="1" applyProtection="1">
      <alignment horizontal="left" vertical="center" wrapText="1"/>
      <protection locked="0"/>
    </xf>
    <xf numFmtId="190" fontId="115" fillId="12" borderId="279" xfId="189" applyNumberFormat="1" applyFont="1" applyFill="1" applyBorder="1" applyAlignment="1" applyProtection="1">
      <alignment horizontal="center" vertical="center" wrapText="1"/>
    </xf>
    <xf numFmtId="195" fontId="115" fillId="0" borderId="279" xfId="189" applyNumberFormat="1" applyFont="1" applyFill="1" applyBorder="1" applyAlignment="1" applyProtection="1">
      <alignment horizontal="center" vertical="center" wrapText="1"/>
    </xf>
    <xf numFmtId="190" fontId="115" fillId="0" borderId="279" xfId="189" applyNumberFormat="1" applyFont="1" applyFill="1" applyBorder="1" applyAlignment="1" applyProtection="1">
      <alignment horizontal="center" vertical="center" wrapText="1"/>
    </xf>
    <xf numFmtId="0" fontId="115" fillId="0" borderId="280" xfId="62" applyFont="1" applyBorder="1" applyAlignment="1">
      <alignment vertical="center" wrapText="1"/>
    </xf>
    <xf numFmtId="0" fontId="115" fillId="0" borderId="281" xfId="62" applyFont="1" applyBorder="1" applyAlignment="1">
      <alignment horizontal="center" vertical="center" wrapText="1"/>
    </xf>
    <xf numFmtId="0" fontId="99" fillId="0" borderId="274" xfId="62" applyFont="1" applyBorder="1" applyAlignment="1">
      <alignment vertical="center" wrapText="1"/>
    </xf>
    <xf numFmtId="190" fontId="115" fillId="9" borderId="274" xfId="242" applyNumberFormat="1" applyFont="1" applyFill="1" applyBorder="1" applyAlignment="1" applyProtection="1">
      <alignment horizontal="center" vertical="center" wrapText="1"/>
    </xf>
    <xf numFmtId="187" fontId="115" fillId="9" borderId="274" xfId="62" applyNumberFormat="1" applyFont="1" applyFill="1" applyBorder="1" applyAlignment="1">
      <alignment horizontal="center" vertical="center" wrapText="1"/>
    </xf>
    <xf numFmtId="190" fontId="115" fillId="0" borderId="274" xfId="242" applyNumberFormat="1" applyFont="1" applyFill="1" applyBorder="1" applyAlignment="1" applyProtection="1">
      <alignment horizontal="center" vertical="center" wrapText="1"/>
    </xf>
    <xf numFmtId="0" fontId="115" fillId="7" borderId="260" xfId="62" applyFont="1" applyFill="1" applyBorder="1" applyAlignment="1">
      <alignment horizontal="center" vertical="center" wrapText="1"/>
    </xf>
    <xf numFmtId="0" fontId="115" fillId="7" borderId="262" xfId="62" applyFont="1" applyFill="1" applyBorder="1" applyAlignment="1">
      <alignment vertical="center" wrapText="1"/>
    </xf>
    <xf numFmtId="0" fontId="99" fillId="7" borderId="262" xfId="62" applyFont="1" applyFill="1" applyBorder="1" applyAlignment="1">
      <alignment vertical="center" wrapText="1"/>
    </xf>
    <xf numFmtId="190" fontId="115" fillId="9" borderId="262" xfId="242" applyNumberFormat="1" applyFont="1" applyFill="1" applyBorder="1" applyAlignment="1" applyProtection="1">
      <alignment horizontal="center" vertical="center" wrapText="1"/>
    </xf>
    <xf numFmtId="187" fontId="115" fillId="9" borderId="262" xfId="62" applyNumberFormat="1" applyFont="1" applyFill="1" applyBorder="1" applyAlignment="1">
      <alignment horizontal="center" vertical="center" wrapText="1"/>
    </xf>
    <xf numFmtId="190" fontId="115" fillId="7" borderId="262" xfId="242" applyNumberFormat="1" applyFont="1" applyFill="1" applyBorder="1" applyAlignment="1" applyProtection="1">
      <alignment horizontal="center" vertical="center" wrapText="1"/>
    </xf>
    <xf numFmtId="0" fontId="115" fillId="0" borderId="276" xfId="62" applyFont="1" applyBorder="1" applyAlignment="1">
      <alignment horizontal="center" vertical="center" wrapText="1"/>
    </xf>
    <xf numFmtId="0" fontId="115" fillId="0" borderId="277" xfId="62" applyFont="1" applyBorder="1" applyAlignment="1">
      <alignment vertical="center" wrapText="1"/>
    </xf>
    <xf numFmtId="0" fontId="99" fillId="0" borderId="277" xfId="62" applyFont="1" applyBorder="1" applyAlignment="1">
      <alignment vertical="center" wrapText="1"/>
    </xf>
    <xf numFmtId="190" fontId="115" fillId="9" borderId="277" xfId="242" applyNumberFormat="1" applyFont="1" applyFill="1" applyBorder="1" applyAlignment="1" applyProtection="1">
      <alignment horizontal="center" vertical="center" wrapText="1"/>
    </xf>
    <xf numFmtId="187" fontId="115" fillId="9" borderId="277" xfId="62" applyNumberFormat="1" applyFont="1" applyFill="1" applyBorder="1" applyAlignment="1">
      <alignment horizontal="center" vertical="center" wrapText="1"/>
    </xf>
    <xf numFmtId="190" fontId="115" fillId="0" borderId="277" xfId="242" applyNumberFormat="1" applyFont="1" applyFill="1" applyBorder="1" applyAlignment="1" applyProtection="1">
      <alignment horizontal="center" vertical="center" wrapText="1"/>
    </xf>
    <xf numFmtId="0" fontId="115" fillId="7" borderId="180" xfId="62" applyFont="1" applyFill="1" applyBorder="1" applyAlignment="1">
      <alignment horizontal="center" vertical="center" wrapText="1"/>
    </xf>
    <xf numFmtId="0" fontId="115" fillId="7" borderId="184" xfId="62" applyFont="1" applyFill="1" applyBorder="1" applyAlignment="1">
      <alignment vertical="center" wrapText="1"/>
    </xf>
    <xf numFmtId="0" fontId="99" fillId="7" borderId="184" xfId="62" applyFont="1" applyFill="1" applyBorder="1" applyAlignment="1">
      <alignment vertical="center" wrapText="1"/>
    </xf>
    <xf numFmtId="190" fontId="115" fillId="9" borderId="184" xfId="242" applyNumberFormat="1" applyFont="1" applyFill="1" applyBorder="1" applyAlignment="1" applyProtection="1">
      <alignment horizontal="center" vertical="center" wrapText="1"/>
    </xf>
    <xf numFmtId="187" fontId="115" fillId="9" borderId="184" xfId="62" applyNumberFormat="1" applyFont="1" applyFill="1" applyBorder="1" applyAlignment="1">
      <alignment horizontal="center" vertical="center" wrapText="1"/>
    </xf>
    <xf numFmtId="190" fontId="115" fillId="7" borderId="184" xfId="242" applyNumberFormat="1" applyFont="1" applyFill="1" applyBorder="1" applyAlignment="1" applyProtection="1">
      <alignment horizontal="center" vertical="center" wrapText="1"/>
    </xf>
    <xf numFmtId="0" fontId="115" fillId="0" borderId="185" xfId="62" applyFont="1" applyBorder="1" applyAlignment="1">
      <alignment vertical="center" wrapText="1"/>
    </xf>
    <xf numFmtId="0" fontId="115" fillId="0" borderId="0" xfId="62" applyFont="1" applyAlignment="1">
      <alignment vertical="center" wrapText="1"/>
    </xf>
    <xf numFmtId="187" fontId="115" fillId="0" borderId="0" xfId="62" applyNumberFormat="1" applyFont="1" applyAlignment="1">
      <alignment horizontal="center" vertical="center" wrapText="1"/>
    </xf>
    <xf numFmtId="0" fontId="114" fillId="0" borderId="0" xfId="62" applyFont="1" applyAlignment="1">
      <alignment vertical="center"/>
    </xf>
    <xf numFmtId="0" fontId="114" fillId="0" borderId="0" xfId="62" applyFont="1" applyAlignment="1">
      <alignment horizontal="centerContinuous" vertical="center"/>
    </xf>
    <xf numFmtId="0" fontId="115" fillId="0" borderId="0" xfId="62" applyFont="1" applyAlignment="1">
      <alignment horizontal="centerContinuous" vertical="center" wrapText="1"/>
    </xf>
    <xf numFmtId="0" fontId="114" fillId="0" borderId="22" xfId="62" applyFont="1" applyBorder="1" applyAlignment="1">
      <alignment horizontal="center" vertical="center"/>
    </xf>
    <xf numFmtId="0" fontId="114" fillId="0" borderId="16" xfId="62" applyFont="1" applyBorder="1" applyAlignment="1">
      <alignment horizontal="center" vertical="center" wrapText="1"/>
    </xf>
    <xf numFmtId="190" fontId="119" fillId="0" borderId="92" xfId="242" applyNumberFormat="1" applyFont="1" applyFill="1" applyBorder="1" applyAlignment="1" applyProtection="1">
      <alignment horizontal="center" vertical="center" wrapText="1"/>
    </xf>
    <xf numFmtId="0" fontId="115" fillId="0" borderId="180" xfId="62" applyFont="1" applyBorder="1" applyAlignment="1">
      <alignment horizontal="center" vertical="center" wrapText="1"/>
    </xf>
    <xf numFmtId="0" fontId="115" fillId="0" borderId="282" xfId="62" applyFont="1" applyBorder="1" applyAlignment="1">
      <alignment horizontal="center" vertical="center" wrapText="1"/>
    </xf>
    <xf numFmtId="0" fontId="115" fillId="0" borderId="283" xfId="62" applyFont="1" applyBorder="1" applyAlignment="1">
      <alignment vertical="center" wrapText="1"/>
    </xf>
    <xf numFmtId="0" fontId="115" fillId="0" borderId="283" xfId="62" applyFont="1" applyBorder="1" applyAlignment="1" applyProtection="1">
      <alignment horizontal="left" vertical="center" wrapText="1"/>
      <protection locked="0"/>
    </xf>
    <xf numFmtId="190" fontId="115" fillId="0" borderId="284" xfId="242" applyNumberFormat="1" applyFont="1" applyFill="1" applyBorder="1" applyAlignment="1" applyProtection="1">
      <alignment horizontal="center" vertical="center"/>
      <protection locked="0"/>
    </xf>
    <xf numFmtId="195" fontId="115" fillId="0" borderId="0" xfId="189" applyNumberFormat="1" applyFont="1" applyFill="1" applyBorder="1" applyAlignment="1" applyProtection="1">
      <alignment horizontal="center" vertical="center" wrapText="1"/>
    </xf>
    <xf numFmtId="0" fontId="115" fillId="0" borderId="115" xfId="62" applyFont="1" applyBorder="1" applyAlignment="1">
      <alignment horizontal="center" vertical="center" wrapText="1"/>
    </xf>
    <xf numFmtId="9" fontId="115" fillId="0" borderId="109" xfId="256" applyFont="1" applyFill="1" applyBorder="1" applyAlignment="1" applyProtection="1">
      <alignment horizontal="center" vertical="center" wrapText="1"/>
    </xf>
    <xf numFmtId="190" fontId="115" fillId="0" borderId="285" xfId="242" applyNumberFormat="1" applyFont="1" applyFill="1" applyBorder="1" applyAlignment="1" applyProtection="1">
      <alignment horizontal="center" vertical="center"/>
      <protection locked="0"/>
    </xf>
    <xf numFmtId="0" fontId="115" fillId="0" borderId="116" xfId="62" applyFont="1" applyBorder="1" applyAlignment="1">
      <alignment horizontal="center" vertical="center" wrapText="1"/>
    </xf>
    <xf numFmtId="9" fontId="115" fillId="0" borderId="26" xfId="256" applyFont="1" applyFill="1" applyBorder="1" applyAlignment="1" applyProtection="1">
      <alignment horizontal="center" vertical="center" wrapText="1"/>
    </xf>
    <xf numFmtId="0" fontId="99" fillId="0" borderId="277" xfId="62" applyFont="1" applyBorder="1" applyAlignment="1" applyProtection="1">
      <alignment horizontal="left" vertical="center" wrapText="1"/>
      <protection locked="0"/>
    </xf>
    <xf numFmtId="190" fontId="115" fillId="7" borderId="286" xfId="62" applyNumberFormat="1" applyFont="1" applyFill="1" applyBorder="1" applyAlignment="1">
      <alignment vertical="center" wrapText="1"/>
    </xf>
    <xf numFmtId="0" fontId="115" fillId="0" borderId="287" xfId="62" applyFont="1" applyBorder="1" applyAlignment="1">
      <alignment horizontal="center" vertical="center" wrapText="1"/>
    </xf>
    <xf numFmtId="9" fontId="115" fillId="0" borderId="288" xfId="256" applyFont="1" applyFill="1" applyBorder="1" applyAlignment="1" applyProtection="1">
      <alignment horizontal="center" vertical="center" wrapText="1"/>
    </xf>
    <xf numFmtId="0" fontId="125" fillId="0" borderId="0" xfId="71" quotePrefix="1" applyFont="1" applyAlignment="1">
      <alignment vertical="center"/>
    </xf>
    <xf numFmtId="0" fontId="124" fillId="0" borderId="23" xfId="71" applyFont="1" applyBorder="1" applyAlignment="1">
      <alignment horizontal="center" vertical="center" wrapText="1"/>
    </xf>
    <xf numFmtId="0" fontId="123" fillId="0" borderId="23" xfId="71" applyFont="1" applyBorder="1" applyAlignment="1">
      <alignment horizontal="center" vertical="center" wrapText="1"/>
    </xf>
    <xf numFmtId="49" fontId="124" fillId="0" borderId="20" xfId="71" applyNumberFormat="1" applyFont="1" applyBorder="1" applyAlignment="1">
      <alignment horizontal="center" vertical="center" wrapText="1"/>
    </xf>
    <xf numFmtId="0" fontId="124" fillId="0" borderId="179" xfId="81" quotePrefix="1" applyFont="1" applyBorder="1" applyAlignment="1">
      <alignment horizontal="center" vertical="center" wrapText="1"/>
    </xf>
    <xf numFmtId="0" fontId="124" fillId="0" borderId="20" xfId="81" quotePrefix="1" applyFont="1" applyBorder="1" applyAlignment="1">
      <alignment horizontal="center" vertical="center" wrapText="1"/>
    </xf>
    <xf numFmtId="43" fontId="125" fillId="0" borderId="10" xfId="132" quotePrefix="1" applyFont="1" applyBorder="1" applyAlignment="1">
      <alignment vertical="center"/>
    </xf>
    <xf numFmtId="43" fontId="125" fillId="0" borderId="10" xfId="132" applyFont="1" applyBorder="1" applyAlignment="1">
      <alignment vertical="center"/>
    </xf>
    <xf numFmtId="9" fontId="124" fillId="0" borderId="10" xfId="256" applyFont="1" applyBorder="1" applyAlignment="1">
      <alignment horizontal="center" vertical="center" wrapText="1"/>
    </xf>
    <xf numFmtId="0" fontId="129" fillId="0" borderId="20" xfId="71" quotePrefix="1" applyFont="1" applyBorder="1" applyAlignment="1">
      <alignment horizontal="center" vertical="center" wrapText="1"/>
    </xf>
    <xf numFmtId="43" fontId="125" fillId="0" borderId="10" xfId="132" applyFont="1" applyBorder="1" applyAlignment="1">
      <alignment vertical="center" wrapText="1"/>
    </xf>
    <xf numFmtId="192" fontId="125" fillId="15" borderId="10" xfId="71" applyNumberFormat="1" applyFont="1" applyFill="1" applyBorder="1" applyAlignment="1">
      <alignment horizontal="right" vertical="center"/>
    </xf>
    <xf numFmtId="190" fontId="130" fillId="0" borderId="10" xfId="189" applyNumberFormat="1" applyFont="1" applyBorder="1" applyAlignment="1">
      <alignment vertical="center" wrapText="1"/>
    </xf>
    <xf numFmtId="0" fontId="125" fillId="0" borderId="0" xfId="71" applyFont="1" applyAlignment="1">
      <alignment horizontal="left" vertical="center" wrapText="1"/>
    </xf>
    <xf numFmtId="0" fontId="125" fillId="0" borderId="0" xfId="71" applyFont="1" applyAlignment="1">
      <alignment vertical="center" wrapText="1"/>
    </xf>
    <xf numFmtId="0" fontId="124" fillId="0" borderId="10" xfId="81" applyFont="1" applyBorder="1" applyAlignment="1">
      <alignment horizontal="center" vertical="center" wrapText="1"/>
    </xf>
    <xf numFmtId="0" fontId="99" fillId="0" borderId="0" xfId="128" applyFont="1" applyAlignment="1" applyProtection="1">
      <alignment horizontal="left" vertical="center"/>
      <protection locked="0"/>
    </xf>
    <xf numFmtId="0" fontId="115" fillId="0" borderId="0" xfId="131" applyFont="1"/>
    <xf numFmtId="0" fontId="115" fillId="0" borderId="0" xfId="131" applyFont="1" applyAlignment="1">
      <alignment vertical="center"/>
    </xf>
    <xf numFmtId="0" fontId="115" fillId="0" borderId="0" xfId="0" applyFont="1" applyAlignment="1">
      <alignment horizontal="right" vertical="center" wrapText="1"/>
    </xf>
    <xf numFmtId="0" fontId="114" fillId="0" borderId="10" xfId="131" applyFont="1" applyBorder="1" applyAlignment="1">
      <alignment horizontal="center" vertical="center" wrapText="1"/>
    </xf>
    <xf numFmtId="0" fontId="119" fillId="0" borderId="10" xfId="0" applyFont="1" applyBorder="1" applyAlignment="1">
      <alignment horizontal="center" vertical="center" wrapText="1"/>
    </xf>
    <xf numFmtId="0" fontId="115" fillId="0" borderId="10" xfId="131" applyFont="1" applyBorder="1" applyAlignment="1">
      <alignment horizontal="justify" vertical="center" wrapText="1"/>
    </xf>
    <xf numFmtId="0" fontId="115" fillId="0" borderId="10" xfId="0" applyFont="1" applyBorder="1" applyAlignment="1">
      <alignment horizontal="justify" vertical="center" wrapText="1"/>
    </xf>
    <xf numFmtId="0" fontId="115" fillId="0" borderId="10" xfId="0" applyFont="1" applyBorder="1" applyAlignment="1">
      <alignment horizontal="left" vertical="center" wrapText="1"/>
    </xf>
    <xf numFmtId="0" fontId="122" fillId="0" borderId="10" xfId="0" applyFont="1" applyBorder="1" applyAlignment="1">
      <alignment horizontal="justify" vertical="center" wrapText="1"/>
    </xf>
    <xf numFmtId="0" fontId="115" fillId="5" borderId="10" xfId="131" applyFont="1" applyFill="1" applyBorder="1" applyAlignment="1">
      <alignment horizontal="center" vertical="center" wrapText="1"/>
    </xf>
    <xf numFmtId="0" fontId="115" fillId="0" borderId="0" xfId="0" applyFont="1" applyAlignment="1">
      <alignment horizontal="left" vertical="center" indent="2"/>
    </xf>
    <xf numFmtId="0" fontId="115" fillId="0" borderId="0" xfId="0" applyFont="1" applyAlignment="1">
      <alignment horizontal="right"/>
    </xf>
    <xf numFmtId="0" fontId="99" fillId="0" borderId="10" xfId="0" applyFont="1" applyBorder="1" applyAlignment="1">
      <alignment horizontal="justify" vertical="center" wrapText="1"/>
    </xf>
    <xf numFmtId="0" fontId="115" fillId="0" borderId="10" xfId="131" applyFont="1" applyBorder="1" applyAlignment="1">
      <alignment horizontal="center" vertical="center" wrapText="1"/>
    </xf>
    <xf numFmtId="190" fontId="115" fillId="0" borderId="10" xfId="189" applyNumberFormat="1" applyFont="1" applyFill="1" applyBorder="1" applyAlignment="1">
      <alignment horizontal="justify" vertical="center" wrapText="1"/>
    </xf>
    <xf numFmtId="0" fontId="115" fillId="6" borderId="10" xfId="131" applyFont="1" applyFill="1" applyBorder="1" applyAlignment="1">
      <alignment horizontal="justify" vertical="center" wrapText="1"/>
    </xf>
    <xf numFmtId="0" fontId="115" fillId="0" borderId="0" xfId="0" applyFont="1" applyAlignment="1">
      <alignment horizontal="left"/>
    </xf>
    <xf numFmtId="0" fontId="131" fillId="0" borderId="0" xfId="131" applyFont="1" applyAlignment="1">
      <alignment vertical="center"/>
    </xf>
    <xf numFmtId="0" fontId="124" fillId="0" borderId="0" xfId="81" applyFont="1" applyAlignment="1">
      <alignment horizontal="center" vertical="center"/>
    </xf>
    <xf numFmtId="0" fontId="124" fillId="0" borderId="0" xfId="81" applyFont="1">
      <alignment vertical="center"/>
    </xf>
    <xf numFmtId="0" fontId="125" fillId="0" borderId="0" xfId="81" applyFont="1">
      <alignment vertical="center"/>
    </xf>
    <xf numFmtId="49" fontId="5" fillId="0" borderId="0" xfId="81" applyNumberFormat="1" applyFont="1" applyAlignment="1" applyProtection="1">
      <alignment horizontal="left" vertical="center"/>
      <protection locked="0"/>
    </xf>
    <xf numFmtId="193" fontId="5" fillId="0" borderId="0" xfId="37" applyNumberFormat="1" applyFont="1" applyAlignment="1">
      <alignment horizontal="right" vertical="center" wrapText="1"/>
    </xf>
    <xf numFmtId="49" fontId="15" fillId="0" borderId="289" xfId="81" applyNumberFormat="1" applyFont="1" applyBorder="1" applyAlignment="1">
      <alignment horizontal="center" vertical="center" wrapText="1"/>
    </xf>
    <xf numFmtId="0" fontId="15" fillId="0" borderId="250" xfId="81" applyFont="1" applyBorder="1" applyAlignment="1">
      <alignment horizontal="center" vertical="center" wrapText="1"/>
    </xf>
    <xf numFmtId="0" fontId="15" fillId="0" borderId="290" xfId="81" applyFont="1" applyBorder="1" applyAlignment="1">
      <alignment horizontal="center" vertical="center" wrapText="1"/>
    </xf>
    <xf numFmtId="0" fontId="5" fillId="0" borderId="0" xfId="81" applyFont="1" applyAlignment="1">
      <alignment horizontal="center" wrapText="1"/>
    </xf>
    <xf numFmtId="49" fontId="5" fillId="0" borderId="116" xfId="37" applyNumberFormat="1" applyFont="1" applyBorder="1" applyAlignment="1">
      <alignment horizontal="center" vertical="center" wrapText="1"/>
    </xf>
    <xf numFmtId="49" fontId="5" fillId="0" borderId="25" xfId="37" applyNumberFormat="1" applyFont="1" applyBorder="1" applyAlignment="1">
      <alignment horizontal="center" vertical="center" wrapText="1"/>
    </xf>
    <xf numFmtId="0" fontId="5" fillId="0" borderId="25" xfId="81" applyFont="1" applyBorder="1" applyAlignment="1">
      <alignment horizontal="center" vertical="center" wrapText="1"/>
    </xf>
    <xf numFmtId="9" fontId="5" fillId="0" borderId="25" xfId="256" applyFont="1" applyFill="1" applyBorder="1" applyAlignment="1">
      <alignment vertical="center" wrapText="1"/>
    </xf>
    <xf numFmtId="0" fontId="5" fillId="0" borderId="12" xfId="81" applyFont="1" applyBorder="1" applyAlignment="1">
      <alignment vertical="center" wrapText="1"/>
    </xf>
    <xf numFmtId="0" fontId="5" fillId="0" borderId="84" xfId="81" applyFont="1" applyBorder="1" applyAlignment="1">
      <alignment vertical="center" wrapText="1"/>
    </xf>
    <xf numFmtId="0" fontId="5" fillId="0" borderId="21" xfId="81" applyFont="1" applyBorder="1" applyAlignment="1">
      <alignment vertical="center" wrapText="1"/>
    </xf>
    <xf numFmtId="0" fontId="5" fillId="0" borderId="24" xfId="81" applyFont="1" applyBorder="1" applyAlignment="1">
      <alignment vertical="center" wrapText="1"/>
    </xf>
    <xf numFmtId="9" fontId="5" fillId="0" borderId="80" xfId="81" applyNumberFormat="1" applyFont="1" applyBorder="1" applyAlignment="1">
      <alignment vertical="center" wrapText="1"/>
    </xf>
    <xf numFmtId="0" fontId="5" fillId="0" borderId="13" xfId="81" applyFont="1" applyBorder="1" applyAlignment="1">
      <alignment vertical="center" wrapText="1"/>
    </xf>
    <xf numFmtId="0" fontId="5" fillId="0" borderId="15" xfId="81" applyFont="1" applyBorder="1" applyAlignment="1">
      <alignment vertical="center" wrapText="1"/>
    </xf>
    <xf numFmtId="0" fontId="5" fillId="0" borderId="0" xfId="81" quotePrefix="1" applyFont="1" applyAlignment="1">
      <alignment vertical="center" wrapText="1"/>
    </xf>
    <xf numFmtId="197" fontId="5" fillId="0" borderId="25" xfId="189" applyFont="1" applyFill="1" applyBorder="1" applyAlignment="1" applyProtection="1">
      <alignment vertical="center" wrapText="1"/>
      <protection locked="0"/>
    </xf>
    <xf numFmtId="197" fontId="5" fillId="0" borderId="25" xfId="189" applyFont="1" applyFill="1" applyBorder="1" applyAlignment="1">
      <alignment vertical="center" wrapText="1"/>
    </xf>
    <xf numFmtId="49" fontId="5" fillId="0" borderId="292" xfId="37" applyNumberFormat="1" applyFont="1" applyBorder="1" applyAlignment="1">
      <alignment horizontal="center" vertical="center" wrapText="1"/>
    </xf>
    <xf numFmtId="49" fontId="5" fillId="0" borderId="205" xfId="37" applyNumberFormat="1" applyFont="1" applyBorder="1" applyAlignment="1">
      <alignment horizontal="center" vertical="center" wrapText="1"/>
    </xf>
    <xf numFmtId="0" fontId="5" fillId="0" borderId="205" xfId="37" applyFont="1" applyBorder="1" applyAlignment="1">
      <alignment horizontal="center" vertical="center" wrapText="1"/>
    </xf>
    <xf numFmtId="197" fontId="5" fillId="0" borderId="205" xfId="189" applyFont="1" applyFill="1" applyBorder="1" applyAlignment="1" applyProtection="1">
      <alignment vertical="center" wrapText="1"/>
      <protection locked="0"/>
    </xf>
    <xf numFmtId="197" fontId="5" fillId="0" borderId="205" xfId="189" applyFont="1" applyFill="1" applyBorder="1" applyAlignment="1">
      <alignment vertical="center" wrapText="1"/>
    </xf>
    <xf numFmtId="9" fontId="5" fillId="0" borderId="205" xfId="256" applyFont="1" applyFill="1" applyBorder="1" applyAlignment="1">
      <alignment vertical="center" wrapText="1"/>
    </xf>
    <xf numFmtId="195" fontId="5" fillId="0" borderId="205" xfId="189" applyNumberFormat="1" applyFont="1" applyFill="1" applyBorder="1" applyAlignment="1">
      <alignment horizontal="center" vertical="center" wrapText="1"/>
    </xf>
    <xf numFmtId="197" fontId="5" fillId="0" borderId="89" xfId="189" applyFont="1" applyFill="1" applyBorder="1" applyAlignment="1">
      <alignment vertical="center" wrapText="1"/>
    </xf>
    <xf numFmtId="9" fontId="5" fillId="0" borderId="89" xfId="256" applyFont="1" applyFill="1" applyBorder="1" applyAlignment="1">
      <alignment vertical="center" wrapText="1"/>
    </xf>
    <xf numFmtId="195" fontId="5" fillId="0" borderId="89" xfId="189" applyNumberFormat="1" applyFont="1" applyFill="1" applyBorder="1" applyAlignment="1">
      <alignment vertical="center" wrapText="1"/>
    </xf>
    <xf numFmtId="0" fontId="5" fillId="0" borderId="122" xfId="81" applyFont="1" applyBorder="1" applyAlignment="1">
      <alignment vertical="center" wrapText="1"/>
    </xf>
    <xf numFmtId="49" fontId="5" fillId="0" borderId="0" xfId="81" applyNumberFormat="1" applyFont="1" applyAlignment="1">
      <alignment horizontal="left" wrapText="1"/>
    </xf>
    <xf numFmtId="49" fontId="5" fillId="0" borderId="0" xfId="81" applyNumberFormat="1" applyFont="1" applyAlignment="1">
      <alignment horizontal="center" vertical="center" wrapText="1"/>
    </xf>
    <xf numFmtId="0" fontId="5" fillId="0" borderId="0" xfId="81" applyFont="1" applyAlignment="1">
      <alignment horizontal="left" vertical="center" wrapText="1"/>
    </xf>
    <xf numFmtId="49" fontId="5" fillId="0" borderId="0" xfId="81" applyNumberFormat="1" applyFont="1" applyAlignment="1">
      <alignment vertical="center" wrapText="1"/>
    </xf>
    <xf numFmtId="0" fontId="5" fillId="0" borderId="0" xfId="81" applyFont="1" applyProtection="1">
      <alignment vertical="center"/>
      <protection locked="0"/>
    </xf>
    <xf numFmtId="0" fontId="15" fillId="0" borderId="289" xfId="81" applyFont="1" applyBorder="1" applyAlignment="1">
      <alignment horizontal="center" vertical="center" wrapText="1"/>
    </xf>
    <xf numFmtId="9" fontId="5" fillId="0" borderId="25" xfId="256" applyFont="1" applyFill="1" applyBorder="1" applyAlignment="1">
      <alignment horizontal="center" vertical="center" wrapText="1"/>
    </xf>
    <xf numFmtId="0" fontId="15" fillId="0" borderId="189" xfId="81" applyFont="1" applyBorder="1" applyAlignment="1">
      <alignment horizontal="center" vertical="center" wrapText="1"/>
    </xf>
    <xf numFmtId="0" fontId="5" fillId="0" borderId="291" xfId="81" applyFont="1" applyBorder="1" applyAlignment="1">
      <alignment horizontal="center" vertical="center" wrapText="1"/>
    </xf>
    <xf numFmtId="0" fontId="5" fillId="0" borderId="116" xfId="30" quotePrefix="1" applyFont="1" applyBorder="1" applyAlignment="1">
      <alignment horizontal="center" vertical="center" wrapText="1"/>
    </xf>
    <xf numFmtId="0" fontId="5" fillId="0" borderId="110" xfId="81" applyFont="1" applyBorder="1" applyAlignment="1">
      <alignment horizontal="center" vertical="center" wrapText="1"/>
    </xf>
    <xf numFmtId="182" fontId="5" fillId="0" borderId="229" xfId="37" applyNumberFormat="1" applyFont="1" applyBorder="1" applyAlignment="1">
      <alignment horizontal="left" vertical="center" wrapText="1"/>
    </xf>
    <xf numFmtId="0" fontId="5" fillId="0" borderId="205" xfId="81" applyFont="1" applyBorder="1" applyAlignment="1">
      <alignment horizontal="center" vertical="center" wrapText="1"/>
    </xf>
    <xf numFmtId="197" fontId="5" fillId="0" borderId="205" xfId="189" applyFont="1" applyFill="1" applyBorder="1" applyAlignment="1">
      <alignment horizontal="center" vertical="center" wrapText="1"/>
    </xf>
    <xf numFmtId="9" fontId="5" fillId="0" borderId="205" xfId="256" applyFont="1" applyFill="1" applyBorder="1" applyAlignment="1">
      <alignment horizontal="center" vertical="center" wrapText="1"/>
    </xf>
    <xf numFmtId="197" fontId="5" fillId="0" borderId="89" xfId="189" applyFont="1" applyFill="1" applyBorder="1" applyAlignment="1">
      <alignment horizontal="center" vertical="center" wrapText="1"/>
    </xf>
    <xf numFmtId="9" fontId="5" fillId="0" borderId="89" xfId="256" applyFont="1" applyFill="1" applyBorder="1" applyAlignment="1">
      <alignment horizontal="center" vertical="center" wrapText="1"/>
    </xf>
    <xf numFmtId="195" fontId="5" fillId="0" borderId="89" xfId="189" applyNumberFormat="1" applyFont="1" applyFill="1" applyBorder="1" applyAlignment="1">
      <alignment horizontal="center" vertical="center" wrapText="1"/>
    </xf>
    <xf numFmtId="49" fontId="114" fillId="0" borderId="10"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49" fontId="115" fillId="0" borderId="10" xfId="69" applyNumberFormat="1" applyFont="1" applyBorder="1" applyAlignment="1">
      <alignment horizontal="center" vertical="center" wrapText="1"/>
    </xf>
    <xf numFmtId="0" fontId="114" fillId="0" borderId="10" xfId="7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5" fillId="0" borderId="10" xfId="110"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23" xfId="131" applyFont="1" applyBorder="1" applyAlignment="1">
      <alignment horizontal="center" vertical="center" wrapText="1"/>
    </xf>
    <xf numFmtId="0" fontId="114" fillId="0" borderId="23" xfId="0" applyFont="1" applyBorder="1" applyAlignment="1">
      <alignment horizontal="center" vertical="center" wrapText="1"/>
    </xf>
    <xf numFmtId="0" fontId="119" fillId="0" borderId="23" xfId="0" applyFont="1" applyBorder="1" applyAlignment="1">
      <alignment horizontal="center" vertical="center" wrapText="1"/>
    </xf>
    <xf numFmtId="0" fontId="115" fillId="0" borderId="0" xfId="117" applyFont="1" applyAlignment="1">
      <alignment horizontal="center" vertical="center" wrapText="1"/>
    </xf>
    <xf numFmtId="0" fontId="115" fillId="0" borderId="0" xfId="117" applyFont="1" applyAlignment="1">
      <alignment vertical="center" wrapText="1"/>
    </xf>
    <xf numFmtId="0" fontId="115" fillId="0" borderId="0" xfId="117" applyFont="1" applyAlignment="1">
      <alignment horizontal="distributed" vertical="center" wrapText="1"/>
    </xf>
    <xf numFmtId="0" fontId="115" fillId="0" borderId="0" xfId="117" applyFont="1" applyAlignment="1">
      <alignment horizontal="left" vertical="center" wrapText="1"/>
    </xf>
    <xf numFmtId="0" fontId="125" fillId="0" borderId="0" xfId="31" applyFont="1">
      <alignment vertical="center"/>
    </xf>
    <xf numFmtId="0" fontId="125" fillId="8" borderId="0" xfId="31" applyFont="1" applyFill="1" applyAlignment="1" applyProtection="1">
      <alignment horizontal="left" vertical="center"/>
      <protection locked="0"/>
    </xf>
    <xf numFmtId="0" fontId="123" fillId="0" borderId="10" xfId="71" applyFont="1" applyBorder="1" applyAlignment="1">
      <alignment horizontal="center" vertical="center" wrapText="1"/>
    </xf>
    <xf numFmtId="0" fontId="123" fillId="0" borderId="0" xfId="31" applyFont="1">
      <alignment vertical="center"/>
    </xf>
    <xf numFmtId="0" fontId="125" fillId="0" borderId="0" xfId="31" applyFont="1" applyAlignment="1">
      <alignment horizontal="center" vertical="center"/>
    </xf>
    <xf numFmtId="0" fontId="123" fillId="0" borderId="10" xfId="71" applyFont="1" applyBorder="1" applyAlignment="1">
      <alignment horizontal="center" vertical="center"/>
    </xf>
    <xf numFmtId="49" fontId="123" fillId="0" borderId="10" xfId="71" applyNumberFormat="1" applyFont="1" applyBorder="1" applyAlignment="1">
      <alignment horizontal="center" vertical="center" wrapText="1"/>
    </xf>
    <xf numFmtId="49" fontId="123" fillId="0" borderId="10" xfId="71" applyNumberFormat="1" applyFont="1" applyBorder="1" applyAlignment="1">
      <alignment horizontal="center" vertical="center"/>
    </xf>
    <xf numFmtId="191" fontId="123" fillId="0" borderId="10" xfId="71" applyNumberFormat="1" applyFont="1" applyBorder="1" applyAlignment="1" applyProtection="1">
      <alignment horizontal="left" vertical="center" wrapText="1"/>
      <protection locked="0"/>
    </xf>
    <xf numFmtId="191" fontId="123" fillId="0" borderId="73" xfId="71" applyNumberFormat="1" applyFont="1" applyBorder="1" applyAlignment="1" applyProtection="1">
      <alignment horizontal="left" vertical="center" wrapText="1"/>
      <protection locked="0"/>
    </xf>
    <xf numFmtId="194" fontId="124" fillId="0" borderId="10" xfId="71" applyNumberFormat="1" applyFont="1" applyBorder="1" applyAlignment="1" applyProtection="1">
      <alignment horizontal="right" vertical="center" wrapText="1"/>
      <protection locked="0"/>
    </xf>
    <xf numFmtId="191" fontId="123" fillId="0" borderId="0" xfId="71" applyNumberFormat="1" applyFont="1" applyAlignment="1" applyProtection="1">
      <alignment horizontal="left" vertical="center" wrapText="1"/>
      <protection locked="0"/>
    </xf>
    <xf numFmtId="212" fontId="124" fillId="0" borderId="10" xfId="71" applyNumberFormat="1" applyFont="1" applyBorder="1" applyAlignment="1" applyProtection="1">
      <alignment horizontal="left" vertical="center" wrapText="1"/>
      <protection locked="0"/>
    </xf>
    <xf numFmtId="192" fontId="124" fillId="0" borderId="10" xfId="71" applyNumberFormat="1" applyFont="1" applyBorder="1" applyAlignment="1" applyProtection="1">
      <alignment horizontal="right" vertical="center" wrapText="1"/>
      <protection locked="0"/>
    </xf>
    <xf numFmtId="196" fontId="124" fillId="0" borderId="10" xfId="71" applyNumberFormat="1" applyFont="1" applyBorder="1" applyAlignment="1" applyProtection="1">
      <alignment horizontal="right" vertical="center"/>
      <protection locked="0"/>
    </xf>
    <xf numFmtId="191" fontId="123" fillId="0" borderId="23" xfId="71" applyNumberFormat="1" applyFont="1" applyBorder="1" applyAlignment="1" applyProtection="1">
      <alignment horizontal="left" vertical="center" wrapText="1"/>
      <protection locked="0"/>
    </xf>
    <xf numFmtId="191" fontId="123" fillId="0" borderId="85" xfId="71" applyNumberFormat="1" applyFont="1" applyBorder="1" applyAlignment="1" applyProtection="1">
      <alignment horizontal="left" vertical="center" wrapText="1"/>
      <protection locked="0"/>
    </xf>
    <xf numFmtId="191" fontId="123" fillId="0" borderId="10" xfId="31" quotePrefix="1" applyNumberFormat="1" applyFont="1" applyBorder="1" applyAlignment="1" applyProtection="1">
      <alignment horizontal="left" vertical="center" wrapText="1"/>
      <protection locked="0"/>
    </xf>
    <xf numFmtId="194" fontId="124" fillId="0" borderId="10" xfId="31" quotePrefix="1" applyNumberFormat="1" applyFont="1" applyBorder="1" applyAlignment="1" applyProtection="1">
      <alignment horizontal="right" vertical="center" wrapText="1"/>
      <protection locked="0"/>
    </xf>
    <xf numFmtId="212" fontId="124" fillId="0" borderId="10" xfId="31" quotePrefix="1" applyNumberFormat="1" applyFont="1" applyBorder="1" applyAlignment="1" applyProtection="1">
      <alignment horizontal="left" vertical="center" wrapText="1"/>
      <protection locked="0"/>
    </xf>
    <xf numFmtId="191" fontId="123" fillId="0" borderId="10" xfId="31" applyNumberFormat="1" applyFont="1" applyBorder="1" applyAlignment="1" applyProtection="1">
      <alignment horizontal="left" vertical="center" wrapText="1"/>
      <protection locked="0"/>
    </xf>
    <xf numFmtId="192" fontId="124" fillId="0" borderId="10" xfId="31" applyNumberFormat="1" applyFont="1" applyBorder="1" applyAlignment="1" applyProtection="1">
      <alignment horizontal="right" vertical="center" wrapText="1"/>
      <protection locked="0"/>
    </xf>
    <xf numFmtId="0" fontId="125" fillId="6" borderId="11" xfId="71" applyFont="1" applyFill="1" applyBorder="1" applyAlignment="1">
      <alignment horizontal="center" vertical="center" wrapText="1"/>
    </xf>
    <xf numFmtId="0" fontId="125" fillId="6" borderId="163" xfId="71" applyFont="1" applyFill="1" applyBorder="1" applyAlignment="1">
      <alignment horizontal="center" vertical="center" wrapText="1"/>
    </xf>
    <xf numFmtId="0" fontId="125" fillId="6" borderId="10" xfId="71" applyFont="1" applyFill="1" applyBorder="1" applyAlignment="1">
      <alignment horizontal="center" vertical="center" wrapText="1"/>
    </xf>
    <xf numFmtId="0" fontId="125" fillId="6" borderId="166" xfId="71" applyFont="1" applyFill="1" applyBorder="1" applyAlignment="1">
      <alignment horizontal="center" vertical="center" wrapText="1"/>
    </xf>
    <xf numFmtId="0" fontId="123" fillId="0" borderId="0" xfId="71" applyFont="1" applyAlignment="1" applyProtection="1">
      <alignment vertical="center"/>
      <protection locked="0"/>
    </xf>
    <xf numFmtId="49" fontId="123" fillId="0" borderId="0" xfId="71" applyNumberFormat="1" applyFont="1" applyAlignment="1">
      <alignment horizontal="center" vertical="top"/>
    </xf>
    <xf numFmtId="0" fontId="125" fillId="0" borderId="0" xfId="71" applyFont="1" applyAlignment="1">
      <alignment vertical="center"/>
    </xf>
    <xf numFmtId="0" fontId="123" fillId="0" borderId="0" xfId="71" applyFont="1" applyAlignment="1">
      <alignment vertical="center"/>
    </xf>
    <xf numFmtId="0" fontId="125" fillId="0" borderId="0" xfId="71" applyFont="1" applyAlignment="1">
      <alignment horizontal="left" vertical="center"/>
    </xf>
    <xf numFmtId="0" fontId="125" fillId="0" borderId="0" xfId="31" applyFont="1" applyProtection="1">
      <alignment vertical="center"/>
      <protection locked="0"/>
    </xf>
    <xf numFmtId="49" fontId="125" fillId="0" borderId="0" xfId="71" applyNumberFormat="1" applyFont="1" applyAlignment="1">
      <alignment horizontal="center" vertical="top"/>
    </xf>
    <xf numFmtId="0" fontId="124" fillId="0" borderId="0" xfId="92" applyFont="1"/>
    <xf numFmtId="0" fontId="127" fillId="0" borderId="0" xfId="81" applyFont="1">
      <alignment vertical="center"/>
    </xf>
    <xf numFmtId="0" fontId="125" fillId="0" borderId="10" xfId="71" applyFont="1" applyBorder="1" applyAlignment="1">
      <alignment horizontal="center" vertical="center" wrapText="1"/>
    </xf>
    <xf numFmtId="0" fontId="125" fillId="0" borderId="23" xfId="71" applyFont="1" applyBorder="1" applyAlignment="1">
      <alignment horizontal="center" vertical="center" wrapText="1"/>
    </xf>
    <xf numFmtId="0" fontId="125" fillId="0" borderId="82" xfId="71" applyFont="1" applyBorder="1" applyAlignment="1">
      <alignment horizontal="center" vertical="center" wrapText="1"/>
    </xf>
    <xf numFmtId="0" fontId="125" fillId="0" borderId="20" xfId="71" quotePrefix="1" applyFont="1" applyBorder="1" applyAlignment="1">
      <alignment horizontal="center" vertical="center" wrapText="1"/>
    </xf>
    <xf numFmtId="0" fontId="125" fillId="0" borderId="10" xfId="108" applyFont="1" applyBorder="1" applyAlignment="1">
      <alignment horizontal="center" vertical="center"/>
    </xf>
    <xf numFmtId="192" fontId="125" fillId="6" borderId="10" xfId="71" applyNumberFormat="1" applyFont="1" applyFill="1" applyBorder="1" applyAlignment="1">
      <alignment horizontal="right" vertical="center"/>
    </xf>
    <xf numFmtId="192" fontId="125" fillId="9" borderId="140" xfId="71" applyNumberFormat="1" applyFont="1" applyFill="1" applyBorder="1" applyAlignment="1">
      <alignment horizontal="right" vertical="center"/>
    </xf>
    <xf numFmtId="196" fontId="125" fillId="6" borderId="10" xfId="71" applyNumberFormat="1" applyFont="1" applyFill="1" applyBorder="1" applyAlignment="1">
      <alignment horizontal="right" vertical="center"/>
    </xf>
    <xf numFmtId="191" fontId="125" fillId="6" borderId="10" xfId="71" applyNumberFormat="1" applyFont="1" applyFill="1" applyBorder="1" applyAlignment="1">
      <alignment horizontal="left" vertical="center" wrapText="1"/>
    </xf>
    <xf numFmtId="0" fontId="125" fillId="0" borderId="10" xfId="71" applyFont="1" applyBorder="1" applyAlignment="1">
      <alignment horizontal="left" vertical="center" wrapText="1"/>
    </xf>
    <xf numFmtId="191" fontId="125" fillId="15" borderId="10" xfId="71" applyNumberFormat="1" applyFont="1" applyFill="1" applyBorder="1" applyAlignment="1">
      <alignment horizontal="left" vertical="center" wrapText="1"/>
    </xf>
    <xf numFmtId="196" fontId="125" fillId="15" borderId="10" xfId="71" applyNumberFormat="1" applyFont="1" applyFill="1" applyBorder="1" applyAlignment="1">
      <alignment horizontal="right" vertical="center"/>
    </xf>
    <xf numFmtId="0" fontId="125" fillId="0" borderId="0" xfId="0" applyFont="1" applyAlignment="1">
      <alignment vertical="center"/>
    </xf>
    <xf numFmtId="0" fontId="125" fillId="0" borderId="0" xfId="118" applyFont="1" applyAlignment="1">
      <alignment vertical="center"/>
    </xf>
    <xf numFmtId="0" fontId="125" fillId="0" borderId="23"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82" xfId="71" applyFont="1" applyBorder="1" applyAlignment="1">
      <alignment horizontal="center" vertical="center"/>
    </xf>
    <xf numFmtId="49" fontId="125" fillId="0" borderId="20" xfId="71" applyNumberFormat="1" applyFont="1" applyBorder="1" applyAlignment="1">
      <alignment horizontal="center" vertical="center" wrapText="1"/>
    </xf>
    <xf numFmtId="49" fontId="125" fillId="0" borderId="10" xfId="71" applyNumberFormat="1" applyFont="1" applyBorder="1" applyAlignment="1">
      <alignment horizontal="center" vertical="center"/>
    </xf>
    <xf numFmtId="191" fontId="125" fillId="0" borderId="10" xfId="71" applyNumberFormat="1" applyFont="1" applyBorder="1" applyAlignment="1">
      <alignment horizontal="left" vertical="center" wrapText="1"/>
    </xf>
    <xf numFmtId="191" fontId="125" fillId="0" borderId="73" xfId="71" applyNumberFormat="1" applyFont="1" applyBorder="1" applyAlignment="1">
      <alignment horizontal="left" vertical="center" wrapText="1"/>
    </xf>
    <xf numFmtId="191" fontId="125" fillId="0" borderId="0" xfId="71" applyNumberFormat="1" applyFont="1" applyAlignment="1">
      <alignment horizontal="left" vertical="center" wrapText="1"/>
    </xf>
    <xf numFmtId="191" fontId="125" fillId="0" borderId="10" xfId="71" applyNumberFormat="1" applyFont="1" applyBorder="1" applyAlignment="1">
      <alignment horizontal="center" vertical="center" wrapText="1"/>
    </xf>
    <xf numFmtId="192" fontId="125" fillId="0" borderId="10" xfId="71" applyNumberFormat="1" applyFont="1" applyBorder="1" applyAlignment="1">
      <alignment horizontal="right" vertical="center" wrapText="1"/>
    </xf>
    <xf numFmtId="190" fontId="125" fillId="0" borderId="10" xfId="189" applyNumberFormat="1" applyFont="1" applyFill="1" applyBorder="1" applyAlignment="1" applyProtection="1">
      <alignment horizontal="right" vertical="center" wrapText="1"/>
    </xf>
    <xf numFmtId="191" fontId="125" fillId="0" borderId="23" xfId="71" applyNumberFormat="1" applyFont="1" applyBorder="1" applyAlignment="1" applyProtection="1">
      <alignment horizontal="left" vertical="center" wrapText="1"/>
      <protection locked="0"/>
    </xf>
    <xf numFmtId="191" fontId="125" fillId="0" borderId="85" xfId="71" applyNumberFormat="1" applyFont="1" applyBorder="1" applyAlignment="1" applyProtection="1">
      <alignment horizontal="left" vertical="center" wrapText="1"/>
      <protection locked="0"/>
    </xf>
    <xf numFmtId="191" fontId="125" fillId="0" borderId="73"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center" vertical="center" wrapText="1"/>
      <protection locked="0"/>
    </xf>
    <xf numFmtId="192" fontId="125" fillId="0" borderId="10" xfId="71" applyNumberFormat="1" applyFont="1" applyBorder="1" applyAlignment="1" applyProtection="1">
      <alignment horizontal="right" vertical="center" wrapText="1"/>
      <protection locked="0"/>
    </xf>
    <xf numFmtId="191" fontId="125" fillId="0" borderId="10" xfId="0" quotePrefix="1" applyNumberFormat="1" applyFont="1" applyBorder="1" applyAlignment="1">
      <alignment horizontal="left" vertical="center" wrapText="1"/>
    </xf>
    <xf numFmtId="191" fontId="125" fillId="0" borderId="10" xfId="0" applyNumberFormat="1" applyFont="1" applyBorder="1" applyAlignment="1">
      <alignment horizontal="center" vertical="center" wrapText="1"/>
    </xf>
    <xf numFmtId="191" fontId="125" fillId="0" borderId="10" xfId="0" applyNumberFormat="1" applyFont="1" applyBorder="1" applyAlignment="1">
      <alignment horizontal="left" vertical="center" wrapText="1"/>
    </xf>
    <xf numFmtId="192" fontId="125" fillId="0" borderId="10" xfId="0" applyNumberFormat="1" applyFont="1" applyBorder="1" applyAlignment="1">
      <alignment horizontal="right" vertical="center" wrapText="1"/>
    </xf>
    <xf numFmtId="191" fontId="125" fillId="0" borderId="140" xfId="0" quotePrefix="1" applyNumberFormat="1" applyFont="1" applyBorder="1" applyAlignment="1">
      <alignment horizontal="left" vertical="center" wrapText="1"/>
    </xf>
    <xf numFmtId="191" fontId="125" fillId="0" borderId="140" xfId="0" applyNumberFormat="1" applyFont="1" applyBorder="1" applyAlignment="1">
      <alignment horizontal="center" vertical="center" wrapText="1"/>
    </xf>
    <xf numFmtId="191" fontId="125" fillId="0" borderId="140" xfId="0" applyNumberFormat="1" applyFont="1" applyBorder="1" applyAlignment="1">
      <alignment horizontal="left" vertical="center" wrapText="1"/>
    </xf>
    <xf numFmtId="0" fontId="125" fillId="0" borderId="0" xfId="71" applyFont="1" applyAlignment="1" applyProtection="1">
      <alignment vertical="center"/>
      <protection locked="0"/>
    </xf>
    <xf numFmtId="0" fontId="125" fillId="0" borderId="0" xfId="71" applyFont="1" applyAlignment="1" applyProtection="1">
      <alignment horizontal="left" vertical="center"/>
      <protection locked="0"/>
    </xf>
    <xf numFmtId="0" fontId="127" fillId="0" borderId="0" xfId="71" applyFont="1" applyAlignment="1" applyProtection="1">
      <alignment horizontal="left" vertical="center"/>
      <protection locked="0"/>
    </xf>
    <xf numFmtId="0" fontId="125" fillId="0" borderId="0" xfId="71" applyFont="1" applyAlignment="1" applyProtection="1">
      <alignment horizontal="left" vertical="center" wrapText="1"/>
      <protection locked="0"/>
    </xf>
    <xf numFmtId="0" fontId="123" fillId="0" borderId="0" xfId="0" applyFont="1" applyAlignment="1">
      <alignment vertical="center"/>
    </xf>
    <xf numFmtId="0" fontId="115" fillId="0" borderId="0" xfId="127" applyFont="1" applyAlignment="1">
      <alignment vertical="center" wrapText="1"/>
    </xf>
    <xf numFmtId="0" fontId="115" fillId="0" borderId="0" xfId="127" applyFont="1" applyAlignment="1">
      <alignment wrapText="1"/>
    </xf>
    <xf numFmtId="0" fontId="115" fillId="0" borderId="0" xfId="71" quotePrefix="1" applyFont="1" applyAlignment="1">
      <alignment vertical="center"/>
    </xf>
    <xf numFmtId="0" fontId="115" fillId="0" borderId="0" xfId="71" applyFont="1" applyAlignment="1">
      <alignment horizontal="right" vertical="center"/>
    </xf>
    <xf numFmtId="0" fontId="114" fillId="0" borderId="10" xfId="71" applyFont="1" applyBorder="1" applyAlignment="1">
      <alignment horizontal="centerContinuous" vertical="center" wrapText="1"/>
    </xf>
    <xf numFmtId="192" fontId="115" fillId="0" borderId="10" xfId="71" applyNumberFormat="1" applyFont="1" applyBorder="1" applyAlignment="1">
      <alignment horizontal="right" vertical="center" wrapText="1"/>
    </xf>
    <xf numFmtId="191" fontId="115" fillId="0" borderId="10" xfId="71" applyNumberFormat="1" applyFont="1" applyBorder="1" applyAlignment="1">
      <alignment horizontal="left" vertical="center" wrapText="1"/>
    </xf>
    <xf numFmtId="192" fontId="115" fillId="0" borderId="140" xfId="71" applyNumberFormat="1" applyFont="1" applyBorder="1" applyAlignment="1">
      <alignment horizontal="right" vertical="center" wrapText="1"/>
    </xf>
    <xf numFmtId="202" fontId="115" fillId="0" borderId="10" xfId="108" quotePrefix="1" applyNumberFormat="1" applyFont="1" applyBorder="1" applyAlignment="1">
      <alignment horizontal="center" vertical="center" wrapText="1"/>
    </xf>
    <xf numFmtId="0" fontId="115" fillId="0" borderId="0" xfId="92" applyFont="1" applyAlignment="1">
      <alignment vertical="center" wrapText="1"/>
    </xf>
    <xf numFmtId="0" fontId="99" fillId="0" borderId="10" xfId="71" applyFont="1" applyBorder="1" applyAlignment="1">
      <alignment horizontal="left" vertical="center" wrapText="1"/>
    </xf>
    <xf numFmtId="0" fontId="115" fillId="0" borderId="10" xfId="71" applyFont="1" applyBorder="1" applyAlignment="1">
      <alignment vertical="center" wrapText="1"/>
    </xf>
    <xf numFmtId="49" fontId="115" fillId="0" borderId="10" xfId="108" applyNumberFormat="1" applyFont="1" applyBorder="1" applyAlignment="1">
      <alignment horizontal="center" vertical="center" wrapText="1"/>
    </xf>
    <xf numFmtId="0" fontId="115" fillId="0" borderId="0" xfId="71" applyFont="1" applyAlignment="1">
      <alignment horizontal="right" vertical="center" wrapText="1"/>
    </xf>
    <xf numFmtId="0" fontId="115" fillId="0" borderId="10" xfId="71" applyFont="1" applyBorder="1" applyAlignment="1">
      <alignment horizontal="left" vertical="center" wrapText="1" indent="2"/>
    </xf>
    <xf numFmtId="0" fontId="115" fillId="0" borderId="10" xfId="71" applyFont="1" applyBorder="1" applyAlignment="1">
      <alignment horizontal="left" vertical="center" wrapText="1" indent="4"/>
    </xf>
    <xf numFmtId="0" fontId="115" fillId="0" borderId="10" xfId="92" applyFont="1" applyBorder="1" applyAlignment="1">
      <alignment vertical="center" wrapText="1"/>
    </xf>
    <xf numFmtId="0" fontId="115" fillId="0" borderId="10" xfId="92" applyFont="1" applyBorder="1" applyAlignment="1">
      <alignment wrapText="1"/>
    </xf>
    <xf numFmtId="0" fontId="115" fillId="0" borderId="0" xfId="71" quotePrefix="1" applyFont="1" applyAlignment="1">
      <alignment horizontal="center" vertical="center" wrapText="1"/>
    </xf>
    <xf numFmtId="0" fontId="115" fillId="0" borderId="0" xfId="92" applyFont="1"/>
    <xf numFmtId="0" fontId="115" fillId="0" borderId="10" xfId="71" applyFont="1" applyBorder="1" applyAlignment="1">
      <alignment horizontal="right" vertical="center" wrapText="1"/>
    </xf>
    <xf numFmtId="213" fontId="115" fillId="0" borderId="10" xfId="239" applyNumberFormat="1" applyFont="1" applyFill="1" applyBorder="1" applyAlignment="1">
      <alignment wrapText="1"/>
    </xf>
    <xf numFmtId="0" fontId="115" fillId="0" borderId="0" xfId="76" applyFont="1" applyAlignment="1">
      <alignment horizontal="right" vertical="center"/>
    </xf>
    <xf numFmtId="179" fontId="115" fillId="0" borderId="10" xfId="132" applyNumberFormat="1" applyFont="1" applyFill="1" applyBorder="1" applyAlignment="1" applyProtection="1">
      <alignment horizontal="left" vertical="center" wrapText="1"/>
      <protection locked="0"/>
    </xf>
    <xf numFmtId="179" fontId="115" fillId="6" borderId="10" xfId="132" applyNumberFormat="1" applyFont="1" applyFill="1" applyBorder="1" applyAlignment="1">
      <alignment horizontal="left" vertical="center" wrapText="1"/>
    </xf>
    <xf numFmtId="179" fontId="115" fillId="15" borderId="10" xfId="132" applyNumberFormat="1" applyFont="1" applyFill="1" applyBorder="1" applyAlignment="1">
      <alignment horizontal="right" vertical="center" wrapText="1"/>
    </xf>
    <xf numFmtId="0" fontId="115" fillId="0" borderId="86" xfId="108" applyFont="1" applyBorder="1" applyAlignment="1">
      <alignment horizontal="center" vertical="center"/>
    </xf>
    <xf numFmtId="0" fontId="115" fillId="0" borderId="148" xfId="76" applyFont="1" applyBorder="1" applyAlignment="1">
      <alignment horizontal="left" vertical="center" wrapText="1"/>
    </xf>
    <xf numFmtId="192" fontId="115" fillId="6" borderId="136" xfId="71" applyNumberFormat="1" applyFont="1" applyFill="1" applyBorder="1" applyAlignment="1">
      <alignment horizontal="right" vertical="center" wrapText="1"/>
    </xf>
    <xf numFmtId="192" fontId="115" fillId="6" borderId="16" xfId="71" applyNumberFormat="1" applyFont="1" applyFill="1" applyBorder="1" applyAlignment="1">
      <alignment horizontal="right" vertical="center" wrapText="1"/>
    </xf>
    <xf numFmtId="191" fontId="115" fillId="6" borderId="17" xfId="71" applyNumberFormat="1" applyFont="1" applyFill="1" applyBorder="1" applyAlignment="1">
      <alignment horizontal="left" vertical="center" wrapText="1"/>
    </xf>
    <xf numFmtId="0" fontId="115" fillId="0" borderId="178" xfId="108" applyFont="1" applyBorder="1" applyAlignment="1">
      <alignment horizontal="center" vertical="center"/>
    </xf>
    <xf numFmtId="0" fontId="115" fillId="0" borderId="3" xfId="76" applyFont="1" applyBorder="1" applyAlignment="1">
      <alignment horizontal="left" vertical="center" wrapText="1"/>
    </xf>
    <xf numFmtId="192" fontId="115" fillId="6" borderId="143" xfId="71" applyNumberFormat="1" applyFont="1" applyFill="1" applyBorder="1" applyAlignment="1">
      <alignment horizontal="right" vertical="center" wrapText="1"/>
    </xf>
    <xf numFmtId="192" fontId="115" fillId="6" borderId="18" xfId="71" applyNumberFormat="1" applyFont="1" applyFill="1" applyBorder="1" applyAlignment="1">
      <alignment horizontal="right" vertical="center" wrapText="1"/>
    </xf>
    <xf numFmtId="191" fontId="115" fillId="6" borderId="15" xfId="71" applyNumberFormat="1" applyFont="1" applyFill="1" applyBorder="1" applyAlignment="1">
      <alignment horizontal="left" vertical="center" wrapText="1"/>
    </xf>
    <xf numFmtId="0" fontId="115" fillId="0" borderId="0" xfId="92" applyFont="1" applyAlignment="1">
      <alignment horizontal="center"/>
    </xf>
    <xf numFmtId="0" fontId="115" fillId="0" borderId="0" xfId="118" applyFont="1" applyAlignment="1">
      <alignment wrapText="1"/>
    </xf>
    <xf numFmtId="49" fontId="114" fillId="0" borderId="10" xfId="71" applyNumberFormat="1" applyFont="1" applyBorder="1" applyAlignment="1">
      <alignment horizontal="center" vertical="center" wrapText="1"/>
    </xf>
    <xf numFmtId="191" fontId="115" fillId="0" borderId="10" xfId="71" applyNumberFormat="1" applyFont="1" applyBorder="1" applyAlignment="1">
      <alignment horizontal="center" vertical="center" wrapText="1"/>
    </xf>
    <xf numFmtId="196" fontId="115" fillId="0" borderId="10" xfId="71" applyNumberFormat="1" applyFont="1" applyBorder="1" applyAlignment="1">
      <alignment horizontal="right" vertical="center" wrapText="1"/>
    </xf>
    <xf numFmtId="191" fontId="115" fillId="0" borderId="0" xfId="71" applyNumberFormat="1" applyFont="1" applyAlignment="1">
      <alignment horizontal="center" vertical="center" wrapText="1"/>
    </xf>
    <xf numFmtId="191" fontId="115" fillId="0" borderId="0" xfId="71" applyNumberFormat="1" applyFont="1" applyAlignment="1">
      <alignment horizontal="left" vertical="center" wrapText="1"/>
    </xf>
    <xf numFmtId="196" fontId="115" fillId="0" borderId="0" xfId="71" applyNumberFormat="1" applyFont="1" applyAlignment="1">
      <alignment horizontal="right" vertical="center" wrapText="1"/>
    </xf>
    <xf numFmtId="192" fontId="115" fillId="0" borderId="0" xfId="71" applyNumberFormat="1" applyFont="1" applyAlignment="1">
      <alignment horizontal="right" vertical="center" wrapText="1"/>
    </xf>
    <xf numFmtId="213" fontId="115" fillId="0" borderId="0" xfId="239" applyNumberFormat="1" applyFont="1" applyFill="1" applyBorder="1" applyAlignment="1">
      <alignment wrapText="1"/>
    </xf>
    <xf numFmtId="0" fontId="115" fillId="0" borderId="25" xfId="103" applyFont="1" applyBorder="1" applyAlignment="1">
      <alignment horizontal="left" vertical="center" wrapText="1" indent="8"/>
    </xf>
    <xf numFmtId="0" fontId="115" fillId="0" borderId="25" xfId="103" applyFont="1" applyBorder="1" applyAlignment="1">
      <alignment horizontal="left" vertical="center" wrapText="1" indent="10"/>
    </xf>
    <xf numFmtId="0" fontId="115" fillId="0" borderId="79" xfId="103" applyFont="1" applyBorder="1" applyAlignment="1">
      <alignment horizontal="left" vertical="center" wrapText="1" indent="10"/>
    </xf>
    <xf numFmtId="0" fontId="115" fillId="0" borderId="79" xfId="103" applyFont="1" applyBorder="1" applyAlignment="1">
      <alignment horizontal="left" vertical="center" wrapText="1" indent="8"/>
    </xf>
    <xf numFmtId="202" fontId="115" fillId="0" borderId="10" xfId="103" quotePrefix="1" applyNumberFormat="1" applyFont="1" applyBorder="1" applyAlignment="1">
      <alignment horizontal="center" vertical="center" wrapText="1"/>
    </xf>
    <xf numFmtId="49" fontId="99" fillId="0" borderId="10" xfId="103" applyNumberFormat="1" applyFont="1" applyBorder="1" applyAlignment="1">
      <alignment horizontal="left" vertical="center" wrapText="1" indent="6"/>
    </xf>
    <xf numFmtId="176" fontId="115" fillId="0" borderId="0" xfId="103" applyNumberFormat="1" applyFont="1" applyAlignment="1">
      <alignment horizontal="left" vertical="center" wrapText="1"/>
    </xf>
    <xf numFmtId="0" fontId="115" fillId="0" borderId="86" xfId="103" applyFont="1" applyBorder="1" applyAlignment="1">
      <alignment horizontal="center" vertical="center" wrapText="1"/>
    </xf>
    <xf numFmtId="0" fontId="115" fillId="0" borderId="148" xfId="103" applyFont="1" applyBorder="1" applyAlignment="1">
      <alignment horizontal="left" vertical="center" wrapText="1"/>
    </xf>
    <xf numFmtId="176" fontId="122" fillId="6" borderId="250" xfId="103" applyNumberFormat="1" applyFont="1" applyFill="1" applyBorder="1" applyAlignment="1">
      <alignment horizontal="left" vertical="center" wrapText="1"/>
    </xf>
    <xf numFmtId="190" fontId="122" fillId="6" borderId="250" xfId="189" applyNumberFormat="1" applyFont="1" applyFill="1" applyBorder="1" applyAlignment="1">
      <alignment horizontal="right" vertical="center" wrapText="1"/>
    </xf>
    <xf numFmtId="190" fontId="122" fillId="6" borderId="290" xfId="189" applyNumberFormat="1" applyFont="1" applyFill="1" applyBorder="1" applyAlignment="1">
      <alignment horizontal="right" vertical="center" wrapText="1"/>
    </xf>
    <xf numFmtId="0" fontId="115" fillId="0" borderId="178" xfId="103" applyFont="1" applyBorder="1" applyAlignment="1">
      <alignment horizontal="center" vertical="center" wrapText="1"/>
    </xf>
    <xf numFmtId="0" fontId="115" fillId="0" borderId="3" xfId="103" applyFont="1" applyBorder="1" applyAlignment="1">
      <alignment horizontal="left" vertical="center" wrapText="1"/>
    </xf>
    <xf numFmtId="176" fontId="122" fillId="6" borderId="294" xfId="103" applyNumberFormat="1" applyFont="1" applyFill="1" applyBorder="1" applyAlignment="1">
      <alignment horizontal="left" vertical="center" wrapText="1"/>
    </xf>
    <xf numFmtId="190" fontId="122" fillId="6" borderId="294" xfId="189" applyNumberFormat="1" applyFont="1" applyFill="1" applyBorder="1" applyAlignment="1">
      <alignment horizontal="right" vertical="center" wrapText="1"/>
    </xf>
    <xf numFmtId="190" fontId="122" fillId="6" borderId="288" xfId="189" applyNumberFormat="1" applyFont="1" applyFill="1" applyBorder="1" applyAlignment="1">
      <alignment horizontal="right" vertical="center" wrapText="1"/>
    </xf>
    <xf numFmtId="0" fontId="115" fillId="0" borderId="0" xfId="85" applyFont="1" applyAlignment="1">
      <alignment horizontal="center" vertical="center"/>
    </xf>
    <xf numFmtId="176" fontId="115" fillId="0" borderId="0" xfId="103" applyNumberFormat="1" applyFont="1" applyAlignment="1">
      <alignment horizontal="left" vertical="center"/>
    </xf>
    <xf numFmtId="0" fontId="115" fillId="0" borderId="0" xfId="77" applyFont="1" applyAlignment="1">
      <alignment vertical="center"/>
    </xf>
    <xf numFmtId="0" fontId="115" fillId="0" borderId="0" xfId="77" applyFont="1" applyAlignment="1">
      <alignment vertical="center" wrapText="1"/>
    </xf>
    <xf numFmtId="0" fontId="115" fillId="0" borderId="33" xfId="77" quotePrefix="1" applyFont="1" applyBorder="1" applyAlignment="1">
      <alignment vertical="center"/>
    </xf>
    <xf numFmtId="0" fontId="115" fillId="0" borderId="0" xfId="77" applyFont="1" applyAlignment="1">
      <alignment horizontal="right" vertical="center" wrapText="1"/>
    </xf>
    <xf numFmtId="0" fontId="115" fillId="0" borderId="0" xfId="77" applyFont="1" applyAlignment="1">
      <alignment horizontal="right" vertical="center"/>
    </xf>
    <xf numFmtId="0" fontId="114" fillId="0" borderId="10" xfId="77" applyFont="1" applyBorder="1" applyAlignment="1">
      <alignment horizontal="centerContinuous" vertical="center" wrapText="1"/>
    </xf>
    <xf numFmtId="0" fontId="114" fillId="0" borderId="10" xfId="77" quotePrefix="1" applyFont="1" applyBorder="1" applyAlignment="1">
      <alignment horizontal="center" vertical="center" wrapText="1"/>
    </xf>
    <xf numFmtId="0" fontId="115" fillId="0" borderId="10" xfId="111" applyFont="1" applyBorder="1" applyAlignment="1">
      <alignment horizontal="center" vertical="center" wrapText="1"/>
    </xf>
    <xf numFmtId="194" fontId="115" fillId="0" borderId="10" xfId="77" applyNumberFormat="1" applyFont="1" applyBorder="1" applyAlignment="1" applyProtection="1">
      <alignment horizontal="right" vertical="center" wrapText="1"/>
      <protection locked="0"/>
    </xf>
    <xf numFmtId="191" fontId="115" fillId="0" borderId="10" xfId="77" applyNumberFormat="1" applyFont="1" applyBorder="1" applyAlignment="1" applyProtection="1">
      <alignment horizontal="left" vertical="center" wrapText="1"/>
      <protection locked="0"/>
    </xf>
    <xf numFmtId="192" fontId="115" fillId="11" borderId="10" xfId="71" applyNumberFormat="1" applyFont="1" applyFill="1" applyBorder="1" applyAlignment="1">
      <alignment horizontal="right" vertical="center" wrapText="1"/>
    </xf>
    <xf numFmtId="194" fontId="115" fillId="0" borderId="140" xfId="77" applyNumberFormat="1" applyFont="1" applyBorder="1" applyAlignment="1" applyProtection="1">
      <alignment horizontal="right" vertical="center" wrapText="1"/>
      <protection locked="0"/>
    </xf>
    <xf numFmtId="0" fontId="115" fillId="0" borderId="0" xfId="111" applyFont="1" applyAlignment="1">
      <alignment horizontal="center" vertical="center" wrapText="1"/>
    </xf>
    <xf numFmtId="194" fontId="115" fillId="0" borderId="0" xfId="77" applyNumberFormat="1" applyFont="1" applyAlignment="1" applyProtection="1">
      <alignment horizontal="right" vertical="center" wrapText="1"/>
      <protection locked="0"/>
    </xf>
    <xf numFmtId="191" fontId="115" fillId="0" borderId="0" xfId="77" applyNumberFormat="1" applyFont="1" applyAlignment="1" applyProtection="1">
      <alignment horizontal="left" vertical="center" wrapText="1"/>
      <protection locked="0"/>
    </xf>
    <xf numFmtId="0" fontId="115" fillId="0" borderId="0" xfId="77" applyFont="1" applyAlignment="1">
      <alignment horizontal="center" vertical="center"/>
    </xf>
    <xf numFmtId="0" fontId="115" fillId="0" borderId="0" xfId="77" applyFont="1" applyAlignment="1">
      <alignment horizontal="left" vertical="center"/>
    </xf>
    <xf numFmtId="0" fontId="115" fillId="0" borderId="0" xfId="111" applyFont="1" applyAlignment="1">
      <alignment horizontal="center" vertical="center"/>
    </xf>
    <xf numFmtId="0" fontId="115" fillId="0" borderId="0" xfId="120" applyFont="1" applyAlignment="1">
      <alignment horizontal="left" vertical="center" wrapText="1"/>
    </xf>
    <xf numFmtId="0" fontId="115" fillId="0" borderId="0" xfId="108" applyFont="1" applyAlignment="1">
      <alignment horizontal="center" vertical="center"/>
    </xf>
    <xf numFmtId="0" fontId="115" fillId="0" borderId="0" xfId="108" applyFont="1" applyAlignment="1">
      <alignment horizontal="center" vertical="top" wrapText="1"/>
    </xf>
    <xf numFmtId="185" fontId="115" fillId="0" borderId="10" xfId="71" applyNumberFormat="1" applyFont="1" applyBorder="1" applyAlignment="1">
      <alignment horizontal="right" vertical="center" wrapText="1"/>
    </xf>
    <xf numFmtId="0" fontId="115" fillId="0" borderId="5" xfId="71" applyFont="1" applyBorder="1" applyAlignment="1">
      <alignment vertical="center" wrapText="1"/>
    </xf>
    <xf numFmtId="192" fontId="115" fillId="0" borderId="10" xfId="118" applyNumberFormat="1" applyFont="1" applyBorder="1" applyAlignment="1">
      <alignment horizontal="right" vertical="center" wrapText="1"/>
    </xf>
    <xf numFmtId="192" fontId="115" fillId="0" borderId="0" xfId="118" applyNumberFormat="1" applyFont="1" applyAlignment="1">
      <alignment horizontal="right" vertical="center" wrapText="1"/>
    </xf>
    <xf numFmtId="0" fontId="99" fillId="0" borderId="0" xfId="108" applyFont="1" applyAlignment="1">
      <alignment horizontal="center" vertical="center" wrapText="1"/>
    </xf>
    <xf numFmtId="0" fontId="99" fillId="0" borderId="0" xfId="92" applyFont="1" applyAlignment="1">
      <alignment vertical="center"/>
    </xf>
    <xf numFmtId="0" fontId="115" fillId="0" borderId="0" xfId="76" applyFont="1" applyAlignment="1">
      <alignment vertical="center"/>
    </xf>
    <xf numFmtId="0" fontId="115" fillId="0" borderId="33" xfId="76" applyFont="1" applyBorder="1" applyAlignment="1">
      <alignment vertical="center"/>
    </xf>
    <xf numFmtId="0" fontId="115" fillId="0" borderId="33" xfId="76" applyFont="1" applyBorder="1" applyAlignment="1">
      <alignment vertical="center" wrapText="1"/>
    </xf>
    <xf numFmtId="0" fontId="115" fillId="0" borderId="33" xfId="76" applyFont="1" applyBorder="1" applyAlignment="1">
      <alignment horizontal="right" vertical="center"/>
    </xf>
    <xf numFmtId="0" fontId="114" fillId="0" borderId="10" xfId="72" applyFont="1" applyBorder="1" applyAlignment="1">
      <alignment horizontal="center" vertical="center" wrapText="1"/>
    </xf>
    <xf numFmtId="0" fontId="114" fillId="0" borderId="10" xfId="72" quotePrefix="1" applyFont="1" applyBorder="1" applyAlignment="1">
      <alignment horizontal="center" vertical="center" wrapText="1"/>
    </xf>
    <xf numFmtId="194" fontId="115" fillId="0" borderId="10" xfId="76" applyNumberFormat="1" applyFont="1" applyBorder="1" applyAlignment="1" applyProtection="1">
      <alignment horizontal="right" vertical="center" wrapText="1"/>
      <protection locked="0"/>
    </xf>
    <xf numFmtId="10" fontId="115" fillId="0" borderId="10" xfId="76" applyNumberFormat="1" applyFont="1" applyBorder="1" applyAlignment="1" applyProtection="1">
      <alignment horizontal="right" vertical="center" wrapText="1"/>
      <protection locked="0"/>
    </xf>
    <xf numFmtId="191" fontId="115" fillId="0" borderId="10" xfId="76" applyNumberFormat="1" applyFont="1" applyBorder="1" applyAlignment="1" applyProtection="1">
      <alignment horizontal="left" vertical="center" wrapText="1"/>
      <protection locked="0"/>
    </xf>
    <xf numFmtId="194" fontId="115" fillId="0" borderId="140" xfId="76" applyNumberFormat="1" applyFont="1" applyBorder="1" applyAlignment="1" applyProtection="1">
      <alignment horizontal="right" vertical="center" wrapText="1"/>
      <protection locked="0"/>
    </xf>
    <xf numFmtId="10" fontId="115" fillId="0" borderId="140" xfId="76" applyNumberFormat="1" applyFont="1" applyBorder="1" applyAlignment="1" applyProtection="1">
      <alignment horizontal="right" vertical="center" wrapText="1"/>
      <protection locked="0"/>
    </xf>
    <xf numFmtId="0" fontId="115" fillId="0" borderId="22" xfId="108" applyFont="1" applyBorder="1" applyAlignment="1">
      <alignment horizontal="center" vertical="center" wrapText="1"/>
    </xf>
    <xf numFmtId="0" fontId="115" fillId="0" borderId="16" xfId="71" applyFont="1" applyBorder="1" applyAlignment="1">
      <alignment horizontal="left" vertical="center" wrapText="1"/>
    </xf>
    <xf numFmtId="192" fontId="115" fillId="0" borderId="136" xfId="71" applyNumberFormat="1" applyFont="1" applyBorder="1" applyAlignment="1">
      <alignment horizontal="right" vertical="center" wrapText="1"/>
    </xf>
    <xf numFmtId="196" fontId="115" fillId="0" borderId="136" xfId="71" applyNumberFormat="1" applyFont="1" applyBorder="1" applyAlignment="1">
      <alignment horizontal="right" vertical="center" wrapText="1"/>
    </xf>
    <xf numFmtId="192" fontId="115" fillId="0" borderId="16" xfId="71" applyNumberFormat="1" applyFont="1" applyBorder="1" applyAlignment="1">
      <alignment horizontal="right" vertical="center" wrapText="1"/>
    </xf>
    <xf numFmtId="191" fontId="115" fillId="0" borderId="17" xfId="71" applyNumberFormat="1" applyFont="1" applyBorder="1" applyAlignment="1">
      <alignment horizontal="left" vertical="center" wrapText="1"/>
    </xf>
    <xf numFmtId="0" fontId="115" fillId="0" borderId="13" xfId="108" applyFont="1" applyBorder="1" applyAlignment="1">
      <alignment horizontal="center" vertical="center" wrapText="1"/>
    </xf>
    <xf numFmtId="0" fontId="115" fillId="0" borderId="18" xfId="71" applyFont="1" applyBorder="1" applyAlignment="1">
      <alignment horizontal="left" vertical="center" wrapText="1"/>
    </xf>
    <xf numFmtId="192" fontId="115" fillId="0" borderId="143" xfId="71" applyNumberFormat="1" applyFont="1" applyBorder="1" applyAlignment="1">
      <alignment horizontal="right" vertical="center" wrapText="1"/>
    </xf>
    <xf numFmtId="196" fontId="115" fillId="0" borderId="143" xfId="71" applyNumberFormat="1" applyFont="1" applyBorder="1" applyAlignment="1">
      <alignment horizontal="right" vertical="center" wrapText="1"/>
    </xf>
    <xf numFmtId="192" fontId="115" fillId="0" borderId="18" xfId="71" applyNumberFormat="1" applyFont="1" applyBorder="1" applyAlignment="1">
      <alignment horizontal="right" vertical="center" wrapText="1"/>
    </xf>
    <xf numFmtId="191" fontId="115" fillId="0" borderId="15" xfId="71" applyNumberFormat="1" applyFont="1" applyBorder="1" applyAlignment="1">
      <alignment horizontal="left" vertical="center" wrapText="1"/>
    </xf>
    <xf numFmtId="0" fontId="115" fillId="0" borderId="0" xfId="72" applyFont="1" applyAlignment="1">
      <alignment horizontal="center" vertical="center" wrapText="1"/>
    </xf>
    <xf numFmtId="0" fontId="115" fillId="0" borderId="33" xfId="71" applyFont="1" applyBorder="1" applyAlignment="1">
      <alignment vertical="center"/>
    </xf>
    <xf numFmtId="0" fontId="115" fillId="0" borderId="33" xfId="71" applyFont="1" applyBorder="1" applyAlignment="1">
      <alignment vertical="center" wrapText="1"/>
    </xf>
    <xf numFmtId="49" fontId="115" fillId="0" borderId="10" xfId="71" applyNumberFormat="1" applyFont="1" applyBorder="1" applyAlignment="1">
      <alignment horizontal="center" vertical="center" wrapText="1"/>
    </xf>
    <xf numFmtId="10" fontId="115" fillId="0" borderId="10" xfId="71" applyNumberFormat="1" applyFont="1" applyBorder="1" applyAlignment="1">
      <alignment horizontal="center" vertical="center" wrapText="1"/>
    </xf>
    <xf numFmtId="185" fontId="115" fillId="0" borderId="10" xfId="71" applyNumberFormat="1" applyFont="1" applyBorder="1" applyAlignment="1">
      <alignment horizontal="center" vertical="center" wrapText="1"/>
    </xf>
    <xf numFmtId="213" fontId="115" fillId="0" borderId="10" xfId="239" applyNumberFormat="1" applyFont="1" applyFill="1" applyBorder="1" applyAlignment="1">
      <alignment horizontal="center" vertical="center" wrapText="1"/>
    </xf>
    <xf numFmtId="49" fontId="115" fillId="6" borderId="10" xfId="71" applyNumberFormat="1" applyFont="1" applyFill="1" applyBorder="1" applyAlignment="1">
      <alignment horizontal="center" vertical="center" wrapText="1"/>
    </xf>
    <xf numFmtId="49" fontId="115" fillId="6" borderId="140" xfId="71" applyNumberFormat="1" applyFont="1" applyFill="1" applyBorder="1" applyAlignment="1">
      <alignment horizontal="center" vertical="center" wrapText="1"/>
    </xf>
    <xf numFmtId="10" fontId="115" fillId="6" borderId="140" xfId="71" applyNumberFormat="1" applyFont="1" applyFill="1" applyBorder="1" applyAlignment="1">
      <alignment horizontal="center" vertical="center" wrapText="1"/>
    </xf>
    <xf numFmtId="185" fontId="115" fillId="6" borderId="10" xfId="71" applyNumberFormat="1" applyFont="1" applyFill="1" applyBorder="1" applyAlignment="1">
      <alignment horizontal="center" vertical="center" wrapText="1"/>
    </xf>
    <xf numFmtId="185" fontId="115" fillId="6" borderId="140" xfId="71" applyNumberFormat="1" applyFont="1" applyFill="1" applyBorder="1" applyAlignment="1">
      <alignment horizontal="center" vertical="center" wrapText="1"/>
    </xf>
    <xf numFmtId="0" fontId="115" fillId="6" borderId="140" xfId="71" applyFont="1" applyFill="1" applyBorder="1" applyAlignment="1">
      <alignment horizontal="center" vertical="center" wrapText="1"/>
    </xf>
    <xf numFmtId="0" fontId="115" fillId="6" borderId="10" xfId="71" applyFont="1" applyFill="1" applyBorder="1" applyAlignment="1">
      <alignment horizontal="center" vertical="center" wrapText="1"/>
    </xf>
    <xf numFmtId="49" fontId="115" fillId="0" borderId="0" xfId="71" applyNumberFormat="1" applyFont="1" applyAlignment="1">
      <alignment horizontal="center" vertical="center" wrapText="1"/>
    </xf>
    <xf numFmtId="49" fontId="115" fillId="0" borderId="0" xfId="71" applyNumberFormat="1" applyFont="1" applyAlignment="1">
      <alignment horizontal="left" vertical="center" wrapText="1"/>
    </xf>
    <xf numFmtId="10" fontId="115" fillId="0" borderId="0" xfId="71" applyNumberFormat="1" applyFont="1" applyAlignment="1">
      <alignment horizontal="right" vertical="center" wrapText="1"/>
    </xf>
    <xf numFmtId="185" fontId="115" fillId="0" borderId="0" xfId="71" applyNumberFormat="1" applyFont="1" applyAlignment="1">
      <alignment horizontal="right" vertical="center" wrapText="1"/>
    </xf>
    <xf numFmtId="0" fontId="99" fillId="0" borderId="0" xfId="71" applyFont="1" applyAlignment="1">
      <alignment horizontal="center" vertical="center" wrapText="1"/>
    </xf>
    <xf numFmtId="0" fontId="99" fillId="0" borderId="0" xfId="71" applyFont="1" applyAlignment="1">
      <alignment vertical="top"/>
    </xf>
    <xf numFmtId="0" fontId="115" fillId="0" borderId="0" xfId="75" applyFont="1" applyAlignment="1">
      <alignment horizontal="left" vertical="center"/>
    </xf>
    <xf numFmtId="0" fontId="115" fillId="0" borderId="0" xfId="75" applyFont="1" applyAlignment="1">
      <alignment horizontal="left" vertical="center" wrapText="1"/>
    </xf>
    <xf numFmtId="0" fontId="115" fillId="0" borderId="0" xfId="71" applyFont="1" applyAlignment="1">
      <alignment horizontal="left" vertical="top"/>
    </xf>
    <xf numFmtId="0" fontId="115" fillId="0" borderId="0" xfId="108" applyFont="1" applyAlignment="1">
      <alignment horizontal="center" vertical="top"/>
    </xf>
    <xf numFmtId="0" fontId="115" fillId="0" borderId="0" xfId="75" applyFont="1" applyAlignment="1">
      <alignment vertical="center"/>
    </xf>
    <xf numFmtId="0" fontId="115" fillId="0" borderId="0" xfId="75" applyFont="1" applyAlignment="1">
      <alignment vertical="center" wrapText="1"/>
    </xf>
    <xf numFmtId="0" fontId="115" fillId="0" borderId="0" xfId="71" applyFont="1" applyAlignment="1">
      <alignment vertical="top"/>
    </xf>
    <xf numFmtId="0" fontId="124" fillId="0" borderId="0" xfId="39" applyFont="1" applyAlignment="1">
      <alignment horizontal="left" vertical="center"/>
    </xf>
    <xf numFmtId="0" fontId="124" fillId="0" borderId="0" xfId="71" applyFont="1" applyAlignment="1">
      <alignment horizontal="right"/>
    </xf>
    <xf numFmtId="0" fontId="124" fillId="0" borderId="23" xfId="108" applyFont="1" applyBorder="1" applyAlignment="1">
      <alignment horizontal="center" vertical="center" wrapText="1"/>
    </xf>
    <xf numFmtId="0" fontId="124" fillId="0" borderId="10" xfId="71" applyFont="1" applyBorder="1" applyAlignment="1">
      <alignment horizontal="centerContinuous" vertical="center" wrapText="1"/>
    </xf>
    <xf numFmtId="0" fontId="124" fillId="0" borderId="10" xfId="39" applyFont="1" applyBorder="1" applyAlignment="1">
      <alignment horizontal="center" vertical="center" wrapText="1"/>
    </xf>
    <xf numFmtId="0" fontId="124" fillId="0" borderId="85" xfId="71" applyFont="1" applyBorder="1" applyAlignment="1">
      <alignment horizontal="center" vertical="center" wrapText="1"/>
    </xf>
    <xf numFmtId="0" fontId="124" fillId="0" borderId="0" xfId="39" applyFont="1" applyAlignment="1">
      <alignment horizontal="center" vertical="center" wrapText="1"/>
    </xf>
    <xf numFmtId="0" fontId="124" fillId="0" borderId="82" xfId="108" applyFont="1" applyBorder="1" applyAlignment="1">
      <alignment horizontal="center" vertical="center" wrapText="1"/>
    </xf>
    <xf numFmtId="0" fontId="124" fillId="0" borderId="82" xfId="71"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20" xfId="39" quotePrefix="1" applyFont="1" applyBorder="1" applyAlignment="1">
      <alignment horizontal="center" vertical="center" wrapText="1"/>
    </xf>
    <xf numFmtId="0" fontId="124" fillId="0" borderId="10" xfId="108" applyFont="1" applyBorder="1" applyAlignment="1">
      <alignment horizontal="center" vertical="center" wrapText="1"/>
    </xf>
    <xf numFmtId="0" fontId="124" fillId="0" borderId="23" xfId="39" applyFont="1" applyBorder="1" applyAlignment="1">
      <alignment horizontal="center" vertical="center" wrapText="1"/>
    </xf>
    <xf numFmtId="0" fontId="124" fillId="0" borderId="73" xfId="39" applyFont="1" applyBorder="1" applyAlignment="1">
      <alignment horizontal="distributed" vertical="center"/>
    </xf>
    <xf numFmtId="213" fontId="124" fillId="0" borderId="10" xfId="239" applyNumberFormat="1" applyFont="1" applyFill="1" applyBorder="1"/>
    <xf numFmtId="213" fontId="124" fillId="13" borderId="10" xfId="239" applyNumberFormat="1" applyFont="1" applyFill="1" applyBorder="1"/>
    <xf numFmtId="10" fontId="124" fillId="0" borderId="10" xfId="256" applyNumberFormat="1" applyFont="1" applyFill="1" applyBorder="1"/>
    <xf numFmtId="0" fontId="124" fillId="0" borderId="82" xfId="39" applyFont="1" applyBorder="1" applyAlignment="1">
      <alignment horizontal="center" vertical="center" wrapText="1"/>
    </xf>
    <xf numFmtId="0" fontId="124" fillId="0" borderId="73" xfId="39" applyFont="1" applyBorder="1" applyAlignment="1">
      <alignment horizontal="distributed" vertical="center" wrapText="1"/>
    </xf>
    <xf numFmtId="0" fontId="124" fillId="0" borderId="20" xfId="39" applyFont="1" applyBorder="1" applyAlignment="1">
      <alignment horizontal="center" vertical="center" wrapText="1"/>
    </xf>
    <xf numFmtId="0" fontId="124" fillId="0" borderId="10" xfId="39" quotePrefix="1" applyFont="1" applyBorder="1" applyAlignment="1">
      <alignment horizontal="center" vertical="center" wrapText="1"/>
    </xf>
    <xf numFmtId="0" fontId="124" fillId="0" borderId="10" xfId="71" applyFont="1" applyBorder="1" applyAlignment="1">
      <alignment horizontal="center" vertical="center" wrapText="1"/>
    </xf>
    <xf numFmtId="0" fontId="124" fillId="0" borderId="73" xfId="39" quotePrefix="1" applyFont="1" applyBorder="1" applyAlignment="1">
      <alignment horizontal="distributed" vertical="distributed"/>
    </xf>
    <xf numFmtId="0" fontId="124" fillId="0" borderId="10" xfId="39" quotePrefix="1" applyFont="1" applyBorder="1" applyAlignment="1">
      <alignment horizontal="distributed" vertical="distributed"/>
    </xf>
    <xf numFmtId="0" fontId="124" fillId="0" borderId="10" xfId="39" applyFont="1" applyBorder="1" applyAlignment="1">
      <alignment horizontal="distributed" vertical="center"/>
    </xf>
    <xf numFmtId="0" fontId="124" fillId="0" borderId="85" xfId="108" applyFont="1" applyBorder="1" applyAlignment="1">
      <alignment horizontal="center" vertical="center" wrapText="1"/>
    </xf>
    <xf numFmtId="0" fontId="124" fillId="0" borderId="0" xfId="39" applyFont="1" applyAlignment="1">
      <alignment horizontal="center" vertical="center"/>
    </xf>
    <xf numFmtId="0" fontId="124" fillId="0" borderId="0" xfId="39" applyFont="1" applyAlignment="1">
      <alignment vertical="center"/>
    </xf>
    <xf numFmtId="0" fontId="124" fillId="0" borderId="0" xfId="120" applyFont="1" applyAlignment="1">
      <alignment horizontal="center" vertical="center"/>
    </xf>
    <xf numFmtId="0" fontId="124" fillId="0" borderId="0" xfId="66" applyFont="1" applyAlignment="1">
      <alignment vertical="center"/>
    </xf>
    <xf numFmtId="0" fontId="124" fillId="0" borderId="0" xfId="66" applyFont="1" applyAlignment="1">
      <alignment horizontal="left" vertical="center"/>
    </xf>
    <xf numFmtId="0" fontId="99" fillId="0" borderId="0" xfId="92" applyFont="1"/>
    <xf numFmtId="0" fontId="124" fillId="0" borderId="0" xfId="71" applyFont="1"/>
    <xf numFmtId="0" fontId="124" fillId="0" borderId="0" xfId="71" applyFont="1" applyAlignment="1">
      <alignment horizontal="left"/>
    </xf>
    <xf numFmtId="0" fontId="124" fillId="0" borderId="0" xfId="71" applyFont="1" applyAlignment="1">
      <alignment vertical="center"/>
    </xf>
    <xf numFmtId="0" fontId="134" fillId="0" borderId="0" xfId="71" applyFont="1" applyAlignment="1">
      <alignment horizontal="right"/>
    </xf>
    <xf numFmtId="0" fontId="124" fillId="0" borderId="10" xfId="71" applyFont="1" applyBorder="1" applyAlignment="1">
      <alignment horizontal="center" vertical="center"/>
    </xf>
    <xf numFmtId="0" fontId="124" fillId="0" borderId="23" xfId="71" applyFont="1" applyBorder="1" applyAlignment="1">
      <alignment horizontal="distributed" vertical="center"/>
    </xf>
    <xf numFmtId="0" fontId="124" fillId="0" borderId="134" xfId="71" applyFont="1" applyBorder="1" applyAlignment="1">
      <alignment horizontal="center" vertical="center"/>
    </xf>
    <xf numFmtId="0" fontId="124" fillId="0" borderId="0" xfId="71" applyFont="1" applyAlignment="1">
      <alignment horizontal="distributed" vertical="center"/>
    </xf>
    <xf numFmtId="0" fontId="124" fillId="0" borderId="20" xfId="71" quotePrefix="1" applyFont="1" applyBorder="1" applyAlignment="1">
      <alignment horizontal="center"/>
    </xf>
    <xf numFmtId="41" fontId="124" fillId="0" borderId="20" xfId="239" applyFont="1" applyFill="1" applyBorder="1" applyAlignment="1">
      <alignment horizontal="center"/>
    </xf>
    <xf numFmtId="0" fontId="124" fillId="0" borderId="10" xfId="71" applyFont="1" applyBorder="1" applyAlignment="1">
      <alignment horizontal="center"/>
    </xf>
    <xf numFmtId="0" fontId="124" fillId="0" borderId="10" xfId="71" applyFont="1" applyBorder="1"/>
    <xf numFmtId="10" fontId="124" fillId="13" borderId="10" xfId="256" applyNumberFormat="1" applyFont="1" applyFill="1" applyBorder="1"/>
    <xf numFmtId="0" fontId="124" fillId="0" borderId="10" xfId="71" applyFont="1" applyBorder="1" applyAlignment="1">
      <alignment horizontal="left"/>
    </xf>
    <xf numFmtId="0" fontId="124" fillId="0" borderId="10" xfId="71" applyFont="1" applyBorder="1" applyAlignment="1">
      <alignment horizontal="left" wrapText="1"/>
    </xf>
    <xf numFmtId="0" fontId="124" fillId="0" borderId="10" xfId="71" applyFont="1" applyBorder="1" applyAlignment="1">
      <alignment horizontal="left" vertical="center" wrapText="1"/>
    </xf>
    <xf numFmtId="0" fontId="124" fillId="0" borderId="10" xfId="71" applyFont="1" applyBorder="1" applyAlignment="1">
      <alignment horizontal="left" vertical="center"/>
    </xf>
    <xf numFmtId="0" fontId="123" fillId="0" borderId="10" xfId="71" applyFont="1" applyBorder="1" applyAlignment="1">
      <alignment horizontal="left"/>
    </xf>
    <xf numFmtId="0" fontId="124" fillId="0" borderId="10" xfId="71" quotePrefix="1" applyFont="1" applyBorder="1" applyAlignment="1">
      <alignment horizontal="center"/>
    </xf>
    <xf numFmtId="0" fontId="124" fillId="0" borderId="10" xfId="71" applyFont="1" applyBorder="1" applyAlignment="1">
      <alignment wrapText="1"/>
    </xf>
    <xf numFmtId="198" fontId="124" fillId="0" borderId="10" xfId="239" applyNumberFormat="1" applyFont="1" applyFill="1" applyBorder="1"/>
    <xf numFmtId="0" fontId="124" fillId="0" borderId="0" xfId="71" applyFont="1" applyAlignment="1">
      <alignment horizontal="center"/>
    </xf>
    <xf numFmtId="0" fontId="124" fillId="0" borderId="0" xfId="71" applyFont="1" applyAlignment="1">
      <alignment horizontal="left" vertical="center"/>
    </xf>
    <xf numFmtId="0" fontId="124" fillId="0" borderId="0" xfId="0" applyFont="1" applyAlignment="1">
      <alignment horizontal="left"/>
    </xf>
    <xf numFmtId="0" fontId="124" fillId="0" borderId="0" xfId="71" applyFont="1" applyAlignment="1">
      <alignment horizontal="center" vertical="center"/>
    </xf>
    <xf numFmtId="0" fontId="99" fillId="0" borderId="0" xfId="39" applyFont="1"/>
    <xf numFmtId="0" fontId="123" fillId="0" borderId="0" xfId="108" applyFont="1" applyAlignment="1">
      <alignment horizontal="left" vertical="center"/>
    </xf>
    <xf numFmtId="0" fontId="123" fillId="0" borderId="0" xfId="71" quotePrefix="1" applyFont="1" applyAlignment="1">
      <alignment horizontal="center" vertical="center" wrapText="1"/>
    </xf>
    <xf numFmtId="194" fontId="123" fillId="0" borderId="0" xfId="71" applyNumberFormat="1" applyFont="1" applyAlignment="1" applyProtection="1">
      <alignment horizontal="right" vertical="center" wrapText="1"/>
      <protection locked="0"/>
    </xf>
    <xf numFmtId="0" fontId="123" fillId="0" borderId="0" xfId="71" applyFont="1" applyAlignment="1">
      <alignment horizontal="left" vertical="center" wrapText="1"/>
    </xf>
    <xf numFmtId="0" fontId="123" fillId="0" borderId="0" xfId="108" applyFont="1" applyAlignment="1">
      <alignment horizontal="center" vertical="top"/>
    </xf>
    <xf numFmtId="0" fontId="99" fillId="0" borderId="0" xfId="0" applyFont="1"/>
    <xf numFmtId="0" fontId="127" fillId="0" borderId="0" xfId="92" applyFont="1" applyAlignment="1">
      <alignment vertical="center"/>
    </xf>
    <xf numFmtId="0" fontId="125" fillId="0" borderId="0" xfId="87" applyFont="1"/>
    <xf numFmtId="0" fontId="125" fillId="0" borderId="0" xfId="73" applyFont="1" applyAlignment="1">
      <alignment horizontal="center" vertical="center" wrapText="1"/>
    </xf>
    <xf numFmtId="0" fontId="125" fillId="0" borderId="0" xfId="87" applyFont="1" applyAlignment="1">
      <alignment horizontal="center"/>
    </xf>
    <xf numFmtId="0" fontId="125" fillId="0" borderId="0" xfId="73" quotePrefix="1" applyFont="1" applyAlignment="1">
      <alignment vertical="center"/>
    </xf>
    <xf numFmtId="9" fontId="125" fillId="0" borderId="0" xfId="87" applyNumberFormat="1" applyFont="1"/>
    <xf numFmtId="0" fontId="125" fillId="0" borderId="0" xfId="73" applyFont="1" applyAlignment="1">
      <alignment vertical="center"/>
    </xf>
    <xf numFmtId="0" fontId="125" fillId="0" borderId="23" xfId="73" applyFont="1" applyBorder="1" applyAlignment="1">
      <alignment horizontal="center" vertical="center" wrapText="1"/>
    </xf>
    <xf numFmtId="0" fontId="125" fillId="0" borderId="134" xfId="73" applyFont="1" applyBorder="1" applyAlignment="1">
      <alignment horizontal="center" vertical="center" wrapText="1"/>
    </xf>
    <xf numFmtId="0" fontId="125" fillId="0" borderId="33" xfId="87" applyFont="1" applyBorder="1"/>
    <xf numFmtId="49" fontId="125" fillId="0" borderId="20" xfId="73" applyNumberFormat="1" applyFont="1" applyBorder="1" applyAlignment="1">
      <alignment horizontal="center" vertical="center" wrapText="1"/>
    </xf>
    <xf numFmtId="49" fontId="125" fillId="0" borderId="19" xfId="73" applyNumberFormat="1" applyFont="1" applyBorder="1" applyAlignment="1">
      <alignment horizontal="center" vertical="center" wrapText="1"/>
    </xf>
    <xf numFmtId="0" fontId="125" fillId="0" borderId="10" xfId="73" applyFont="1" applyBorder="1" applyAlignment="1">
      <alignment horizontal="center" vertical="center" wrapText="1"/>
    </xf>
    <xf numFmtId="177" fontId="125" fillId="13" borderId="7" xfId="87" applyNumberFormat="1" applyFont="1" applyFill="1" applyBorder="1"/>
    <xf numFmtId="0" fontId="125" fillId="0" borderId="10" xfId="87" applyFont="1" applyBorder="1" applyAlignment="1">
      <alignment horizontal="center"/>
    </xf>
    <xf numFmtId="182" fontId="125" fillId="0" borderId="10" xfId="0" applyNumberFormat="1" applyFont="1" applyBorder="1"/>
    <xf numFmtId="177" fontId="125" fillId="9" borderId="10" xfId="87" applyNumberFormat="1" applyFont="1" applyFill="1" applyBorder="1"/>
    <xf numFmtId="0" fontId="125" fillId="0" borderId="1" xfId="87" applyFont="1" applyBorder="1" applyAlignment="1">
      <alignment horizontal="center"/>
    </xf>
    <xf numFmtId="9" fontId="125" fillId="0" borderId="1" xfId="87" applyNumberFormat="1" applyFont="1" applyBorder="1"/>
    <xf numFmtId="0" fontId="125" fillId="0" borderId="10" xfId="109" applyFont="1" applyBorder="1" applyAlignment="1">
      <alignment horizontal="center" vertical="center" wrapText="1"/>
    </xf>
    <xf numFmtId="49" fontId="125" fillId="0" borderId="20" xfId="87" applyNumberFormat="1" applyFont="1" applyBorder="1" applyAlignment="1">
      <alignment horizontal="center"/>
    </xf>
    <xf numFmtId="49" fontId="125" fillId="0" borderId="20" xfId="0" applyNumberFormat="1" applyFont="1" applyBorder="1" applyAlignment="1">
      <alignment horizontal="center"/>
    </xf>
    <xf numFmtId="49" fontId="125" fillId="0" borderId="10" xfId="87" applyNumberFormat="1" applyFont="1" applyBorder="1" applyAlignment="1">
      <alignment horizontal="center"/>
    </xf>
    <xf numFmtId="210" fontId="125" fillId="0" borderId="10" xfId="87" applyNumberFormat="1" applyFont="1" applyBorder="1" applyAlignment="1">
      <alignment horizontal="center"/>
    </xf>
    <xf numFmtId="182" fontId="125" fillId="13" borderId="10" xfId="87" applyNumberFormat="1" applyFont="1" applyFill="1" applyBorder="1"/>
    <xf numFmtId="177" fontId="125" fillId="0" borderId="10" xfId="87" applyNumberFormat="1" applyFont="1" applyBorder="1" applyAlignment="1">
      <alignment horizontal="center"/>
    </xf>
    <xf numFmtId="9" fontId="125" fillId="13" borderId="10" xfId="87" applyNumberFormat="1" applyFont="1" applyFill="1" applyBorder="1" applyAlignment="1">
      <alignment horizontal="center"/>
    </xf>
    <xf numFmtId="177" fontId="125" fillId="13" borderId="10" xfId="87" applyNumberFormat="1" applyFont="1" applyFill="1" applyBorder="1" applyAlignment="1">
      <alignment horizontal="right"/>
    </xf>
    <xf numFmtId="0" fontId="127" fillId="0" borderId="0" xfId="87" applyFont="1"/>
    <xf numFmtId="0" fontId="125" fillId="0" borderId="0" xfId="109" applyFont="1" applyAlignment="1">
      <alignment horizontal="center" vertical="center" wrapText="1"/>
    </xf>
    <xf numFmtId="49" fontId="125" fillId="0" borderId="0" xfId="87" applyNumberFormat="1" applyFont="1" applyAlignment="1">
      <alignment horizontal="center"/>
    </xf>
    <xf numFmtId="210" fontId="125" fillId="0" borderId="0" xfId="87" applyNumberFormat="1" applyFont="1" applyAlignment="1">
      <alignment horizontal="center"/>
    </xf>
    <xf numFmtId="182" fontId="125" fillId="0" borderId="0" xfId="87" applyNumberFormat="1" applyFont="1"/>
    <xf numFmtId="177" fontId="125" fillId="0" borderId="0" xfId="87" applyNumberFormat="1" applyFont="1" applyAlignment="1">
      <alignment horizontal="center"/>
    </xf>
    <xf numFmtId="9" fontId="125" fillId="0" borderId="0" xfId="87" applyNumberFormat="1" applyFont="1" applyAlignment="1">
      <alignment horizontal="center"/>
    </xf>
    <xf numFmtId="177" fontId="125" fillId="0" borderId="0" xfId="87" applyNumberFormat="1" applyFont="1" applyAlignment="1">
      <alignment horizontal="right"/>
    </xf>
    <xf numFmtId="0" fontId="123" fillId="0" borderId="0" xfId="128" applyFont="1" applyAlignment="1" applyProtection="1">
      <alignment vertical="center"/>
      <protection locked="0"/>
    </xf>
    <xf numFmtId="0" fontId="125" fillId="0" borderId="10" xfId="71" quotePrefix="1" applyFont="1" applyBorder="1" applyAlignment="1">
      <alignment horizontal="center" vertical="center"/>
    </xf>
    <xf numFmtId="0" fontId="125" fillId="0" borderId="0" xfId="108" applyFont="1" applyAlignment="1">
      <alignment horizontal="center" vertical="center"/>
    </xf>
    <xf numFmtId="192" fontId="125" fillId="0" borderId="0" xfId="71" applyNumberFormat="1" applyFont="1" applyAlignment="1">
      <alignment horizontal="right" vertical="center"/>
    </xf>
    <xf numFmtId="0" fontId="125" fillId="0" borderId="0" xfId="81" applyFont="1" applyAlignment="1">
      <alignment horizontal="center" vertical="center"/>
    </xf>
    <xf numFmtId="0" fontId="130" fillId="0" borderId="0" xfId="81" applyFont="1" applyAlignment="1">
      <alignment horizontal="center" vertical="center"/>
    </xf>
    <xf numFmtId="0" fontId="115" fillId="0" borderId="0" xfId="131" applyFont="1" applyAlignment="1">
      <alignment wrapText="1"/>
    </xf>
    <xf numFmtId="0" fontId="99" fillId="0" borderId="0" xfId="114" applyFont="1" applyProtection="1">
      <protection locked="0"/>
    </xf>
    <xf numFmtId="0" fontId="115" fillId="0" borderId="0" xfId="62" applyFont="1" applyAlignment="1" applyProtection="1">
      <alignment vertical="center" wrapText="1"/>
      <protection locked="0"/>
    </xf>
    <xf numFmtId="0" fontId="115" fillId="0" borderId="0" xfId="62" applyFont="1" applyAlignment="1">
      <alignment horizontal="left" vertical="center" wrapText="1"/>
    </xf>
    <xf numFmtId="0" fontId="115" fillId="0" borderId="0" xfId="62" applyFont="1" applyAlignment="1">
      <alignment horizontal="left" vertical="center"/>
    </xf>
    <xf numFmtId="190" fontId="99" fillId="12" borderId="0" xfId="242" applyNumberFormat="1" applyFont="1" applyFill="1" applyBorder="1" applyAlignment="1" applyProtection="1">
      <alignment horizontal="left" vertical="center"/>
    </xf>
    <xf numFmtId="0" fontId="115" fillId="12" borderId="0" xfId="62" applyFont="1" applyFill="1" applyAlignment="1">
      <alignment vertical="center" wrapText="1"/>
    </xf>
    <xf numFmtId="0" fontId="114" fillId="0" borderId="138" xfId="62" applyFont="1" applyBorder="1" applyAlignment="1">
      <alignment horizontal="center" vertical="center" wrapText="1"/>
    </xf>
    <xf numFmtId="0" fontId="114" fillId="0" borderId="16" xfId="242" applyNumberFormat="1" applyFont="1" applyFill="1" applyBorder="1" applyAlignment="1" applyProtection="1">
      <alignment horizontal="center" vertical="center" wrapText="1"/>
    </xf>
    <xf numFmtId="0" fontId="114" fillId="0" borderId="17" xfId="62" applyFont="1" applyBorder="1" applyAlignment="1">
      <alignment horizontal="center" vertical="center" wrapText="1"/>
    </xf>
    <xf numFmtId="0" fontId="115" fillId="0" borderId="295" xfId="62" applyFont="1" applyBorder="1" applyAlignment="1">
      <alignment horizontal="right" vertical="center" wrapText="1"/>
    </xf>
    <xf numFmtId="0" fontId="115" fillId="0" borderId="296" xfId="62" applyFont="1" applyBorder="1" applyAlignment="1">
      <alignment horizontal="center" vertical="center" wrapText="1"/>
    </xf>
    <xf numFmtId="0" fontId="115" fillId="0" borderId="297" xfId="62" applyFont="1" applyBorder="1" applyAlignment="1">
      <alignment vertical="center" wrapText="1"/>
    </xf>
    <xf numFmtId="0" fontId="115" fillId="0" borderId="298" xfId="62" applyFont="1" applyBorder="1" applyAlignment="1" applyProtection="1">
      <alignment horizontal="left" vertical="center" wrapText="1"/>
      <protection locked="0"/>
    </xf>
    <xf numFmtId="190" fontId="115" fillId="0" borderId="298" xfId="189" applyNumberFormat="1" applyFont="1" applyFill="1" applyBorder="1" applyAlignment="1" applyProtection="1">
      <alignment horizontal="center" vertical="center" wrapText="1"/>
      <protection locked="0"/>
    </xf>
    <xf numFmtId="195" fontId="115" fillId="0" borderId="298" xfId="189" applyNumberFormat="1" applyFont="1" applyFill="1" applyBorder="1" applyAlignment="1" applyProtection="1">
      <alignment horizontal="center" vertical="center" wrapText="1"/>
    </xf>
    <xf numFmtId="190" fontId="115" fillId="0" borderId="298" xfId="189" applyNumberFormat="1" applyFont="1" applyFill="1" applyBorder="1" applyAlignment="1" applyProtection="1">
      <alignment horizontal="center" vertical="center" wrapText="1"/>
    </xf>
    <xf numFmtId="0" fontId="115" fillId="0" borderId="299" xfId="62" applyFont="1" applyBorder="1" applyAlignment="1">
      <alignment vertical="center" wrapText="1"/>
    </xf>
    <xf numFmtId="0" fontId="115" fillId="0" borderId="300" xfId="62" applyFont="1" applyBorder="1" applyAlignment="1">
      <alignment horizontal="right" vertical="center" wrapText="1"/>
    </xf>
    <xf numFmtId="0" fontId="115" fillId="0" borderId="301" xfId="62" applyFont="1" applyBorder="1" applyAlignment="1">
      <alignment horizontal="center" vertical="center" wrapText="1"/>
    </xf>
    <xf numFmtId="0" fontId="99" fillId="0" borderId="302" xfId="62" applyFont="1" applyBorder="1" applyAlignment="1">
      <alignment vertical="center" wrapText="1"/>
    </xf>
    <xf numFmtId="0" fontId="115" fillId="0" borderId="25" xfId="63" applyFont="1" applyBorder="1" applyAlignment="1">
      <alignment horizontal="left" vertical="center" wrapText="1"/>
    </xf>
    <xf numFmtId="190" fontId="115" fillId="0" borderId="303" xfId="189" applyNumberFormat="1" applyFont="1" applyFill="1" applyBorder="1" applyAlignment="1" applyProtection="1">
      <alignment horizontal="center" vertical="center" wrapText="1"/>
      <protection locked="0"/>
    </xf>
    <xf numFmtId="190" fontId="115" fillId="0" borderId="303" xfId="189" applyNumberFormat="1" applyFont="1" applyFill="1" applyBorder="1" applyAlignment="1" applyProtection="1">
      <alignment horizontal="center" vertical="center" wrapText="1"/>
    </xf>
    <xf numFmtId="0" fontId="115" fillId="0" borderId="304" xfId="62" applyFont="1" applyBorder="1" applyAlignment="1">
      <alignment vertical="center" wrapText="1"/>
    </xf>
    <xf numFmtId="0" fontId="115" fillId="0" borderId="300" xfId="62" applyFont="1" applyBorder="1" applyAlignment="1">
      <alignment horizontal="center" wrapText="1"/>
    </xf>
    <xf numFmtId="0" fontId="99" fillId="0" borderId="300" xfId="62" applyFont="1" applyBorder="1" applyAlignment="1">
      <alignment horizontal="center" wrapText="1"/>
    </xf>
    <xf numFmtId="0" fontId="115" fillId="0" borderId="305" xfId="62" applyFont="1" applyBorder="1" applyAlignment="1">
      <alignment vertical="center" wrapText="1"/>
    </xf>
    <xf numFmtId="0" fontId="115" fillId="9" borderId="306" xfId="62" applyFont="1" applyFill="1" applyBorder="1" applyAlignment="1" applyProtection="1">
      <alignment horizontal="left" vertical="center" wrapText="1"/>
      <protection locked="0"/>
    </xf>
    <xf numFmtId="190" fontId="115" fillId="12" borderId="306" xfId="189" applyNumberFormat="1" applyFont="1" applyFill="1" applyBorder="1" applyAlignment="1" applyProtection="1">
      <alignment horizontal="center" vertical="center" wrapText="1"/>
      <protection locked="0"/>
    </xf>
    <xf numFmtId="195" fontId="115" fillId="9" borderId="306" xfId="189" applyNumberFormat="1" applyFont="1" applyFill="1" applyBorder="1" applyAlignment="1" applyProtection="1">
      <alignment horizontal="center" vertical="center" wrapText="1"/>
    </xf>
    <xf numFmtId="190" fontId="115" fillId="9" borderId="306" xfId="189" applyNumberFormat="1" applyFont="1" applyFill="1" applyBorder="1" applyAlignment="1" applyProtection="1">
      <alignment horizontal="center" vertical="center" wrapText="1"/>
    </xf>
    <xf numFmtId="0" fontId="115" fillId="0" borderId="307" xfId="62" applyFont="1" applyBorder="1" applyAlignment="1">
      <alignment vertical="center" wrapText="1"/>
    </xf>
    <xf numFmtId="0" fontId="115" fillId="0" borderId="308" xfId="62" applyFont="1" applyBorder="1" applyAlignment="1">
      <alignment horizontal="right" vertical="center" wrapText="1"/>
    </xf>
    <xf numFmtId="190" fontId="115" fillId="0" borderId="310" xfId="189" applyNumberFormat="1" applyFont="1" applyFill="1" applyBorder="1" applyAlignment="1" applyProtection="1">
      <alignment horizontal="center" vertical="center" wrapText="1"/>
    </xf>
    <xf numFmtId="0" fontId="115" fillId="0" borderId="0" xfId="62" quotePrefix="1" applyFont="1" applyAlignment="1">
      <alignment horizontal="left" vertical="center" wrapText="1"/>
    </xf>
    <xf numFmtId="0" fontId="115" fillId="0" borderId="311" xfId="62" applyFont="1" applyBorder="1" applyAlignment="1">
      <alignment horizontal="right" vertical="center" wrapText="1"/>
    </xf>
    <xf numFmtId="0" fontId="115" fillId="0" borderId="275" xfId="62" applyFont="1" applyBorder="1" applyAlignment="1">
      <alignment horizontal="center" vertical="center" wrapText="1"/>
    </xf>
    <xf numFmtId="0" fontId="99" fillId="0" borderId="300" xfId="62" applyFont="1" applyBorder="1" applyAlignment="1">
      <alignment horizontal="center" vertical="top" wrapText="1"/>
    </xf>
    <xf numFmtId="0" fontId="115" fillId="7" borderId="312" xfId="62" applyFont="1" applyFill="1" applyBorder="1" applyAlignment="1">
      <alignment horizontal="center" vertical="center" wrapText="1"/>
    </xf>
    <xf numFmtId="0" fontId="135" fillId="0" borderId="0" xfId="62" applyFont="1" applyAlignment="1">
      <alignment horizontal="left" vertical="center" wrapText="1"/>
    </xf>
    <xf numFmtId="0" fontId="115" fillId="0" borderId="295" xfId="62" applyFont="1" applyBorder="1" applyAlignment="1">
      <alignment horizontal="center" wrapText="1"/>
    </xf>
    <xf numFmtId="0" fontId="115" fillId="0" borderId="300" xfId="62" applyFont="1" applyBorder="1" applyAlignment="1">
      <alignment horizontal="center" vertical="center" wrapText="1"/>
    </xf>
    <xf numFmtId="0" fontId="115" fillId="0" borderId="295" xfId="62" applyFont="1" applyBorder="1" applyAlignment="1">
      <alignment horizontal="center" vertical="center" wrapText="1"/>
    </xf>
    <xf numFmtId="0" fontId="115" fillId="0" borderId="308" xfId="62" applyFont="1" applyBorder="1" applyAlignment="1">
      <alignment horizontal="center" vertical="center" wrapText="1"/>
    </xf>
    <xf numFmtId="0" fontId="99" fillId="0" borderId="308" xfId="62" applyFont="1" applyBorder="1" applyAlignment="1">
      <alignment horizontal="center" vertical="top" wrapText="1"/>
    </xf>
    <xf numFmtId="0" fontId="115" fillId="0" borderId="312" xfId="62" applyFont="1" applyBorder="1" applyAlignment="1">
      <alignment horizontal="center" vertical="center" wrapText="1"/>
    </xf>
    <xf numFmtId="0" fontId="115" fillId="0" borderId="0" xfId="62" applyFont="1" applyAlignment="1">
      <alignment horizontal="right" vertical="center" wrapText="1"/>
    </xf>
    <xf numFmtId="0" fontId="115" fillId="0" borderId="0" xfId="62" applyFont="1" applyAlignment="1" applyProtection="1">
      <alignment horizontal="left" vertical="center" wrapText="1"/>
      <protection locked="0"/>
    </xf>
    <xf numFmtId="190" fontId="115" fillId="0" borderId="0" xfId="189" applyNumberFormat="1" applyFont="1" applyFill="1" applyBorder="1" applyAlignment="1" applyProtection="1">
      <alignment horizontal="center" vertical="center" wrapText="1"/>
      <protection locked="0"/>
    </xf>
    <xf numFmtId="0" fontId="115" fillId="0" borderId="0" xfId="62" applyFont="1" applyAlignment="1">
      <alignment vertical="center"/>
    </xf>
    <xf numFmtId="190" fontId="115" fillId="0" borderId="0" xfId="189" applyNumberFormat="1" applyFont="1" applyFill="1" applyBorder="1" applyAlignment="1" applyProtection="1">
      <alignment horizontal="center" vertical="center" wrapText="1"/>
    </xf>
    <xf numFmtId="190" fontId="115" fillId="0" borderId="0" xfId="62" applyNumberFormat="1" applyFont="1" applyAlignment="1">
      <alignment horizontal="left" vertical="center" wrapText="1"/>
    </xf>
    <xf numFmtId="9" fontId="115" fillId="0" borderId="0" xfId="256" applyFont="1" applyFill="1" applyBorder="1" applyAlignment="1" applyProtection="1">
      <alignment vertical="center" wrapText="1"/>
    </xf>
    <xf numFmtId="190" fontId="115" fillId="0" borderId="0" xfId="62" applyNumberFormat="1" applyFont="1" applyAlignment="1">
      <alignment vertical="center" wrapText="1"/>
    </xf>
    <xf numFmtId="0" fontId="115" fillId="0" borderId="0" xfId="62" applyFont="1" applyAlignment="1">
      <alignment horizontal="left" vertical="center" indent="3"/>
    </xf>
    <xf numFmtId="0" fontId="125" fillId="0" borderId="0" xfId="60" applyFont="1" applyAlignment="1">
      <alignment vertical="center"/>
    </xf>
    <xf numFmtId="183" fontId="125" fillId="0" borderId="0" xfId="60" applyNumberFormat="1" applyFont="1" applyAlignment="1">
      <alignment horizontal="center" vertical="center"/>
    </xf>
    <xf numFmtId="182" fontId="125" fillId="0" borderId="0" xfId="60" applyNumberFormat="1" applyFont="1" applyAlignment="1">
      <alignment horizontal="center" vertical="center"/>
    </xf>
    <xf numFmtId="0" fontId="125" fillId="0" borderId="0" xfId="60" applyFont="1" applyAlignment="1">
      <alignment horizontal="left" vertical="center"/>
    </xf>
    <xf numFmtId="0" fontId="128" fillId="0" borderId="0" xfId="60" applyFont="1" applyAlignment="1">
      <alignment horizontal="left" vertical="center"/>
    </xf>
    <xf numFmtId="0" fontId="128" fillId="0" borderId="0" xfId="60" applyFont="1" applyAlignment="1">
      <alignment horizontal="center" vertical="center"/>
    </xf>
    <xf numFmtId="0" fontId="125" fillId="0" borderId="0" xfId="60" applyFont="1" applyAlignment="1">
      <alignment horizontal="right"/>
    </xf>
    <xf numFmtId="0" fontId="128" fillId="0" borderId="188" xfId="65" applyFont="1" applyBorder="1" applyAlignment="1">
      <alignment horizontal="center" vertical="center"/>
    </xf>
    <xf numFmtId="0" fontId="128" fillId="0" borderId="87" xfId="65" applyFont="1" applyBorder="1" applyAlignment="1">
      <alignment horizontal="center" vertical="center"/>
    </xf>
    <xf numFmtId="0" fontId="128" fillId="0" borderId="226" xfId="65" applyFont="1" applyBorder="1" applyAlignment="1">
      <alignment horizontal="center" vertical="center"/>
    </xf>
    <xf numFmtId="0" fontId="128" fillId="0" borderId="224" xfId="65" applyFont="1" applyBorder="1" applyAlignment="1">
      <alignment horizontal="center" vertical="center" wrapText="1"/>
    </xf>
    <xf numFmtId="0" fontId="128" fillId="0" borderId="224" xfId="65" applyFont="1" applyBorder="1" applyAlignment="1">
      <alignment horizontal="center" vertical="center"/>
    </xf>
    <xf numFmtId="0" fontId="128" fillId="0" borderId="225" xfId="65" applyFont="1" applyBorder="1" applyAlignment="1">
      <alignment horizontal="center" vertical="center"/>
    </xf>
    <xf numFmtId="0" fontId="125" fillId="0" borderId="8" xfId="65" applyFont="1" applyBorder="1" applyAlignment="1">
      <alignment vertical="center"/>
    </xf>
    <xf numFmtId="0" fontId="125" fillId="0" borderId="7" xfId="65" applyFont="1" applyBorder="1" applyAlignment="1">
      <alignment horizontal="left" vertical="center"/>
    </xf>
    <xf numFmtId="210" fontId="125" fillId="5" borderId="38" xfId="65" applyNumberFormat="1" applyFont="1" applyFill="1" applyBorder="1" applyAlignment="1">
      <alignment horizontal="right" vertical="center"/>
    </xf>
    <xf numFmtId="180" fontId="125" fillId="5" borderId="39" xfId="65" applyNumberFormat="1" applyFont="1" applyFill="1" applyBorder="1" applyAlignment="1">
      <alignment horizontal="center" vertical="center"/>
    </xf>
    <xf numFmtId="187" fontId="125" fillId="5" borderId="39" xfId="65" applyNumberFormat="1" applyFont="1" applyFill="1" applyBorder="1" applyAlignment="1">
      <alignment horizontal="center" vertical="center"/>
    </xf>
    <xf numFmtId="210" fontId="125" fillId="5" borderId="197" xfId="65" applyNumberFormat="1" applyFont="1" applyFill="1" applyBorder="1" applyAlignment="1">
      <alignment horizontal="right" vertical="center"/>
    </xf>
    <xf numFmtId="0" fontId="125" fillId="0" borderId="116" xfId="65" applyFont="1" applyBorder="1" applyAlignment="1">
      <alignment horizontal="left" vertical="center" indent="2"/>
    </xf>
    <xf numFmtId="0" fontId="125" fillId="0" borderId="25" xfId="65" applyFont="1" applyBorder="1" applyAlignment="1">
      <alignment horizontal="left" vertical="center"/>
    </xf>
    <xf numFmtId="210" fontId="125" fillId="0" borderId="42" xfId="65" applyNumberFormat="1" applyFont="1" applyBorder="1" applyAlignment="1">
      <alignment horizontal="right" vertical="center"/>
    </xf>
    <xf numFmtId="201" fontId="125" fillId="0" borderId="43" xfId="65" applyNumberFormat="1" applyFont="1" applyBorder="1" applyAlignment="1">
      <alignment horizontal="center" vertical="center"/>
    </xf>
    <xf numFmtId="187" fontId="125" fillId="0" borderId="43" xfId="65" applyNumberFormat="1" applyFont="1" applyBorder="1" applyAlignment="1">
      <alignment horizontal="center" vertical="center"/>
    </xf>
    <xf numFmtId="210" fontId="125" fillId="0" borderId="200" xfId="65" applyNumberFormat="1" applyFont="1" applyBorder="1" applyAlignment="1">
      <alignment horizontal="right" vertical="center"/>
    </xf>
    <xf numFmtId="0" fontId="125" fillId="0" borderId="116" xfId="65" applyFont="1" applyBorder="1" applyAlignment="1">
      <alignment horizontal="left" vertical="center"/>
    </xf>
    <xf numFmtId="0" fontId="136" fillId="0" borderId="25" xfId="65" applyFont="1" applyBorder="1" applyAlignment="1">
      <alignment horizontal="left" vertical="center" wrapText="1"/>
    </xf>
    <xf numFmtId="180" fontId="125" fillId="0" borderId="104" xfId="65" applyNumberFormat="1" applyFont="1" applyBorder="1" applyAlignment="1">
      <alignment horizontal="center" vertical="center"/>
    </xf>
    <xf numFmtId="0" fontId="124" fillId="0" borderId="116" xfId="58" applyFont="1" applyBorder="1" applyAlignment="1">
      <alignment horizontal="left" vertical="center" wrapText="1" indent="2"/>
    </xf>
    <xf numFmtId="0" fontId="125" fillId="5" borderId="82" xfId="65" applyFont="1" applyFill="1" applyBorder="1" applyAlignment="1">
      <alignment horizontal="left" vertical="center" wrapText="1"/>
    </xf>
    <xf numFmtId="190" fontId="125" fillId="12" borderId="95" xfId="189" applyNumberFormat="1" applyFont="1" applyFill="1" applyBorder="1" applyAlignment="1" applyProtection="1">
      <alignment horizontal="center" vertical="center"/>
    </xf>
    <xf numFmtId="190" fontId="125" fillId="0" borderId="313" xfId="189" applyNumberFormat="1" applyFont="1" applyFill="1" applyBorder="1" applyAlignment="1" applyProtection="1">
      <alignment horizontal="center" vertical="center"/>
    </xf>
    <xf numFmtId="187" fontId="125" fillId="0" borderId="104" xfId="58" applyNumberFormat="1" applyFont="1" applyBorder="1" applyAlignment="1">
      <alignment horizontal="center" vertical="center"/>
    </xf>
    <xf numFmtId="190" fontId="125" fillId="0" borderId="314" xfId="189" applyNumberFormat="1" applyFont="1" applyFill="1" applyBorder="1" applyAlignment="1" applyProtection="1">
      <alignment horizontal="center" vertical="center"/>
    </xf>
    <xf numFmtId="0" fontId="124" fillId="0" borderId="118" xfId="58" applyFont="1" applyBorder="1" applyAlignment="1">
      <alignment horizontal="left" vertical="center" indent="2"/>
    </xf>
    <xf numFmtId="0" fontId="123" fillId="5" borderId="242" xfId="65" applyFont="1" applyFill="1" applyBorder="1" applyAlignment="1">
      <alignment horizontal="left" vertical="center" wrapText="1"/>
    </xf>
    <xf numFmtId="190" fontId="125" fillId="12" borderId="214" xfId="189" applyNumberFormat="1" applyFont="1" applyFill="1" applyBorder="1" applyAlignment="1" applyProtection="1">
      <alignment horizontal="center" vertical="center"/>
    </xf>
    <xf numFmtId="190" fontId="125" fillId="0" borderId="102" xfId="189" applyNumberFormat="1" applyFont="1" applyFill="1" applyBorder="1" applyAlignment="1" applyProtection="1">
      <alignment horizontal="center" vertical="center"/>
    </xf>
    <xf numFmtId="187" fontId="125" fillId="0" borderId="102" xfId="58" applyNumberFormat="1" applyFont="1" applyBorder="1" applyAlignment="1">
      <alignment horizontal="center" vertical="center"/>
    </xf>
    <xf numFmtId="190" fontId="125" fillId="0" borderId="315" xfId="189" applyNumberFormat="1" applyFont="1" applyFill="1" applyBorder="1" applyAlignment="1" applyProtection="1">
      <alignment horizontal="center" vertical="center"/>
    </xf>
    <xf numFmtId="0" fontId="125" fillId="0" borderId="118" xfId="60" applyFont="1" applyBorder="1" applyAlignment="1">
      <alignment vertical="center" wrapText="1"/>
    </xf>
    <xf numFmtId="0" fontId="125" fillId="0" borderId="242" xfId="60" applyFont="1" applyBorder="1" applyAlignment="1" applyProtection="1">
      <alignment horizontal="left" vertical="center"/>
      <protection locked="0"/>
    </xf>
    <xf numFmtId="210" fontId="125" fillId="0" borderId="316" xfId="132" applyNumberFormat="1" applyFont="1" applyFill="1" applyBorder="1" applyAlignment="1" applyProtection="1">
      <alignment horizontal="right" vertical="center"/>
    </xf>
    <xf numFmtId="190" fontId="125" fillId="0" borderId="317" xfId="132" applyNumberFormat="1" applyFont="1" applyFill="1" applyBorder="1" applyAlignment="1" applyProtection="1">
      <alignment horizontal="center" vertical="center"/>
    </xf>
    <xf numFmtId="187" fontId="125" fillId="0" borderId="131" xfId="60" applyNumberFormat="1" applyFont="1" applyBorder="1" applyAlignment="1">
      <alignment horizontal="center" vertical="center"/>
    </xf>
    <xf numFmtId="210" fontId="125" fillId="0" borderId="132" xfId="132" applyNumberFormat="1" applyFont="1" applyFill="1" applyBorder="1" applyAlignment="1" applyProtection="1">
      <alignment horizontal="right" vertical="center"/>
    </xf>
    <xf numFmtId="0" fontId="128" fillId="7" borderId="88" xfId="65" applyFont="1" applyFill="1" applyBorder="1" applyAlignment="1">
      <alignment vertical="center"/>
    </xf>
    <xf numFmtId="0" fontId="125" fillId="7" borderId="89" xfId="65" applyFont="1" applyFill="1" applyBorder="1" applyAlignment="1">
      <alignment vertical="center"/>
    </xf>
    <xf numFmtId="210" fontId="125" fillId="7" borderId="3" xfId="65" applyNumberFormat="1" applyFont="1" applyFill="1" applyBorder="1" applyAlignment="1">
      <alignment horizontal="right" vertical="center"/>
    </xf>
    <xf numFmtId="180" fontId="125" fillId="7" borderId="90" xfId="65" applyNumberFormat="1" applyFont="1" applyFill="1" applyBorder="1" applyAlignment="1">
      <alignment horizontal="center" vertical="center"/>
    </xf>
    <xf numFmtId="187" fontId="125" fillId="7" borderId="90" xfId="65" applyNumberFormat="1" applyFont="1" applyFill="1" applyBorder="1" applyAlignment="1">
      <alignment horizontal="center" vertical="center"/>
    </xf>
    <xf numFmtId="210" fontId="125" fillId="7" borderId="112" xfId="65" applyNumberFormat="1" applyFont="1" applyFill="1" applyBorder="1" applyAlignment="1">
      <alignment horizontal="right" vertical="center"/>
    </xf>
    <xf numFmtId="0" fontId="125" fillId="0" borderId="0" xfId="65" applyFont="1" applyAlignment="1">
      <alignment vertical="center"/>
    </xf>
    <xf numFmtId="183" fontId="125" fillId="0" borderId="0" xfId="65" applyNumberFormat="1" applyFont="1" applyAlignment="1">
      <alignment horizontal="center" vertical="center"/>
    </xf>
    <xf numFmtId="187" fontId="125" fillId="0" borderId="0" xfId="65" applyNumberFormat="1" applyFont="1" applyAlignment="1">
      <alignment horizontal="center" vertical="center"/>
    </xf>
    <xf numFmtId="0" fontId="123" fillId="0" borderId="0" xfId="81" applyFont="1" applyProtection="1">
      <alignment vertical="center"/>
      <protection locked="0"/>
    </xf>
    <xf numFmtId="0" fontId="115" fillId="0" borderId="0" xfId="95" applyFont="1" applyAlignment="1">
      <alignment horizontal="right"/>
    </xf>
    <xf numFmtId="0" fontId="114" fillId="0" borderId="12" xfId="81" applyFont="1" applyBorder="1" applyAlignment="1">
      <alignment horizontal="center" vertical="center" wrapText="1"/>
    </xf>
    <xf numFmtId="0" fontId="114" fillId="0" borderId="15" xfId="93" quotePrefix="1" applyFont="1" applyBorder="1" applyAlignment="1">
      <alignment horizontal="center" vertical="center" wrapText="1"/>
    </xf>
    <xf numFmtId="190" fontId="115" fillId="0" borderId="109" xfId="189" applyNumberFormat="1" applyFont="1" applyFill="1" applyBorder="1" applyAlignment="1" applyProtection="1">
      <alignment horizontal="center" vertical="center" wrapText="1"/>
    </xf>
    <xf numFmtId="190" fontId="115" fillId="0" borderId="25" xfId="189" applyNumberFormat="1" applyFont="1" applyFill="1" applyBorder="1" applyAlignment="1" applyProtection="1">
      <alignment horizontal="center" vertical="center" wrapText="1"/>
    </xf>
    <xf numFmtId="190" fontId="115" fillId="0" borderId="26" xfId="189" applyNumberFormat="1" applyFont="1" applyFill="1" applyBorder="1" applyAlignment="1" applyProtection="1">
      <alignment horizontal="center" vertical="center" wrapText="1"/>
    </xf>
    <xf numFmtId="190" fontId="115" fillId="0" borderId="110" xfId="189" applyNumberFormat="1" applyFont="1" applyFill="1" applyBorder="1" applyAlignment="1" applyProtection="1">
      <alignment horizontal="center" vertical="center" wrapText="1"/>
    </xf>
    <xf numFmtId="190" fontId="115" fillId="0" borderId="111" xfId="189" applyNumberFormat="1" applyFont="1" applyFill="1" applyBorder="1" applyAlignment="1" applyProtection="1">
      <alignment horizontal="center" vertical="center" wrapText="1"/>
    </xf>
    <xf numFmtId="190" fontId="115" fillId="6" borderId="12" xfId="189" applyNumberFormat="1" applyFont="1" applyFill="1" applyBorder="1" applyAlignment="1" applyProtection="1">
      <alignment vertical="center" wrapText="1"/>
      <protection locked="0"/>
    </xf>
    <xf numFmtId="190" fontId="115" fillId="6" borderId="10" xfId="189" applyNumberFormat="1" applyFont="1" applyFill="1" applyBorder="1" applyAlignment="1" applyProtection="1">
      <alignment vertical="center" wrapText="1"/>
    </xf>
    <xf numFmtId="190" fontId="115" fillId="6" borderId="12" xfId="189" applyNumberFormat="1" applyFont="1" applyFill="1" applyBorder="1" applyAlignment="1" applyProtection="1">
      <alignment vertical="center" wrapText="1"/>
    </xf>
    <xf numFmtId="200" fontId="115" fillId="6" borderId="6" xfId="71" applyNumberFormat="1" applyFont="1" applyFill="1" applyBorder="1" applyAlignment="1">
      <alignment horizontal="center" vertical="center" wrapText="1"/>
    </xf>
    <xf numFmtId="0" fontId="115" fillId="0" borderId="79" xfId="81" applyFont="1" applyBorder="1" applyAlignment="1">
      <alignment vertical="center" wrapText="1"/>
    </xf>
    <xf numFmtId="190" fontId="115" fillId="0" borderId="79" xfId="189" applyNumberFormat="1" applyFont="1" applyFill="1" applyBorder="1" applyAlignment="1" applyProtection="1">
      <alignment vertical="center" wrapText="1"/>
      <protection locked="0"/>
    </xf>
    <xf numFmtId="195" fontId="115" fillId="0" borderId="79" xfId="189" applyNumberFormat="1" applyFont="1" applyFill="1" applyBorder="1" applyAlignment="1">
      <alignment vertical="center" wrapText="1"/>
    </xf>
    <xf numFmtId="190" fontId="115" fillId="0" borderId="79" xfId="189" applyNumberFormat="1" applyFont="1" applyFill="1" applyBorder="1" applyAlignment="1" applyProtection="1">
      <alignment horizontal="center" vertical="center" wrapText="1"/>
    </xf>
    <xf numFmtId="190" fontId="115" fillId="0" borderId="318" xfId="189" applyNumberFormat="1" applyFont="1" applyFill="1" applyBorder="1" applyAlignment="1" applyProtection="1">
      <alignment horizontal="center" vertical="center" wrapText="1"/>
    </xf>
    <xf numFmtId="200" fontId="115" fillId="6" borderId="13" xfId="71" applyNumberFormat="1" applyFont="1" applyFill="1" applyBorder="1" applyAlignment="1">
      <alignment horizontal="center" vertical="center" wrapText="1"/>
    </xf>
    <xf numFmtId="195" fontId="115" fillId="6" borderId="18" xfId="189" applyNumberFormat="1" applyFont="1" applyFill="1" applyBorder="1" applyAlignment="1" applyProtection="1">
      <alignment horizontal="center" vertical="center" wrapText="1"/>
    </xf>
    <xf numFmtId="190" fontId="115" fillId="6" borderId="18" xfId="189" applyNumberFormat="1" applyFont="1" applyFill="1" applyBorder="1" applyAlignment="1" applyProtection="1">
      <alignment vertical="center" wrapText="1"/>
    </xf>
    <xf numFmtId="190" fontId="115" fillId="6" borderId="15" xfId="189" applyNumberFormat="1" applyFont="1" applyFill="1" applyBorder="1" applyAlignment="1" applyProtection="1">
      <alignment vertical="center" wrapText="1"/>
    </xf>
    <xf numFmtId="197" fontId="115" fillId="6" borderId="0" xfId="0" applyNumberFormat="1" applyFont="1" applyFill="1" applyAlignment="1">
      <alignment wrapText="1"/>
    </xf>
    <xf numFmtId="0" fontId="115" fillId="6" borderId="0" xfId="0" applyFont="1" applyFill="1" applyAlignment="1">
      <alignment wrapText="1"/>
    </xf>
    <xf numFmtId="0" fontId="115" fillId="6" borderId="0" xfId="0" quotePrefix="1" applyFont="1" applyFill="1" applyAlignment="1">
      <alignment wrapText="1"/>
    </xf>
    <xf numFmtId="190" fontId="115" fillId="6" borderId="0" xfId="0" applyNumberFormat="1" applyFont="1" applyFill="1" applyAlignment="1">
      <alignment wrapText="1"/>
    </xf>
    <xf numFmtId="184" fontId="5" fillId="0" borderId="25" xfId="81" applyNumberFormat="1" applyFont="1" applyBorder="1" applyAlignment="1">
      <alignment horizontal="center" vertical="center"/>
    </xf>
    <xf numFmtId="0" fontId="5" fillId="0" borderId="0" xfId="38" applyFont="1"/>
    <xf numFmtId="0" fontId="109" fillId="0" borderId="0" xfId="59" applyFont="1" applyAlignment="1">
      <alignment horizontal="left" vertical="center"/>
    </xf>
    <xf numFmtId="0" fontId="5" fillId="0" borderId="0" xfId="59" applyFont="1" applyAlignment="1">
      <alignment horizontal="center" vertical="center"/>
    </xf>
    <xf numFmtId="0" fontId="5" fillId="0" borderId="0" xfId="59" applyFont="1" applyAlignment="1">
      <alignment horizontal="left" vertical="center"/>
    </xf>
    <xf numFmtId="0" fontId="15" fillId="0" borderId="319" xfId="38" applyFont="1" applyBorder="1" applyAlignment="1">
      <alignment horizontal="center"/>
    </xf>
    <xf numFmtId="0" fontId="15" fillId="0" borderId="184" xfId="38" applyFont="1" applyBorder="1" applyAlignment="1">
      <alignment horizontal="center"/>
    </xf>
    <xf numFmtId="0" fontId="15" fillId="0" borderId="185" xfId="38" applyFont="1" applyBorder="1" applyAlignment="1">
      <alignment horizontal="center"/>
    </xf>
    <xf numFmtId="0" fontId="5" fillId="0" borderId="0" xfId="38" applyFont="1" applyAlignment="1">
      <alignment wrapText="1"/>
    </xf>
    <xf numFmtId="211" fontId="5" fillId="0" borderId="18" xfId="59" quotePrefix="1" applyNumberFormat="1" applyFont="1" applyBorder="1" applyAlignment="1" applyProtection="1">
      <alignment horizontal="center" vertical="center" wrapText="1"/>
      <protection locked="0"/>
    </xf>
    <xf numFmtId="211" fontId="5" fillId="0" borderId="18" xfId="59" quotePrefix="1" applyNumberFormat="1" applyFont="1" applyBorder="1" applyAlignment="1">
      <alignment horizontal="center" vertical="center" wrapText="1"/>
    </xf>
    <xf numFmtId="211" fontId="5" fillId="0" borderId="112" xfId="59" quotePrefix="1" applyNumberFormat="1" applyFont="1" applyBorder="1" applyAlignment="1">
      <alignment horizontal="center" vertical="center" wrapText="1"/>
    </xf>
    <xf numFmtId="0" fontId="5" fillId="0" borderId="115" xfId="64" applyFont="1" applyBorder="1" applyAlignment="1">
      <alignment horizontal="left" vertical="center"/>
    </xf>
    <xf numFmtId="211" fontId="5" fillId="0" borderId="123" xfId="59" applyNumberFormat="1" applyFont="1" applyBorder="1" applyAlignment="1">
      <alignment horizontal="center" vertical="center" wrapText="1"/>
    </xf>
    <xf numFmtId="179" fontId="5" fillId="0" borderId="0" xfId="207" applyNumberFormat="1" applyFont="1" applyAlignment="1"/>
    <xf numFmtId="211" fontId="5" fillId="0" borderId="43" xfId="59" applyNumberFormat="1" applyFont="1" applyBorder="1" applyAlignment="1">
      <alignment horizontal="center" vertical="center" wrapText="1"/>
    </xf>
    <xf numFmtId="0" fontId="5" fillId="0" borderId="124" xfId="64" applyFont="1" applyBorder="1" applyAlignment="1">
      <alignment horizontal="left" vertical="center"/>
    </xf>
    <xf numFmtId="211" fontId="5" fillId="9" borderId="321" xfId="59" applyNumberFormat="1" applyFont="1" applyFill="1" applyBorder="1" applyAlignment="1">
      <alignment horizontal="center" vertical="center" wrapText="1"/>
    </xf>
    <xf numFmtId="0" fontId="5" fillId="0" borderId="0" xfId="59" applyFont="1" applyAlignment="1">
      <alignment vertical="center"/>
    </xf>
    <xf numFmtId="211" fontId="5" fillId="9" borderId="322" xfId="59" applyNumberFormat="1" applyFont="1" applyFill="1" applyBorder="1" applyAlignment="1">
      <alignment horizontal="center" vertical="center" wrapText="1"/>
    </xf>
    <xf numFmtId="0" fontId="15" fillId="0" borderId="178" xfId="64" applyFont="1" applyBorder="1" applyAlignment="1">
      <alignment horizontal="left" vertical="center"/>
    </xf>
    <xf numFmtId="211" fontId="5" fillId="9" borderId="3" xfId="59" applyNumberFormat="1" applyFont="1" applyFill="1" applyBorder="1" applyAlignment="1">
      <alignment horizontal="center" vertical="center" wrapText="1"/>
    </xf>
    <xf numFmtId="0" fontId="5" fillId="0" borderId="9" xfId="64" applyFont="1" applyBorder="1" applyAlignment="1">
      <alignment horizontal="left" vertical="center"/>
    </xf>
    <xf numFmtId="0" fontId="5" fillId="0" borderId="204" xfId="64" applyFont="1" applyBorder="1" applyAlignment="1">
      <alignment horizontal="left" vertical="center"/>
    </xf>
    <xf numFmtId="0" fontId="15" fillId="0" borderId="94" xfId="64" applyFont="1" applyBorder="1" applyAlignment="1">
      <alignment horizontal="left" vertical="center"/>
    </xf>
    <xf numFmtId="211" fontId="5" fillId="9" borderId="325" xfId="59" applyNumberFormat="1" applyFont="1" applyFill="1" applyBorder="1" applyAlignment="1">
      <alignment horizontal="center" vertical="center" wrapText="1"/>
    </xf>
    <xf numFmtId="179" fontId="113" fillId="0" borderId="0" xfId="38" applyNumberFormat="1" applyFont="1"/>
    <xf numFmtId="179" fontId="137" fillId="0" borderId="0" xfId="38" applyNumberFormat="1" applyFont="1"/>
    <xf numFmtId="179" fontId="15" fillId="8" borderId="147" xfId="207" applyNumberFormat="1" applyFont="1" applyFill="1" applyBorder="1" applyAlignment="1" applyProtection="1">
      <alignment horizontal="center" vertical="center" wrapText="1"/>
    </xf>
    <xf numFmtId="0" fontId="15" fillId="0" borderId="16" xfId="64" applyFont="1" applyBorder="1" applyAlignment="1">
      <alignment horizontal="center" vertical="center" wrapText="1"/>
    </xf>
    <xf numFmtId="0" fontId="15" fillId="0" borderId="18" xfId="64" applyFont="1" applyBorder="1" applyAlignment="1">
      <alignment horizontal="center" vertical="center" wrapText="1"/>
    </xf>
    <xf numFmtId="0" fontId="15" fillId="0" borderId="18" xfId="64" quotePrefix="1" applyFont="1" applyBorder="1" applyAlignment="1">
      <alignment horizontal="center" vertical="center" wrapText="1"/>
    </xf>
    <xf numFmtId="0" fontId="15" fillId="9" borderId="15" xfId="64" quotePrefix="1" applyFont="1" applyFill="1" applyBorder="1" applyAlignment="1">
      <alignment horizontal="center" vertical="center" wrapText="1"/>
    </xf>
    <xf numFmtId="0" fontId="100" fillId="0" borderId="115" xfId="64" applyFont="1" applyBorder="1" applyAlignment="1">
      <alignment horizontal="justify" vertical="center"/>
    </xf>
    <xf numFmtId="0" fontId="5" fillId="9" borderId="75" xfId="59" applyFont="1" applyFill="1" applyBorder="1" applyAlignment="1" applyProtection="1">
      <alignment horizontal="left" vertical="center" wrapText="1"/>
      <protection locked="0"/>
    </xf>
    <xf numFmtId="211" fontId="5" fillId="9" borderId="127" xfId="59" applyNumberFormat="1" applyFont="1" applyFill="1" applyBorder="1" applyAlignment="1">
      <alignment horizontal="center" vertical="center" wrapText="1"/>
    </xf>
    <xf numFmtId="0" fontId="13" fillId="0" borderId="116" xfId="64" applyFont="1" applyBorder="1" applyAlignment="1">
      <alignment horizontal="left" vertical="center" indent="2"/>
    </xf>
    <xf numFmtId="177" fontId="10" fillId="9" borderId="314" xfId="64" applyNumberFormat="1" applyFont="1" applyFill="1" applyBorder="1" applyAlignment="1">
      <alignment vertical="center"/>
    </xf>
    <xf numFmtId="0" fontId="13" fillId="0" borderId="320" xfId="64" applyFont="1" applyBorder="1" applyAlignment="1">
      <alignment horizontal="left" vertical="center" indent="2"/>
    </xf>
    <xf numFmtId="177" fontId="10" fillId="9" borderId="326" xfId="64" applyNumberFormat="1" applyFont="1" applyFill="1" applyBorder="1" applyAlignment="1">
      <alignment vertical="center"/>
    </xf>
    <xf numFmtId="0" fontId="15" fillId="0" borderId="289" xfId="64" applyFont="1" applyBorder="1" applyAlignment="1">
      <alignment horizontal="justify" vertical="center"/>
    </xf>
    <xf numFmtId="179" fontId="5" fillId="9" borderId="226" xfId="59" applyNumberFormat="1" applyFont="1" applyFill="1" applyBorder="1" applyAlignment="1" applyProtection="1">
      <alignment horizontal="center" vertical="center" wrapText="1"/>
      <protection locked="0"/>
    </xf>
    <xf numFmtId="179" fontId="5" fillId="9" borderId="251" xfId="59" applyNumberFormat="1" applyFont="1" applyFill="1" applyBorder="1" applyAlignment="1">
      <alignment horizontal="center" vertical="center" wrapText="1"/>
    </xf>
    <xf numFmtId="179" fontId="113" fillId="9" borderId="251" xfId="59" applyNumberFormat="1" applyFont="1" applyFill="1" applyBorder="1" applyAlignment="1">
      <alignment horizontal="center" vertical="center" wrapText="1"/>
    </xf>
    <xf numFmtId="211" fontId="5" fillId="9" borderId="225" xfId="59" applyNumberFormat="1" applyFont="1" applyFill="1" applyBorder="1" applyAlignment="1">
      <alignment horizontal="center" vertical="center" wrapText="1"/>
    </xf>
    <xf numFmtId="0" fontId="5" fillId="0" borderId="116" xfId="64" applyFont="1" applyBorder="1" applyAlignment="1">
      <alignment horizontal="left" vertical="center" indent="2"/>
    </xf>
    <xf numFmtId="179" fontId="10" fillId="9" borderId="104" xfId="64" applyNumberFormat="1" applyFont="1" applyFill="1" applyBorder="1" applyAlignment="1">
      <alignment horizontal="center" vertical="center"/>
    </xf>
    <xf numFmtId="0" fontId="5" fillId="0" borderId="320" xfId="64" applyFont="1" applyBorder="1" applyAlignment="1">
      <alignment horizontal="left" vertical="center" indent="2"/>
    </xf>
    <xf numFmtId="0" fontId="5" fillId="0" borderId="287" xfId="64" applyFont="1" applyBorder="1" applyAlignment="1">
      <alignment horizontal="left" vertical="center" indent="2"/>
    </xf>
    <xf numFmtId="177" fontId="10" fillId="9" borderId="327" xfId="64" applyNumberFormat="1" applyFont="1" applyFill="1" applyBorder="1" applyAlignment="1">
      <alignment vertical="center"/>
    </xf>
    <xf numFmtId="0" fontId="109" fillId="0" borderId="0" xfId="38" applyFont="1"/>
    <xf numFmtId="0" fontId="93" fillId="8" borderId="0" xfId="25" applyFont="1" applyFill="1">
      <alignment vertical="center"/>
    </xf>
    <xf numFmtId="14" fontId="94" fillId="8" borderId="0" xfId="25" applyNumberFormat="1" applyFont="1" applyFill="1" applyAlignment="1">
      <alignment horizontal="left" vertical="center"/>
    </xf>
    <xf numFmtId="0" fontId="15" fillId="8" borderId="0" xfId="25" applyFont="1" applyFill="1">
      <alignment vertical="center"/>
    </xf>
    <xf numFmtId="0" fontId="115" fillId="8" borderId="0" xfId="25" applyFont="1" applyFill="1" applyAlignment="1">
      <alignment horizontal="left" vertical="center"/>
    </xf>
    <xf numFmtId="0" fontId="115" fillId="8" borderId="0" xfId="25" applyFont="1" applyFill="1">
      <alignment vertical="center"/>
    </xf>
    <xf numFmtId="0" fontId="15" fillId="13" borderId="12" xfId="25" applyFont="1" applyFill="1" applyBorder="1" applyAlignment="1">
      <alignment horizontal="center" vertical="center"/>
    </xf>
    <xf numFmtId="3" fontId="5" fillId="23" borderId="10" xfId="16" applyNumberFormat="1" applyFont="1" applyBorder="1" applyAlignment="1">
      <alignment horizontal="right"/>
    </xf>
    <xf numFmtId="0" fontId="15" fillId="13" borderId="6" xfId="25" applyFont="1" applyFill="1" applyBorder="1" applyAlignment="1">
      <alignment horizontal="center" vertical="center"/>
    </xf>
    <xf numFmtId="0" fontId="139" fillId="8" borderId="0" xfId="25" applyFont="1" applyFill="1">
      <alignment vertical="center"/>
    </xf>
    <xf numFmtId="0" fontId="15" fillId="8" borderId="0" xfId="25" applyFont="1" applyFill="1" applyAlignment="1">
      <alignment horizontal="right" vertical="center"/>
    </xf>
    <xf numFmtId="0" fontId="93" fillId="0" borderId="0" xfId="25" applyFont="1">
      <alignment vertical="center"/>
    </xf>
    <xf numFmtId="0" fontId="5" fillId="0" borderId="0" xfId="25" applyFont="1">
      <alignment vertical="center"/>
    </xf>
    <xf numFmtId="0" fontId="15" fillId="0" borderId="10" xfId="25" applyFont="1" applyBorder="1" applyAlignment="1">
      <alignment horizontal="center" vertical="center"/>
    </xf>
    <xf numFmtId="43" fontId="5" fillId="8" borderId="0" xfId="25" applyNumberFormat="1" applyFont="1" applyFill="1">
      <alignment vertical="center"/>
    </xf>
    <xf numFmtId="0" fontId="15" fillId="0" borderId="10" xfId="25" applyFont="1" applyBorder="1" applyAlignment="1">
      <alignment horizontal="left" vertical="center" wrapText="1"/>
    </xf>
    <xf numFmtId="0" fontId="15" fillId="0" borderId="73" xfId="25" applyFont="1" applyBorder="1" applyAlignment="1">
      <alignment horizontal="center" vertical="center"/>
    </xf>
    <xf numFmtId="0" fontId="15" fillId="0" borderId="73" xfId="25" applyFont="1" applyBorder="1" applyAlignment="1">
      <alignment horizontal="left" vertical="center" wrapText="1"/>
    </xf>
    <xf numFmtId="0" fontId="15" fillId="8" borderId="0" xfId="25" applyFont="1" applyFill="1" applyAlignment="1">
      <alignment horizontal="center" vertical="center"/>
    </xf>
    <xf numFmtId="0" fontId="115" fillId="8" borderId="0" xfId="25" applyFont="1" applyFill="1" applyProtection="1">
      <alignment vertical="center"/>
      <protection locked="0"/>
    </xf>
    <xf numFmtId="0" fontId="15" fillId="0" borderId="10" xfId="25" applyFont="1" applyBorder="1">
      <alignment vertical="center"/>
    </xf>
    <xf numFmtId="0" fontId="15" fillId="0" borderId="10" xfId="25" applyFont="1" applyBorder="1" applyAlignment="1">
      <alignment vertical="center" wrapText="1"/>
    </xf>
    <xf numFmtId="0" fontId="102" fillId="8" borderId="0" xfId="25" applyFont="1" applyFill="1">
      <alignment vertical="center"/>
    </xf>
    <xf numFmtId="179" fontId="5" fillId="8" borderId="0" xfId="207" applyNumberFormat="1" applyFont="1" applyFill="1" applyBorder="1" applyAlignment="1">
      <alignment horizontal="center" vertical="center"/>
    </xf>
    <xf numFmtId="179" fontId="5" fillId="8" borderId="0" xfId="207" applyNumberFormat="1" applyFont="1" applyFill="1" applyBorder="1" applyAlignment="1">
      <alignment vertical="center"/>
    </xf>
    <xf numFmtId="3" fontId="5" fillId="8" borderId="10" xfId="207" applyNumberFormat="1" applyFont="1" applyFill="1" applyBorder="1" applyAlignment="1" applyProtection="1">
      <alignment horizontal="right" vertical="center"/>
      <protection locked="0"/>
    </xf>
    <xf numFmtId="3" fontId="5" fillId="8" borderId="10" xfId="207" applyNumberFormat="1" applyFont="1" applyFill="1" applyBorder="1" applyAlignment="1">
      <alignment horizontal="right" vertical="center"/>
    </xf>
    <xf numFmtId="0" fontId="115" fillId="0" borderId="0" xfId="25" applyFont="1">
      <alignment vertical="center"/>
    </xf>
    <xf numFmtId="0" fontId="93" fillId="8" borderId="0" xfId="129" applyFont="1" applyFill="1" applyAlignment="1" applyProtection="1">
      <alignment vertical="center"/>
      <protection locked="0"/>
    </xf>
    <xf numFmtId="0" fontId="5" fillId="0" borderId="330" xfId="25" applyFont="1" applyBorder="1" applyAlignment="1">
      <alignment horizontal="center" vertical="center"/>
    </xf>
    <xf numFmtId="0" fontId="5" fillId="0" borderId="331" xfId="25" applyFont="1" applyBorder="1" applyAlignment="1">
      <alignment horizontal="center" vertical="center"/>
    </xf>
    <xf numFmtId="216" fontId="5" fillId="0" borderId="331" xfId="207" applyNumberFormat="1" applyFont="1" applyFill="1" applyBorder="1">
      <alignment vertical="center"/>
    </xf>
    <xf numFmtId="216" fontId="5" fillId="0" borderId="332" xfId="207" applyNumberFormat="1" applyFont="1" applyFill="1" applyBorder="1">
      <alignment vertical="center"/>
    </xf>
    <xf numFmtId="217" fontId="5" fillId="8" borderId="0" xfId="25" applyNumberFormat="1" applyFont="1" applyFill="1">
      <alignment vertical="center"/>
    </xf>
    <xf numFmtId="216" fontId="5" fillId="0" borderId="333" xfId="207" applyNumberFormat="1" applyFont="1" applyFill="1" applyBorder="1">
      <alignment vertical="center"/>
    </xf>
    <xf numFmtId="0" fontId="5" fillId="0" borderId="331" xfId="25" applyFont="1" applyBorder="1" applyAlignment="1">
      <alignment horizontal="center" vertical="center" wrapText="1"/>
    </xf>
    <xf numFmtId="218" fontId="5" fillId="8" borderId="0" xfId="207" applyNumberFormat="1" applyFont="1" applyFill="1" applyBorder="1">
      <alignment vertical="center"/>
    </xf>
    <xf numFmtId="217" fontId="5" fillId="8" borderId="0" xfId="25" applyNumberFormat="1" applyFont="1" applyFill="1" applyAlignment="1">
      <alignment horizontal="center" vertical="center"/>
    </xf>
    <xf numFmtId="216" fontId="5" fillId="0" borderId="331" xfId="207" applyNumberFormat="1" applyFont="1" applyFill="1" applyBorder="1" applyAlignment="1">
      <alignment horizontal="center" vertical="center"/>
    </xf>
    <xf numFmtId="216" fontId="143" fillId="0" borderId="331" xfId="207" applyNumberFormat="1" applyFont="1" applyFill="1" applyBorder="1" applyAlignment="1">
      <alignment horizontal="center" vertical="center"/>
    </xf>
    <xf numFmtId="216" fontId="5" fillId="0" borderId="334" xfId="207" applyNumberFormat="1" applyFont="1" applyFill="1" applyBorder="1" applyAlignment="1">
      <alignment horizontal="center" vertical="center"/>
    </xf>
    <xf numFmtId="216" fontId="5" fillId="0" borderId="334" xfId="207" applyNumberFormat="1" applyFont="1" applyFill="1" applyBorder="1">
      <alignment vertical="center"/>
    </xf>
    <xf numFmtId="216" fontId="5" fillId="0" borderId="335" xfId="207" applyNumberFormat="1" applyFont="1" applyFill="1" applyBorder="1">
      <alignment vertical="center"/>
    </xf>
    <xf numFmtId="216" fontId="5" fillId="8" borderId="0" xfId="25" applyNumberFormat="1" applyFont="1" applyFill="1" applyAlignment="1">
      <alignment horizontal="center" vertical="center"/>
    </xf>
    <xf numFmtId="216" fontId="5" fillId="8" borderId="0" xfId="25" applyNumberFormat="1" applyFont="1" applyFill="1">
      <alignment vertical="center"/>
    </xf>
    <xf numFmtId="0" fontId="15" fillId="8" borderId="0" xfId="25" applyFont="1" applyFill="1" applyAlignment="1">
      <alignment horizontal="center" vertical="center" wrapText="1"/>
    </xf>
    <xf numFmtId="216" fontId="5" fillId="8" borderId="0" xfId="207" applyNumberFormat="1" applyFont="1" applyFill="1" applyBorder="1">
      <alignment vertical="center"/>
    </xf>
    <xf numFmtId="0" fontId="115" fillId="8" borderId="0" xfId="25" applyFont="1" applyFill="1" applyAlignment="1">
      <alignment horizontal="center" vertical="center"/>
    </xf>
    <xf numFmtId="217" fontId="115" fillId="8" borderId="0" xfId="25" applyNumberFormat="1" applyFont="1" applyFill="1" applyAlignment="1">
      <alignment horizontal="center" vertical="center"/>
    </xf>
    <xf numFmtId="0" fontId="5" fillId="8" borderId="148" xfId="25" applyFont="1" applyFill="1" applyBorder="1">
      <alignment vertical="center"/>
    </xf>
    <xf numFmtId="216" fontId="15" fillId="8" borderId="0" xfId="25" applyNumberFormat="1" applyFont="1" applyFill="1">
      <alignment vertical="center"/>
    </xf>
    <xf numFmtId="0" fontId="42" fillId="5" borderId="167" xfId="25" applyFont="1" applyFill="1" applyBorder="1" applyAlignment="1">
      <alignment horizontal="center" vertical="center" wrapText="1"/>
    </xf>
    <xf numFmtId="41" fontId="42" fillId="5" borderId="167" xfId="25" applyNumberFormat="1" applyFont="1" applyFill="1" applyBorder="1" applyAlignment="1">
      <alignment horizontal="center" vertical="center" wrapText="1"/>
    </xf>
    <xf numFmtId="0" fontId="142" fillId="5" borderId="167" xfId="25" applyFont="1" applyFill="1" applyBorder="1" applyAlignment="1">
      <alignment horizontal="center" vertical="center" wrapText="1"/>
    </xf>
    <xf numFmtId="41" fontId="142" fillId="5" borderId="167" xfId="25" applyNumberFormat="1" applyFont="1" applyFill="1" applyBorder="1" applyAlignment="1">
      <alignment horizontal="center" vertical="center" wrapText="1"/>
    </xf>
    <xf numFmtId="0" fontId="13" fillId="0" borderId="0" xfId="25" applyFont="1" applyAlignment="1">
      <alignment horizontal="center" vertical="center"/>
    </xf>
    <xf numFmtId="0" fontId="42" fillId="5" borderId="316" xfId="25" quotePrefix="1" applyFont="1" applyFill="1" applyBorder="1" applyAlignment="1">
      <alignment horizontal="center" vertical="center" wrapText="1"/>
    </xf>
    <xf numFmtId="0" fontId="13" fillId="5" borderId="0" xfId="25" applyFont="1" applyFill="1" applyAlignment="1">
      <alignment horizontal="center" vertical="center"/>
    </xf>
    <xf numFmtId="41" fontId="13" fillId="5" borderId="0" xfId="25" applyNumberFormat="1" applyFont="1" applyFill="1" applyAlignment="1">
      <alignment horizontal="center" vertical="center"/>
    </xf>
    <xf numFmtId="220" fontId="13" fillId="5" borderId="0" xfId="260" quotePrefix="1" applyNumberFormat="1" applyFont="1" applyFill="1" applyBorder="1" applyAlignment="1">
      <alignment horizontal="center" vertical="center" wrapText="1"/>
    </xf>
    <xf numFmtId="179" fontId="13" fillId="5" borderId="0" xfId="207" applyNumberFormat="1" applyFont="1" applyFill="1" applyAlignment="1">
      <alignment horizontal="center" vertical="center"/>
    </xf>
    <xf numFmtId="221" fontId="13" fillId="5" borderId="0" xfId="207" applyNumberFormat="1" applyFont="1" applyFill="1" applyAlignment="1">
      <alignment horizontal="center" vertical="center"/>
    </xf>
    <xf numFmtId="41" fontId="13" fillId="5" borderId="0" xfId="25" quotePrefix="1" applyNumberFormat="1" applyFont="1" applyFill="1" applyAlignment="1">
      <alignment horizontal="center" vertical="center" wrapText="1"/>
    </xf>
    <xf numFmtId="10" fontId="13" fillId="0" borderId="0" xfId="260" applyNumberFormat="1" applyFont="1" applyAlignment="1">
      <alignment horizontal="center" vertical="center"/>
    </xf>
    <xf numFmtId="225" fontId="13" fillId="0" borderId="0" xfId="25" applyNumberFormat="1" applyFont="1" applyAlignment="1">
      <alignment horizontal="center" vertical="center"/>
    </xf>
    <xf numFmtId="0" fontId="15" fillId="13" borderId="22" xfId="25" applyFont="1" applyFill="1" applyBorder="1" applyAlignment="1">
      <alignment vertical="center" wrapText="1"/>
    </xf>
    <xf numFmtId="0" fontId="15" fillId="13" borderId="17" xfId="25" applyFont="1" applyFill="1" applyBorder="1" applyAlignment="1">
      <alignment horizontal="center" vertical="center" wrapText="1"/>
    </xf>
    <xf numFmtId="0" fontId="15" fillId="13" borderId="6" xfId="25" applyFont="1" applyFill="1" applyBorder="1">
      <alignment vertical="center"/>
    </xf>
    <xf numFmtId="179" fontId="5" fillId="8" borderId="10" xfId="207" applyNumberFormat="1" applyFont="1" applyFill="1" applyBorder="1" applyProtection="1">
      <alignment vertical="center"/>
      <protection locked="0"/>
    </xf>
    <xf numFmtId="179" fontId="5" fillId="8" borderId="12" xfId="207" applyNumberFormat="1" applyFont="1" applyFill="1" applyBorder="1" applyProtection="1">
      <alignment vertical="center"/>
      <protection locked="0"/>
    </xf>
    <xf numFmtId="0" fontId="113" fillId="8" borderId="0" xfId="25" applyFont="1" applyFill="1">
      <alignment vertical="center"/>
    </xf>
    <xf numFmtId="9" fontId="5" fillId="8" borderId="10" xfId="260" applyFont="1" applyFill="1" applyBorder="1">
      <alignment vertical="center"/>
    </xf>
    <xf numFmtId="9" fontId="5" fillId="8" borderId="12" xfId="260" applyFont="1" applyFill="1" applyBorder="1">
      <alignment vertical="center"/>
    </xf>
    <xf numFmtId="0" fontId="15" fillId="13" borderId="13" xfId="25" applyFont="1" applyFill="1" applyBorder="1">
      <alignment vertical="center"/>
    </xf>
    <xf numFmtId="9" fontId="5" fillId="8" borderId="18" xfId="260" applyFont="1" applyFill="1" applyBorder="1">
      <alignment vertical="center"/>
    </xf>
    <xf numFmtId="9" fontId="5" fillId="8" borderId="15" xfId="260" applyFont="1" applyFill="1" applyBorder="1">
      <alignment vertical="center"/>
    </xf>
    <xf numFmtId="0" fontId="15" fillId="13" borderId="73" xfId="25" applyFont="1" applyFill="1" applyBorder="1" applyAlignment="1">
      <alignment horizontal="center" vertical="center"/>
    </xf>
    <xf numFmtId="0" fontId="15" fillId="13" borderId="336" xfId="25" applyFont="1" applyFill="1" applyBorder="1" applyAlignment="1">
      <alignment horizontal="center" vertical="center"/>
    </xf>
    <xf numFmtId="179" fontId="5" fillId="13" borderId="10" xfId="207" applyNumberFormat="1" applyFont="1" applyFill="1" applyBorder="1">
      <alignment vertical="center"/>
    </xf>
    <xf numFmtId="179" fontId="5" fillId="13" borderId="73" xfId="207" applyNumberFormat="1" applyFont="1" applyFill="1" applyBorder="1">
      <alignment vertical="center"/>
    </xf>
    <xf numFmtId="179" fontId="5" fillId="8" borderId="336" xfId="207" applyNumberFormat="1" applyFont="1" applyFill="1" applyBorder="1">
      <alignment vertical="center"/>
    </xf>
    <xf numFmtId="179" fontId="5" fillId="8" borderId="10" xfId="207" applyNumberFormat="1" applyFont="1" applyFill="1" applyBorder="1">
      <alignment vertical="center"/>
    </xf>
    <xf numFmtId="0" fontId="15" fillId="13" borderId="13" xfId="25" applyFont="1" applyFill="1" applyBorder="1" applyAlignment="1">
      <alignment horizontal="center" vertical="center"/>
    </xf>
    <xf numFmtId="179" fontId="5" fillId="13" borderId="18" xfId="207" applyNumberFormat="1" applyFont="1" applyFill="1" applyBorder="1">
      <alignment vertical="center"/>
    </xf>
    <xf numFmtId="179" fontId="5" fillId="13" borderId="14" xfId="207" applyNumberFormat="1" applyFont="1" applyFill="1" applyBorder="1">
      <alignment vertical="center"/>
    </xf>
    <xf numFmtId="179" fontId="5" fillId="8" borderId="337" xfId="207" applyNumberFormat="1" applyFont="1" applyFill="1" applyBorder="1">
      <alignment vertical="center"/>
    </xf>
    <xf numFmtId="179" fontId="5" fillId="8" borderId="18" xfId="207" applyNumberFormat="1" applyFont="1" applyFill="1" applyBorder="1">
      <alignment vertical="center"/>
    </xf>
    <xf numFmtId="0" fontId="15" fillId="13" borderId="22" xfId="25" applyFont="1" applyFill="1" applyBorder="1" applyAlignment="1">
      <alignment horizontal="center" vertical="center"/>
    </xf>
    <xf numFmtId="0" fontId="42" fillId="13" borderId="17" xfId="25" applyFont="1" applyFill="1" applyBorder="1" applyAlignment="1">
      <alignment horizontal="center" vertical="center"/>
    </xf>
    <xf numFmtId="0" fontId="114" fillId="8" borderId="0" xfId="25" applyFont="1" applyFill="1">
      <alignment vertical="center"/>
    </xf>
    <xf numFmtId="0" fontId="114" fillId="8" borderId="0" xfId="25" applyFont="1" applyFill="1" applyAlignment="1">
      <alignment horizontal="center" vertical="center"/>
    </xf>
    <xf numFmtId="0" fontId="114" fillId="8" borderId="0" xfId="25" applyFont="1" applyFill="1" applyAlignment="1">
      <alignment horizontal="center" vertical="center" wrapText="1"/>
    </xf>
    <xf numFmtId="0" fontId="15" fillId="13" borderId="152" xfId="25" applyFont="1" applyFill="1" applyBorder="1" applyAlignment="1">
      <alignment horizontal="center" vertical="center"/>
    </xf>
    <xf numFmtId="179" fontId="5" fillId="8" borderId="12" xfId="207" applyNumberFormat="1" applyFont="1" applyFill="1" applyBorder="1">
      <alignment vertical="center"/>
    </xf>
    <xf numFmtId="179" fontId="115" fillId="8" borderId="0" xfId="207" applyNumberFormat="1" applyFont="1" applyFill="1" applyBorder="1">
      <alignment vertical="center"/>
    </xf>
    <xf numFmtId="9" fontId="114" fillId="8" borderId="0" xfId="25" applyNumberFormat="1" applyFont="1" applyFill="1" applyAlignment="1">
      <alignment horizontal="center" vertical="center"/>
    </xf>
    <xf numFmtId="179" fontId="115" fillId="8" borderId="0" xfId="25" applyNumberFormat="1" applyFont="1" applyFill="1">
      <alignment vertical="center"/>
    </xf>
    <xf numFmtId="0" fontId="15" fillId="13" borderId="156" xfId="25" applyFont="1" applyFill="1" applyBorder="1" applyAlignment="1">
      <alignment horizontal="center" vertical="center"/>
    </xf>
    <xf numFmtId="179" fontId="5" fillId="8" borderId="15" xfId="207" applyNumberFormat="1" applyFont="1" applyFill="1" applyBorder="1">
      <alignment vertical="center"/>
    </xf>
    <xf numFmtId="10" fontId="114" fillId="8" borderId="0" xfId="25" applyNumberFormat="1" applyFont="1" applyFill="1" applyAlignment="1">
      <alignment horizontal="center" vertical="center"/>
    </xf>
    <xf numFmtId="179" fontId="5" fillId="8" borderId="0" xfId="207" applyNumberFormat="1" applyFont="1" applyFill="1" applyBorder="1">
      <alignment vertical="center"/>
    </xf>
    <xf numFmtId="9" fontId="5" fillId="8" borderId="10" xfId="25" applyNumberFormat="1" applyFont="1" applyFill="1" applyBorder="1" applyAlignment="1">
      <alignment horizontal="center" vertical="center"/>
    </xf>
    <xf numFmtId="3" fontId="5" fillId="8" borderId="12" xfId="207" applyNumberFormat="1" applyFont="1" applyFill="1" applyBorder="1">
      <alignment vertical="center"/>
    </xf>
    <xf numFmtId="3" fontId="5" fillId="8" borderId="18" xfId="207" applyNumberFormat="1" applyFont="1" applyFill="1" applyBorder="1">
      <alignment vertical="center"/>
    </xf>
    <xf numFmtId="0" fontId="5" fillId="8" borderId="18" xfId="25" applyFont="1" applyFill="1" applyBorder="1">
      <alignment vertical="center"/>
    </xf>
    <xf numFmtId="3" fontId="5" fillId="8" borderId="15" xfId="207" applyNumberFormat="1" applyFont="1" applyFill="1" applyBorder="1">
      <alignment vertical="center"/>
    </xf>
    <xf numFmtId="3" fontId="5" fillId="8" borderId="0" xfId="207" applyNumberFormat="1" applyFont="1" applyFill="1" applyBorder="1">
      <alignment vertical="center"/>
    </xf>
    <xf numFmtId="179" fontId="5" fillId="8" borderId="10" xfId="207" applyNumberFormat="1" applyFont="1" applyFill="1" applyBorder="1" applyAlignment="1" applyProtection="1">
      <alignment horizontal="center" vertical="center"/>
      <protection locked="0"/>
    </xf>
    <xf numFmtId="179" fontId="5" fillId="8" borderId="12" xfId="207" applyNumberFormat="1" applyFont="1" applyFill="1" applyBorder="1" applyAlignment="1" applyProtection="1">
      <alignment horizontal="center" vertical="center"/>
      <protection locked="0"/>
    </xf>
    <xf numFmtId="0" fontId="15" fillId="13" borderId="6" xfId="25" applyFont="1" applyFill="1" applyBorder="1" applyAlignment="1">
      <alignment horizontal="center" vertical="center" wrapText="1"/>
    </xf>
    <xf numFmtId="10" fontId="5" fillId="8" borderId="10" xfId="260" applyNumberFormat="1" applyFont="1" applyFill="1" applyBorder="1" applyAlignment="1" applyProtection="1">
      <alignment vertical="center" wrapText="1"/>
      <protection locked="0"/>
    </xf>
    <xf numFmtId="10" fontId="5" fillId="8" borderId="12" xfId="260" applyNumberFormat="1" applyFont="1" applyFill="1" applyBorder="1" applyAlignment="1" applyProtection="1">
      <alignment vertical="center" wrapText="1"/>
      <protection locked="0"/>
    </xf>
    <xf numFmtId="177" fontId="5" fillId="8" borderId="10" xfId="207" applyNumberFormat="1" applyFont="1" applyFill="1" applyBorder="1">
      <alignment vertical="center"/>
    </xf>
    <xf numFmtId="177" fontId="5" fillId="8" borderId="12" xfId="207" applyNumberFormat="1" applyFont="1" applyFill="1" applyBorder="1">
      <alignment vertical="center"/>
    </xf>
    <xf numFmtId="177" fontId="5" fillId="8" borderId="18" xfId="207" applyNumberFormat="1" applyFont="1" applyFill="1" applyBorder="1">
      <alignment vertical="center"/>
    </xf>
    <xf numFmtId="177" fontId="5" fillId="8" borderId="15" xfId="207" applyNumberFormat="1" applyFont="1" applyFill="1" applyBorder="1">
      <alignment vertical="center"/>
    </xf>
    <xf numFmtId="0" fontId="5" fillId="8" borderId="0" xfId="25" applyFont="1" applyFill="1" applyAlignment="1">
      <alignment horizontal="left" vertical="center"/>
    </xf>
    <xf numFmtId="0" fontId="15" fillId="13" borderId="17" xfId="25" applyFont="1" applyFill="1" applyBorder="1" applyAlignment="1">
      <alignment horizontal="center" vertical="center"/>
    </xf>
    <xf numFmtId="0" fontId="15" fillId="13" borderId="20" xfId="25" applyFont="1" applyFill="1" applyBorder="1" applyAlignment="1">
      <alignment horizontal="center" vertical="center"/>
    </xf>
    <xf numFmtId="3" fontId="5" fillId="12" borderId="20" xfId="207" applyNumberFormat="1" applyFont="1" applyFill="1" applyBorder="1" applyAlignment="1" applyProtection="1">
      <alignment horizontal="right" vertical="center"/>
      <protection locked="0"/>
    </xf>
    <xf numFmtId="222" fontId="5" fillId="17" borderId="331" xfId="25" applyNumberFormat="1" applyFont="1" applyFill="1" applyBorder="1" applyAlignment="1">
      <alignment horizontal="center" vertical="center"/>
    </xf>
    <xf numFmtId="184" fontId="5" fillId="0" borderId="331" xfId="25" applyNumberFormat="1" applyFont="1" applyBorder="1" applyAlignment="1">
      <alignment horizontal="center" vertical="center"/>
    </xf>
    <xf numFmtId="9" fontId="115" fillId="8" borderId="0" xfId="260" applyFont="1" applyFill="1" applyAlignment="1">
      <alignment horizontal="center" vertical="center"/>
    </xf>
    <xf numFmtId="0" fontId="5" fillId="5" borderId="10" xfId="25" applyFont="1" applyFill="1" applyBorder="1" applyAlignment="1">
      <alignment horizontal="center" vertical="center"/>
    </xf>
    <xf numFmtId="184" fontId="5" fillId="5" borderId="331" xfId="25" applyNumberFormat="1" applyFont="1" applyFill="1" applyBorder="1" applyAlignment="1">
      <alignment horizontal="center" vertical="center"/>
    </xf>
    <xf numFmtId="0" fontId="5" fillId="0" borderId="10" xfId="25" applyFont="1" applyBorder="1">
      <alignment vertical="center"/>
    </xf>
    <xf numFmtId="9" fontId="5" fillId="0" borderId="10" xfId="25" applyNumberFormat="1" applyFont="1" applyBorder="1">
      <alignment vertical="center"/>
    </xf>
    <xf numFmtId="0" fontId="13" fillId="8" borderId="0" xfId="25" applyFont="1" applyFill="1">
      <alignment vertical="center"/>
    </xf>
    <xf numFmtId="9" fontId="115" fillId="8" borderId="0" xfId="260" applyFont="1" applyFill="1">
      <alignment vertical="center"/>
    </xf>
    <xf numFmtId="0" fontId="13" fillId="8" borderId="10" xfId="25" applyFont="1" applyFill="1" applyBorder="1">
      <alignment vertical="center"/>
    </xf>
    <xf numFmtId="9" fontId="5" fillId="8" borderId="10" xfId="25" applyNumberFormat="1" applyFont="1" applyFill="1" applyBorder="1">
      <alignment vertical="center"/>
    </xf>
    <xf numFmtId="0" fontId="99" fillId="8" borderId="0" xfId="25" applyFont="1" applyFill="1">
      <alignment vertical="center"/>
    </xf>
    <xf numFmtId="0" fontId="105" fillId="8" borderId="0" xfId="47" applyFont="1" applyFill="1">
      <alignment vertical="center"/>
    </xf>
    <xf numFmtId="0" fontId="105" fillId="18" borderId="0" xfId="47" applyFont="1" applyFill="1">
      <alignment vertical="center"/>
    </xf>
    <xf numFmtId="177" fontId="110" fillId="8" borderId="0" xfId="35" applyNumberFormat="1" applyFont="1" applyFill="1" applyAlignment="1">
      <alignment horizontal="left"/>
    </xf>
    <xf numFmtId="0" fontId="112" fillId="8" borderId="0" xfId="25" applyFont="1" applyFill="1">
      <alignment vertical="center"/>
    </xf>
    <xf numFmtId="222" fontId="105" fillId="14" borderId="10" xfId="33" applyNumberFormat="1" applyFont="1" applyFill="1" applyBorder="1" applyAlignment="1">
      <alignment horizontal="center" vertical="center"/>
    </xf>
    <xf numFmtId="222" fontId="105" fillId="14" borderId="73" xfId="33" applyNumberFormat="1" applyFont="1" applyFill="1" applyBorder="1" applyAlignment="1">
      <alignment horizontal="center" vertical="center"/>
    </xf>
    <xf numFmtId="222" fontId="13" fillId="16" borderId="18" xfId="33" applyNumberFormat="1" applyFont="1" applyFill="1" applyBorder="1" applyAlignment="1">
      <alignment horizontal="center" vertical="center"/>
    </xf>
    <xf numFmtId="222" fontId="13" fillId="17" borderId="15" xfId="33" applyNumberFormat="1" applyFont="1" applyFill="1" applyBorder="1" applyAlignment="1">
      <alignment horizontal="center" vertical="center"/>
    </xf>
    <xf numFmtId="0" fontId="105" fillId="0" borderId="10" xfId="47" applyFont="1" applyBorder="1" applyAlignment="1">
      <alignment horizontal="right" vertical="center"/>
    </xf>
    <xf numFmtId="222" fontId="5" fillId="0" borderId="10" xfId="33" applyNumberFormat="1" applyFont="1" applyBorder="1" applyAlignment="1">
      <alignment horizontal="right" vertical="center"/>
    </xf>
    <xf numFmtId="222" fontId="5" fillId="0" borderId="73" xfId="33" applyNumberFormat="1" applyFont="1" applyBorder="1" applyAlignment="1">
      <alignment horizontal="right" vertical="center"/>
    </xf>
    <xf numFmtId="0" fontId="105" fillId="0" borderId="6" xfId="47" applyFont="1" applyBorder="1" applyAlignment="1">
      <alignment horizontal="right" vertical="center"/>
    </xf>
    <xf numFmtId="222" fontId="105" fillId="8" borderId="0" xfId="47" applyNumberFormat="1" applyFont="1" applyFill="1">
      <alignment vertical="center"/>
    </xf>
    <xf numFmtId="0" fontId="13" fillId="0" borderId="84" xfId="25" applyFont="1" applyBorder="1" applyAlignment="1">
      <alignment horizontal="right" vertical="center"/>
    </xf>
    <xf numFmtId="223" fontId="5" fillId="0" borderId="179" xfId="25" applyNumberFormat="1" applyFont="1" applyBorder="1" applyAlignment="1">
      <alignment horizontal="right" vertical="center"/>
    </xf>
    <xf numFmtId="222" fontId="5" fillId="0" borderId="84" xfId="33" applyNumberFormat="1" applyFont="1" applyBorder="1" applyAlignment="1">
      <alignment horizontal="right" vertical="center"/>
    </xf>
    <xf numFmtId="222" fontId="5" fillId="0" borderId="20" xfId="33" applyNumberFormat="1" applyFont="1" applyBorder="1" applyAlignment="1">
      <alignment horizontal="right" vertical="center"/>
    </xf>
    <xf numFmtId="222" fontId="5" fillId="0" borderId="21" xfId="33" applyNumberFormat="1" applyFont="1" applyBorder="1" applyAlignment="1">
      <alignment horizontal="right" vertical="center"/>
    </xf>
    <xf numFmtId="222" fontId="112" fillId="8" borderId="0" xfId="25" applyNumberFormat="1" applyFont="1" applyFill="1">
      <alignment vertical="center"/>
    </xf>
    <xf numFmtId="0" fontId="13" fillId="0" borderId="6" xfId="25" applyFont="1" applyBorder="1" applyAlignment="1">
      <alignment horizontal="right" vertical="center"/>
    </xf>
    <xf numFmtId="222" fontId="5" fillId="0" borderId="6" xfId="33" applyNumberFormat="1" applyFont="1" applyBorder="1" applyAlignment="1">
      <alignment horizontal="right" vertical="center"/>
    </xf>
    <xf numFmtId="222" fontId="5" fillId="0" borderId="12" xfId="33" applyNumberFormat="1" applyFont="1" applyBorder="1" applyAlignment="1">
      <alignment horizontal="right" vertical="center"/>
    </xf>
    <xf numFmtId="0" fontId="13" fillId="0" borderId="80" xfId="25" applyFont="1" applyBorder="1" applyAlignment="1">
      <alignment horizontal="right" vertical="center"/>
    </xf>
    <xf numFmtId="223" fontId="5" fillId="0" borderId="5" xfId="25" applyNumberFormat="1" applyFont="1" applyBorder="1" applyAlignment="1">
      <alignment horizontal="right" vertical="center"/>
    </xf>
    <xf numFmtId="222" fontId="5" fillId="0" borderId="80" xfId="33" applyNumberFormat="1" applyFont="1" applyBorder="1" applyAlignment="1">
      <alignment horizontal="right" vertical="center"/>
    </xf>
    <xf numFmtId="222" fontId="5" fillId="0" borderId="23" xfId="33" applyNumberFormat="1" applyFont="1" applyBorder="1" applyAlignment="1">
      <alignment horizontal="right" vertical="center"/>
    </xf>
    <xf numFmtId="222" fontId="5" fillId="0" borderId="24" xfId="33" applyNumberFormat="1" applyFont="1" applyBorder="1" applyAlignment="1">
      <alignment horizontal="right" vertical="center"/>
    </xf>
    <xf numFmtId="0" fontId="105" fillId="5" borderId="10" xfId="47" applyFont="1" applyFill="1" applyBorder="1" applyAlignment="1">
      <alignment horizontal="right" vertical="center"/>
    </xf>
    <xf numFmtId="222" fontId="5" fillId="5" borderId="10" xfId="33" applyNumberFormat="1" applyFont="1" applyFill="1" applyBorder="1" applyAlignment="1">
      <alignment horizontal="right" vertical="center"/>
    </xf>
    <xf numFmtId="222" fontId="5" fillId="5" borderId="73" xfId="33" applyNumberFormat="1" applyFont="1" applyFill="1" applyBorder="1" applyAlignment="1">
      <alignment horizontal="right" vertical="center"/>
    </xf>
    <xf numFmtId="0" fontId="105" fillId="5" borderId="6" xfId="47" applyFont="1" applyFill="1" applyBorder="1" applyAlignment="1">
      <alignment horizontal="right" vertical="center"/>
    </xf>
    <xf numFmtId="0" fontId="13" fillId="0" borderId="22" xfId="25" applyFont="1" applyBorder="1" applyAlignment="1">
      <alignment horizontal="right" vertical="center"/>
    </xf>
    <xf numFmtId="223" fontId="5" fillId="0" borderId="91" xfId="25" quotePrefix="1" applyNumberFormat="1" applyFont="1" applyBorder="1" applyAlignment="1">
      <alignment horizontal="right" vertical="center"/>
    </xf>
    <xf numFmtId="222" fontId="5" fillId="0" borderId="22" xfId="33" applyNumberFormat="1" applyFont="1" applyBorder="1" applyAlignment="1">
      <alignment horizontal="right" vertical="center"/>
    </xf>
    <xf numFmtId="222" fontId="5" fillId="0" borderId="16" xfId="33" applyNumberFormat="1" applyFont="1" applyBorder="1" applyAlignment="1">
      <alignment horizontal="right" vertical="center"/>
    </xf>
    <xf numFmtId="222" fontId="5" fillId="0" borderId="17" xfId="33" applyNumberFormat="1" applyFont="1" applyBorder="1" applyAlignment="1">
      <alignment horizontal="right" vertical="center"/>
    </xf>
    <xf numFmtId="0" fontId="96" fillId="8" borderId="0" xfId="25" applyFont="1" applyFill="1">
      <alignment vertical="center"/>
    </xf>
    <xf numFmtId="0" fontId="105" fillId="0" borderId="0" xfId="47" applyFont="1">
      <alignment vertical="center"/>
    </xf>
    <xf numFmtId="0" fontId="13" fillId="0" borderId="13" xfId="25" applyFont="1" applyBorder="1" applyAlignment="1">
      <alignment horizontal="right" vertical="center"/>
    </xf>
    <xf numFmtId="223" fontId="5" fillId="0" borderId="105" xfId="25" applyNumberFormat="1" applyFont="1" applyBorder="1" applyAlignment="1">
      <alignment horizontal="right" vertical="center"/>
    </xf>
    <xf numFmtId="222" fontId="5" fillId="0" borderId="13" xfId="33" applyNumberFormat="1" applyFont="1" applyBorder="1" applyAlignment="1">
      <alignment horizontal="right" vertical="center"/>
    </xf>
    <xf numFmtId="222" fontId="5" fillId="0" borderId="18" xfId="33" applyNumberFormat="1" applyFont="1" applyBorder="1" applyAlignment="1">
      <alignment horizontal="right" vertical="center"/>
    </xf>
    <xf numFmtId="222" fontId="5" fillId="0" borderId="15" xfId="33" applyNumberFormat="1" applyFont="1" applyBorder="1" applyAlignment="1">
      <alignment horizontal="right" vertical="center"/>
    </xf>
    <xf numFmtId="0" fontId="105" fillId="8" borderId="167" xfId="47" applyFont="1" applyFill="1" applyBorder="1">
      <alignment vertical="center"/>
    </xf>
    <xf numFmtId="0" fontId="112" fillId="0" borderId="0" xfId="25" applyFont="1">
      <alignment vertical="center"/>
    </xf>
    <xf numFmtId="0" fontId="105" fillId="8" borderId="0" xfId="47" applyFont="1" applyFill="1" applyAlignment="1">
      <alignment horizontal="right" vertical="center"/>
    </xf>
    <xf numFmtId="222" fontId="5" fillId="8" borderId="0" xfId="33" applyNumberFormat="1" applyFont="1" applyFill="1" applyAlignment="1">
      <alignment horizontal="right" vertical="center"/>
    </xf>
    <xf numFmtId="0" fontId="5" fillId="16" borderId="10" xfId="25" applyFont="1" applyFill="1" applyBorder="1" applyAlignment="1">
      <alignment horizontal="center" vertical="center"/>
    </xf>
    <xf numFmtId="0" fontId="5" fillId="16" borderId="10" xfId="25" applyFont="1" applyFill="1" applyBorder="1" applyAlignment="1">
      <alignment horizontal="center" vertical="center" wrapText="1"/>
    </xf>
    <xf numFmtId="0" fontId="5" fillId="8" borderId="0" xfId="47" applyFont="1" applyFill="1">
      <alignment vertical="center"/>
    </xf>
    <xf numFmtId="0" fontId="5" fillId="0" borderId="10" xfId="25" applyFont="1" applyBorder="1" applyAlignment="1">
      <alignment horizontal="center" vertical="center" wrapText="1"/>
    </xf>
    <xf numFmtId="224" fontId="5" fillId="0" borderId="10" xfId="207" applyNumberFormat="1" applyFont="1" applyFill="1" applyBorder="1">
      <alignment vertical="center"/>
    </xf>
    <xf numFmtId="9" fontId="5" fillId="0" borderId="10" xfId="260" applyFont="1" applyFill="1" applyBorder="1">
      <alignment vertical="center"/>
    </xf>
    <xf numFmtId="43" fontId="5" fillId="8" borderId="85" xfId="207" applyFont="1" applyFill="1" applyBorder="1" applyAlignment="1">
      <alignment vertical="center"/>
    </xf>
    <xf numFmtId="224" fontId="5" fillId="8" borderId="5" xfId="207" applyNumberFormat="1" applyFont="1" applyFill="1" applyBorder="1">
      <alignment vertical="center"/>
    </xf>
    <xf numFmtId="0" fontId="5" fillId="8" borderId="0" xfId="47" applyFont="1" applyFill="1" applyAlignment="1">
      <alignment horizontal="right" vertical="center"/>
    </xf>
    <xf numFmtId="0" fontId="5" fillId="0" borderId="10" xfId="47" applyFont="1" applyBorder="1" applyAlignment="1">
      <alignment horizontal="center" vertical="center"/>
    </xf>
    <xf numFmtId="224" fontId="5" fillId="0" borderId="10" xfId="207" applyNumberFormat="1" applyFont="1" applyFill="1" applyBorder="1" applyAlignment="1">
      <alignment vertical="center"/>
    </xf>
    <xf numFmtId="222" fontId="5" fillId="0" borderId="10" xfId="207" applyNumberFormat="1" applyFont="1" applyFill="1" applyBorder="1" applyAlignment="1">
      <alignment vertical="center"/>
    </xf>
    <xf numFmtId="225" fontId="15" fillId="8" borderId="0" xfId="25" applyNumberFormat="1" applyFont="1" applyFill="1">
      <alignment vertical="center"/>
    </xf>
    <xf numFmtId="224" fontId="5" fillId="8" borderId="5" xfId="207" applyNumberFormat="1" applyFont="1" applyFill="1" applyBorder="1" applyAlignment="1">
      <alignment vertical="center"/>
    </xf>
    <xf numFmtId="43" fontId="5" fillId="8" borderId="5" xfId="207" applyFont="1" applyFill="1" applyBorder="1" applyAlignment="1">
      <alignment vertical="center"/>
    </xf>
    <xf numFmtId="0" fontId="146" fillId="8" borderId="10" xfId="25" applyFont="1" applyFill="1" applyBorder="1" applyAlignment="1">
      <alignment horizontal="center" vertical="center" wrapText="1"/>
    </xf>
    <xf numFmtId="0" fontId="146" fillId="8" borderId="10" xfId="25" applyFont="1" applyFill="1" applyBorder="1" applyAlignment="1">
      <alignment horizontal="center" vertical="center"/>
    </xf>
    <xf numFmtId="9" fontId="141" fillId="0" borderId="10" xfId="25" applyNumberFormat="1" applyFont="1" applyBorder="1" applyAlignment="1">
      <alignment horizontal="center" vertical="center"/>
    </xf>
    <xf numFmtId="219" fontId="141" fillId="0" borderId="10" xfId="25" applyNumberFormat="1" applyFont="1" applyBorder="1" applyAlignment="1">
      <alignment horizontal="center" vertical="center"/>
    </xf>
    <xf numFmtId="9" fontId="146" fillId="0" borderId="0" xfId="25" applyNumberFormat="1" applyFont="1" applyAlignment="1">
      <alignment horizontal="center" vertical="center"/>
    </xf>
    <xf numFmtId="10" fontId="146" fillId="0" borderId="0" xfId="25" applyNumberFormat="1" applyFont="1" applyAlignment="1">
      <alignment horizontal="center" vertical="center"/>
    </xf>
    <xf numFmtId="228" fontId="146" fillId="0" borderId="0" xfId="25" applyNumberFormat="1" applyFont="1" applyAlignment="1">
      <alignment horizontal="center" vertical="center"/>
    </xf>
    <xf numFmtId="229" fontId="146" fillId="0" borderId="0" xfId="25" applyNumberFormat="1" applyFont="1" applyAlignment="1">
      <alignment horizontal="center" vertical="center"/>
    </xf>
    <xf numFmtId="0" fontId="141" fillId="0" borderId="10" xfId="25" applyFont="1" applyBorder="1" applyAlignment="1">
      <alignment horizontal="center" vertical="center"/>
    </xf>
    <xf numFmtId="0" fontId="141" fillId="0" borderId="10" xfId="25" applyFont="1" applyBorder="1">
      <alignment vertical="center"/>
    </xf>
    <xf numFmtId="0" fontId="146" fillId="0" borderId="10" xfId="25" applyFont="1" applyBorder="1" applyAlignment="1">
      <alignment horizontal="center" vertical="center"/>
    </xf>
    <xf numFmtId="0" fontId="148" fillId="8" borderId="10" xfId="25" applyFont="1" applyFill="1" applyBorder="1" applyAlignment="1">
      <alignment horizontal="center" vertical="center"/>
    </xf>
    <xf numFmtId="179" fontId="148" fillId="8" borderId="10" xfId="207" applyNumberFormat="1" applyFont="1" applyFill="1" applyBorder="1" applyAlignment="1">
      <alignment horizontal="center" vertical="center"/>
    </xf>
    <xf numFmtId="0" fontId="147" fillId="0" borderId="10" xfId="25" applyFont="1" applyBorder="1" applyAlignment="1">
      <alignment horizontal="center" vertical="center"/>
    </xf>
    <xf numFmtId="0" fontId="148" fillId="0" borderId="10" xfId="25" applyFont="1" applyBorder="1" applyAlignment="1">
      <alignment horizontal="center" vertical="center"/>
    </xf>
    <xf numFmtId="10" fontId="147" fillId="0" borderId="10" xfId="260" applyNumberFormat="1" applyFont="1" applyFill="1" applyBorder="1" applyAlignment="1">
      <alignment horizontal="center" vertical="center"/>
    </xf>
    <xf numFmtId="10" fontId="147" fillId="0" borderId="10" xfId="25" applyNumberFormat="1" applyFont="1" applyBorder="1">
      <alignment vertical="center"/>
    </xf>
    <xf numFmtId="220" fontId="147" fillId="0" borderId="10" xfId="25" applyNumberFormat="1" applyFont="1" applyBorder="1">
      <alignment vertical="center"/>
    </xf>
    <xf numFmtId="0" fontId="42" fillId="5" borderId="167" xfId="51" applyFont="1" applyFill="1" applyBorder="1" applyAlignment="1">
      <alignment horizontal="center" vertical="center" wrapText="1"/>
    </xf>
    <xf numFmtId="41" fontId="42" fillId="5" borderId="167" xfId="51" applyNumberFormat="1" applyFont="1" applyFill="1" applyBorder="1" applyAlignment="1">
      <alignment horizontal="center" vertical="center" wrapText="1"/>
    </xf>
    <xf numFmtId="41" fontId="104" fillId="5" borderId="167" xfId="25" applyNumberFormat="1" applyFont="1" applyFill="1" applyBorder="1" applyAlignment="1">
      <alignment horizontal="center" vertical="center" wrapText="1"/>
    </xf>
    <xf numFmtId="41" fontId="15" fillId="0" borderId="0" xfId="51" applyNumberFormat="1" applyFont="1" applyAlignment="1">
      <alignment horizontal="center" vertical="center" wrapText="1"/>
    </xf>
    <xf numFmtId="0" fontId="5" fillId="0" borderId="0" xfId="51" applyFont="1" applyAlignment="1">
      <alignment horizontal="center" vertical="center"/>
    </xf>
    <xf numFmtId="227" fontId="15" fillId="5" borderId="316" xfId="51" quotePrefix="1" applyNumberFormat="1" applyFont="1" applyFill="1" applyBorder="1" applyAlignment="1">
      <alignment horizontal="center" vertical="center" wrapText="1"/>
    </xf>
    <xf numFmtId="0" fontId="15" fillId="0" borderId="0" xfId="51" quotePrefix="1" applyFont="1" applyAlignment="1">
      <alignment horizontal="center" vertical="center" wrapText="1"/>
    </xf>
    <xf numFmtId="0" fontId="15" fillId="19" borderId="0" xfId="51" applyFont="1" applyFill="1" applyAlignment="1">
      <alignment horizontal="center" vertical="center"/>
    </xf>
    <xf numFmtId="0" fontId="5" fillId="5" borderId="0" xfId="51" applyFont="1" applyFill="1" applyAlignment="1">
      <alignment horizontal="center" vertical="center"/>
    </xf>
    <xf numFmtId="0" fontId="5" fillId="12" borderId="0" xfId="51" applyFont="1" applyFill="1" applyAlignment="1">
      <alignment horizontal="center" vertical="center"/>
    </xf>
    <xf numFmtId="41" fontId="5" fillId="12" borderId="0" xfId="51" applyNumberFormat="1" applyFont="1" applyFill="1" applyAlignment="1">
      <alignment horizontal="center" vertical="center"/>
    </xf>
    <xf numFmtId="179" fontId="5" fillId="12" borderId="0" xfId="202" applyNumberFormat="1" applyFont="1" applyFill="1" applyAlignment="1">
      <alignment horizontal="center" vertical="center"/>
    </xf>
    <xf numFmtId="219" fontId="5" fillId="12" borderId="0" xfId="51" applyNumberFormat="1" applyFont="1" applyFill="1" applyAlignment="1">
      <alignment horizontal="center" vertical="center"/>
    </xf>
    <xf numFmtId="41" fontId="5" fillId="5" borderId="0" xfId="51" applyNumberFormat="1" applyFont="1" applyFill="1" applyAlignment="1">
      <alignment horizontal="center" vertical="center"/>
    </xf>
    <xf numFmtId="179" fontId="5" fillId="5" borderId="0" xfId="202" applyNumberFormat="1" applyFont="1" applyFill="1" applyAlignment="1">
      <alignment horizontal="center" vertical="center"/>
    </xf>
    <xf numFmtId="221" fontId="5" fillId="5" borderId="0" xfId="207" applyNumberFormat="1" applyFont="1" applyFill="1" applyAlignment="1">
      <alignment horizontal="center" vertical="center"/>
    </xf>
    <xf numFmtId="41" fontId="5" fillId="5" borderId="0" xfId="51" quotePrefix="1" applyNumberFormat="1" applyFont="1" applyFill="1" applyAlignment="1">
      <alignment horizontal="center" vertical="center" wrapText="1"/>
    </xf>
    <xf numFmtId="41" fontId="5" fillId="0" borderId="0" xfId="51" quotePrefix="1" applyNumberFormat="1" applyFont="1" applyAlignment="1">
      <alignment horizontal="center" vertical="center" wrapText="1"/>
    </xf>
    <xf numFmtId="9" fontId="5" fillId="12" borderId="0" xfId="51" applyNumberFormat="1" applyFont="1" applyFill="1" applyAlignment="1">
      <alignment horizontal="center" vertical="center"/>
    </xf>
    <xf numFmtId="10" fontId="5" fillId="12" borderId="0" xfId="51" applyNumberFormat="1" applyFont="1" applyFill="1" applyAlignment="1">
      <alignment horizontal="center" vertical="center"/>
    </xf>
    <xf numFmtId="224" fontId="5" fillId="5" borderId="0" xfId="207" applyNumberFormat="1" applyFont="1" applyFill="1" applyAlignment="1">
      <alignment horizontal="center" vertical="center"/>
    </xf>
    <xf numFmtId="0" fontId="117" fillId="0" borderId="0" xfId="51" applyFont="1" applyAlignment="1">
      <alignment horizontal="left" vertical="center"/>
    </xf>
    <xf numFmtId="221" fontId="5" fillId="5" borderId="0" xfId="202" applyNumberFormat="1" applyFont="1" applyFill="1" applyAlignment="1">
      <alignment horizontal="center" vertical="center"/>
    </xf>
    <xf numFmtId="0" fontId="5" fillId="0" borderId="0" xfId="51" quotePrefix="1" applyFont="1" applyAlignment="1">
      <alignment horizontal="center" vertical="center"/>
    </xf>
    <xf numFmtId="9" fontId="5" fillId="0" borderId="0" xfId="51" applyNumberFormat="1" applyFont="1">
      <alignment vertical="center"/>
    </xf>
    <xf numFmtId="0" fontId="5" fillId="0" borderId="0" xfId="51" applyFont="1" applyAlignment="1">
      <alignment vertical="center" wrapText="1"/>
    </xf>
    <xf numFmtId="0" fontId="5" fillId="0" borderId="0" xfId="51" applyFont="1">
      <alignment vertical="center"/>
    </xf>
    <xf numFmtId="179" fontId="113" fillId="0" borderId="123" xfId="207" applyNumberFormat="1" applyFont="1" applyFill="1" applyBorder="1" applyAlignment="1" applyProtection="1">
      <alignment horizontal="center" vertical="center" wrapText="1"/>
    </xf>
    <xf numFmtId="179" fontId="113" fillId="0" borderId="101" xfId="207" applyNumberFormat="1" applyFont="1" applyFill="1" applyBorder="1" applyAlignment="1" applyProtection="1">
      <alignment horizontal="center" vertical="center" wrapText="1"/>
    </xf>
    <xf numFmtId="179" fontId="113" fillId="0" borderId="201" xfId="207" applyNumberFormat="1" applyFont="1" applyFill="1" applyBorder="1" applyAlignment="1" applyProtection="1">
      <alignment horizontal="center" vertical="center" wrapText="1"/>
    </xf>
    <xf numFmtId="179" fontId="113" fillId="0" borderId="43" xfId="207" applyNumberFormat="1" applyFont="1" applyFill="1" applyBorder="1" applyAlignment="1" applyProtection="1">
      <alignment horizontal="center" vertical="center" wrapText="1"/>
    </xf>
    <xf numFmtId="179" fontId="113" fillId="0" borderId="258" xfId="207" applyNumberFormat="1" applyFont="1" applyFill="1" applyBorder="1" applyAlignment="1" applyProtection="1">
      <alignment horizontal="center" vertical="center" wrapText="1"/>
    </xf>
    <xf numFmtId="179" fontId="5" fillId="0" borderId="236" xfId="207" applyNumberFormat="1" applyFont="1" applyFill="1" applyBorder="1" applyAlignment="1" applyProtection="1">
      <alignment horizontal="center" vertical="center" wrapText="1"/>
      <protection locked="0"/>
    </xf>
    <xf numFmtId="179" fontId="5" fillId="0" borderId="123" xfId="207" applyNumberFormat="1" applyFont="1" applyFill="1" applyBorder="1" applyAlignment="1" applyProtection="1">
      <alignment horizontal="center" vertical="center" wrapText="1"/>
    </xf>
    <xf numFmtId="179" fontId="5" fillId="0" borderId="338" xfId="207" applyNumberFormat="1" applyFont="1" applyFill="1" applyBorder="1" applyAlignment="1" applyProtection="1">
      <alignment horizontal="center" vertical="center" wrapText="1"/>
      <protection locked="0"/>
    </xf>
    <xf numFmtId="179" fontId="5" fillId="0" borderId="101" xfId="207" applyNumberFormat="1" applyFont="1" applyFill="1" applyBorder="1" applyAlignment="1" applyProtection="1">
      <alignment horizontal="center" vertical="center" wrapText="1"/>
    </xf>
    <xf numFmtId="179" fontId="5" fillId="0" borderId="43" xfId="207" applyNumberFormat="1" applyFont="1" applyFill="1" applyBorder="1" applyAlignment="1" applyProtection="1">
      <alignment horizontal="center" vertical="center" wrapText="1"/>
    </xf>
    <xf numFmtId="179" fontId="5" fillId="0" borderId="237" xfId="207" applyNumberFormat="1" applyFont="1" applyFill="1" applyBorder="1" applyAlignment="1" applyProtection="1">
      <alignment horizontal="center" vertical="center" wrapText="1"/>
      <protection locked="0"/>
    </xf>
    <xf numFmtId="179" fontId="5" fillId="0" borderId="201" xfId="207" applyNumberFormat="1" applyFont="1" applyFill="1" applyBorder="1" applyAlignment="1" applyProtection="1">
      <alignment horizontal="center" vertical="center" wrapText="1"/>
    </xf>
    <xf numFmtId="179" fontId="5" fillId="0" borderId="258" xfId="207" applyNumberFormat="1" applyFont="1" applyFill="1" applyBorder="1" applyAlignment="1" applyProtection="1">
      <alignment horizontal="center" vertical="center" wrapText="1"/>
    </xf>
    <xf numFmtId="179" fontId="5" fillId="0" borderId="198" xfId="207" applyNumberFormat="1" applyFont="1" applyFill="1" applyBorder="1" applyAlignment="1" applyProtection="1">
      <alignment horizontal="center" vertical="center" wrapText="1"/>
      <protection locked="0"/>
    </xf>
    <xf numFmtId="179" fontId="5" fillId="0" borderId="339" xfId="207" applyNumberFormat="1" applyFont="1" applyFill="1" applyBorder="1" applyAlignment="1" applyProtection="1">
      <alignment horizontal="center" vertical="center" wrapText="1"/>
      <protection locked="0"/>
    </xf>
    <xf numFmtId="179" fontId="5" fillId="0" borderId="121" xfId="207" applyNumberFormat="1" applyFont="1" applyFill="1" applyBorder="1" applyAlignment="1" applyProtection="1">
      <alignment horizontal="center" vertical="center" wrapText="1"/>
    </xf>
    <xf numFmtId="179" fontId="5" fillId="0" borderId="96" xfId="207" applyNumberFormat="1" applyFont="1" applyFill="1" applyBorder="1" applyAlignment="1" applyProtection="1">
      <alignment horizontal="center" vertical="center" wrapText="1"/>
    </xf>
    <xf numFmtId="179" fontId="5" fillId="0" borderId="126" xfId="207" applyNumberFormat="1" applyFont="1" applyFill="1" applyBorder="1" applyAlignment="1" applyProtection="1">
      <alignment horizontal="center" vertical="center" wrapText="1"/>
    </xf>
    <xf numFmtId="179" fontId="5" fillId="0" borderId="207" xfId="207" applyNumberFormat="1" applyFont="1" applyFill="1" applyBorder="1" applyAlignment="1" applyProtection="1">
      <alignment horizontal="center" vertical="center" wrapText="1"/>
    </xf>
    <xf numFmtId="179" fontId="15" fillId="0" borderId="112" xfId="207" applyNumberFormat="1" applyFont="1" applyFill="1" applyBorder="1" applyAlignment="1" applyProtection="1">
      <alignment horizontal="center" vertical="center" wrapText="1"/>
    </xf>
    <xf numFmtId="179" fontId="15" fillId="0" borderId="127" xfId="207" applyNumberFormat="1" applyFont="1" applyFill="1" applyBorder="1" applyAlignment="1" applyProtection="1">
      <alignment horizontal="center" vertical="center" wrapText="1"/>
    </xf>
    <xf numFmtId="179" fontId="5" fillId="0" borderId="95" xfId="207" applyNumberFormat="1" applyFont="1" applyFill="1" applyBorder="1" applyAlignment="1" applyProtection="1">
      <alignment horizontal="center" vertical="center" wrapText="1"/>
      <protection locked="0"/>
    </xf>
    <xf numFmtId="179" fontId="15" fillId="0" borderId="105" xfId="207" applyNumberFormat="1" applyFont="1" applyFill="1" applyBorder="1" applyAlignment="1" applyProtection="1">
      <alignment horizontal="center" vertical="center" wrapText="1"/>
      <protection locked="0"/>
    </xf>
    <xf numFmtId="179" fontId="5" fillId="0" borderId="47" xfId="207" applyNumberFormat="1" applyFont="1" applyFill="1" applyBorder="1" applyAlignment="1" applyProtection="1">
      <alignment horizontal="center" vertical="center" wrapText="1"/>
      <protection locked="0"/>
    </xf>
    <xf numFmtId="179" fontId="5" fillId="0" borderId="345" xfId="207" applyNumberFormat="1" applyFont="1" applyFill="1" applyBorder="1" applyAlignment="1" applyProtection="1">
      <alignment horizontal="center" vertical="center" wrapText="1"/>
      <protection locked="0"/>
    </xf>
    <xf numFmtId="179" fontId="15" fillId="0" borderId="75" xfId="207" applyNumberFormat="1" applyFont="1" applyFill="1" applyBorder="1" applyAlignment="1" applyProtection="1">
      <alignment horizontal="center" vertical="center" wrapText="1"/>
      <protection locked="0"/>
    </xf>
    <xf numFmtId="0" fontId="15" fillId="13" borderId="10" xfId="25" applyFont="1" applyFill="1" applyBorder="1" applyAlignment="1">
      <alignment horizontal="center" vertical="center" wrapText="1"/>
    </xf>
    <xf numFmtId="0" fontId="15" fillId="13" borderId="188" xfId="25" applyFont="1" applyFill="1" applyBorder="1" applyAlignment="1">
      <alignment horizontal="center" vertical="center"/>
    </xf>
    <xf numFmtId="179" fontId="15" fillId="0" borderId="10" xfId="207" applyNumberFormat="1" applyFont="1" applyFill="1" applyBorder="1">
      <alignment vertical="center"/>
    </xf>
    <xf numFmtId="43" fontId="5" fillId="0" borderId="10" xfId="25" applyNumberFormat="1" applyFont="1" applyBorder="1">
      <alignment vertical="center"/>
    </xf>
    <xf numFmtId="179" fontId="5" fillId="0" borderId="10" xfId="132" applyNumberFormat="1" applyFont="1" applyFill="1" applyBorder="1" applyAlignment="1" applyProtection="1">
      <alignment horizontal="right" vertical="center"/>
      <protection locked="0"/>
    </xf>
    <xf numFmtId="179" fontId="5" fillId="0" borderId="10" xfId="132" applyNumberFormat="1" applyFont="1" applyFill="1" applyBorder="1" applyAlignment="1">
      <alignment horizontal="right" vertical="center"/>
    </xf>
    <xf numFmtId="0" fontId="42" fillId="13" borderId="346" xfId="25" applyFont="1" applyFill="1" applyBorder="1" applyAlignment="1">
      <alignment horizontal="center" vertical="center"/>
    </xf>
    <xf numFmtId="0" fontId="15" fillId="13" borderId="347" xfId="25" applyFont="1" applyFill="1" applyBorder="1" applyAlignment="1">
      <alignment horizontal="center" vertical="center"/>
    </xf>
    <xf numFmtId="216" fontId="15" fillId="13" borderId="348" xfId="25" applyNumberFormat="1" applyFont="1" applyFill="1" applyBorder="1">
      <alignment vertical="center"/>
    </xf>
    <xf numFmtId="216" fontId="15" fillId="13" borderId="349" xfId="25" applyNumberFormat="1" applyFont="1" applyFill="1" applyBorder="1">
      <alignment vertical="center"/>
    </xf>
    <xf numFmtId="216" fontId="15" fillId="13" borderId="350" xfId="25" applyNumberFormat="1" applyFont="1" applyFill="1" applyBorder="1">
      <alignment vertical="center"/>
    </xf>
    <xf numFmtId="0" fontId="42" fillId="13" borderId="351" xfId="25" applyFont="1" applyFill="1" applyBorder="1" applyAlignment="1">
      <alignment horizontal="center" vertical="center"/>
    </xf>
    <xf numFmtId="0" fontId="42" fillId="13" borderId="10" xfId="25" applyFont="1" applyFill="1" applyBorder="1" applyAlignment="1">
      <alignment horizontal="center" vertical="center" wrapText="1"/>
    </xf>
    <xf numFmtId="0" fontId="142" fillId="13" borderId="10" xfId="25" applyFont="1" applyFill="1" applyBorder="1" applyAlignment="1">
      <alignment horizontal="center" vertical="center" wrapText="1"/>
    </xf>
    <xf numFmtId="0" fontId="15" fillId="13" borderId="73" xfId="25" applyFont="1" applyFill="1" applyBorder="1" applyAlignment="1">
      <alignment horizontal="center" vertical="center" wrapText="1"/>
    </xf>
    <xf numFmtId="0" fontId="15" fillId="13" borderId="352" xfId="25" applyFont="1" applyFill="1" applyBorder="1" applyAlignment="1">
      <alignment horizontal="center" vertical="center"/>
    </xf>
    <xf numFmtId="216" fontId="15" fillId="13" borderId="348" xfId="207" applyNumberFormat="1" applyFont="1" applyFill="1" applyBorder="1">
      <alignment vertical="center"/>
    </xf>
    <xf numFmtId="216" fontId="144" fillId="13" borderId="348" xfId="207" applyNumberFormat="1" applyFont="1" applyFill="1" applyBorder="1">
      <alignment vertical="center"/>
    </xf>
    <xf numFmtId="216" fontId="15" fillId="13" borderId="353" xfId="207" applyNumberFormat="1" applyFont="1" applyFill="1" applyBorder="1">
      <alignment vertical="center"/>
    </xf>
    <xf numFmtId="216" fontId="15" fillId="13" borderId="354" xfId="207" applyNumberFormat="1" applyFont="1" applyFill="1" applyBorder="1">
      <alignment vertical="center"/>
    </xf>
    <xf numFmtId="216" fontId="15" fillId="13" borderId="355" xfId="207" applyNumberFormat="1" applyFont="1" applyFill="1" applyBorder="1" applyAlignment="1">
      <alignment vertical="center" wrapText="1"/>
    </xf>
    <xf numFmtId="216" fontId="15" fillId="13" borderId="348" xfId="207" applyNumberFormat="1" applyFont="1" applyFill="1" applyBorder="1" applyAlignment="1">
      <alignment vertical="center"/>
    </xf>
    <xf numFmtId="216" fontId="144" fillId="13" borderId="348" xfId="207" applyNumberFormat="1" applyFont="1" applyFill="1" applyBorder="1" applyAlignment="1">
      <alignment vertical="center"/>
    </xf>
    <xf numFmtId="216" fontId="15" fillId="13" borderId="355" xfId="207" applyNumberFormat="1" applyFont="1" applyFill="1" applyBorder="1">
      <alignment vertical="center"/>
    </xf>
    <xf numFmtId="0" fontId="15" fillId="13" borderId="351" xfId="25" applyFont="1" applyFill="1" applyBorder="1" applyAlignment="1">
      <alignment horizontal="center" vertical="center"/>
    </xf>
    <xf numFmtId="216" fontId="5" fillId="0" borderId="85" xfId="207" applyNumberFormat="1" applyFont="1" applyFill="1" applyBorder="1">
      <alignment vertical="center"/>
    </xf>
    <xf numFmtId="216" fontId="5" fillId="0" borderId="356" xfId="207" applyNumberFormat="1" applyFont="1" applyFill="1" applyBorder="1">
      <alignment vertical="center"/>
    </xf>
    <xf numFmtId="216" fontId="5" fillId="0" borderId="14" xfId="207" applyNumberFormat="1" applyFont="1" applyFill="1" applyBorder="1">
      <alignment vertical="center"/>
    </xf>
    <xf numFmtId="216" fontId="5" fillId="0" borderId="357" xfId="207" applyNumberFormat="1" applyFont="1" applyFill="1" applyBorder="1">
      <alignment vertical="center"/>
    </xf>
    <xf numFmtId="216" fontId="5" fillId="0" borderId="12" xfId="207" applyNumberFormat="1" applyFont="1" applyFill="1" applyBorder="1">
      <alignment vertical="center"/>
    </xf>
    <xf numFmtId="216" fontId="5" fillId="0" borderId="15" xfId="207" applyNumberFormat="1" applyFont="1" applyFill="1" applyBorder="1">
      <alignment vertical="center"/>
    </xf>
    <xf numFmtId="216" fontId="5" fillId="0" borderId="352" xfId="207" applyNumberFormat="1" applyFont="1" applyFill="1" applyBorder="1">
      <alignment vertical="center"/>
    </xf>
    <xf numFmtId="216" fontId="5" fillId="0" borderId="347" xfId="207" applyNumberFormat="1" applyFont="1" applyFill="1" applyBorder="1">
      <alignment vertical="center"/>
    </xf>
    <xf numFmtId="216" fontId="144" fillId="13" borderId="348" xfId="25" applyNumberFormat="1" applyFont="1" applyFill="1" applyBorder="1">
      <alignment vertical="center"/>
    </xf>
    <xf numFmtId="216" fontId="15" fillId="13" borderId="353" xfId="25" applyNumberFormat="1" applyFont="1" applyFill="1" applyBorder="1">
      <alignment vertical="center"/>
    </xf>
    <xf numFmtId="216" fontId="15" fillId="13" borderId="354" xfId="25" applyNumberFormat="1" applyFont="1" applyFill="1" applyBorder="1">
      <alignment vertical="center"/>
    </xf>
    <xf numFmtId="216" fontId="15" fillId="13" borderId="355" xfId="25" applyNumberFormat="1" applyFont="1" applyFill="1" applyBorder="1">
      <alignment vertical="center"/>
    </xf>
    <xf numFmtId="41" fontId="140" fillId="5" borderId="0" xfId="25" quotePrefix="1" applyNumberFormat="1" applyFont="1" applyFill="1" applyAlignment="1">
      <alignment horizontal="center" vertical="center" wrapText="1"/>
    </xf>
    <xf numFmtId="0" fontId="100" fillId="9" borderId="17" xfId="64" applyFont="1" applyFill="1" applyBorder="1" applyAlignment="1">
      <alignment horizontal="center" vertical="center" wrapText="1"/>
    </xf>
    <xf numFmtId="0" fontId="100" fillId="0" borderId="16" xfId="64" applyFont="1" applyBorder="1" applyAlignment="1">
      <alignment horizontal="center" vertical="center" wrapText="1"/>
    </xf>
    <xf numFmtId="0" fontId="118" fillId="8" borderId="0" xfId="25" applyFont="1" applyFill="1">
      <alignment vertical="center"/>
    </xf>
    <xf numFmtId="0" fontId="42" fillId="8" borderId="0" xfId="25" applyFont="1" applyFill="1">
      <alignment vertical="center"/>
    </xf>
    <xf numFmtId="0" fontId="109" fillId="0" borderId="0" xfId="0" applyFont="1" applyAlignment="1">
      <alignment horizontal="left" wrapText="1"/>
    </xf>
    <xf numFmtId="0" fontId="150" fillId="0" borderId="0" xfId="58" applyFont="1" applyAlignment="1">
      <alignment horizontal="left" vertical="center"/>
    </xf>
    <xf numFmtId="0" fontId="119" fillId="5" borderId="167" xfId="25" applyFont="1" applyFill="1" applyBorder="1" applyAlignment="1">
      <alignment horizontal="center" vertical="center" wrapText="1"/>
    </xf>
    <xf numFmtId="41" fontId="119" fillId="5" borderId="167" xfId="25" applyNumberFormat="1" applyFont="1" applyFill="1" applyBorder="1" applyAlignment="1">
      <alignment horizontal="center" vertical="center" wrapText="1"/>
    </xf>
    <xf numFmtId="0" fontId="124" fillId="0" borderId="9" xfId="63" applyFont="1" applyBorder="1" applyAlignment="1">
      <alignment vertical="center"/>
    </xf>
    <xf numFmtId="41" fontId="42" fillId="24" borderId="167" xfId="51" applyNumberFormat="1" applyFont="1" applyFill="1" applyBorder="1" applyAlignment="1">
      <alignment horizontal="center" vertical="center" wrapText="1"/>
    </xf>
    <xf numFmtId="227" fontId="15" fillId="24" borderId="316" xfId="51" quotePrefix="1" applyNumberFormat="1" applyFont="1" applyFill="1" applyBorder="1" applyAlignment="1">
      <alignment horizontal="center" vertical="center" wrapText="1"/>
    </xf>
    <xf numFmtId="220" fontId="5" fillId="24" borderId="0" xfId="263" quotePrefix="1" applyNumberFormat="1" applyFont="1" applyFill="1" applyBorder="1" applyAlignment="1">
      <alignment horizontal="center" vertical="center" wrapText="1"/>
    </xf>
    <xf numFmtId="179" fontId="5" fillId="25" borderId="10" xfId="132" applyNumberFormat="1" applyFont="1" applyFill="1" applyBorder="1" applyAlignment="1">
      <alignment horizontal="center" vertical="center"/>
    </xf>
    <xf numFmtId="0" fontId="0" fillId="25" borderId="123" xfId="0" applyFill="1" applyBorder="1"/>
    <xf numFmtId="0" fontId="0" fillId="25" borderId="0" xfId="0" applyFill="1"/>
    <xf numFmtId="0" fontId="0" fillId="25" borderId="340" xfId="0" applyFill="1" applyBorder="1"/>
    <xf numFmtId="179" fontId="5" fillId="0" borderId="12" xfId="207" applyNumberFormat="1" applyFont="1" applyFill="1" applyBorder="1">
      <alignment vertical="center"/>
    </xf>
    <xf numFmtId="179" fontId="5" fillId="0" borderId="15" xfId="207" applyNumberFormat="1" applyFont="1" applyFill="1" applyBorder="1">
      <alignment vertical="center"/>
    </xf>
    <xf numFmtId="0" fontId="5" fillId="25" borderId="0" xfId="48" applyFont="1" applyFill="1" applyAlignment="1">
      <alignment horizontal="center" vertical="center"/>
    </xf>
    <xf numFmtId="41" fontId="5" fillId="25" borderId="0" xfId="48" applyNumberFormat="1" applyFont="1" applyFill="1" applyAlignment="1">
      <alignment horizontal="center" vertical="center"/>
    </xf>
    <xf numFmtId="179" fontId="5" fillId="25" borderId="0" xfId="199" applyNumberFormat="1" applyFont="1" applyFill="1" applyAlignment="1">
      <alignment horizontal="center" vertical="center"/>
    </xf>
    <xf numFmtId="219" fontId="5" fillId="25" borderId="0" xfId="48" applyNumberFormat="1" applyFont="1" applyFill="1" applyAlignment="1">
      <alignment horizontal="center" vertical="center"/>
    </xf>
    <xf numFmtId="9" fontId="5" fillId="25" borderId="0" xfId="48" applyNumberFormat="1" applyFont="1" applyFill="1" applyAlignment="1">
      <alignment horizontal="center" vertical="center"/>
    </xf>
    <xf numFmtId="10" fontId="5" fillId="25" borderId="0" xfId="48" applyNumberFormat="1" applyFont="1" applyFill="1" applyAlignment="1">
      <alignment horizontal="center" vertical="center"/>
    </xf>
    <xf numFmtId="0" fontId="5" fillId="25" borderId="0" xfId="0" applyFont="1" applyFill="1" applyAlignment="1">
      <alignment horizontal="center" vertical="center"/>
    </xf>
    <xf numFmtId="41" fontId="5" fillId="25" borderId="0" xfId="0" applyNumberFormat="1" applyFont="1" applyFill="1" applyAlignment="1">
      <alignment horizontal="center" vertical="center"/>
    </xf>
    <xf numFmtId="179" fontId="5" fillId="25" borderId="0" xfId="132" applyNumberFormat="1" applyFont="1" applyFill="1" applyAlignment="1">
      <alignment horizontal="center" vertical="center"/>
    </xf>
    <xf numFmtId="9" fontId="5" fillId="25" borderId="0" xfId="0" applyNumberFormat="1" applyFont="1" applyFill="1" applyAlignment="1">
      <alignment horizontal="center" vertical="center"/>
    </xf>
    <xf numFmtId="0" fontId="21" fillId="0" borderId="0" xfId="128" applyFont="1" applyAlignment="1" applyProtection="1">
      <alignment vertical="center"/>
      <protection locked="0"/>
    </xf>
    <xf numFmtId="0" fontId="37" fillId="0" borderId="16" xfId="71" applyFont="1" applyBorder="1" applyAlignment="1">
      <alignment horizontal="center" vertical="center" wrapText="1"/>
    </xf>
    <xf numFmtId="0" fontId="161" fillId="0" borderId="73" xfId="71" applyFont="1" applyBorder="1" applyAlignment="1">
      <alignment vertical="center" wrapText="1"/>
    </xf>
    <xf numFmtId="0" fontId="162" fillId="0" borderId="73" xfId="71" applyFont="1" applyBorder="1" applyAlignment="1">
      <alignment vertical="center" wrapText="1"/>
    </xf>
    <xf numFmtId="0" fontId="161" fillId="0" borderId="10" xfId="81" applyFont="1" applyBorder="1">
      <alignment vertical="center"/>
    </xf>
    <xf numFmtId="0" fontId="161" fillId="0" borderId="10" xfId="81" applyFont="1" applyBorder="1" applyAlignment="1">
      <alignment horizontal="center" vertical="center"/>
    </xf>
    <xf numFmtId="0" fontId="161" fillId="0" borderId="10" xfId="81" applyFont="1" applyBorder="1" applyAlignment="1">
      <alignment horizontal="left" vertical="center"/>
    </xf>
    <xf numFmtId="0" fontId="161" fillId="0" borderId="10" xfId="109" applyFont="1" applyBorder="1" applyAlignment="1">
      <alignment horizontal="center" vertical="center"/>
    </xf>
    <xf numFmtId="0" fontId="161" fillId="0" borderId="23" xfId="73" applyFont="1" applyBorder="1" applyAlignment="1">
      <alignment vertical="center" wrapText="1"/>
    </xf>
    <xf numFmtId="0" fontId="161" fillId="0" borderId="23" xfId="71" applyFont="1" applyBorder="1" applyAlignment="1">
      <alignment vertical="center" wrapText="1"/>
    </xf>
    <xf numFmtId="0" fontId="161" fillId="0" borderId="23" xfId="109" applyFont="1" applyBorder="1" applyAlignment="1">
      <alignment vertical="center" wrapText="1"/>
    </xf>
    <xf numFmtId="0" fontId="161" fillId="0" borderId="0" xfId="0" applyFont="1" applyAlignment="1">
      <alignment vertical="top"/>
    </xf>
    <xf numFmtId="0" fontId="161" fillId="0" borderId="0" xfId="87" applyFont="1"/>
    <xf numFmtId="0" fontId="162" fillId="0" borderId="0" xfId="0" applyFont="1" applyAlignment="1">
      <alignment vertical="center"/>
    </xf>
    <xf numFmtId="0" fontId="161" fillId="0" borderId="0" xfId="39" applyFont="1" applyAlignment="1">
      <alignment vertical="center"/>
    </xf>
    <xf numFmtId="0" fontId="161" fillId="0" borderId="0" xfId="0" applyFont="1"/>
    <xf numFmtId="0" fontId="162" fillId="0" borderId="23" xfId="71" applyFont="1" applyBorder="1" applyAlignment="1">
      <alignment horizontal="center" vertical="center" wrapText="1"/>
    </xf>
    <xf numFmtId="0" fontId="161" fillId="0" borderId="23" xfId="71" applyFont="1" applyBorder="1" applyAlignment="1">
      <alignment horizontal="center" vertical="center" wrapText="1"/>
    </xf>
    <xf numFmtId="0" fontId="164" fillId="0" borderId="10" xfId="39" quotePrefix="1" applyFont="1" applyBorder="1" applyAlignment="1">
      <alignment horizontal="center"/>
    </xf>
    <xf numFmtId="0" fontId="164" fillId="0" borderId="10" xfId="39" applyFont="1" applyBorder="1" applyAlignment="1">
      <alignment horizontal="center" vertical="center"/>
    </xf>
    <xf numFmtId="210" fontId="161" fillId="6" borderId="10" xfId="0" applyNumberFormat="1" applyFont="1" applyFill="1" applyBorder="1" applyAlignment="1">
      <alignment vertical="center"/>
    </xf>
    <xf numFmtId="0" fontId="161" fillId="6" borderId="10" xfId="39" applyFont="1" applyFill="1" applyBorder="1" applyAlignment="1">
      <alignment vertical="center"/>
    </xf>
    <xf numFmtId="0" fontId="161" fillId="6" borderId="10" xfId="39" applyFont="1" applyFill="1" applyBorder="1" applyAlignment="1">
      <alignment horizontal="right" vertical="center"/>
    </xf>
    <xf numFmtId="49" fontId="161" fillId="6" borderId="10" xfId="39" applyNumberFormat="1" applyFont="1" applyFill="1" applyBorder="1" applyAlignment="1">
      <alignment horizontal="right" vertical="center"/>
    </xf>
    <xf numFmtId="0" fontId="161" fillId="0" borderId="140" xfId="39" applyFont="1" applyBorder="1"/>
    <xf numFmtId="0" fontId="164" fillId="0" borderId="0" xfId="39" applyFont="1"/>
    <xf numFmtId="0" fontId="161" fillId="0" borderId="0" xfId="71" applyFont="1" applyAlignment="1">
      <alignment horizontal="center" vertical="center"/>
    </xf>
    <xf numFmtId="0" fontId="161" fillId="0" borderId="0" xfId="71" applyFont="1" applyAlignment="1">
      <alignment horizontal="left" vertical="center"/>
    </xf>
    <xf numFmtId="0" fontId="162" fillId="0" borderId="23" xfId="39" applyFont="1" applyBorder="1" applyAlignment="1">
      <alignment horizontal="center" wrapText="1"/>
    </xf>
    <xf numFmtId="0" fontId="164" fillId="0" borderId="20" xfId="39" quotePrefix="1" applyFont="1" applyBorder="1" applyAlignment="1">
      <alignment horizontal="center"/>
    </xf>
    <xf numFmtId="0" fontId="164" fillId="0" borderId="82" xfId="39" quotePrefix="1" applyFont="1" applyBorder="1" applyAlignment="1">
      <alignment horizontal="center"/>
    </xf>
    <xf numFmtId="0" fontId="162" fillId="0" borderId="10" xfId="71" applyFont="1" applyBorder="1" applyAlignment="1">
      <alignment horizontal="center" vertical="center" wrapText="1"/>
    </xf>
    <xf numFmtId="0" fontId="162" fillId="0" borderId="0" xfId="0" applyFont="1" applyAlignment="1">
      <alignment horizontal="center"/>
    </xf>
    <xf numFmtId="0" fontId="163" fillId="0" borderId="0" xfId="92" applyFont="1"/>
    <xf numFmtId="0" fontId="162" fillId="0" borderId="20" xfId="108" quotePrefix="1" applyFont="1" applyBorder="1" applyAlignment="1">
      <alignment horizontal="center" vertical="center" wrapText="1"/>
    </xf>
    <xf numFmtId="0" fontId="162" fillId="0" borderId="10" xfId="108" applyFont="1" applyBorder="1" applyAlignment="1">
      <alignment horizontal="center" vertical="center" wrapText="1"/>
    </xf>
    <xf numFmtId="0" fontId="162" fillId="0" borderId="10" xfId="108" applyFont="1" applyBorder="1" applyAlignment="1">
      <alignment vertical="center" wrapText="1"/>
    </xf>
    <xf numFmtId="0" fontId="162" fillId="6" borderId="10" xfId="108" applyFont="1" applyFill="1" applyBorder="1" applyAlignment="1">
      <alignment vertical="center" wrapText="1"/>
    </xf>
    <xf numFmtId="0" fontId="15" fillId="0" borderId="73" xfId="59" applyFont="1" applyBorder="1" applyAlignment="1">
      <alignment horizontal="center" vertical="center" wrapText="1"/>
    </xf>
    <xf numFmtId="0" fontId="15" fillId="0" borderId="20" xfId="59" applyFont="1" applyBorder="1" applyAlignment="1">
      <alignment horizontal="center" vertical="center" wrapText="1"/>
    </xf>
    <xf numFmtId="0" fontId="15" fillId="0" borderId="10" xfId="59" applyFont="1" applyBorder="1" applyAlignment="1">
      <alignment horizontal="center" vertical="center" wrapText="1"/>
    </xf>
    <xf numFmtId="0" fontId="5" fillId="0" borderId="74" xfId="59" applyFont="1" applyBorder="1" applyAlignment="1">
      <alignment horizontal="center" vertical="center" wrapText="1"/>
    </xf>
    <xf numFmtId="0" fontId="5" fillId="0" borderId="75" xfId="59" applyFont="1" applyBorder="1" applyAlignment="1">
      <alignment horizontal="center" vertical="center" wrapText="1"/>
    </xf>
    <xf numFmtId="0" fontId="5" fillId="0" borderId="77" xfId="59" applyFont="1" applyBorder="1" applyAlignment="1">
      <alignment horizontal="center" vertical="center" wrapText="1"/>
    </xf>
    <xf numFmtId="0" fontId="5" fillId="0" borderId="78" xfId="59" applyFont="1" applyBorder="1" applyAlignment="1">
      <alignment horizontal="center" vertical="center" wrapText="1"/>
    </xf>
    <xf numFmtId="179" fontId="5" fillId="0" borderId="12" xfId="195" applyNumberFormat="1" applyFont="1" applyFill="1" applyBorder="1" applyAlignment="1">
      <alignment vertical="center" wrapText="1"/>
    </xf>
    <xf numFmtId="43" fontId="5" fillId="0" borderId="12" xfId="195" applyFont="1" applyFill="1" applyBorder="1" applyAlignment="1">
      <alignment vertical="center" wrapText="1"/>
    </xf>
    <xf numFmtId="191" fontId="165" fillId="0" borderId="10" xfId="117" applyNumberFormat="1" applyFont="1" applyBorder="1" applyAlignment="1">
      <alignment horizontal="center" vertical="center" wrapText="1"/>
    </xf>
    <xf numFmtId="0" fontId="5" fillId="0" borderId="291" xfId="81" applyFont="1" applyBorder="1" applyAlignment="1">
      <alignment vertical="center" wrapText="1"/>
    </xf>
    <xf numFmtId="182" fontId="5" fillId="0" borderId="293" xfId="37" applyNumberFormat="1" applyFont="1" applyBorder="1" applyAlignment="1">
      <alignment horizontal="left" vertical="center" wrapText="1"/>
    </xf>
    <xf numFmtId="197" fontId="5" fillId="0" borderId="25" xfId="189" applyFont="1" applyFill="1" applyBorder="1" applyAlignment="1" applyProtection="1">
      <alignment horizontal="center" vertical="center" wrapText="1"/>
      <protection locked="0"/>
    </xf>
    <xf numFmtId="197" fontId="5" fillId="0" borderId="25" xfId="189" applyFont="1" applyFill="1" applyBorder="1" applyAlignment="1">
      <alignment horizontal="center" vertical="center" wrapText="1"/>
    </xf>
    <xf numFmtId="197" fontId="5" fillId="0" borderId="110" xfId="189" applyFont="1" applyFill="1" applyBorder="1" applyAlignment="1">
      <alignment horizontal="center" vertical="center" wrapText="1"/>
    </xf>
    <xf numFmtId="14" fontId="5" fillId="0" borderId="10" xfId="41" applyNumberFormat="1" applyFont="1" applyBorder="1">
      <alignment vertical="center"/>
    </xf>
    <xf numFmtId="179" fontId="5" fillId="0" borderId="10" xfId="203" applyNumberFormat="1" applyFont="1" applyBorder="1" applyAlignment="1">
      <alignment vertical="center"/>
    </xf>
    <xf numFmtId="49" fontId="166" fillId="0" borderId="0" xfId="81" applyNumberFormat="1" applyFont="1" applyAlignment="1">
      <alignment horizontal="left" vertical="center"/>
    </xf>
    <xf numFmtId="179" fontId="167" fillId="0" borderId="75" xfId="207" applyNumberFormat="1" applyFont="1" applyFill="1" applyBorder="1" applyAlignment="1" applyProtection="1">
      <alignment horizontal="center" vertical="center" wrapText="1"/>
      <protection locked="0"/>
    </xf>
    <xf numFmtId="179" fontId="167" fillId="0" borderId="105" xfId="207" applyNumberFormat="1" applyFont="1" applyFill="1" applyBorder="1" applyAlignment="1" applyProtection="1">
      <alignment horizontal="center" vertical="center" wrapText="1"/>
      <protection locked="0"/>
    </xf>
    <xf numFmtId="179" fontId="167" fillId="0" borderId="127" xfId="207" applyNumberFormat="1" applyFont="1" applyFill="1" applyBorder="1" applyAlignment="1" applyProtection="1">
      <alignment horizontal="center" vertical="center" wrapText="1"/>
    </xf>
    <xf numFmtId="179" fontId="167" fillId="0" borderId="112" xfId="207" applyNumberFormat="1" applyFont="1" applyFill="1" applyBorder="1" applyAlignment="1" applyProtection="1">
      <alignment horizontal="center" vertical="center" wrapText="1"/>
    </xf>
    <xf numFmtId="0" fontId="168" fillId="8" borderId="0" xfId="25" applyFont="1" applyFill="1">
      <alignment vertical="center"/>
    </xf>
    <xf numFmtId="0" fontId="5" fillId="0" borderId="0" xfId="0" applyFont="1"/>
    <xf numFmtId="0" fontId="65" fillId="0" borderId="0" xfId="75" applyFont="1" applyAlignment="1">
      <alignment horizontal="left" vertical="center"/>
    </xf>
    <xf numFmtId="0" fontId="65" fillId="0" borderId="0" xfId="108" applyFont="1" applyAlignment="1">
      <alignment horizontal="center" vertical="center" wrapText="1"/>
    </xf>
    <xf numFmtId="0" fontId="65" fillId="0" borderId="0" xfId="75" applyFont="1" applyAlignment="1">
      <alignment horizontal="left" vertical="center" wrapText="1"/>
    </xf>
    <xf numFmtId="0" fontId="65" fillId="0" borderId="0" xfId="71" applyFont="1" applyAlignment="1">
      <alignment vertical="center" wrapText="1"/>
    </xf>
    <xf numFmtId="0" fontId="65" fillId="0" borderId="0" xfId="92" applyFont="1" applyAlignment="1">
      <alignment vertical="center" wrapText="1"/>
    </xf>
    <xf numFmtId="0" fontId="165" fillId="0" borderId="0" xfId="0" applyFont="1" applyAlignment="1">
      <alignment horizontal="center" vertical="center" wrapText="1"/>
    </xf>
    <xf numFmtId="0" fontId="165" fillId="0" borderId="0" xfId="0" applyFont="1" applyAlignment="1">
      <alignment vertical="center"/>
    </xf>
    <xf numFmtId="179" fontId="115" fillId="26" borderId="25" xfId="132" applyNumberFormat="1" applyFont="1" applyFill="1" applyBorder="1" applyAlignment="1" applyProtection="1">
      <alignment horizontal="center" vertical="center" wrapText="1"/>
    </xf>
    <xf numFmtId="179" fontId="115" fillId="27" borderId="25" xfId="132" applyNumberFormat="1" applyFont="1" applyFill="1" applyBorder="1" applyAlignment="1" applyProtection="1">
      <alignment horizontal="center" vertical="center" wrapText="1"/>
    </xf>
    <xf numFmtId="190" fontId="115" fillId="27"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xf>
    <xf numFmtId="190" fontId="13" fillId="12" borderId="0" xfId="242" applyNumberFormat="1" applyFont="1" applyFill="1" applyBorder="1" applyAlignment="1" applyProtection="1">
      <alignment horizontal="left" vertical="center"/>
    </xf>
    <xf numFmtId="0" fontId="5" fillId="28" borderId="0" xfId="81" applyFont="1" applyFill="1" applyAlignment="1">
      <alignment horizontal="left" vertical="center"/>
    </xf>
    <xf numFmtId="0" fontId="15" fillId="0" borderId="22"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29" borderId="84" xfId="0" applyFont="1" applyFill="1" applyBorder="1" applyAlignment="1">
      <alignment horizontal="center"/>
    </xf>
    <xf numFmtId="0" fontId="15" fillId="29" borderId="20" xfId="0" applyFont="1" applyFill="1" applyBorder="1" applyAlignment="1">
      <alignment horizontal="center"/>
    </xf>
    <xf numFmtId="49" fontId="15" fillId="0" borderId="21" xfId="0" quotePrefix="1" applyNumberFormat="1" applyFont="1" applyBorder="1" applyAlignment="1">
      <alignment horizontal="center"/>
    </xf>
    <xf numFmtId="0" fontId="5" fillId="0" borderId="6" xfId="0" applyFont="1" applyBorder="1" applyAlignment="1">
      <alignment horizontal="center"/>
    </xf>
    <xf numFmtId="0" fontId="15" fillId="0" borderId="16" xfId="0" applyFont="1" applyBorder="1" applyAlignment="1">
      <alignment horizontal="center" vertical="center"/>
    </xf>
    <xf numFmtId="0" fontId="15" fillId="0" borderId="10" xfId="0" applyFont="1" applyBorder="1" applyAlignment="1">
      <alignment horizontal="center"/>
    </xf>
    <xf numFmtId="49" fontId="15" fillId="0" borderId="10" xfId="0" applyNumberFormat="1" applyFont="1" applyBorder="1" applyAlignment="1">
      <alignment horizontal="center"/>
    </xf>
    <xf numFmtId="49" fontId="15" fillId="0" borderId="12" xfId="0" quotePrefix="1" applyNumberFormat="1" applyFont="1" applyBorder="1" applyAlignment="1">
      <alignment horizontal="center" vertical="center"/>
    </xf>
    <xf numFmtId="0" fontId="5" fillId="0" borderId="10" xfId="0" applyFont="1" applyBorder="1" applyAlignment="1">
      <alignment horizontal="center"/>
    </xf>
    <xf numFmtId="9" fontId="5" fillId="0" borderId="10" xfId="256" applyFont="1" applyBorder="1" applyAlignment="1">
      <alignment horizontal="center"/>
    </xf>
    <xf numFmtId="9" fontId="5" fillId="30" borderId="12" xfId="256" applyFont="1" applyFill="1" applyBorder="1" applyAlignment="1">
      <alignment horizontal="center"/>
    </xf>
    <xf numFmtId="0" fontId="5" fillId="0" borderId="13" xfId="0" applyFont="1" applyBorder="1" applyAlignment="1">
      <alignment horizontal="center"/>
    </xf>
    <xf numFmtId="0" fontId="5" fillId="0" borderId="18" xfId="0" applyFont="1" applyBorder="1" applyAlignment="1">
      <alignment horizontal="center"/>
    </xf>
    <xf numFmtId="9" fontId="5" fillId="0" borderId="18" xfId="256" applyFont="1" applyBorder="1" applyAlignment="1">
      <alignment horizontal="center"/>
    </xf>
    <xf numFmtId="9" fontId="5" fillId="30" borderId="15" xfId="256" applyFont="1" applyFill="1" applyBorder="1" applyAlignment="1">
      <alignment horizontal="center"/>
    </xf>
    <xf numFmtId="0" fontId="5" fillId="0" borderId="0" xfId="0" applyFont="1" applyAlignment="1">
      <alignment horizontal="right"/>
    </xf>
    <xf numFmtId="0" fontId="5" fillId="0" borderId="0" xfId="0" applyFont="1" applyAlignment="1">
      <alignment horizontal="center"/>
    </xf>
    <xf numFmtId="49" fontId="15" fillId="0" borderId="20" xfId="0" applyNumberFormat="1" applyFont="1" applyBorder="1" applyAlignment="1">
      <alignment horizontal="center"/>
    </xf>
    <xf numFmtId="0" fontId="5" fillId="0" borderId="12" xfId="0" applyFont="1" applyBorder="1" applyAlignment="1">
      <alignment horizontal="center"/>
    </xf>
    <xf numFmtId="0" fontId="5" fillId="30" borderId="15" xfId="0" applyFont="1" applyFill="1" applyBorder="1" applyAlignment="1">
      <alignment horizontal="center"/>
    </xf>
    <xf numFmtId="0" fontId="5" fillId="30" borderId="0" xfId="0" applyFont="1" applyFill="1"/>
    <xf numFmtId="49" fontId="15" fillId="0" borderId="21" xfId="0" applyNumberFormat="1" applyFont="1" applyBorder="1" applyAlignment="1">
      <alignment horizontal="center"/>
    </xf>
    <xf numFmtId="0" fontId="5" fillId="27" borderId="12" xfId="0" applyFont="1" applyFill="1" applyBorder="1" applyAlignment="1">
      <alignment horizontal="center"/>
    </xf>
    <xf numFmtId="0" fontId="5" fillId="26" borderId="12" xfId="0" applyFont="1" applyFill="1" applyBorder="1" applyAlignment="1">
      <alignment horizontal="center"/>
    </xf>
    <xf numFmtId="0" fontId="5" fillId="26" borderId="15" xfId="0" applyFont="1" applyFill="1" applyBorder="1" applyAlignment="1">
      <alignment horizontal="center"/>
    </xf>
    <xf numFmtId="49" fontId="15" fillId="0" borderId="20" xfId="0" applyNumberFormat="1" applyFont="1" applyBorder="1" applyAlignment="1">
      <alignment horizontal="center" vertical="center"/>
    </xf>
    <xf numFmtId="0" fontId="5" fillId="26" borderId="10" xfId="0" applyFont="1" applyFill="1" applyBorder="1"/>
    <xf numFmtId="0" fontId="5" fillId="26" borderId="18" xfId="0" applyFont="1" applyFill="1" applyBorder="1"/>
    <xf numFmtId="0" fontId="15" fillId="0" borderId="0" xfId="0" applyFont="1"/>
    <xf numFmtId="0" fontId="5" fillId="29" borderId="6" xfId="0" applyFont="1" applyFill="1" applyBorder="1" applyAlignment="1">
      <alignment horizontal="center" vertical="center"/>
    </xf>
    <xf numFmtId="0" fontId="5" fillId="29" borderId="10" xfId="0" applyFont="1" applyFill="1" applyBorder="1" applyAlignment="1">
      <alignment horizontal="center" vertical="center"/>
    </xf>
    <xf numFmtId="0" fontId="159" fillId="0" borderId="0" xfId="0" applyFont="1"/>
    <xf numFmtId="0" fontId="5" fillId="27" borderId="10" xfId="0" applyFont="1" applyFill="1" applyBorder="1"/>
    <xf numFmtId="0" fontId="5" fillId="0" borderId="0" xfId="0" applyFont="1" applyAlignment="1">
      <alignment horizontal="center" vertical="center"/>
    </xf>
    <xf numFmtId="0" fontId="158" fillId="0" borderId="4" xfId="62" applyFont="1" applyBorder="1" applyAlignment="1">
      <alignment vertical="center" wrapText="1"/>
    </xf>
    <xf numFmtId="195" fontId="165" fillId="0" borderId="82" xfId="189" applyNumberFormat="1" applyFont="1" applyFill="1" applyBorder="1" applyAlignment="1" applyProtection="1">
      <alignment horizontal="center" vertical="center" wrapText="1"/>
    </xf>
    <xf numFmtId="190" fontId="165" fillId="0" borderId="306" xfId="189" applyNumberFormat="1" applyFont="1" applyFill="1" applyBorder="1" applyAlignment="1" applyProtection="1">
      <alignment horizontal="center" vertical="center" wrapText="1"/>
    </xf>
    <xf numFmtId="0" fontId="115" fillId="0" borderId="384" xfId="62" applyFont="1" applyBorder="1" applyAlignment="1">
      <alignment horizontal="center" vertical="center" wrapText="1"/>
    </xf>
    <xf numFmtId="0" fontId="115" fillId="9" borderId="385" xfId="62" applyFont="1" applyFill="1" applyBorder="1" applyAlignment="1" applyProtection="1">
      <alignment horizontal="left" vertical="center" wrapText="1"/>
      <protection locked="0"/>
    </xf>
    <xf numFmtId="190" fontId="115" fillId="12" borderId="385" xfId="189" applyNumberFormat="1" applyFont="1" applyFill="1" applyBorder="1" applyAlignment="1" applyProtection="1">
      <alignment horizontal="center" vertical="center" wrapText="1"/>
      <protection locked="0"/>
    </xf>
    <xf numFmtId="195" fontId="115" fillId="9" borderId="385" xfId="189" applyNumberFormat="1" applyFont="1" applyFill="1" applyBorder="1" applyAlignment="1" applyProtection="1">
      <alignment horizontal="center" vertical="center" wrapText="1"/>
    </xf>
    <xf numFmtId="190" fontId="115" fillId="9" borderId="385" xfId="189" applyNumberFormat="1" applyFont="1" applyFill="1" applyBorder="1" applyAlignment="1" applyProtection="1">
      <alignment horizontal="center" vertical="center" wrapText="1"/>
    </xf>
    <xf numFmtId="0" fontId="165" fillId="0" borderId="309" xfId="62" applyFont="1" applyBorder="1" applyAlignment="1">
      <alignment horizontal="center" vertical="center" wrapText="1"/>
    </xf>
    <xf numFmtId="0" fontId="158" fillId="0" borderId="83" xfId="62" applyFont="1" applyBorder="1" applyAlignment="1">
      <alignment horizontal="center" vertical="center" wrapText="1"/>
    </xf>
    <xf numFmtId="0" fontId="115" fillId="0" borderId="76" xfId="62" applyFont="1" applyBorder="1" applyAlignment="1" applyProtection="1">
      <alignment horizontal="left" vertical="center" wrapText="1"/>
      <protection locked="0"/>
    </xf>
    <xf numFmtId="0" fontId="158" fillId="0" borderId="386" xfId="62" applyFont="1" applyBorder="1" applyAlignment="1">
      <alignment vertical="center" wrapText="1"/>
    </xf>
    <xf numFmtId="179" fontId="170" fillId="0" borderId="205" xfId="132" applyNumberFormat="1" applyFont="1" applyFill="1" applyBorder="1" applyAlignment="1" applyProtection="1">
      <alignment horizontal="center" vertical="center" wrapText="1"/>
      <protection locked="0"/>
    </xf>
    <xf numFmtId="182" fontId="5" fillId="0" borderId="0" xfId="61" applyNumberFormat="1" applyFont="1" applyAlignment="1">
      <alignment horizontal="center" vertical="center" wrapText="1"/>
    </xf>
    <xf numFmtId="182" fontId="15" fillId="0" borderId="10" xfId="63" applyNumberFormat="1" applyFont="1" applyBorder="1" applyAlignment="1">
      <alignment horizontal="center" vertical="center" wrapText="1"/>
    </xf>
    <xf numFmtId="49" fontId="15" fillId="0" borderId="10" xfId="63" applyNumberFormat="1" applyFont="1" applyBorder="1" applyAlignment="1">
      <alignment horizontal="center" vertical="center" wrapText="1"/>
    </xf>
    <xf numFmtId="182" fontId="5" fillId="5" borderId="76" xfId="63" applyNumberFormat="1" applyFont="1" applyFill="1" applyBorder="1" applyAlignment="1">
      <alignment horizontal="center" vertical="center" wrapText="1"/>
    </xf>
    <xf numFmtId="182" fontId="5"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xf>
    <xf numFmtId="180" fontId="5" fillId="5" borderId="25" xfId="63" applyNumberFormat="1" applyFont="1" applyFill="1" applyBorder="1" applyAlignment="1">
      <alignment horizontal="center" vertical="center" wrapText="1"/>
    </xf>
    <xf numFmtId="182" fontId="171"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shrinkToFit="1"/>
    </xf>
    <xf numFmtId="182" fontId="172" fillId="5" borderId="25" xfId="63" applyNumberFormat="1" applyFont="1" applyFill="1" applyBorder="1" applyAlignment="1">
      <alignment horizontal="center" vertical="center" wrapText="1"/>
    </xf>
    <xf numFmtId="190" fontId="5" fillId="5" borderId="25" xfId="242" applyNumberFormat="1" applyFont="1" applyFill="1" applyBorder="1" applyAlignment="1" applyProtection="1">
      <alignment horizontal="center" vertical="center" wrapText="1"/>
    </xf>
    <xf numFmtId="182" fontId="5" fillId="5" borderId="25" xfId="81" applyNumberFormat="1" applyFont="1" applyFill="1" applyBorder="1" applyAlignment="1">
      <alignment horizontal="center" vertical="center" wrapText="1"/>
    </xf>
    <xf numFmtId="182" fontId="5" fillId="0" borderId="25" xfId="81" applyNumberFormat="1" applyFont="1" applyBorder="1" applyAlignment="1">
      <alignment horizontal="center" vertical="center" wrapText="1"/>
    </xf>
    <xf numFmtId="184" fontId="5" fillId="0" borderId="25" xfId="81" applyNumberFormat="1" applyFont="1" applyBorder="1" applyAlignment="1">
      <alignment horizontal="center" vertical="center" wrapText="1"/>
    </xf>
    <xf numFmtId="0" fontId="5" fillId="5" borderId="25" xfId="63" applyFont="1" applyFill="1" applyBorder="1" applyAlignment="1" applyProtection="1">
      <alignment horizontal="center" vertical="center" wrapText="1"/>
      <protection locked="0"/>
    </xf>
    <xf numFmtId="0" fontId="5" fillId="5" borderId="25" xfId="81" applyFont="1" applyFill="1" applyBorder="1" applyAlignment="1">
      <alignment vertical="center" wrapText="1"/>
    </xf>
    <xf numFmtId="182" fontId="5" fillId="0" borderId="205" xfId="81" applyNumberFormat="1" applyFont="1" applyBorder="1" applyAlignment="1">
      <alignment horizontal="center" vertical="center" wrapText="1"/>
    </xf>
    <xf numFmtId="182" fontId="15" fillId="7" borderId="20" xfId="63" applyNumberFormat="1" applyFont="1" applyFill="1" applyBorder="1" applyAlignment="1">
      <alignment horizontal="center" vertical="center" wrapText="1"/>
    </xf>
    <xf numFmtId="0" fontId="5" fillId="0" borderId="0" xfId="63" applyFont="1" applyAlignment="1">
      <alignment horizontal="left" vertical="top"/>
    </xf>
    <xf numFmtId="0" fontId="5" fillId="0" borderId="0" xfId="63" applyFont="1" applyAlignment="1">
      <alignment vertical="center"/>
    </xf>
    <xf numFmtId="182" fontId="5" fillId="0" borderId="0" xfId="63" applyNumberFormat="1" applyFont="1" applyAlignment="1">
      <alignment horizontal="center" vertical="center"/>
    </xf>
    <xf numFmtId="182" fontId="5" fillId="0" borderId="0" xfId="63" applyNumberFormat="1" applyFont="1" applyAlignment="1">
      <alignment horizontal="center" vertical="center" wrapText="1"/>
    </xf>
    <xf numFmtId="190" fontId="174" fillId="0" borderId="25" xfId="242" applyNumberFormat="1" applyFont="1" applyFill="1" applyBorder="1" applyAlignment="1" applyProtection="1">
      <alignment horizontal="center" vertical="center" wrapText="1"/>
    </xf>
    <xf numFmtId="0" fontId="115" fillId="6" borderId="10" xfId="0" applyFont="1" applyFill="1" applyBorder="1" applyAlignment="1">
      <alignment horizontal="center" vertical="center" wrapText="1"/>
    </xf>
    <xf numFmtId="0" fontId="115" fillId="6" borderId="23" xfId="0" applyFont="1" applyFill="1" applyBorder="1" applyAlignment="1">
      <alignment horizontal="center" vertical="center" wrapText="1"/>
    </xf>
    <xf numFmtId="0" fontId="173" fillId="6" borderId="84" xfId="0" applyFont="1" applyFill="1" applyBorder="1" applyAlignment="1">
      <alignment horizontal="center" vertical="center" wrapText="1"/>
    </xf>
    <xf numFmtId="184" fontId="177" fillId="5" borderId="76" xfId="81" applyNumberFormat="1" applyFont="1" applyFill="1" applyBorder="1" applyAlignment="1">
      <alignment vertical="center" wrapText="1"/>
    </xf>
    <xf numFmtId="184" fontId="177" fillId="0" borderId="25" xfId="81" applyNumberFormat="1" applyFont="1" applyBorder="1" applyAlignment="1">
      <alignment horizontal="center" vertical="center" wrapText="1"/>
    </xf>
    <xf numFmtId="184" fontId="177" fillId="5" borderId="25" xfId="81" applyNumberFormat="1" applyFont="1" applyFill="1" applyBorder="1" applyAlignment="1">
      <alignment horizontal="center" vertical="center" wrapText="1"/>
    </xf>
    <xf numFmtId="184" fontId="177" fillId="0" borderId="25" xfId="81" applyNumberFormat="1" applyFont="1" applyBorder="1" applyAlignment="1">
      <alignment horizontal="center" vertical="center"/>
    </xf>
    <xf numFmtId="190" fontId="177" fillId="5" borderId="25" xfId="242" applyNumberFormat="1" applyFont="1" applyFill="1" applyBorder="1" applyAlignment="1" applyProtection="1">
      <alignment horizontal="center" vertical="center" wrapText="1"/>
    </xf>
    <xf numFmtId="184" fontId="177" fillId="5" borderId="25" xfId="81" applyNumberFormat="1" applyFont="1" applyFill="1" applyBorder="1" applyAlignment="1">
      <alignment horizontal="center" vertical="center"/>
    </xf>
    <xf numFmtId="0" fontId="177" fillId="5" borderId="25" xfId="81" applyFont="1" applyFill="1" applyBorder="1" applyAlignment="1">
      <alignment vertical="center" wrapText="1"/>
    </xf>
    <xf numFmtId="184" fontId="178" fillId="5" borderId="25" xfId="81" applyNumberFormat="1" applyFont="1" applyFill="1" applyBorder="1" applyAlignment="1">
      <alignment horizontal="center" vertical="center" wrapText="1"/>
    </xf>
    <xf numFmtId="184" fontId="177" fillId="5" borderId="25" xfId="81" quotePrefix="1" applyNumberFormat="1" applyFont="1" applyFill="1" applyBorder="1" applyAlignment="1">
      <alignment horizontal="center" vertical="center" wrapText="1"/>
    </xf>
    <xf numFmtId="201" fontId="173" fillId="0" borderId="10" xfId="81" applyNumberFormat="1" applyFont="1" applyBorder="1" applyAlignment="1">
      <alignment horizontal="center" vertical="center" wrapText="1"/>
    </xf>
    <xf numFmtId="0" fontId="173" fillId="0" borderId="25" xfId="81" applyFont="1" applyBorder="1" applyAlignment="1">
      <alignment horizontal="left" vertical="center" wrapText="1" indent="8"/>
    </xf>
    <xf numFmtId="0" fontId="173" fillId="0" borderId="25" xfId="81" applyFont="1" applyBorder="1" applyAlignment="1" applyProtection="1">
      <alignment horizontal="left" vertical="center" wrapText="1"/>
      <protection locked="0"/>
    </xf>
    <xf numFmtId="184" fontId="173" fillId="0" borderId="25" xfId="81" applyNumberFormat="1" applyFont="1" applyBorder="1" applyAlignment="1">
      <alignment horizontal="center" vertical="center"/>
    </xf>
    <xf numFmtId="190" fontId="174" fillId="5" borderId="25" xfId="242" applyNumberFormat="1" applyFont="1" applyFill="1" applyBorder="1" applyAlignment="1" applyProtection="1">
      <alignment horizontal="center" vertical="center" wrapText="1"/>
    </xf>
    <xf numFmtId="0" fontId="173" fillId="7" borderId="185" xfId="62" applyFont="1" applyFill="1" applyBorder="1" applyAlignment="1">
      <alignment horizontal="center" vertical="center" wrapText="1"/>
    </xf>
    <xf numFmtId="0" fontId="71" fillId="0" borderId="0" xfId="71" applyFont="1" applyAlignment="1">
      <alignment horizontal="left" vertical="top"/>
    </xf>
    <xf numFmtId="0" fontId="65" fillId="0" borderId="0" xfId="39" applyFont="1"/>
    <xf numFmtId="0" fontId="157" fillId="0" borderId="0" xfId="71" applyFont="1" applyAlignment="1">
      <alignment horizontal="left" vertical="top"/>
    </xf>
    <xf numFmtId="0" fontId="71" fillId="0" borderId="0" xfId="66" applyFont="1" applyAlignment="1">
      <alignment vertical="center"/>
    </xf>
    <xf numFmtId="0" fontId="15" fillId="13" borderId="91" xfId="25" applyFont="1" applyFill="1" applyBorder="1" applyAlignment="1">
      <alignment vertical="center" wrapText="1"/>
    </xf>
    <xf numFmtId="0" fontId="15" fillId="13" borderId="361" xfId="25" applyFont="1" applyFill="1" applyBorder="1" applyAlignment="1">
      <alignment vertical="center" wrapText="1"/>
    </xf>
    <xf numFmtId="0" fontId="180" fillId="5" borderId="167" xfId="25" applyFont="1" applyFill="1" applyBorder="1" applyAlignment="1">
      <alignment horizontal="center" vertical="center" wrapText="1"/>
    </xf>
    <xf numFmtId="0" fontId="180" fillId="5" borderId="316" xfId="25" quotePrefix="1" applyFont="1" applyFill="1" applyBorder="1" applyAlignment="1">
      <alignment horizontal="center" vertical="center" wrapText="1"/>
    </xf>
    <xf numFmtId="0" fontId="167" fillId="13" borderId="6" xfId="25" applyFont="1" applyFill="1" applyBorder="1">
      <alignment vertical="center"/>
    </xf>
    <xf numFmtId="179" fontId="165" fillId="8" borderId="10" xfId="207" applyNumberFormat="1" applyFont="1" applyFill="1" applyBorder="1">
      <alignment vertical="center"/>
    </xf>
    <xf numFmtId="179" fontId="165" fillId="8" borderId="12" xfId="207" applyNumberFormat="1" applyFont="1" applyFill="1" applyBorder="1">
      <alignment vertical="center"/>
    </xf>
    <xf numFmtId="0" fontId="167" fillId="13" borderId="10" xfId="25" applyFont="1" applyFill="1" applyBorder="1" applyAlignment="1">
      <alignment horizontal="center" vertical="center" wrapText="1"/>
    </xf>
    <xf numFmtId="216" fontId="165" fillId="0" borderId="331" xfId="207" applyNumberFormat="1" applyFont="1" applyFill="1" applyBorder="1" applyAlignment="1">
      <alignment horizontal="center" vertical="center"/>
    </xf>
    <xf numFmtId="216" fontId="167" fillId="13" borderId="348" xfId="207" applyNumberFormat="1" applyFont="1" applyFill="1" applyBorder="1">
      <alignment vertical="center"/>
    </xf>
    <xf numFmtId="216" fontId="167" fillId="13" borderId="348" xfId="207" applyNumberFormat="1" applyFont="1" applyFill="1" applyBorder="1" applyAlignment="1">
      <alignment vertical="center"/>
    </xf>
    <xf numFmtId="216" fontId="165" fillId="0" borderId="331" xfId="207" applyNumberFormat="1" applyFont="1" applyFill="1" applyBorder="1">
      <alignment vertical="center"/>
    </xf>
    <xf numFmtId="216" fontId="167" fillId="13" borderId="348" xfId="25" applyNumberFormat="1" applyFont="1" applyFill="1" applyBorder="1">
      <alignment vertical="center"/>
    </xf>
    <xf numFmtId="216" fontId="165" fillId="0" borderId="382" xfId="207" applyNumberFormat="1" applyFont="1" applyFill="1" applyBorder="1">
      <alignment vertical="center"/>
    </xf>
    <xf numFmtId="216" fontId="167" fillId="13" borderId="354" xfId="25" applyNumberFormat="1" applyFont="1" applyFill="1" applyBorder="1">
      <alignment vertical="center"/>
    </xf>
    <xf numFmtId="0" fontId="159" fillId="13" borderId="11" xfId="25" applyFont="1" applyFill="1" applyBorder="1" applyAlignment="1">
      <alignment horizontal="center" vertical="center"/>
    </xf>
    <xf numFmtId="0" fontId="159" fillId="13" borderId="10" xfId="25" applyFont="1" applyFill="1" applyBorder="1" applyAlignment="1">
      <alignment horizontal="center" vertical="center"/>
    </xf>
    <xf numFmtId="0" fontId="160" fillId="13" borderId="10" xfId="25" applyFont="1" applyFill="1" applyBorder="1" applyAlignment="1">
      <alignment horizontal="center" vertical="center"/>
    </xf>
    <xf numFmtId="0" fontId="159" fillId="13" borderId="12" xfId="25" applyFont="1" applyFill="1" applyBorder="1" applyAlignment="1">
      <alignment horizontal="center" vertical="center"/>
    </xf>
    <xf numFmtId="0" fontId="159" fillId="13" borderId="84" xfId="25" applyFont="1" applyFill="1" applyBorder="1" applyAlignment="1">
      <alignment horizontal="center" vertical="center"/>
    </xf>
    <xf numFmtId="179" fontId="177" fillId="8" borderId="20" xfId="207" applyNumberFormat="1" applyFont="1" applyFill="1" applyBorder="1" applyAlignment="1">
      <alignment horizontal="right" vertical="center"/>
    </xf>
    <xf numFmtId="179" fontId="177" fillId="25" borderId="10" xfId="132" applyNumberFormat="1" applyFont="1" applyFill="1" applyBorder="1" applyAlignment="1">
      <alignment horizontal="center" vertical="center"/>
    </xf>
    <xf numFmtId="179" fontId="177" fillId="8" borderId="328" xfId="207" applyNumberFormat="1" applyFont="1" applyFill="1" applyBorder="1" applyAlignment="1">
      <alignment horizontal="right" vertical="center"/>
    </xf>
    <xf numFmtId="0" fontId="159" fillId="13" borderId="6" xfId="25" applyFont="1" applyFill="1" applyBorder="1" applyAlignment="1">
      <alignment horizontal="center" vertical="center"/>
    </xf>
    <xf numFmtId="3" fontId="177" fillId="23" borderId="10" xfId="16" applyNumberFormat="1" applyFont="1" applyBorder="1" applyAlignment="1">
      <alignment horizontal="right"/>
    </xf>
    <xf numFmtId="179" fontId="177" fillId="8" borderId="11" xfId="207" applyNumberFormat="1" applyFont="1" applyFill="1" applyBorder="1" applyAlignment="1">
      <alignment horizontal="right" vertical="center"/>
    </xf>
    <xf numFmtId="179" fontId="177" fillId="8" borderId="10" xfId="207" applyNumberFormat="1" applyFont="1" applyFill="1" applyBorder="1" applyAlignment="1">
      <alignment horizontal="right" vertical="center"/>
    </xf>
    <xf numFmtId="179" fontId="177" fillId="8" borderId="12" xfId="207" applyNumberFormat="1" applyFont="1" applyFill="1" applyBorder="1" applyAlignment="1">
      <alignment horizontal="right" vertical="center"/>
    </xf>
    <xf numFmtId="179" fontId="177" fillId="8" borderId="329" xfId="207" applyNumberFormat="1" applyFont="1" applyFill="1" applyBorder="1" applyAlignment="1">
      <alignment horizontal="right" vertical="center"/>
    </xf>
    <xf numFmtId="179" fontId="177" fillId="8" borderId="73" xfId="207" applyNumberFormat="1" applyFont="1" applyFill="1" applyBorder="1" applyAlignment="1">
      <alignment horizontal="right" vertical="center"/>
    </xf>
    <xf numFmtId="0" fontId="159" fillId="13" borderId="88" xfId="25" applyFont="1" applyFill="1" applyBorder="1" applyAlignment="1">
      <alignment horizontal="center" vertical="center"/>
    </xf>
    <xf numFmtId="179" fontId="177" fillId="8" borderId="146" xfId="207" applyNumberFormat="1" applyFont="1" applyFill="1" applyBorder="1" applyAlignment="1">
      <alignment horizontal="right" vertical="center"/>
    </xf>
    <xf numFmtId="179" fontId="177" fillId="8" borderId="89" xfId="207" applyNumberFormat="1" applyFont="1" applyFill="1" applyBorder="1" applyAlignment="1">
      <alignment horizontal="right" vertical="center"/>
    </xf>
    <xf numFmtId="179" fontId="177" fillId="8" borderId="122" xfId="207" applyNumberFormat="1" applyFont="1" applyFill="1" applyBorder="1" applyAlignment="1">
      <alignment horizontal="right" vertical="center"/>
    </xf>
    <xf numFmtId="179" fontId="177" fillId="8" borderId="312" xfId="207" applyNumberFormat="1" applyFont="1" applyFill="1" applyBorder="1" applyAlignment="1">
      <alignment horizontal="right" vertical="center"/>
    </xf>
    <xf numFmtId="179" fontId="177" fillId="8" borderId="105" xfId="207" applyNumberFormat="1" applyFont="1" applyFill="1" applyBorder="1" applyAlignment="1">
      <alignment horizontal="right" vertical="center"/>
    </xf>
    <xf numFmtId="0" fontId="177" fillId="8" borderId="0" xfId="25" applyFont="1" applyFill="1">
      <alignment vertical="center"/>
    </xf>
    <xf numFmtId="14" fontId="184" fillId="8" borderId="0" xfId="25" applyNumberFormat="1" applyFont="1" applyFill="1" applyAlignment="1">
      <alignment horizontal="left" vertical="center"/>
    </xf>
    <xf numFmtId="0" fontId="185" fillId="8" borderId="0" xfId="25" applyFont="1" applyFill="1">
      <alignment vertical="center"/>
    </xf>
    <xf numFmtId="0" fontId="177" fillId="0" borderId="115" xfId="64" applyFont="1" applyBorder="1" applyAlignment="1">
      <alignment horizontal="left" vertical="center"/>
    </xf>
    <xf numFmtId="179" fontId="177" fillId="0" borderId="236" xfId="207" applyNumberFormat="1" applyFont="1" applyFill="1" applyBorder="1" applyAlignment="1" applyProtection="1">
      <alignment horizontal="center" vertical="center" wrapText="1"/>
      <protection locked="0"/>
    </xf>
    <xf numFmtId="211" fontId="177" fillId="0" borderId="123" xfId="59" applyNumberFormat="1" applyFont="1" applyBorder="1" applyAlignment="1">
      <alignment horizontal="center" vertical="center" wrapText="1"/>
    </xf>
    <xf numFmtId="179" fontId="177" fillId="0" borderId="121" xfId="207" applyNumberFormat="1" applyFont="1" applyFill="1" applyBorder="1" applyAlignment="1" applyProtection="1">
      <alignment horizontal="center" vertical="center" wrapText="1"/>
    </xf>
    <xf numFmtId="0" fontId="177" fillId="0" borderId="116" xfId="64" applyFont="1" applyBorder="1" applyAlignment="1">
      <alignment horizontal="left" vertical="center"/>
    </xf>
    <xf numFmtId="211" fontId="177" fillId="0" borderId="43" xfId="59" applyNumberFormat="1" applyFont="1" applyBorder="1" applyAlignment="1">
      <alignment horizontal="center" vertical="center" wrapText="1"/>
    </xf>
    <xf numFmtId="179" fontId="177" fillId="0" borderId="96" xfId="207" applyNumberFormat="1" applyFont="1" applyFill="1" applyBorder="1" applyAlignment="1" applyProtection="1">
      <alignment horizontal="center" vertical="center" wrapText="1"/>
    </xf>
    <xf numFmtId="179" fontId="177" fillId="0" borderId="203" xfId="207" applyNumberFormat="1" applyFont="1" applyFill="1" applyBorder="1" applyAlignment="1" applyProtection="1">
      <alignment horizontal="center" vertical="center" wrapText="1"/>
    </xf>
    <xf numFmtId="0" fontId="177" fillId="0" borderId="320" xfId="64" applyFont="1" applyBorder="1" applyAlignment="1">
      <alignment horizontal="left" vertical="center"/>
    </xf>
    <xf numFmtId="179" fontId="177" fillId="0" borderId="342" xfId="207" applyNumberFormat="1" applyFont="1" applyFill="1" applyBorder="1" applyAlignment="1" applyProtection="1">
      <alignment horizontal="center" vertical="center" wrapText="1"/>
      <protection locked="0"/>
    </xf>
    <xf numFmtId="211" fontId="177" fillId="9" borderId="237" xfId="59" applyNumberFormat="1" applyFont="1" applyFill="1" applyBorder="1" applyAlignment="1">
      <alignment horizontal="center" vertical="center" wrapText="1"/>
    </xf>
    <xf numFmtId="0" fontId="177" fillId="0" borderId="124" xfId="64" applyFont="1" applyBorder="1" applyAlignment="1">
      <alignment horizontal="left" vertical="center"/>
    </xf>
    <xf numFmtId="179" fontId="177" fillId="0" borderId="78" xfId="207" applyNumberFormat="1" applyFont="1" applyFill="1" applyBorder="1" applyAlignment="1" applyProtection="1">
      <alignment horizontal="center" vertical="center" wrapText="1"/>
      <protection locked="0"/>
    </xf>
    <xf numFmtId="211" fontId="177" fillId="9" borderId="321" xfId="59" applyNumberFormat="1" applyFont="1" applyFill="1" applyBorder="1" applyAlignment="1">
      <alignment horizontal="center" vertical="center" wrapText="1"/>
    </xf>
    <xf numFmtId="179" fontId="177" fillId="0" borderId="126" xfId="207" applyNumberFormat="1" applyFont="1" applyFill="1" applyBorder="1" applyAlignment="1" applyProtection="1">
      <alignment horizontal="center" vertical="center" wrapText="1"/>
    </xf>
    <xf numFmtId="0" fontId="177" fillId="0" borderId="81" xfId="64" applyFont="1" applyBorder="1" applyAlignment="1">
      <alignment horizontal="left" vertical="center"/>
    </xf>
    <xf numFmtId="179" fontId="177" fillId="0" borderId="117" xfId="207" applyNumberFormat="1" applyFont="1" applyFill="1" applyBorder="1" applyAlignment="1" applyProtection="1">
      <alignment horizontal="center" vertical="center" wrapText="1"/>
      <protection locked="0"/>
    </xf>
    <xf numFmtId="179" fontId="177" fillId="0" borderId="95" xfId="207" applyNumberFormat="1" applyFont="1" applyFill="1" applyBorder="1" applyAlignment="1" applyProtection="1">
      <alignment horizontal="center" vertical="center" wrapText="1"/>
      <protection locked="0"/>
    </xf>
    <xf numFmtId="0" fontId="177" fillId="0" borderId="292" xfId="64" applyFont="1" applyBorder="1" applyAlignment="1">
      <alignment horizontal="left" vertical="center"/>
    </xf>
    <xf numFmtId="179" fontId="177" fillId="0" borderId="54" xfId="207" applyNumberFormat="1" applyFont="1" applyFill="1" applyBorder="1" applyAlignment="1" applyProtection="1">
      <alignment horizontal="center" vertical="center" wrapText="1"/>
      <protection locked="0"/>
    </xf>
    <xf numFmtId="211" fontId="177" fillId="9" borderId="322" xfId="59" applyNumberFormat="1" applyFont="1" applyFill="1" applyBorder="1" applyAlignment="1">
      <alignment horizontal="center" vertical="center" wrapText="1"/>
    </xf>
    <xf numFmtId="179" fontId="177" fillId="0" borderId="207" xfId="207" applyNumberFormat="1" applyFont="1" applyFill="1" applyBorder="1" applyAlignment="1" applyProtection="1">
      <alignment horizontal="center" vertical="center" wrapText="1"/>
    </xf>
    <xf numFmtId="0" fontId="159" fillId="0" borderId="323" xfId="64" applyFont="1" applyBorder="1" applyAlignment="1">
      <alignment horizontal="left" vertical="center"/>
    </xf>
    <xf numFmtId="179" fontId="159" fillId="0" borderId="343" xfId="207" applyNumberFormat="1" applyFont="1" applyFill="1" applyBorder="1" applyAlignment="1" applyProtection="1">
      <alignment horizontal="center" vertical="center" wrapText="1"/>
      <protection locked="0"/>
    </xf>
    <xf numFmtId="211" fontId="177" fillId="9" borderId="324" xfId="59" applyNumberFormat="1" applyFont="1" applyFill="1" applyBorder="1" applyAlignment="1">
      <alignment horizontal="center" vertical="center" wrapText="1"/>
    </xf>
    <xf numFmtId="179" fontId="159" fillId="0" borderId="341" xfId="207" applyNumberFormat="1" applyFont="1" applyFill="1" applyBorder="1" applyAlignment="1" applyProtection="1">
      <alignment horizontal="center" vertical="center" wrapText="1"/>
    </xf>
    <xf numFmtId="0" fontId="159" fillId="0" borderId="178" xfId="64" applyFont="1" applyBorder="1" applyAlignment="1">
      <alignment horizontal="left" vertical="center"/>
    </xf>
    <xf numFmtId="179" fontId="159" fillId="0" borderId="105" xfId="207" applyNumberFormat="1" applyFont="1" applyFill="1" applyBorder="1" applyAlignment="1" applyProtection="1">
      <alignment horizontal="center" vertical="center" wrapText="1"/>
      <protection locked="0"/>
    </xf>
    <xf numFmtId="211" fontId="177" fillId="9" borderId="3" xfId="59" applyNumberFormat="1" applyFont="1" applyFill="1" applyBorder="1" applyAlignment="1">
      <alignment horizontal="center" vertical="center" wrapText="1"/>
    </xf>
    <xf numFmtId="179" fontId="159" fillId="0" borderId="112" xfId="207" applyNumberFormat="1" applyFont="1" applyFill="1" applyBorder="1" applyAlignment="1" applyProtection="1">
      <alignment horizontal="center" vertical="center" wrapText="1"/>
    </xf>
    <xf numFmtId="179" fontId="177" fillId="0" borderId="198" xfId="207" applyNumberFormat="1" applyFont="1" applyFill="1" applyBorder="1" applyAlignment="1" applyProtection="1">
      <alignment horizontal="center" vertical="center" wrapText="1"/>
      <protection locked="0"/>
    </xf>
    <xf numFmtId="179" fontId="177" fillId="0" borderId="344" xfId="207" applyNumberFormat="1" applyFont="1" applyFill="1" applyBorder="1" applyAlignment="1" applyProtection="1">
      <alignment horizontal="center" vertical="center" wrapText="1"/>
      <protection locked="0"/>
    </xf>
    <xf numFmtId="0" fontId="177" fillId="0" borderId="8" xfId="64" applyFont="1" applyBorder="1" applyAlignment="1">
      <alignment horizontal="left" vertical="center"/>
    </xf>
    <xf numFmtId="179" fontId="177" fillId="0" borderId="195" xfId="207" applyNumberFormat="1" applyFont="1" applyFill="1" applyBorder="1" applyAlignment="1" applyProtection="1">
      <alignment horizontal="center" vertical="center" wrapText="1"/>
      <protection locked="0"/>
    </xf>
    <xf numFmtId="211" fontId="177" fillId="0" borderId="39" xfId="59" applyNumberFormat="1" applyFont="1" applyBorder="1" applyAlignment="1">
      <alignment horizontal="center" vertical="center" wrapText="1"/>
    </xf>
    <xf numFmtId="179" fontId="177" fillId="0" borderId="93" xfId="207" applyNumberFormat="1" applyFont="1" applyFill="1" applyBorder="1" applyAlignment="1" applyProtection="1">
      <alignment horizontal="center" vertical="center" wrapText="1"/>
    </xf>
    <xf numFmtId="179" fontId="177" fillId="0" borderId="47" xfId="207" applyNumberFormat="1" applyFont="1" applyFill="1" applyBorder="1" applyAlignment="1" applyProtection="1">
      <alignment horizontal="center" vertical="center" wrapText="1"/>
      <protection locked="0"/>
    </xf>
    <xf numFmtId="0" fontId="186" fillId="0" borderId="9" xfId="63" applyFont="1" applyBorder="1" applyAlignment="1">
      <alignment horizontal="left" vertical="center" indent="4"/>
    </xf>
    <xf numFmtId="186" fontId="186" fillId="0" borderId="43" xfId="63" applyNumberFormat="1" applyFont="1" applyBorder="1" applyAlignment="1">
      <alignment horizontal="center" vertical="center"/>
    </xf>
    <xf numFmtId="0" fontId="166" fillId="0" borderId="0" xfId="81" applyFont="1" applyAlignment="1">
      <alignment horizontal="left" vertical="center"/>
    </xf>
    <xf numFmtId="0" fontId="187" fillId="0" borderId="0" xfId="0" applyFont="1" applyAlignment="1">
      <alignment horizontal="left" vertical="center"/>
    </xf>
    <xf numFmtId="0" fontId="179" fillId="13" borderId="16" xfId="25" applyFont="1" applyFill="1" applyBorder="1" applyAlignment="1">
      <alignment horizontal="center" vertical="center" wrapText="1"/>
    </xf>
    <xf numFmtId="0" fontId="188" fillId="0" borderId="0" xfId="58" applyFont="1" applyAlignment="1">
      <alignment horizontal="left" vertical="center"/>
    </xf>
    <xf numFmtId="191" fontId="165" fillId="0" borderId="10" xfId="117" applyNumberFormat="1" applyFont="1" applyBorder="1" applyAlignment="1">
      <alignment horizontal="left" vertical="center" wrapText="1"/>
    </xf>
    <xf numFmtId="0" fontId="177" fillId="0" borderId="0" xfId="122" applyFont="1"/>
    <xf numFmtId="0" fontId="177" fillId="0" borderId="0" xfId="119" applyFont="1" applyAlignment="1">
      <alignment wrapText="1"/>
    </xf>
    <xf numFmtId="0" fontId="177" fillId="0" borderId="0" xfId="117" applyFont="1" applyAlignment="1">
      <alignment horizontal="center" vertical="center" wrapText="1"/>
    </xf>
    <xf numFmtId="0" fontId="177" fillId="0" borderId="0" xfId="117" applyFont="1" applyAlignment="1">
      <alignment vertical="center" wrapText="1"/>
    </xf>
    <xf numFmtId="0" fontId="177" fillId="0" borderId="0" xfId="117" applyFont="1" applyAlignment="1">
      <alignment vertical="center"/>
    </xf>
    <xf numFmtId="0" fontId="159" fillId="0" borderId="10" xfId="117" applyFont="1" applyBorder="1" applyAlignment="1">
      <alignment horizontal="center" vertical="center" wrapText="1"/>
    </xf>
    <xf numFmtId="0" fontId="159" fillId="0" borderId="10" xfId="117" quotePrefix="1" applyFont="1" applyBorder="1" applyAlignment="1">
      <alignment horizontal="center" vertical="center" wrapText="1"/>
    </xf>
    <xf numFmtId="191" fontId="177" fillId="0" borderId="10" xfId="117" applyNumberFormat="1" applyFont="1" applyBorder="1" applyAlignment="1">
      <alignment horizontal="center" vertical="center" wrapText="1"/>
    </xf>
    <xf numFmtId="191" fontId="177" fillId="0" borderId="10" xfId="117" applyNumberFormat="1" applyFont="1" applyBorder="1" applyAlignment="1">
      <alignment horizontal="left" vertical="center" wrapText="1"/>
    </xf>
    <xf numFmtId="191" fontId="177" fillId="0" borderId="10" xfId="117" quotePrefix="1" applyNumberFormat="1" applyFont="1" applyBorder="1" applyAlignment="1" applyProtection="1">
      <alignment horizontal="center" vertical="center" wrapText="1"/>
      <protection locked="0"/>
    </xf>
    <xf numFmtId="191" fontId="177" fillId="0" borderId="10" xfId="0" applyNumberFormat="1" applyFont="1" applyBorder="1" applyAlignment="1">
      <alignment horizontal="center" vertical="center" wrapText="1"/>
    </xf>
    <xf numFmtId="191" fontId="177" fillId="0" borderId="10" xfId="117" applyNumberFormat="1" applyFont="1" applyBorder="1" applyAlignment="1" applyProtection="1">
      <alignment horizontal="left" vertical="center" wrapText="1"/>
      <protection locked="0"/>
    </xf>
    <xf numFmtId="191" fontId="177" fillId="0" borderId="10" xfId="117" quotePrefix="1" applyNumberFormat="1" applyFont="1" applyBorder="1" applyAlignment="1" applyProtection="1">
      <alignment horizontal="left" vertical="center" wrapText="1"/>
      <protection locked="0"/>
    </xf>
    <xf numFmtId="191" fontId="177" fillId="0" borderId="10" xfId="117" applyNumberFormat="1" applyFont="1" applyBorder="1" applyAlignment="1" applyProtection="1">
      <alignment horizontal="center" vertical="center" wrapText="1"/>
      <protection locked="0"/>
    </xf>
    <xf numFmtId="0" fontId="177" fillId="0" borderId="10" xfId="117" applyFont="1" applyBorder="1" applyAlignment="1">
      <alignment horizontal="left" vertical="center" wrapText="1"/>
    </xf>
    <xf numFmtId="0" fontId="177" fillId="0" borderId="10" xfId="75" applyFont="1" applyBorder="1" applyAlignment="1">
      <alignment vertical="center" wrapText="1"/>
    </xf>
    <xf numFmtId="0" fontId="177" fillId="0" borderId="10" xfId="117" applyFont="1" applyBorder="1" applyAlignment="1">
      <alignment vertical="center" wrapText="1"/>
    </xf>
    <xf numFmtId="0" fontId="177" fillId="0" borderId="10" xfId="103" applyFont="1" applyBorder="1" applyAlignment="1">
      <alignment vertical="center" wrapText="1"/>
    </xf>
    <xf numFmtId="0" fontId="177" fillId="0" borderId="10" xfId="0" applyFont="1" applyBorder="1" applyAlignment="1">
      <alignment horizontal="left" vertical="center" wrapText="1"/>
    </xf>
    <xf numFmtId="191" fontId="177" fillId="0" borderId="10" xfId="0" quotePrefix="1" applyNumberFormat="1" applyFont="1" applyBorder="1" applyAlignment="1" applyProtection="1">
      <alignment horizontal="center" vertical="center" wrapText="1"/>
      <protection locked="0"/>
    </xf>
    <xf numFmtId="0" fontId="177" fillId="0" borderId="10" xfId="0" applyFont="1" applyBorder="1" applyAlignment="1">
      <alignment horizontal="center" vertical="center" wrapText="1"/>
    </xf>
    <xf numFmtId="0" fontId="177" fillId="0" borderId="10" xfId="80" applyFont="1" applyBorder="1" applyAlignment="1">
      <alignment wrapText="1"/>
    </xf>
    <xf numFmtId="0" fontId="177" fillId="0" borderId="10" xfId="80" applyFont="1" applyBorder="1" applyAlignment="1">
      <alignment vertical="center" wrapText="1"/>
    </xf>
    <xf numFmtId="0" fontId="177" fillId="0" borderId="10" xfId="0" applyFont="1" applyBorder="1" applyAlignment="1">
      <alignment horizontal="left" vertical="center"/>
    </xf>
    <xf numFmtId="0" fontId="177" fillId="0" borderId="0" xfId="0" applyFont="1" applyAlignment="1">
      <alignment horizontal="left" vertical="center"/>
    </xf>
    <xf numFmtId="191" fontId="177" fillId="0" borderId="10" xfId="116" applyNumberFormat="1" applyFont="1" applyBorder="1" applyAlignment="1">
      <alignment horizontal="center" vertical="center" wrapText="1"/>
    </xf>
    <xf numFmtId="191" fontId="177" fillId="0" borderId="23" xfId="117" applyNumberFormat="1" applyFont="1" applyBorder="1" applyAlignment="1">
      <alignment horizontal="left" vertical="center" wrapText="1"/>
    </xf>
    <xf numFmtId="0" fontId="177" fillId="0" borderId="10" xfId="0" applyFont="1" applyBorder="1" applyAlignment="1">
      <alignment horizontal="justify" vertical="center" wrapText="1"/>
    </xf>
    <xf numFmtId="191" fontId="177" fillId="0" borderId="11" xfId="117" quotePrefix="1" applyNumberFormat="1" applyFont="1" applyBorder="1" applyAlignment="1" applyProtection="1">
      <alignment horizontal="center" vertical="center" wrapText="1"/>
      <protection locked="0"/>
    </xf>
    <xf numFmtId="191" fontId="177" fillId="0" borderId="20" xfId="117" applyNumberFormat="1" applyFont="1" applyBorder="1" applyAlignment="1">
      <alignment horizontal="left" vertical="center" wrapText="1"/>
    </xf>
    <xf numFmtId="191" fontId="177" fillId="0" borderId="10" xfId="0" applyNumberFormat="1" applyFont="1" applyBorder="1" applyAlignment="1" applyProtection="1">
      <alignment horizontal="center" vertical="center" wrapText="1"/>
      <protection locked="0"/>
    </xf>
    <xf numFmtId="191" fontId="177" fillId="0" borderId="1" xfId="0" applyNumberFormat="1" applyFont="1" applyBorder="1" applyAlignment="1">
      <alignment horizontal="center" vertical="center" wrapText="1"/>
    </xf>
    <xf numFmtId="0" fontId="177" fillId="0" borderId="0" xfId="117" applyFont="1" applyAlignment="1" applyProtection="1">
      <alignment horizontal="center" vertical="center" wrapText="1"/>
      <protection locked="0"/>
    </xf>
    <xf numFmtId="191" fontId="177" fillId="0" borderId="0" xfId="117" applyNumberFormat="1" applyFont="1" applyAlignment="1">
      <alignment horizontal="center" vertical="center" wrapText="1"/>
    </xf>
    <xf numFmtId="0" fontId="177" fillId="0" borderId="0" xfId="117" applyFont="1" applyAlignment="1">
      <alignment horizontal="left" vertical="center"/>
    </xf>
    <xf numFmtId="0" fontId="177" fillId="0" borderId="0" xfId="0" applyFont="1"/>
    <xf numFmtId="0" fontId="177" fillId="0" borderId="116" xfId="63" applyFont="1" applyBorder="1" applyAlignment="1">
      <alignment horizontal="left" vertical="center" wrapText="1"/>
    </xf>
    <xf numFmtId="0" fontId="177" fillId="0" borderId="115" xfId="63" applyFont="1" applyBorder="1" applyAlignment="1">
      <alignment vertical="center" wrapText="1"/>
    </xf>
    <xf numFmtId="0" fontId="187" fillId="0" borderId="25" xfId="81" applyFont="1" applyBorder="1" applyAlignment="1" applyProtection="1">
      <alignment horizontal="left" vertical="center" wrapText="1"/>
      <protection locked="0"/>
    </xf>
    <xf numFmtId="0" fontId="165" fillId="0" borderId="0" xfId="81" applyFont="1" applyAlignment="1">
      <alignment horizontal="center" vertical="center"/>
    </xf>
    <xf numFmtId="185" fontId="165" fillId="0" borderId="0" xfId="81" applyNumberFormat="1" applyFont="1" applyAlignment="1"/>
    <xf numFmtId="0" fontId="190" fillId="0" borderId="25" xfId="63" applyFont="1" applyBorder="1" applyAlignment="1">
      <alignment horizontal="left" vertical="center" wrapText="1"/>
    </xf>
    <xf numFmtId="0" fontId="5" fillId="7" borderId="0" xfId="25" applyFont="1" applyFill="1" applyAlignment="1"/>
    <xf numFmtId="0" fontId="5" fillId="8" borderId="0" xfId="25" applyFont="1" applyFill="1" applyAlignment="1"/>
    <xf numFmtId="0" fontId="5" fillId="8" borderId="0" xfId="25" applyFont="1" applyFill="1" applyAlignment="1">
      <alignment horizontal="center"/>
    </xf>
    <xf numFmtId="0" fontId="15" fillId="8" borderId="0" xfId="25" applyFont="1" applyFill="1" applyAlignment="1">
      <alignment horizontal="center"/>
    </xf>
    <xf numFmtId="0" fontId="5" fillId="0" borderId="0" xfId="25" applyFont="1" applyAlignment="1"/>
    <xf numFmtId="219" fontId="5" fillId="8" borderId="0" xfId="258" applyNumberFormat="1" applyFont="1" applyFill="1"/>
    <xf numFmtId="219" fontId="15" fillId="8" borderId="0" xfId="25" applyNumberFormat="1" applyFont="1" applyFill="1" applyAlignment="1"/>
    <xf numFmtId="219" fontId="5" fillId="8" borderId="0" xfId="25" applyNumberFormat="1" applyFont="1" applyFill="1" applyAlignment="1"/>
    <xf numFmtId="0" fontId="5" fillId="7" borderId="0" xfId="25" applyFont="1" applyFill="1">
      <alignment vertical="center"/>
    </xf>
    <xf numFmtId="226" fontId="5" fillId="8" borderId="0" xfId="258" applyNumberFormat="1" applyFont="1" applyFill="1"/>
    <xf numFmtId="226" fontId="15" fillId="8" borderId="0" xfId="25" applyNumberFormat="1" applyFont="1" applyFill="1" applyAlignment="1"/>
    <xf numFmtId="226" fontId="5" fillId="8" borderId="0" xfId="25" applyNumberFormat="1" applyFont="1" applyFill="1">
      <alignment vertical="center"/>
    </xf>
    <xf numFmtId="226" fontId="5" fillId="8" borderId="0" xfId="25" applyNumberFormat="1" applyFont="1" applyFill="1" applyAlignment="1">
      <alignment horizontal="center"/>
    </xf>
    <xf numFmtId="226" fontId="15" fillId="8" borderId="0" xfId="25" applyNumberFormat="1" applyFont="1" applyFill="1" applyAlignment="1">
      <alignment horizontal="center"/>
    </xf>
    <xf numFmtId="0" fontId="5" fillId="7" borderId="0" xfId="25" applyFont="1" applyFill="1" applyAlignment="1">
      <alignment horizontal="center"/>
    </xf>
    <xf numFmtId="185" fontId="5" fillId="8" borderId="0" xfId="25" applyNumberFormat="1" applyFont="1" applyFill="1" applyAlignment="1">
      <alignment horizontal="center"/>
    </xf>
    <xf numFmtId="0" fontId="5" fillId="0" borderId="0" xfId="25" applyFont="1" applyAlignment="1">
      <alignment horizontal="center"/>
    </xf>
    <xf numFmtId="185" fontId="5" fillId="8" borderId="0" xfId="25" applyNumberFormat="1" applyFont="1" applyFill="1" applyAlignment="1"/>
    <xf numFmtId="0" fontId="13" fillId="0" borderId="0" xfId="0" applyFont="1"/>
    <xf numFmtId="0" fontId="13" fillId="0" borderId="0" xfId="58" applyFont="1" applyAlignment="1">
      <alignment horizontal="left" vertical="center"/>
    </xf>
    <xf numFmtId="0" fontId="13" fillId="0" borderId="0" xfId="58" applyFont="1" applyAlignment="1">
      <alignment horizontal="center" vertical="center"/>
    </xf>
    <xf numFmtId="0" fontId="13" fillId="0" borderId="0" xfId="62" applyFont="1" applyAlignment="1">
      <alignment horizontal="left" vertical="center"/>
    </xf>
    <xf numFmtId="0" fontId="13" fillId="0" borderId="10" xfId="62" applyFont="1" applyBorder="1" applyAlignment="1">
      <alignment horizontal="center" vertical="center" wrapText="1"/>
    </xf>
    <xf numFmtId="0" fontId="5" fillId="0" borderId="10" xfId="0" quotePrefix="1" applyFont="1" applyBorder="1" applyAlignment="1">
      <alignment horizontal="center"/>
    </xf>
    <xf numFmtId="0" fontId="44" fillId="0" borderId="10" xfId="71" quotePrefix="1" applyFont="1" applyBorder="1" applyAlignment="1">
      <alignment horizontal="center" vertical="center"/>
    </xf>
    <xf numFmtId="43" fontId="13" fillId="0" borderId="10" xfId="132" applyFont="1" applyBorder="1" applyAlignment="1">
      <alignment horizontal="center"/>
    </xf>
    <xf numFmtId="0" fontId="54" fillId="0" borderId="0" xfId="0" applyFont="1"/>
    <xf numFmtId="0" fontId="13" fillId="0" borderId="0" xfId="62" applyFont="1" applyAlignment="1">
      <alignment horizontal="left" vertical="center" wrapText="1"/>
    </xf>
    <xf numFmtId="0" fontId="13" fillId="0" borderId="0" xfId="0" applyFont="1" applyAlignment="1">
      <alignment horizontal="center"/>
    </xf>
    <xf numFmtId="0" fontId="13" fillId="0" borderId="10" xfId="0" applyFont="1" applyBorder="1" applyAlignment="1">
      <alignment horizontal="center" vertical="center"/>
    </xf>
    <xf numFmtId="179" fontId="5" fillId="0" borderId="10" xfId="132" applyNumberFormat="1" applyFont="1" applyBorder="1" applyAlignment="1" applyProtection="1">
      <alignment horizontal="center" vertical="center" wrapText="1"/>
    </xf>
    <xf numFmtId="9" fontId="5" fillId="0" borderId="10" xfId="253" applyFont="1" applyBorder="1" applyAlignment="1" applyProtection="1">
      <alignment horizontal="center" vertical="center" wrapText="1"/>
    </xf>
    <xf numFmtId="0" fontId="37" fillId="0" borderId="63" xfId="63" applyFont="1" applyBorder="1" applyAlignment="1">
      <alignment horizontal="center" vertical="center"/>
    </xf>
    <xf numFmtId="0" fontId="37" fillId="0" borderId="208" xfId="63" applyFont="1" applyBorder="1" applyAlignment="1">
      <alignment horizontal="center" vertical="center"/>
    </xf>
    <xf numFmtId="0" fontId="192" fillId="0" borderId="209" xfId="63" applyFont="1" applyBorder="1" applyAlignment="1">
      <alignment horizontal="center" vertical="center"/>
    </xf>
    <xf numFmtId="0" fontId="37" fillId="0" borderId="210" xfId="63" applyFont="1" applyBorder="1" applyAlignment="1">
      <alignment horizontal="left" vertical="center" indent="1"/>
    </xf>
    <xf numFmtId="183" fontId="37" fillId="0" borderId="117" xfId="63" applyNumberFormat="1" applyFont="1" applyBorder="1" applyAlignment="1">
      <alignment horizontal="center" vertical="center"/>
    </xf>
    <xf numFmtId="10" fontId="37" fillId="0" borderId="195" xfId="63" applyNumberFormat="1" applyFont="1" applyBorder="1" applyAlignment="1">
      <alignment horizontal="center" vertical="center"/>
    </xf>
    <xf numFmtId="182" fontId="37" fillId="0" borderId="211" xfId="63" applyNumberFormat="1" applyFont="1" applyBorder="1" applyAlignment="1">
      <alignment horizontal="center" vertical="center"/>
    </xf>
    <xf numFmtId="183" fontId="37" fillId="0" borderId="95" xfId="63" applyNumberFormat="1" applyFont="1" applyBorder="1" applyAlignment="1">
      <alignment horizontal="center" vertical="center"/>
    </xf>
    <xf numFmtId="10" fontId="37" fillId="0" borderId="198" xfId="63" applyNumberFormat="1" applyFont="1" applyBorder="1" applyAlignment="1">
      <alignment horizontal="center" vertical="center"/>
    </xf>
    <xf numFmtId="182" fontId="37" fillId="0" borderId="212" xfId="63" applyNumberFormat="1" applyFont="1" applyBorder="1" applyAlignment="1">
      <alignment horizontal="center" vertical="center"/>
    </xf>
    <xf numFmtId="0" fontId="37" fillId="0" borderId="213" xfId="63" applyFont="1" applyBorder="1" applyAlignment="1">
      <alignment horizontal="left" vertical="center" indent="1"/>
    </xf>
    <xf numFmtId="183" fontId="37" fillId="0" borderId="214" xfId="63" applyNumberFormat="1" applyFont="1" applyBorder="1" applyAlignment="1">
      <alignment horizontal="center" vertical="center"/>
    </xf>
    <xf numFmtId="0" fontId="37" fillId="5" borderId="215" xfId="63" applyFont="1" applyFill="1" applyBorder="1" applyAlignment="1">
      <alignment horizontal="center" vertical="center"/>
    </xf>
    <xf numFmtId="182" fontId="37" fillId="0" borderId="216" xfId="63" applyNumberFormat="1" applyFont="1" applyBorder="1" applyAlignment="1">
      <alignment horizontal="center" vertical="center"/>
    </xf>
    <xf numFmtId="0" fontId="37" fillId="0" borderId="69" xfId="63" applyFont="1" applyBorder="1" applyAlignment="1">
      <alignment horizontal="left" vertical="center" indent="1"/>
    </xf>
    <xf numFmtId="183" fontId="37" fillId="5" borderId="70" xfId="63" applyNumberFormat="1" applyFont="1" applyFill="1" applyBorder="1" applyAlignment="1">
      <alignment horizontal="center" vertical="center"/>
    </xf>
    <xf numFmtId="176" fontId="37" fillId="7" borderId="217" xfId="63" applyNumberFormat="1" applyFont="1" applyFill="1" applyBorder="1" applyAlignment="1">
      <alignment horizontal="center"/>
    </xf>
    <xf numFmtId="0" fontId="8" fillId="0" borderId="0" xfId="63" applyFont="1" applyAlignment="1">
      <alignment horizontal="right" vertical="center"/>
    </xf>
    <xf numFmtId="0" fontId="10" fillId="0" borderId="208" xfId="63" applyFont="1" applyBorder="1" applyAlignment="1">
      <alignment horizontal="center" vertical="center"/>
    </xf>
    <xf numFmtId="0" fontId="37" fillId="0" borderId="218" xfId="63" applyFont="1" applyBorder="1" applyAlignment="1">
      <alignment horizontal="center" vertical="center"/>
    </xf>
    <xf numFmtId="183" fontId="37" fillId="0" borderId="67" xfId="63" applyNumberFormat="1" applyFont="1" applyBorder="1" applyAlignment="1">
      <alignment horizontal="center" vertical="center"/>
    </xf>
    <xf numFmtId="183" fontId="37" fillId="0" borderId="195" xfId="63" applyNumberFormat="1" applyFont="1" applyBorder="1" applyAlignment="1">
      <alignment horizontal="center" vertical="center"/>
    </xf>
    <xf numFmtId="10" fontId="37" fillId="0" borderId="39" xfId="63" applyNumberFormat="1" applyFont="1" applyBorder="1" applyAlignment="1">
      <alignment horizontal="center" vertical="center"/>
    </xf>
    <xf numFmtId="183" fontId="37" fillId="0" borderId="198" xfId="63" applyNumberFormat="1" applyFont="1" applyBorder="1" applyAlignment="1">
      <alignment horizontal="center" vertical="center"/>
    </xf>
    <xf numFmtId="10" fontId="37" fillId="0" borderId="43" xfId="63" applyNumberFormat="1" applyFont="1" applyBorder="1" applyAlignment="1">
      <alignment horizontal="center" vertical="center"/>
    </xf>
    <xf numFmtId="183" fontId="37" fillId="0" borderId="237" xfId="63" applyNumberFormat="1" applyFont="1" applyBorder="1" applyAlignment="1">
      <alignment horizontal="center" vertical="center"/>
    </xf>
    <xf numFmtId="183" fontId="37" fillId="0" borderId="77" xfId="63" applyNumberFormat="1" applyFont="1" applyBorder="1" applyAlignment="1">
      <alignment horizontal="center" vertical="center"/>
    </xf>
    <xf numFmtId="183" fontId="37" fillId="0" borderId="238" xfId="63" applyNumberFormat="1" applyFont="1" applyBorder="1" applyAlignment="1">
      <alignment horizontal="center" vertical="center"/>
    </xf>
    <xf numFmtId="183" fontId="37" fillId="0" borderId="239" xfId="63" applyNumberFormat="1" applyFont="1" applyBorder="1" applyAlignment="1">
      <alignment horizontal="center" vertical="center"/>
    </xf>
    <xf numFmtId="183" fontId="37" fillId="0" borderId="240" xfId="63" applyNumberFormat="1" applyFont="1" applyBorder="1" applyAlignment="1">
      <alignment horizontal="center" vertical="center"/>
    </xf>
    <xf numFmtId="183" fontId="37" fillId="0" borderId="236" xfId="63" applyNumberFormat="1" applyFont="1" applyBorder="1" applyAlignment="1">
      <alignment horizontal="center" vertical="center"/>
    </xf>
    <xf numFmtId="183" fontId="37" fillId="0" borderId="241" xfId="63" applyNumberFormat="1" applyFont="1" applyBorder="1" applyAlignment="1">
      <alignment horizontal="center" vertical="center"/>
    </xf>
    <xf numFmtId="183" fontId="37" fillId="0" borderId="130" xfId="63" applyNumberFormat="1" applyFont="1" applyBorder="1" applyAlignment="1">
      <alignment horizontal="center" vertical="center"/>
    </xf>
    <xf numFmtId="183" fontId="37" fillId="0" borderId="234" xfId="63" applyNumberFormat="1" applyFont="1" applyBorder="1" applyAlignment="1">
      <alignment horizontal="center" vertical="center"/>
    </xf>
    <xf numFmtId="0" fontId="37" fillId="0" borderId="219" xfId="63" applyFont="1" applyBorder="1" applyAlignment="1">
      <alignment horizontal="left" vertical="center" indent="1"/>
    </xf>
    <xf numFmtId="183" fontId="37" fillId="5" borderId="220" xfId="63" applyNumberFormat="1" applyFont="1" applyFill="1" applyBorder="1" applyAlignment="1">
      <alignment horizontal="center" vertical="center"/>
    </xf>
    <xf numFmtId="183" fontId="37" fillId="5" borderId="235" xfId="63" applyNumberFormat="1" applyFont="1" applyFill="1" applyBorder="1" applyAlignment="1">
      <alignment horizontal="center" vertical="center"/>
    </xf>
    <xf numFmtId="0" fontId="37" fillId="5" borderId="221" xfId="63" applyFont="1" applyFill="1" applyBorder="1" applyAlignment="1">
      <alignment horizontal="center" vertical="center"/>
    </xf>
    <xf numFmtId="176" fontId="37" fillId="7" borderId="222" xfId="63" applyNumberFormat="1" applyFont="1" applyFill="1" applyBorder="1" applyAlignment="1">
      <alignment horizontal="center"/>
    </xf>
    <xf numFmtId="0" fontId="37" fillId="0" borderId="0" xfId="63" applyFont="1" applyAlignment="1">
      <alignment horizontal="left" vertical="center"/>
    </xf>
    <xf numFmtId="0" fontId="37" fillId="0" borderId="73" xfId="64" applyFont="1" applyBorder="1" applyAlignment="1">
      <alignment horizontal="center" vertical="center"/>
    </xf>
    <xf numFmtId="0" fontId="37" fillId="0" borderId="10" xfId="64" applyFont="1" applyBorder="1" applyAlignment="1">
      <alignment horizontal="center" vertical="center"/>
    </xf>
    <xf numFmtId="0" fontId="37" fillId="0" borderId="77" xfId="64" applyFont="1" applyBorder="1" applyAlignment="1">
      <alignment horizontal="center" vertical="center"/>
    </xf>
    <xf numFmtId="176" fontId="37" fillId="0" borderId="25" xfId="64" applyNumberFormat="1" applyFont="1" applyBorder="1" applyAlignment="1">
      <alignment horizontal="center" vertical="center"/>
    </xf>
    <xf numFmtId="0" fontId="37" fillId="0" borderId="78" xfId="64" applyFont="1" applyBorder="1" applyAlignment="1">
      <alignment horizontal="center" vertical="center"/>
    </xf>
    <xf numFmtId="176" fontId="37" fillId="0" borderId="79" xfId="64" applyNumberFormat="1" applyFont="1" applyBorder="1" applyAlignment="1">
      <alignment horizontal="center" vertical="center"/>
    </xf>
    <xf numFmtId="182" fontId="5" fillId="0" borderId="26" xfId="39" applyNumberFormat="1" applyBorder="1" applyAlignment="1">
      <alignment horizontal="left" vertical="center"/>
    </xf>
    <xf numFmtId="182" fontId="5" fillId="0" borderId="26" xfId="37" applyNumberFormat="1" applyFont="1" applyBorder="1" applyAlignment="1">
      <alignment horizontal="left" vertical="center"/>
    </xf>
    <xf numFmtId="182" fontId="5" fillId="0" borderId="229" xfId="37" applyNumberFormat="1" applyFont="1" applyBorder="1" applyAlignment="1">
      <alignment horizontal="left" vertical="center"/>
    </xf>
    <xf numFmtId="49" fontId="5" fillId="0" borderId="116" xfId="38" applyNumberFormat="1" applyFont="1" applyBorder="1" applyAlignment="1">
      <alignment horizontal="center" vertical="center" wrapText="1"/>
    </xf>
    <xf numFmtId="49" fontId="13" fillId="0" borderId="25" xfId="38" applyNumberFormat="1" applyFont="1" applyBorder="1" applyAlignment="1">
      <alignment horizontal="center" vertical="center" wrapText="1"/>
    </xf>
    <xf numFmtId="0" fontId="13" fillId="0" borderId="25" xfId="81" applyFont="1" applyBorder="1" applyAlignment="1">
      <alignment horizontal="center" vertical="center" wrapText="1"/>
    </xf>
    <xf numFmtId="182" fontId="13" fillId="0" borderId="26" xfId="39" applyNumberFormat="1" applyFont="1" applyBorder="1" applyAlignment="1">
      <alignment horizontal="left" vertical="center"/>
    </xf>
    <xf numFmtId="182" fontId="5" fillId="0" borderId="26" xfId="39" applyNumberFormat="1" applyBorder="1" applyAlignment="1">
      <alignment horizontal="left" vertical="center" wrapText="1"/>
    </xf>
    <xf numFmtId="193" fontId="5" fillId="0" borderId="0" xfId="39" applyNumberFormat="1" applyAlignment="1">
      <alignment horizontal="right" vertical="center" wrapText="1"/>
    </xf>
    <xf numFmtId="0" fontId="5" fillId="0" borderId="116" xfId="39" applyBorder="1" applyAlignment="1">
      <alignment horizontal="center" vertical="center" wrapText="1"/>
    </xf>
    <xf numFmtId="0" fontId="5" fillId="0" borderId="25" xfId="39" applyBorder="1" applyAlignment="1">
      <alignment horizontal="center" vertical="center" wrapText="1"/>
    </xf>
    <xf numFmtId="0" fontId="5" fillId="0" borderId="26" xfId="39" applyBorder="1" applyAlignment="1">
      <alignment horizontal="left" vertical="center"/>
    </xf>
    <xf numFmtId="0" fontId="5" fillId="0" borderId="26" xfId="39" applyBorder="1" applyAlignment="1">
      <alignment horizontal="center" vertical="center"/>
    </xf>
    <xf numFmtId="0" fontId="5" fillId="0" borderId="111" xfId="39" applyBorder="1" applyAlignment="1">
      <alignment horizontal="center" vertical="center"/>
    </xf>
    <xf numFmtId="0" fontId="5" fillId="0" borderId="229" xfId="39" applyBorder="1" applyAlignment="1">
      <alignment horizontal="center" vertical="center" wrapText="1"/>
    </xf>
    <xf numFmtId="0" fontId="5" fillId="0" borderId="26" xfId="39" applyBorder="1" applyAlignment="1">
      <alignment horizontal="center" vertical="center" wrapText="1"/>
    </xf>
    <xf numFmtId="0" fontId="5" fillId="0" borderId="292" xfId="39" applyBorder="1" applyAlignment="1">
      <alignment horizontal="center" vertical="center" wrapText="1"/>
    </xf>
    <xf numFmtId="0" fontId="5" fillId="0" borderId="205" xfId="39" applyBorder="1" applyAlignment="1">
      <alignment horizontal="center" vertical="center" wrapText="1"/>
    </xf>
    <xf numFmtId="0" fontId="5" fillId="0" borderId="293" xfId="39" applyBorder="1" applyAlignment="1">
      <alignment horizontal="center" vertical="center" wrapText="1"/>
    </xf>
    <xf numFmtId="0" fontId="5" fillId="0" borderId="122" xfId="39" applyBorder="1" applyAlignment="1">
      <alignment horizontal="center" vertical="center" wrapText="1"/>
    </xf>
    <xf numFmtId="214" fontId="5" fillId="6" borderId="10" xfId="0" applyNumberFormat="1" applyFont="1" applyFill="1" applyBorder="1" applyAlignment="1">
      <alignment horizontal="center" vertical="center"/>
    </xf>
    <xf numFmtId="214" fontId="5" fillId="16" borderId="10" xfId="0" applyNumberFormat="1" applyFont="1" applyFill="1" applyBorder="1" applyAlignment="1">
      <alignment horizontal="center" vertical="center"/>
    </xf>
    <xf numFmtId="197" fontId="5" fillId="0" borderId="0" xfId="189" applyFont="1"/>
    <xf numFmtId="0" fontId="15" fillId="0" borderId="10" xfId="0" applyFont="1" applyBorder="1" applyAlignment="1">
      <alignment horizontal="center" vertical="center" wrapText="1"/>
    </xf>
    <xf numFmtId="0" fontId="0" fillId="0" borderId="0" xfId="0" applyAlignment="1">
      <alignment wrapText="1"/>
    </xf>
    <xf numFmtId="176" fontId="15" fillId="0" borderId="10" xfId="0" applyNumberFormat="1" applyFont="1" applyBorder="1" applyAlignment="1">
      <alignment horizontal="center" vertical="center" wrapText="1"/>
    </xf>
    <xf numFmtId="176" fontId="5" fillId="0" borderId="0" xfId="0" applyNumberFormat="1" applyFont="1" applyAlignment="1">
      <alignment wrapText="1"/>
    </xf>
    <xf numFmtId="197" fontId="5" fillId="0" borderId="10" xfId="189" applyFont="1" applyBorder="1" applyAlignment="1">
      <alignment horizontal="center" vertical="center" wrapText="1"/>
    </xf>
    <xf numFmtId="176" fontId="0" fillId="0" borderId="0" xfId="0" applyNumberFormat="1" applyAlignment="1">
      <alignment wrapText="1"/>
    </xf>
    <xf numFmtId="195" fontId="5" fillId="16" borderId="10" xfId="189" applyNumberFormat="1" applyFont="1" applyFill="1" applyBorder="1" applyAlignment="1">
      <alignment horizontal="center" vertical="center" wrapText="1"/>
    </xf>
    <xf numFmtId="0" fontId="171" fillId="0" borderId="0" xfId="0" applyFont="1" applyAlignment="1">
      <alignment horizontal="left" vertical="center"/>
    </xf>
    <xf numFmtId="197" fontId="5" fillId="0" borderId="0" xfId="189" applyFont="1" applyBorder="1"/>
    <xf numFmtId="215" fontId="5" fillId="0" borderId="0" xfId="0" applyNumberFormat="1" applyFont="1"/>
    <xf numFmtId="203" fontId="5" fillId="0" borderId="0" xfId="0" applyNumberFormat="1" applyFont="1"/>
    <xf numFmtId="214" fontId="5" fillId="0" borderId="0" xfId="0" applyNumberFormat="1" applyFont="1" applyAlignment="1">
      <alignment horizontal="center" vertical="center"/>
    </xf>
    <xf numFmtId="0" fontId="5" fillId="28" borderId="312" xfId="0" applyFont="1" applyFill="1" applyBorder="1"/>
    <xf numFmtId="49" fontId="15" fillId="0" borderId="73" xfId="0" quotePrefix="1" applyNumberFormat="1" applyFont="1" applyBorder="1" applyAlignment="1">
      <alignment horizontal="center" vertical="center"/>
    </xf>
    <xf numFmtId="0" fontId="5" fillId="0" borderId="73" xfId="0" applyFont="1" applyBorder="1" applyAlignment="1">
      <alignment horizontal="center"/>
    </xf>
    <xf numFmtId="0" fontId="5" fillId="0" borderId="14" xfId="0" applyFont="1" applyBorder="1" applyAlignment="1">
      <alignment horizontal="center"/>
    </xf>
    <xf numFmtId="0" fontId="15" fillId="0" borderId="138" xfId="0" applyFont="1" applyBorder="1" applyAlignment="1">
      <alignment horizontal="center"/>
    </xf>
    <xf numFmtId="0" fontId="15" fillId="0" borderId="11" xfId="0" applyFont="1" applyBorder="1" applyAlignment="1">
      <alignment horizontal="center"/>
    </xf>
    <xf numFmtId="49" fontId="15" fillId="0" borderId="11" xfId="0" applyNumberFormat="1" applyFont="1" applyBorder="1" applyAlignment="1">
      <alignment horizontal="center"/>
    </xf>
    <xf numFmtId="0" fontId="5" fillId="0" borderId="11" xfId="0" applyFont="1" applyBorder="1" applyAlignment="1">
      <alignment horizontal="center"/>
    </xf>
    <xf numFmtId="0" fontId="5" fillId="0" borderId="145" xfId="0" applyFont="1" applyBorder="1" applyAlignment="1">
      <alignment horizontal="center"/>
    </xf>
    <xf numFmtId="49" fontId="15" fillId="0" borderId="329" xfId="0" quotePrefix="1" applyNumberFormat="1" applyFont="1" applyBorder="1" applyAlignment="1">
      <alignment horizontal="center" vertical="center"/>
    </xf>
    <xf numFmtId="0" fontId="5" fillId="28" borderId="329" xfId="0" applyFont="1" applyFill="1" applyBorder="1" applyAlignment="1">
      <alignment horizontal="center"/>
    </xf>
    <xf numFmtId="0" fontId="5" fillId="0" borderId="291" xfId="0" applyFont="1" applyBorder="1" applyAlignment="1">
      <alignment horizontal="center"/>
    </xf>
    <xf numFmtId="203" fontId="5" fillId="0" borderId="0" xfId="0" applyNumberFormat="1" applyFont="1" applyAlignment="1">
      <alignment horizontal="center"/>
    </xf>
    <xf numFmtId="0" fontId="0" fillId="0" borderId="0" xfId="0" applyAlignment="1">
      <alignment horizontal="right"/>
    </xf>
    <xf numFmtId="203" fontId="5" fillId="28" borderId="12" xfId="0" applyNumberFormat="1" applyFont="1" applyFill="1" applyBorder="1" applyAlignment="1">
      <alignment horizontal="center"/>
    </xf>
    <xf numFmtId="0" fontId="65" fillId="0" borderId="0" xfId="71" applyFont="1" applyAlignment="1">
      <alignment vertical="center"/>
    </xf>
    <xf numFmtId="0" fontId="159" fillId="0" borderId="10" xfId="117" applyFont="1" applyBorder="1" applyAlignment="1">
      <alignment horizontal="center" vertical="center" wrapText="1"/>
    </xf>
    <xf numFmtId="0" fontId="124" fillId="0" borderId="23" xfId="71" applyFont="1" applyBorder="1" applyAlignment="1">
      <alignment horizontal="center" vertical="center"/>
    </xf>
    <xf numFmtId="0" fontId="124" fillId="0" borderId="82" xfId="71" applyFont="1" applyBorder="1" applyAlignment="1">
      <alignment horizontal="center" vertical="center"/>
    </xf>
    <xf numFmtId="0" fontId="124" fillId="0" borderId="20" xfId="0" applyFont="1" applyBorder="1" applyAlignment="1">
      <alignment horizontal="center" vertical="center"/>
    </xf>
    <xf numFmtId="0" fontId="124" fillId="0" borderId="33" xfId="71" applyFont="1" applyBorder="1" applyAlignment="1">
      <alignment horizontal="center"/>
    </xf>
    <xf numFmtId="0" fontId="124" fillId="0" borderId="85" xfId="0" applyFont="1" applyBorder="1" applyAlignment="1">
      <alignment horizontal="center"/>
    </xf>
    <xf numFmtId="0" fontId="124" fillId="0" borderId="134" xfId="0" applyFont="1" applyBorder="1" applyAlignment="1">
      <alignment horizontal="center"/>
    </xf>
    <xf numFmtId="0" fontId="124" fillId="0" borderId="10" xfId="71" applyFont="1" applyBorder="1" applyAlignment="1">
      <alignment horizontal="center" vertical="center"/>
    </xf>
    <xf numFmtId="0" fontId="124" fillId="0" borderId="73" xfId="71" applyFont="1" applyBorder="1" applyAlignment="1">
      <alignment horizontal="center" vertical="center"/>
    </xf>
    <xf numFmtId="0" fontId="124" fillId="0" borderId="167" xfId="71" applyFont="1" applyBorder="1" applyAlignment="1">
      <alignment horizontal="center" vertical="center"/>
    </xf>
    <xf numFmtId="0" fontId="124" fillId="0" borderId="11" xfId="71" applyFont="1" applyBorder="1" applyAlignment="1">
      <alignment horizontal="center" vertical="center"/>
    </xf>
    <xf numFmtId="0" fontId="124" fillId="0" borderId="11" xfId="0" applyFont="1" applyBorder="1"/>
    <xf numFmtId="49" fontId="114" fillId="0" borderId="10" xfId="69" applyNumberFormat="1" applyFont="1" applyBorder="1" applyAlignment="1">
      <alignment horizontal="center" vertical="center" wrapText="1"/>
    </xf>
    <xf numFmtId="49" fontId="114" fillId="0" borderId="73" xfId="69" applyNumberFormat="1" applyFont="1" applyBorder="1" applyAlignment="1">
      <alignment horizontal="center" vertical="center" wrapText="1"/>
    </xf>
    <xf numFmtId="49" fontId="114" fillId="0" borderId="11"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0" fontId="115" fillId="0" borderId="10" xfId="120" applyFont="1" applyBorder="1" applyAlignment="1">
      <alignment vertical="center" wrapText="1"/>
    </xf>
    <xf numFmtId="49" fontId="115" fillId="0" borderId="73" xfId="69" applyNumberFormat="1" applyFont="1" applyBorder="1" applyAlignment="1">
      <alignment horizontal="left" vertical="center" wrapText="1"/>
    </xf>
    <xf numFmtId="49" fontId="115" fillId="0" borderId="11" xfId="69" applyNumberFormat="1" applyFont="1" applyBorder="1" applyAlignment="1">
      <alignment horizontal="left" vertical="center" wrapText="1"/>
    </xf>
    <xf numFmtId="49" fontId="115" fillId="0" borderId="10" xfId="69" applyNumberFormat="1" applyFont="1" applyBorder="1" applyAlignment="1">
      <alignment horizontal="center" vertical="center" wrapText="1"/>
    </xf>
    <xf numFmtId="0" fontId="124" fillId="0" borderId="23" xfId="108" applyFont="1" applyBorder="1" applyAlignment="1">
      <alignment horizontal="center" vertical="center" wrapText="1"/>
    </xf>
    <xf numFmtId="0" fontId="124" fillId="0" borderId="82" xfId="108"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85" xfId="39" applyFont="1" applyBorder="1" applyAlignment="1">
      <alignment horizontal="center" vertical="center" wrapText="1"/>
    </xf>
    <xf numFmtId="0" fontId="124" fillId="0" borderId="1" xfId="39" applyFont="1" applyBorder="1" applyAlignment="1">
      <alignment horizontal="center" vertical="center" wrapText="1"/>
    </xf>
    <xf numFmtId="0" fontId="124" fillId="0" borderId="134" xfId="39" applyFont="1" applyBorder="1" applyAlignment="1">
      <alignment horizontal="center" vertical="center" wrapText="1"/>
    </xf>
    <xf numFmtId="0" fontId="124" fillId="0" borderId="5" xfId="39" applyFont="1" applyBorder="1" applyAlignment="1">
      <alignment horizontal="center" vertical="center" wrapText="1"/>
    </xf>
    <xf numFmtId="0" fontId="124" fillId="0" borderId="0" xfId="39" applyFont="1" applyAlignment="1">
      <alignment horizontal="center" vertical="center" wrapText="1"/>
    </xf>
    <xf numFmtId="0" fontId="124" fillId="0" borderId="4" xfId="39" applyFont="1" applyBorder="1" applyAlignment="1">
      <alignment horizontal="center" vertical="center" wrapText="1"/>
    </xf>
    <xf numFmtId="0" fontId="124" fillId="0" borderId="73" xfId="39" applyFont="1" applyBorder="1" applyAlignment="1">
      <alignment horizontal="center" vertical="center" wrapText="1"/>
    </xf>
    <xf numFmtId="0" fontId="124" fillId="0" borderId="167" xfId="39" applyFont="1" applyBorder="1" applyAlignment="1">
      <alignment horizontal="center" vertical="center" wrapText="1"/>
    </xf>
    <xf numFmtId="0" fontId="124" fillId="0" borderId="11" xfId="39" applyFont="1" applyBorder="1" applyAlignment="1">
      <alignment horizontal="center" vertical="center" wrapText="1"/>
    </xf>
    <xf numFmtId="0" fontId="124" fillId="0" borderId="1" xfId="39" quotePrefix="1" applyFont="1" applyBorder="1" applyAlignment="1">
      <alignment horizontal="left" vertical="center"/>
    </xf>
    <xf numFmtId="0" fontId="124" fillId="0" borderId="23" xfId="71" applyFont="1" applyBorder="1" applyAlignment="1">
      <alignment horizontal="center" vertical="center" wrapText="1"/>
    </xf>
    <xf numFmtId="0" fontId="124" fillId="0" borderId="82" xfId="71" applyFont="1" applyBorder="1" applyAlignment="1">
      <alignment horizontal="center" vertical="center" wrapText="1"/>
    </xf>
    <xf numFmtId="0" fontId="124" fillId="0" borderId="179" xfId="39" quotePrefix="1" applyFont="1" applyBorder="1" applyAlignment="1">
      <alignment horizontal="center" vertical="center" wrapText="1"/>
    </xf>
    <xf numFmtId="0" fontId="124" fillId="0" borderId="33" xfId="39" quotePrefix="1" applyFont="1" applyBorder="1" applyAlignment="1">
      <alignment horizontal="center" vertical="center" wrapText="1"/>
    </xf>
    <xf numFmtId="0" fontId="124" fillId="0" borderId="19" xfId="39" quotePrefix="1" applyFont="1" applyBorder="1" applyAlignment="1">
      <alignment horizontal="center" vertical="center" wrapText="1"/>
    </xf>
    <xf numFmtId="0" fontId="114" fillId="0" borderId="10" xfId="71" applyFont="1" applyBorder="1" applyAlignment="1">
      <alignment horizontal="center" vertical="center" wrapText="1"/>
    </xf>
    <xf numFmtId="0" fontId="114" fillId="0" borderId="10" xfId="108" applyFont="1" applyBorder="1" applyAlignment="1">
      <alignment horizontal="center" vertical="center" wrapText="1"/>
    </xf>
    <xf numFmtId="0" fontId="114" fillId="0" borderId="10" xfId="92" applyFont="1" applyBorder="1" applyAlignment="1">
      <alignment horizontal="center" vertical="center" wrapText="1"/>
    </xf>
    <xf numFmtId="0" fontId="114" fillId="0" borderId="10" xfId="110"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5" fillId="0" borderId="10" xfId="110" applyFont="1" applyBorder="1" applyAlignment="1">
      <alignment horizontal="center" vertical="center" wrapText="1"/>
    </xf>
    <xf numFmtId="0" fontId="114" fillId="0" borderId="73" xfId="76" applyFont="1" applyBorder="1" applyAlignment="1">
      <alignment horizontal="center" vertical="center" wrapText="1"/>
    </xf>
    <xf numFmtId="0" fontId="114" fillId="0" borderId="167" xfId="76" applyFont="1" applyBorder="1" applyAlignment="1">
      <alignment horizontal="center" vertical="center" wrapText="1"/>
    </xf>
    <xf numFmtId="0" fontId="114" fillId="0" borderId="11" xfId="76" applyFont="1" applyBorder="1" applyAlignment="1">
      <alignment horizontal="center" vertical="center" wrapText="1"/>
    </xf>
    <xf numFmtId="0" fontId="99" fillId="0" borderId="87" xfId="71" applyFont="1" applyBorder="1" applyAlignment="1">
      <alignment horizontal="center" vertical="center" wrapText="1"/>
    </xf>
    <xf numFmtId="0" fontId="99" fillId="0" borderId="89" xfId="0" applyFont="1" applyBorder="1" applyAlignment="1">
      <alignment horizontal="center" vertical="center" wrapText="1"/>
    </xf>
    <xf numFmtId="0" fontId="115" fillId="0" borderId="10" xfId="71" applyFont="1" applyBorder="1" applyAlignment="1">
      <alignment horizontal="center" vertical="center" wrapText="1"/>
    </xf>
    <xf numFmtId="0" fontId="115" fillId="0" borderId="10" xfId="108" applyFont="1" applyBorder="1" applyAlignment="1">
      <alignment horizontal="center" vertical="center" wrapText="1"/>
    </xf>
    <xf numFmtId="0" fontId="114" fillId="0" borderId="10" xfId="118" applyFont="1" applyBorder="1" applyAlignment="1">
      <alignment horizontal="center" vertical="center" wrapText="1"/>
    </xf>
    <xf numFmtId="0" fontId="114" fillId="0" borderId="10" xfId="111" applyFont="1" applyBorder="1" applyAlignment="1">
      <alignment horizontal="center" vertical="center" wrapText="1"/>
    </xf>
    <xf numFmtId="0" fontId="114" fillId="0" borderId="10" xfId="77" applyFont="1" applyBorder="1" applyAlignment="1">
      <alignment horizontal="center" vertical="center" wrapText="1"/>
    </xf>
    <xf numFmtId="0" fontId="114" fillId="0" borderId="10" xfId="120" applyFont="1" applyBorder="1" applyAlignment="1">
      <alignment vertical="center" wrapText="1"/>
    </xf>
    <xf numFmtId="0" fontId="114" fillId="0" borderId="10" xfId="77" quotePrefix="1" applyFont="1" applyBorder="1" applyAlignment="1">
      <alignment horizontal="center" vertical="center" wrapText="1"/>
    </xf>
    <xf numFmtId="0" fontId="115" fillId="0" borderId="10" xfId="11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118" applyFont="1" applyBorder="1" applyAlignment="1">
      <alignment vertical="center" wrapText="1"/>
    </xf>
    <xf numFmtId="0" fontId="115" fillId="0" borderId="148" xfId="76" applyFont="1" applyBorder="1" applyAlignment="1">
      <alignment horizontal="center" vertical="center" wrapText="1"/>
    </xf>
    <xf numFmtId="0" fontId="115" fillId="0" borderId="3" xfId="0" applyFont="1" applyBorder="1" applyAlignment="1">
      <alignment horizontal="center" vertical="center" wrapText="1"/>
    </xf>
    <xf numFmtId="0" fontId="115" fillId="0" borderId="73" xfId="76" applyFont="1" applyBorder="1" applyAlignment="1">
      <alignment horizontal="center" vertical="center" wrapText="1"/>
    </xf>
    <xf numFmtId="0" fontId="115" fillId="0" borderId="11" xfId="76" applyFont="1" applyBorder="1" applyAlignment="1">
      <alignment horizontal="center" vertical="center" wrapText="1"/>
    </xf>
    <xf numFmtId="0" fontId="115" fillId="0" borderId="73" xfId="76" applyFont="1" applyBorder="1" applyAlignment="1">
      <alignment horizontal="center" vertical="center"/>
    </xf>
    <xf numFmtId="0" fontId="115" fillId="0" borderId="11" xfId="76" applyFont="1" applyBorder="1" applyAlignment="1">
      <alignment horizontal="center" vertical="center"/>
    </xf>
    <xf numFmtId="0" fontId="115" fillId="0" borderId="23" xfId="71" applyFont="1" applyBorder="1" applyAlignment="1">
      <alignment horizontal="center" vertical="center" wrapText="1"/>
    </xf>
    <xf numFmtId="0" fontId="115" fillId="0" borderId="82" xfId="71" applyFont="1" applyBorder="1" applyAlignment="1">
      <alignment horizontal="center" vertical="center" wrapText="1"/>
    </xf>
    <xf numFmtId="0" fontId="115" fillId="0" borderId="20" xfId="71" applyFont="1" applyBorder="1" applyAlignment="1">
      <alignment horizontal="center" vertical="center" wrapText="1"/>
    </xf>
    <xf numFmtId="0" fontId="115" fillId="0" borderId="10" xfId="76" applyFont="1" applyBorder="1" applyAlignment="1">
      <alignment horizontal="center" vertical="center" wrapText="1"/>
    </xf>
    <xf numFmtId="179" fontId="99" fillId="6" borderId="10" xfId="132" applyNumberFormat="1" applyFont="1" applyFill="1" applyBorder="1" applyAlignment="1">
      <alignment horizontal="center" vertical="center" wrapText="1"/>
    </xf>
    <xf numFmtId="0" fontId="125" fillId="0" borderId="10" xfId="71" applyFont="1" applyBorder="1" applyAlignment="1">
      <alignment horizontal="distributed" vertical="center" wrapText="1"/>
    </xf>
    <xf numFmtId="0" fontId="125" fillId="0" borderId="23" xfId="71" applyFont="1" applyBorder="1" applyAlignment="1">
      <alignment horizontal="distributed" vertical="center" wrapText="1"/>
    </xf>
    <xf numFmtId="0" fontId="125" fillId="0" borderId="73" xfId="71" applyFont="1" applyBorder="1" applyAlignment="1">
      <alignment horizontal="center" vertical="center" wrapText="1"/>
    </xf>
    <xf numFmtId="0" fontId="125" fillId="0" borderId="167" xfId="71" applyFont="1" applyBorder="1" applyAlignment="1">
      <alignment horizontal="center" vertical="center" wrapText="1"/>
    </xf>
    <xf numFmtId="0" fontId="125" fillId="0" borderId="11" xfId="71" applyFont="1" applyBorder="1" applyAlignment="1">
      <alignment horizontal="center" vertical="center" wrapText="1"/>
    </xf>
    <xf numFmtId="0" fontId="123" fillId="0" borderId="23" xfId="71" applyFont="1" applyBorder="1" applyAlignment="1">
      <alignment horizontal="center" vertical="center" wrapText="1"/>
    </xf>
    <xf numFmtId="0" fontId="127" fillId="0" borderId="82" xfId="0" applyFont="1" applyBorder="1" applyAlignment="1">
      <alignment vertical="center" wrapText="1"/>
    </xf>
    <xf numFmtId="0" fontId="125" fillId="0" borderId="23" xfId="71" applyFont="1" applyBorder="1" applyAlignment="1">
      <alignment horizontal="center" vertical="center" wrapText="1"/>
    </xf>
    <xf numFmtId="0" fontId="125" fillId="0" borderId="10" xfId="71" applyFont="1" applyBorder="1" applyAlignment="1">
      <alignment horizontal="center" vertical="center" wrapText="1"/>
    </xf>
    <xf numFmtId="0" fontId="125" fillId="0" borderId="73" xfId="71" applyFont="1" applyBorder="1" applyAlignment="1">
      <alignment horizontal="distributed" vertical="center" wrapText="1"/>
    </xf>
    <xf numFmtId="0" fontId="125" fillId="0" borderId="85"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82" xfId="71" applyFont="1" applyBorder="1" applyAlignment="1">
      <alignment horizontal="center" vertical="center" wrapText="1"/>
    </xf>
    <xf numFmtId="0" fontId="125" fillId="0" borderId="0" xfId="71" applyFont="1" applyAlignment="1" applyProtection="1">
      <alignment horizontal="left" vertical="center" wrapText="1"/>
      <protection locked="0"/>
    </xf>
    <xf numFmtId="0" fontId="125" fillId="0" borderId="85" xfId="108" applyFont="1" applyBorder="1" applyAlignment="1">
      <alignment horizontal="center" vertical="center" wrapText="1"/>
    </xf>
    <xf numFmtId="0" fontId="125" fillId="0" borderId="5" xfId="108" applyFont="1" applyBorder="1" applyAlignment="1">
      <alignment horizontal="center" vertical="center" wrapText="1"/>
    </xf>
    <xf numFmtId="0" fontId="125" fillId="0" borderId="179" xfId="108" applyFont="1" applyBorder="1" applyAlignment="1">
      <alignment horizontal="center" vertical="center" wrapText="1"/>
    </xf>
    <xf numFmtId="0" fontId="125" fillId="0" borderId="73" xfId="71" applyFont="1" applyBorder="1" applyAlignment="1">
      <alignment horizontal="left" vertical="center" wrapText="1"/>
    </xf>
    <xf numFmtId="0" fontId="125" fillId="0" borderId="167" xfId="71" applyFont="1" applyBorder="1" applyAlignment="1">
      <alignment horizontal="left" vertical="center" wrapText="1"/>
    </xf>
    <xf numFmtId="0" fontId="125" fillId="0" borderId="11" xfId="71" applyFont="1" applyBorder="1" applyAlignment="1">
      <alignment horizontal="left" vertical="center" wrapText="1"/>
    </xf>
    <xf numFmtId="0" fontId="125" fillId="0" borderId="20" xfId="71" applyFont="1" applyBorder="1" applyAlignment="1">
      <alignment horizontal="center" vertical="center" wrapText="1"/>
    </xf>
    <xf numFmtId="0" fontId="125" fillId="0" borderId="11" xfId="81" applyFont="1" applyBorder="1">
      <alignment vertical="center"/>
    </xf>
    <xf numFmtId="0" fontId="125" fillId="0" borderId="82" xfId="81" applyFont="1" applyBorder="1">
      <alignment vertical="center"/>
    </xf>
    <xf numFmtId="0" fontId="125" fillId="0" borderId="179" xfId="71" quotePrefix="1" applyFont="1" applyBorder="1" applyAlignment="1">
      <alignment horizontal="center" vertical="center" wrapText="1"/>
    </xf>
    <xf numFmtId="0" fontId="125" fillId="0" borderId="33" xfId="71" quotePrefix="1" applyFont="1" applyBorder="1" applyAlignment="1">
      <alignment horizontal="center" vertical="center" wrapText="1"/>
    </xf>
    <xf numFmtId="0" fontId="125" fillId="0" borderId="19" xfId="71" quotePrefix="1" applyFont="1" applyBorder="1" applyAlignment="1">
      <alignment horizontal="center" vertical="center" wrapText="1"/>
    </xf>
    <xf numFmtId="0" fontId="125" fillId="0" borderId="23" xfId="108" applyFont="1" applyBorder="1" applyAlignment="1">
      <alignment horizontal="center" vertical="center" wrapText="1"/>
    </xf>
    <xf numFmtId="0" fontId="125" fillId="0" borderId="82" xfId="108" applyFont="1" applyBorder="1" applyAlignment="1">
      <alignment horizontal="center" vertical="center" wrapText="1"/>
    </xf>
    <xf numFmtId="0" fontId="125" fillId="0" borderId="20" xfId="108" applyFont="1" applyBorder="1" applyAlignment="1">
      <alignment horizontal="center" vertical="center" wrapText="1"/>
    </xf>
    <xf numFmtId="0" fontId="125" fillId="0" borderId="85" xfId="71" applyFont="1" applyBorder="1" applyAlignment="1">
      <alignment horizontal="center" vertical="center" wrapText="1"/>
    </xf>
    <xf numFmtId="0" fontId="125" fillId="0" borderId="1" xfId="71" applyFont="1" applyBorder="1" applyAlignment="1">
      <alignment horizontal="center" vertical="center" wrapText="1"/>
    </xf>
    <xf numFmtId="0" fontId="125" fillId="0" borderId="134" xfId="71" applyFont="1" applyBorder="1" applyAlignment="1">
      <alignment horizontal="center" vertical="center" wrapText="1"/>
    </xf>
    <xf numFmtId="0" fontId="125" fillId="0" borderId="5" xfId="71" applyFont="1" applyBorder="1" applyAlignment="1">
      <alignment horizontal="center" vertical="center" wrapText="1"/>
    </xf>
    <xf numFmtId="0" fontId="125" fillId="0" borderId="0" xfId="71" applyFont="1" applyAlignment="1">
      <alignment horizontal="center" vertical="center" wrapText="1"/>
    </xf>
    <xf numFmtId="0" fontId="125" fillId="0" borderId="4" xfId="71" applyFont="1" applyBorder="1" applyAlignment="1">
      <alignment horizontal="center" vertical="center" wrapText="1"/>
    </xf>
    <xf numFmtId="0" fontId="123" fillId="0" borderId="10" xfId="71" applyFont="1" applyBorder="1" applyAlignment="1">
      <alignment horizontal="center" vertical="center" wrapText="1"/>
    </xf>
    <xf numFmtId="0" fontId="123" fillId="0" borderId="10" xfId="71" applyFont="1" applyBorder="1" applyAlignment="1">
      <alignment horizontal="distributed" vertical="center" wrapText="1"/>
    </xf>
    <xf numFmtId="0" fontId="123" fillId="0" borderId="20" xfId="71" applyFont="1" applyBorder="1" applyAlignment="1">
      <alignment horizontal="center" vertical="center" wrapText="1"/>
    </xf>
    <xf numFmtId="0" fontId="125" fillId="6" borderId="23" xfId="71" applyFont="1" applyFill="1" applyBorder="1" applyAlignment="1">
      <alignment horizontal="center" vertical="center" wrapText="1"/>
    </xf>
    <xf numFmtId="0" fontId="125" fillId="6" borderId="20" xfId="71" applyFont="1" applyFill="1" applyBorder="1" applyAlignment="1">
      <alignment horizontal="center" vertical="center" wrapText="1"/>
    </xf>
    <xf numFmtId="0" fontId="125" fillId="6" borderId="73" xfId="71" applyFont="1" applyFill="1" applyBorder="1" applyAlignment="1">
      <alignment horizontal="center" vertical="center" wrapText="1"/>
    </xf>
    <xf numFmtId="0" fontId="125" fillId="6" borderId="11" xfId="71" applyFont="1" applyFill="1" applyBorder="1" applyAlignment="1">
      <alignment horizontal="center" vertical="center" wrapText="1"/>
    </xf>
    <xf numFmtId="0" fontId="44" fillId="0" borderId="22" xfId="83" applyFont="1" applyBorder="1" applyAlignment="1">
      <alignment vertical="center" wrapText="1"/>
    </xf>
    <xf numFmtId="0" fontId="47" fillId="0" borderId="6" xfId="83" applyFont="1" applyBorder="1" applyAlignment="1">
      <alignment vertical="center" wrapText="1"/>
    </xf>
    <xf numFmtId="0" fontId="47" fillId="0" borderId="13" xfId="83" applyFont="1" applyBorder="1" applyAlignment="1">
      <alignment vertical="center" wrapText="1"/>
    </xf>
    <xf numFmtId="0" fontId="47" fillId="0" borderId="87" xfId="83" applyFont="1" applyBorder="1" applyAlignment="1">
      <alignment vertical="center" wrapText="1"/>
    </xf>
    <xf numFmtId="0" fontId="47" fillId="0" borderId="82" xfId="83" applyFont="1" applyBorder="1" applyAlignment="1">
      <alignment vertical="center" wrapText="1"/>
    </xf>
    <xf numFmtId="0" fontId="47" fillId="0" borderId="20" xfId="83" applyFont="1" applyBorder="1" applyAlignment="1">
      <alignment vertical="center" wrapText="1"/>
    </xf>
    <xf numFmtId="0" fontId="47" fillId="0" borderId="22" xfId="83" applyFont="1" applyBorder="1" applyAlignment="1">
      <alignment vertical="center" wrapText="1"/>
    </xf>
    <xf numFmtId="0" fontId="44" fillId="0" borderId="22" xfId="78" applyFont="1" applyBorder="1" applyAlignment="1">
      <alignment horizontal="center" vertical="center" wrapText="1"/>
    </xf>
    <xf numFmtId="0" fontId="44" fillId="0" borderId="6" xfId="78" applyFont="1" applyBorder="1" applyAlignment="1">
      <alignment horizontal="center" vertical="center" wrapText="1"/>
    </xf>
    <xf numFmtId="0" fontId="44" fillId="0" borderId="80" xfId="78" applyFont="1" applyBorder="1" applyAlignment="1">
      <alignment horizontal="center" vertical="center" wrapText="1"/>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4" fillId="0" borderId="16" xfId="83" applyFont="1" applyBorder="1" applyAlignment="1">
      <alignment horizontal="center" vertical="center" wrapText="1"/>
    </xf>
    <xf numFmtId="0" fontId="47" fillId="0" borderId="16" xfId="83" applyFont="1" applyBorder="1" applyAlignment="1">
      <alignment horizontal="center" vertical="center" wrapText="1"/>
    </xf>
    <xf numFmtId="0" fontId="47"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0" fontId="44" fillId="0" borderId="91" xfId="80" applyFont="1" applyBorder="1" applyAlignment="1">
      <alignment horizontal="center" vertical="center" wrapText="1"/>
    </xf>
    <xf numFmtId="0" fontId="47" fillId="0" borderId="73" xfId="83" applyFont="1" applyBorder="1" applyAlignment="1">
      <alignment horizontal="center" vertical="center" wrapText="1"/>
    </xf>
    <xf numFmtId="0" fontId="47" fillId="0" borderId="85" xfId="83" applyFont="1" applyBorder="1" applyAlignment="1">
      <alignment horizontal="center" vertical="center" wrapText="1"/>
    </xf>
    <xf numFmtId="0" fontId="44" fillId="0" borderId="17" xfId="80" applyFont="1" applyBorder="1" applyAlignment="1">
      <alignment horizontal="center" vertical="center" wrapText="1"/>
    </xf>
    <xf numFmtId="0" fontId="44" fillId="0" borderId="12" xfId="80" applyFont="1" applyBorder="1" applyAlignment="1">
      <alignment horizontal="center" vertical="center" wrapText="1"/>
    </xf>
    <xf numFmtId="0" fontId="47" fillId="0" borderId="10" xfId="83" applyFont="1" applyBorder="1" applyAlignment="1">
      <alignment vertical="center" wrapText="1"/>
    </xf>
    <xf numFmtId="0" fontId="47" fillId="0" borderId="23" xfId="83" applyFont="1" applyBorder="1" applyAlignment="1">
      <alignment vertical="center" wrapText="1"/>
    </xf>
    <xf numFmtId="0" fontId="44" fillId="0" borderId="10" xfId="83" applyFont="1" applyBorder="1" applyAlignment="1">
      <alignment horizontal="center" vertical="center" wrapText="1"/>
    </xf>
    <xf numFmtId="0" fontId="44" fillId="0" borderId="16" xfId="83" applyFont="1" applyBorder="1" applyAlignment="1">
      <alignment vertical="center" wrapText="1"/>
    </xf>
    <xf numFmtId="43" fontId="54" fillId="0" borderId="16" xfId="243" applyFont="1" applyFill="1" applyBorder="1" applyAlignment="1">
      <alignment horizontal="center" vertical="center" wrapText="1"/>
    </xf>
    <xf numFmtId="43" fontId="54" fillId="0" borderId="10" xfId="243" applyFont="1" applyFill="1" applyBorder="1" applyAlignment="1">
      <alignment horizontal="center" vertical="center" wrapText="1"/>
    </xf>
    <xf numFmtId="0" fontId="44" fillId="0" borderId="87" xfId="71" applyFont="1" applyBorder="1" applyAlignment="1">
      <alignment horizontal="center" vertical="center" wrapText="1"/>
    </xf>
    <xf numFmtId="0" fontId="47" fillId="0" borderId="20" xfId="83" applyFont="1" applyBorder="1" applyAlignment="1">
      <alignment horizontal="center" vertical="center" wrapText="1"/>
    </xf>
    <xf numFmtId="0" fontId="44" fillId="0" borderId="87" xfId="83" applyFont="1" applyBorder="1" applyAlignment="1">
      <alignment horizontal="center" vertical="center" wrapText="1"/>
    </xf>
    <xf numFmtId="0" fontId="44" fillId="0" borderId="82" xfId="83" applyFont="1" applyBorder="1" applyAlignment="1">
      <alignment horizontal="center" vertical="center" wrapText="1"/>
    </xf>
    <xf numFmtId="0" fontId="44" fillId="0" borderId="20" xfId="83" applyFont="1" applyBorder="1" applyAlignment="1">
      <alignment horizontal="center" vertical="center" wrapText="1"/>
    </xf>
    <xf numFmtId="0" fontId="44" fillId="0" borderId="89" xfId="71" applyFont="1" applyBorder="1" applyAlignment="1">
      <alignment horizontal="center" vertical="center"/>
    </xf>
    <xf numFmtId="0" fontId="47" fillId="0" borderId="89" xfId="83" applyFont="1" applyBorder="1">
      <alignment vertical="center"/>
    </xf>
    <xf numFmtId="0" fontId="44" fillId="0" borderId="6" xfId="83" applyFont="1" applyBorder="1" applyAlignment="1">
      <alignment vertical="center" wrapText="1"/>
    </xf>
    <xf numFmtId="0" fontId="44" fillId="0" borderId="80" xfId="83" applyFont="1" applyBorder="1" applyAlignment="1">
      <alignment vertical="center" wrapText="1"/>
    </xf>
    <xf numFmtId="0" fontId="44" fillId="0" borderId="184" xfId="71" applyFont="1" applyBorder="1" applyAlignment="1">
      <alignment horizontal="center" vertical="center"/>
    </xf>
    <xf numFmtId="0" fontId="47" fillId="0" borderId="184" xfId="83" applyFont="1" applyBorder="1">
      <alignment vertical="center"/>
    </xf>
    <xf numFmtId="0" fontId="44" fillId="0" borderId="73" xfId="80" applyFont="1" applyBorder="1" applyAlignment="1">
      <alignment horizontal="center" vertical="center" wrapText="1"/>
    </xf>
    <xf numFmtId="0" fontId="44" fillId="0" borderId="85" xfId="80" applyFont="1" applyBorder="1" applyAlignment="1">
      <alignment horizontal="center" vertical="center" wrapText="1"/>
    </xf>
    <xf numFmtId="0" fontId="44" fillId="0" borderId="22" xfId="83" applyFont="1" applyBorder="1" applyAlignment="1">
      <alignment horizontal="center" vertical="center" wrapText="1"/>
    </xf>
    <xf numFmtId="0" fontId="44" fillId="0" borderId="6" xfId="83" applyFont="1" applyBorder="1" applyAlignment="1">
      <alignment horizontal="center" vertical="center" wrapText="1"/>
    </xf>
    <xf numFmtId="0" fontId="44" fillId="0" borderId="13" xfId="83" applyFont="1" applyBorder="1" applyAlignment="1">
      <alignment horizontal="center" vertical="center" wrapText="1"/>
    </xf>
    <xf numFmtId="0" fontId="47" fillId="0" borderId="10" xfId="83" applyFont="1" applyBorder="1">
      <alignment vertical="center"/>
    </xf>
    <xf numFmtId="0" fontId="44" fillId="0" borderId="87" xfId="80" applyFont="1" applyBorder="1" applyAlignment="1">
      <alignment horizontal="center" vertical="center" wrapText="1"/>
    </xf>
    <xf numFmtId="0" fontId="47" fillId="0" borderId="16" xfId="83" applyFont="1" applyBorder="1" applyAlignment="1">
      <alignment vertical="center" wrapText="1"/>
    </xf>
    <xf numFmtId="0" fontId="37" fillId="0" borderId="16" xfId="80" applyFont="1" applyBorder="1" applyAlignment="1">
      <alignment horizontal="center" vertical="center" wrapText="1"/>
    </xf>
    <xf numFmtId="0" fontId="37" fillId="0" borderId="10" xfId="83" applyFont="1" applyBorder="1" applyAlignment="1">
      <alignment horizontal="center" vertical="center" wrapText="1"/>
    </xf>
    <xf numFmtId="0" fontId="44" fillId="0" borderId="10" xfId="83" applyFont="1" applyBorder="1" applyAlignment="1">
      <alignment vertical="center" wrapText="1"/>
    </xf>
    <xf numFmtId="0" fontId="44" fillId="0" borderId="81" xfId="83" applyFont="1" applyBorder="1" applyAlignment="1">
      <alignment horizontal="center" vertical="center" wrapText="1"/>
    </xf>
    <xf numFmtId="0" fontId="44" fillId="0" borderId="88" xfId="83" applyFont="1" applyBorder="1" applyAlignment="1">
      <alignment horizontal="center" vertical="center" wrapText="1"/>
    </xf>
    <xf numFmtId="0" fontId="47" fillId="0" borderId="80" xfId="83" applyFont="1" applyBorder="1" applyAlignment="1">
      <alignment vertical="center" wrapText="1"/>
    </xf>
    <xf numFmtId="0" fontId="47" fillId="0" borderId="188" xfId="83" applyFont="1" applyBorder="1" applyAlignment="1">
      <alignment horizontal="center" vertical="center" wrapText="1"/>
    </xf>
    <xf numFmtId="0" fontId="47" fillId="0" borderId="81" xfId="83" applyFont="1" applyBorder="1" applyAlignment="1">
      <alignment horizontal="center" vertical="center" wrapText="1"/>
    </xf>
    <xf numFmtId="0" fontId="47" fillId="0" borderId="88" xfId="83" applyFont="1" applyBorder="1" applyAlignment="1">
      <alignment horizontal="center" vertical="center" wrapText="1"/>
    </xf>
    <xf numFmtId="0" fontId="37" fillId="0" borderId="87" xfId="83" applyFont="1" applyBorder="1" applyAlignment="1">
      <alignment horizontal="center" vertical="center" wrapText="1"/>
    </xf>
    <xf numFmtId="0" fontId="37" fillId="0" borderId="20" xfId="83" applyFont="1" applyBorder="1" applyAlignment="1">
      <alignment horizontal="center" vertical="center" wrapText="1"/>
    </xf>
    <xf numFmtId="0" fontId="44" fillId="0" borderId="358" xfId="80" applyFont="1" applyBorder="1" applyAlignment="1">
      <alignment horizontal="center" vertical="center" wrapText="1"/>
    </xf>
    <xf numFmtId="0" fontId="47" fillId="0" borderId="359" xfId="83" applyFont="1" applyBorder="1" applyAlignment="1">
      <alignment horizontal="center" vertical="center" wrapText="1"/>
    </xf>
    <xf numFmtId="0" fontId="47" fillId="0" borderId="179" xfId="83" applyFont="1" applyBorder="1" applyAlignment="1">
      <alignment horizontal="center" vertical="center" wrapText="1"/>
    </xf>
    <xf numFmtId="0" fontId="47" fillId="0" borderId="19" xfId="83" applyFont="1" applyBorder="1" applyAlignment="1">
      <alignment horizontal="center" vertical="center" wrapText="1"/>
    </xf>
    <xf numFmtId="0" fontId="13" fillId="0" borderId="16" xfId="83" applyFont="1" applyBorder="1" applyAlignment="1">
      <alignment vertical="center" wrapText="1"/>
    </xf>
    <xf numFmtId="0" fontId="13" fillId="0" borderId="10" xfId="83" applyFont="1" applyBorder="1" applyAlignment="1">
      <alignment vertical="center" wrapText="1"/>
    </xf>
    <xf numFmtId="0" fontId="44" fillId="0" borderId="18" xfId="71" applyFont="1" applyBorder="1" applyAlignment="1">
      <alignment horizontal="center" vertical="center"/>
    </xf>
    <xf numFmtId="0" fontId="54" fillId="0" borderId="10" xfId="83" applyFont="1" applyBorder="1" applyAlignment="1">
      <alignment horizontal="center" vertical="center" wrapText="1"/>
    </xf>
    <xf numFmtId="0" fontId="13" fillId="0" borderId="10" xfId="83" applyFont="1" applyBorder="1" applyAlignment="1">
      <alignment horizontal="center" vertical="center" wrapText="1"/>
    </xf>
    <xf numFmtId="0" fontId="47" fillId="0" borderId="6" xfId="83" applyFont="1" applyBorder="1" applyAlignment="1">
      <alignment horizontal="center" vertical="center" wrapText="1"/>
    </xf>
    <xf numFmtId="0" fontId="47" fillId="0" borderId="13" xfId="83" applyFont="1" applyBorder="1" applyAlignment="1">
      <alignment horizontal="center" vertical="center" wrapText="1"/>
    </xf>
    <xf numFmtId="0" fontId="54" fillId="0" borderId="16" xfId="83" applyFont="1" applyBorder="1" applyAlignment="1">
      <alignment vertical="center" wrapText="1"/>
    </xf>
    <xf numFmtId="0" fontId="54" fillId="0" borderId="10" xfId="83" applyFont="1" applyBorder="1" applyAlignment="1">
      <alignment vertical="center" wrapText="1"/>
    </xf>
    <xf numFmtId="0" fontId="44" fillId="0" borderId="13" xfId="83" applyFont="1" applyBorder="1" applyAlignment="1">
      <alignment vertical="center" wrapText="1"/>
    </xf>
    <xf numFmtId="0" fontId="44" fillId="0" borderId="18" xfId="71" applyFont="1" applyBorder="1" applyAlignment="1">
      <alignment horizontal="center" vertical="center" wrapText="1"/>
    </xf>
    <xf numFmtId="0" fontId="47" fillId="0" borderId="89" xfId="83" applyFont="1" applyBorder="1" applyAlignment="1">
      <alignment vertical="center" wrapText="1"/>
    </xf>
    <xf numFmtId="0" fontId="44" fillId="0" borderId="150" xfId="80" applyFont="1" applyBorder="1" applyAlignment="1">
      <alignment horizontal="center" vertical="center" wrapText="1"/>
    </xf>
    <xf numFmtId="0" fontId="44" fillId="0" borderId="152" xfId="80" applyFont="1" applyBorder="1" applyAlignment="1">
      <alignment horizontal="center" vertical="center" wrapText="1"/>
    </xf>
    <xf numFmtId="0" fontId="44" fillId="0" borderId="159" xfId="80" applyFont="1" applyBorder="1" applyAlignment="1">
      <alignment horizontal="center" vertical="center" wrapText="1"/>
    </xf>
    <xf numFmtId="0" fontId="47" fillId="0" borderId="87" xfId="83" applyFont="1" applyBorder="1" applyAlignment="1">
      <alignment horizontal="center" vertical="center" wrapText="1"/>
    </xf>
    <xf numFmtId="0" fontId="47" fillId="0" borderId="23" xfId="83" applyFont="1" applyBorder="1" applyAlignment="1">
      <alignment horizontal="center" vertical="center" wrapText="1"/>
    </xf>
    <xf numFmtId="0" fontId="44" fillId="0" borderId="20" xfId="83" applyFont="1" applyBorder="1" applyAlignment="1">
      <alignment vertical="center" wrapText="1"/>
    </xf>
    <xf numFmtId="0" fontId="44" fillId="0" borderId="180" xfId="71" applyFont="1" applyBorder="1" applyAlignment="1">
      <alignment horizontal="center" vertical="center"/>
    </xf>
    <xf numFmtId="0" fontId="37" fillId="0" borderId="16" xfId="83" applyFont="1" applyBorder="1" applyAlignment="1">
      <alignment horizontal="center" vertical="center" wrapText="1"/>
    </xf>
    <xf numFmtId="0" fontId="44" fillId="0" borderId="13" xfId="71" applyFont="1" applyBorder="1" applyAlignment="1">
      <alignment horizontal="center" vertical="center"/>
    </xf>
    <xf numFmtId="0" fontId="44" fillId="0" borderId="3" xfId="71" applyFont="1" applyBorder="1" applyAlignment="1">
      <alignment horizontal="center" vertical="center"/>
    </xf>
    <xf numFmtId="0" fontId="47" fillId="0" borderId="3" xfId="83" applyFont="1" applyBorder="1">
      <alignment vertical="center"/>
    </xf>
    <xf numFmtId="0" fontId="47" fillId="0" borderId="146" xfId="83" applyFont="1" applyBorder="1">
      <alignment vertical="center"/>
    </xf>
    <xf numFmtId="0" fontId="47" fillId="0" borderId="82" xfId="83" applyFont="1" applyBorder="1" applyAlignment="1">
      <alignment horizontal="center" vertical="center" wrapText="1"/>
    </xf>
    <xf numFmtId="0" fontId="44" fillId="0" borderId="360" xfId="71" applyFont="1" applyBorder="1" applyAlignment="1">
      <alignment horizontal="center" vertical="center"/>
    </xf>
    <xf numFmtId="0" fontId="47" fillId="0" borderId="360" xfId="83" applyFont="1" applyBorder="1">
      <alignment vertical="center"/>
    </xf>
    <xf numFmtId="0" fontId="47" fillId="0" borderId="319" xfId="83" applyFont="1" applyBorder="1">
      <alignment vertical="center"/>
    </xf>
    <xf numFmtId="0" fontId="44" fillId="0" borderId="148" xfId="80" applyFont="1" applyBorder="1" applyAlignment="1">
      <alignment horizontal="center" vertical="center" wrapText="1"/>
    </xf>
    <xf numFmtId="0" fontId="44" fillId="0" borderId="0" xfId="80" applyFont="1" applyAlignment="1">
      <alignment horizontal="center" vertical="center" wrapText="1"/>
    </xf>
    <xf numFmtId="0" fontId="44" fillId="0" borderId="87" xfId="83" applyFont="1" applyBorder="1" applyAlignment="1">
      <alignment vertical="center" wrapText="1"/>
    </xf>
    <xf numFmtId="0" fontId="47" fillId="0" borderId="82" xfId="83" applyFont="1" applyBorder="1">
      <alignment vertical="center"/>
    </xf>
    <xf numFmtId="0" fontId="47" fillId="0" borderId="20" xfId="83" applyFont="1" applyBorder="1">
      <alignment vertical="center"/>
    </xf>
    <xf numFmtId="0" fontId="44" fillId="0" borderId="188" xfId="83" applyFont="1" applyBorder="1" applyAlignment="1">
      <alignment vertical="center" wrapText="1"/>
    </xf>
    <xf numFmtId="0" fontId="44" fillId="0" borderId="81" xfId="83" applyFont="1" applyBorder="1" applyAlignment="1">
      <alignment vertical="center" wrapText="1"/>
    </xf>
    <xf numFmtId="0" fontId="44" fillId="0" borderId="188" xfId="83" applyFont="1" applyBorder="1" applyAlignment="1">
      <alignment horizontal="center" vertical="center" wrapText="1"/>
    </xf>
    <xf numFmtId="0" fontId="37" fillId="0" borderId="10" xfId="80" applyFont="1" applyBorder="1" applyAlignment="1">
      <alignment horizontal="center" vertical="center" wrapText="1"/>
    </xf>
    <xf numFmtId="0" fontId="47" fillId="0" borderId="81" xfId="83" applyFont="1" applyBorder="1" applyAlignment="1">
      <alignment vertical="center" wrapText="1"/>
    </xf>
    <xf numFmtId="0" fontId="47" fillId="0" borderId="88" xfId="83" applyFont="1" applyBorder="1" applyAlignment="1">
      <alignment vertical="center" wrapText="1"/>
    </xf>
    <xf numFmtId="0" fontId="44" fillId="0" borderId="23" xfId="83" applyFont="1" applyBorder="1" applyAlignment="1">
      <alignment vertical="center" wrapText="1"/>
    </xf>
    <xf numFmtId="0" fontId="47" fillId="0" borderId="0" xfId="83" applyFont="1" applyAlignment="1">
      <alignment horizontal="center" vertical="center" wrapText="1"/>
    </xf>
    <xf numFmtId="0" fontId="47" fillId="0" borderId="188" xfId="83" applyFont="1" applyBorder="1" applyAlignment="1">
      <alignment vertical="center" wrapText="1"/>
    </xf>
    <xf numFmtId="0" fontId="44" fillId="0" borderId="23" xfId="83" applyFont="1" applyBorder="1" applyAlignment="1">
      <alignment horizontal="center" vertical="center" wrapText="1"/>
    </xf>
    <xf numFmtId="0" fontId="37" fillId="0" borderId="361" xfId="71" applyFont="1" applyBorder="1" applyAlignment="1">
      <alignment horizontal="center" vertical="center" wrapText="1"/>
    </xf>
    <xf numFmtId="0" fontId="37" fillId="0" borderId="92" xfId="71"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0" xfId="80" applyNumberFormat="1" applyFont="1" applyAlignment="1">
      <alignment horizontal="center" vertical="center" wrapText="1"/>
    </xf>
    <xf numFmtId="0" fontId="37" fillId="0" borderId="16" xfId="108" applyFont="1" applyBorder="1" applyAlignment="1">
      <alignment horizontal="center" vertical="center" wrapText="1"/>
    </xf>
    <xf numFmtId="0" fontId="37" fillId="0" borderId="10" xfId="108" applyFont="1" applyBorder="1" applyAlignment="1">
      <alignment horizontal="center" vertical="center" wrapText="1"/>
    </xf>
    <xf numFmtId="0" fontId="47" fillId="0" borderId="18" xfId="83" applyFont="1" applyBorder="1" applyAlignment="1">
      <alignment horizontal="center" vertical="center" wrapText="1"/>
    </xf>
    <xf numFmtId="0" fontId="37" fillId="0" borderId="188" xfId="108" applyFont="1" applyBorder="1" applyAlignment="1">
      <alignment horizontal="center" vertical="center" wrapText="1"/>
    </xf>
    <xf numFmtId="0" fontId="37" fillId="0" borderId="81" xfId="108" applyFont="1" applyBorder="1" applyAlignment="1">
      <alignment horizontal="center" vertical="center" wrapText="1"/>
    </xf>
    <xf numFmtId="0" fontId="37" fillId="0" borderId="358" xfId="71" applyFont="1" applyBorder="1" applyAlignment="1">
      <alignment horizontal="center" vertical="center" wrapText="1"/>
    </xf>
    <xf numFmtId="0" fontId="37" fillId="0" borderId="359" xfId="71" applyFont="1" applyBorder="1" applyAlignment="1">
      <alignment horizontal="center" vertical="center" wrapText="1"/>
    </xf>
    <xf numFmtId="0" fontId="37" fillId="0" borderId="5" xfId="71" applyFont="1" applyBorder="1" applyAlignment="1">
      <alignment horizontal="center" vertical="center" wrapText="1"/>
    </xf>
    <xf numFmtId="0" fontId="37" fillId="0" borderId="4" xfId="71" applyFont="1" applyBorder="1" applyAlignment="1">
      <alignment horizontal="center" vertical="center" wrapText="1"/>
    </xf>
    <xf numFmtId="0" fontId="37" fillId="0" borderId="91" xfId="71" applyFont="1" applyBorder="1" applyAlignment="1">
      <alignment horizontal="center" vertical="center" wrapText="1"/>
    </xf>
    <xf numFmtId="0" fontId="47" fillId="0" borderId="361" xfId="83" applyFont="1" applyBorder="1" applyAlignment="1">
      <alignment horizontal="center" vertical="center" wrapText="1"/>
    </xf>
    <xf numFmtId="0" fontId="37" fillId="0" borderId="150" xfId="71" applyFont="1" applyBorder="1" applyAlignment="1">
      <alignment horizontal="center" vertical="center" wrapText="1"/>
    </xf>
    <xf numFmtId="0" fontId="47" fillId="0" borderId="92" xfId="83" applyFont="1" applyBorder="1" applyAlignment="1">
      <alignment horizontal="center" vertical="center" wrapText="1"/>
    </xf>
    <xf numFmtId="0" fontId="37" fillId="0" borderId="10" xfId="71" applyFont="1" applyBorder="1" applyAlignment="1">
      <alignment horizontal="center" vertical="center"/>
    </xf>
    <xf numFmtId="0" fontId="37" fillId="0" borderId="105" xfId="71" applyFont="1" applyBorder="1" applyAlignment="1">
      <alignment horizontal="center" vertical="center" wrapText="1"/>
    </xf>
    <xf numFmtId="0" fontId="47" fillId="0" borderId="3" xfId="83" applyFont="1" applyBorder="1" applyAlignment="1">
      <alignment horizontal="center" vertical="center" wrapText="1"/>
    </xf>
    <xf numFmtId="0" fontId="37" fillId="0" borderId="87" xfId="108" applyFont="1" applyBorder="1" applyAlignment="1">
      <alignment horizontal="center" vertical="center" wrapText="1"/>
    </xf>
    <xf numFmtId="0" fontId="37" fillId="0" borderId="105" xfId="83" applyFont="1" applyBorder="1" applyAlignment="1">
      <alignment horizontal="left" vertical="center" wrapText="1"/>
    </xf>
    <xf numFmtId="0" fontId="37" fillId="0" borderId="3" xfId="83" applyFont="1" applyBorder="1" applyAlignment="1">
      <alignment horizontal="left" vertical="center"/>
    </xf>
    <xf numFmtId="0" fontId="37" fillId="0" borderId="14" xfId="81" applyFont="1" applyBorder="1">
      <alignment vertical="center"/>
    </xf>
    <xf numFmtId="0" fontId="47" fillId="0" borderId="177" xfId="83" applyFont="1" applyBorder="1">
      <alignment vertical="center"/>
    </xf>
    <xf numFmtId="0" fontId="37" fillId="0" borderId="82" xfId="83" applyFont="1" applyBorder="1" applyAlignment="1">
      <alignment horizontal="center" vertical="center" wrapText="1"/>
    </xf>
    <xf numFmtId="0" fontId="37" fillId="0" borderId="23" xfId="108" applyFont="1" applyBorder="1" applyAlignment="1">
      <alignment horizontal="center" vertical="center" wrapText="1"/>
    </xf>
    <xf numFmtId="0" fontId="37" fillId="0" borderId="82" xfId="108" applyFont="1" applyBorder="1" applyAlignment="1">
      <alignment horizontal="center" vertical="center" wrapText="1"/>
    </xf>
    <xf numFmtId="0" fontId="37" fillId="0" borderId="20" xfId="108" applyFont="1" applyBorder="1" applyAlignment="1">
      <alignment horizontal="center" vertical="center" wrapText="1"/>
    </xf>
    <xf numFmtId="0" fontId="37" fillId="0" borderId="112" xfId="83" applyFont="1" applyBorder="1" applyAlignment="1">
      <alignment horizontal="left" vertical="center"/>
    </xf>
    <xf numFmtId="0" fontId="37" fillId="0" borderId="18" xfId="108" applyFont="1" applyBorder="1" applyAlignment="1">
      <alignment horizontal="center" vertical="center" wrapText="1"/>
    </xf>
    <xf numFmtId="0" fontId="37" fillId="0" borderId="89" xfId="71" applyFont="1" applyBorder="1" applyAlignment="1">
      <alignment horizontal="center" vertical="center" wrapText="1"/>
    </xf>
    <xf numFmtId="0" fontId="47" fillId="0" borderId="105" xfId="83" applyFont="1" applyBorder="1" applyAlignment="1">
      <alignment horizontal="center" vertical="center" wrapText="1"/>
    </xf>
    <xf numFmtId="0" fontId="37" fillId="0" borderId="22" xfId="108" applyFont="1" applyBorder="1" applyAlignment="1">
      <alignment horizontal="center" vertical="center" wrapText="1"/>
    </xf>
    <xf numFmtId="0" fontId="37" fillId="0" borderId="6" xfId="108" applyFont="1" applyBorder="1" applyAlignment="1">
      <alignment horizontal="center" vertical="center" wrapText="1"/>
    </xf>
    <xf numFmtId="0" fontId="37" fillId="0" borderId="80" xfId="108" applyFont="1" applyBorder="1" applyAlignment="1">
      <alignment horizontal="center" vertical="center" wrapText="1"/>
    </xf>
    <xf numFmtId="0" fontId="37" fillId="0" borderId="16" xfId="71" applyFont="1" applyBorder="1" applyAlignment="1">
      <alignment horizontal="center" vertical="center" wrapText="1"/>
    </xf>
    <xf numFmtId="0" fontId="37" fillId="0" borderId="10" xfId="71" applyFont="1" applyBorder="1" applyAlignment="1">
      <alignment horizontal="center" vertical="center" wrapText="1"/>
    </xf>
    <xf numFmtId="0" fontId="37" fillId="0" borderId="73" xfId="71" applyFont="1" applyBorder="1" applyAlignment="1">
      <alignment horizontal="center" vertical="center" wrapText="1"/>
    </xf>
    <xf numFmtId="0" fontId="37" fillId="0" borderId="138" xfId="71" applyFont="1" applyBorder="1" applyAlignment="1">
      <alignment horizontal="center" vertical="center" wrapText="1"/>
    </xf>
    <xf numFmtId="0" fontId="37" fillId="0" borderId="17" xfId="71"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5" xfId="80" applyNumberFormat="1" applyFont="1" applyBorder="1" applyAlignment="1">
      <alignment horizontal="center" vertical="center" wrapText="1"/>
    </xf>
    <xf numFmtId="0" fontId="37" fillId="0" borderId="22" xfId="71" applyFont="1" applyBorder="1" applyAlignment="1">
      <alignment horizontal="center" vertical="center" wrapText="1"/>
    </xf>
    <xf numFmtId="0" fontId="47" fillId="0" borderId="17" xfId="83" applyFont="1" applyBorder="1" applyAlignment="1">
      <alignment horizontal="center" vertical="center" wrapText="1"/>
    </xf>
    <xf numFmtId="0" fontId="8" fillId="0" borderId="23" xfId="91" applyFont="1" applyBorder="1" applyAlignment="1">
      <alignment horizontal="center" vertical="center" wrapText="1"/>
    </xf>
    <xf numFmtId="0" fontId="8" fillId="0" borderId="82" xfId="91" applyFont="1" applyBorder="1" applyAlignment="1">
      <alignment horizontal="center" vertical="center" wrapText="1"/>
    </xf>
    <xf numFmtId="0" fontId="8" fillId="0" borderId="20" xfId="91" applyFont="1" applyBorder="1" applyAlignment="1">
      <alignment horizontal="center" vertical="center" wrapText="1"/>
    </xf>
    <xf numFmtId="0" fontId="8" fillId="0" borderId="10" xfId="91" applyFont="1" applyBorder="1" applyAlignment="1">
      <alignment horizontal="center" vertical="center"/>
    </xf>
    <xf numFmtId="0" fontId="8" fillId="0" borderId="23" xfId="113" applyFont="1" applyBorder="1" applyAlignment="1">
      <alignment horizontal="center" vertical="center" wrapText="1"/>
    </xf>
    <xf numFmtId="0" fontId="8" fillId="0" borderId="82" xfId="66" applyFont="1" applyBorder="1" applyAlignment="1">
      <alignment horizontal="center" vertical="center" wrapText="1"/>
    </xf>
    <xf numFmtId="0" fontId="8" fillId="0" borderId="73" xfId="91" applyFont="1" applyBorder="1" applyAlignment="1">
      <alignment horizontal="center" vertical="center"/>
    </xf>
    <xf numFmtId="0" fontId="8" fillId="0" borderId="167" xfId="91" applyFont="1" applyBorder="1" applyAlignment="1">
      <alignment horizontal="center" vertical="center"/>
    </xf>
    <xf numFmtId="0" fontId="8" fillId="0" borderId="11" xfId="91" applyFont="1" applyBorder="1" applyAlignment="1">
      <alignment horizontal="center" vertical="center"/>
    </xf>
    <xf numFmtId="0" fontId="8" fillId="0" borderId="0" xfId="93" applyFont="1" applyAlignment="1">
      <alignment horizontal="left" wrapText="1"/>
    </xf>
    <xf numFmtId="0" fontId="8" fillId="0" borderId="23" xfId="66" applyFont="1" applyBorder="1" applyAlignment="1">
      <alignment horizontal="center" vertical="center" wrapText="1"/>
    </xf>
    <xf numFmtId="0" fontId="124" fillId="0" borderId="23" xfId="67" applyFont="1" applyBorder="1" applyAlignment="1">
      <alignment horizontal="center" vertical="center" wrapText="1"/>
    </xf>
    <xf numFmtId="0" fontId="124" fillId="0" borderId="82" xfId="67" applyFont="1" applyBorder="1" applyAlignment="1">
      <alignment horizontal="center" vertical="center" wrapText="1"/>
    </xf>
    <xf numFmtId="0" fontId="124" fillId="0" borderId="20" xfId="67" applyFont="1" applyBorder="1" applyAlignment="1">
      <alignment horizontal="center" vertical="center" wrapText="1"/>
    </xf>
    <xf numFmtId="0" fontId="123" fillId="0" borderId="23" xfId="91" applyFont="1" applyBorder="1" applyAlignment="1">
      <alignment horizontal="center" vertical="center" wrapText="1"/>
    </xf>
    <xf numFmtId="0" fontId="123" fillId="0" borderId="82" xfId="91" applyFont="1" applyBorder="1" applyAlignment="1">
      <alignment horizontal="center" vertical="center" wrapText="1"/>
    </xf>
    <xf numFmtId="0" fontId="123" fillId="0" borderId="20" xfId="91" applyFont="1" applyBorder="1" applyAlignment="1">
      <alignment horizontal="center" vertical="center" wrapText="1"/>
    </xf>
    <xf numFmtId="0" fontId="123" fillId="0" borderId="73" xfId="113" applyFont="1" applyBorder="1" applyAlignment="1">
      <alignment horizontal="center" vertical="center" wrapText="1"/>
    </xf>
    <xf numFmtId="0" fontId="123" fillId="0" borderId="167" xfId="113" applyFont="1" applyBorder="1" applyAlignment="1">
      <alignment horizontal="center" vertical="center" wrapText="1"/>
    </xf>
    <xf numFmtId="0" fontId="123" fillId="0" borderId="11" xfId="113" applyFont="1" applyBorder="1" applyAlignment="1">
      <alignment horizontal="center" vertical="center" wrapText="1"/>
    </xf>
    <xf numFmtId="0" fontId="123" fillId="0" borderId="23" xfId="67" applyFont="1" applyBorder="1" applyAlignment="1">
      <alignment horizontal="center" vertical="center" wrapText="1"/>
    </xf>
    <xf numFmtId="0" fontId="122" fillId="0" borderId="20" xfId="0" applyFont="1" applyBorder="1" applyAlignment="1">
      <alignment horizontal="center" vertical="center" wrapText="1"/>
    </xf>
    <xf numFmtId="0" fontId="123" fillId="0" borderId="73" xfId="91" applyFont="1" applyBorder="1" applyAlignment="1">
      <alignment horizontal="center" vertical="center"/>
    </xf>
    <xf numFmtId="0" fontId="123" fillId="0" borderId="167" xfId="91" applyFont="1" applyBorder="1" applyAlignment="1">
      <alignment horizontal="center" vertical="center"/>
    </xf>
    <xf numFmtId="0" fontId="123" fillId="0" borderId="11" xfId="91" applyFont="1" applyBorder="1" applyAlignment="1">
      <alignment horizontal="center" vertical="center"/>
    </xf>
    <xf numFmtId="0" fontId="123" fillId="0" borderId="23" xfId="93" applyFont="1" applyBorder="1" applyAlignment="1">
      <alignment horizontal="center" vertical="center" wrapText="1"/>
    </xf>
    <xf numFmtId="0" fontId="123" fillId="0" borderId="82" xfId="93" applyFont="1" applyBorder="1" applyAlignment="1">
      <alignment horizontal="center" vertical="center" wrapText="1"/>
    </xf>
    <xf numFmtId="0" fontId="123" fillId="0" borderId="20" xfId="93" applyFont="1" applyBorder="1" applyAlignment="1">
      <alignment horizontal="center" vertical="center" wrapText="1"/>
    </xf>
    <xf numFmtId="0" fontId="124" fillId="0" borderId="0" xfId="93" applyFont="1" applyAlignment="1">
      <alignment horizontal="left" wrapText="1"/>
    </xf>
    <xf numFmtId="0" fontId="123" fillId="0" borderId="23" xfId="113" applyFont="1" applyBorder="1" applyAlignment="1">
      <alignment horizontal="center" vertical="center" wrapText="1"/>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2" fillId="0" borderId="10" xfId="0" applyFont="1" applyBorder="1" applyAlignment="1">
      <alignment horizontal="center" vertical="center" wrapText="1"/>
    </xf>
    <xf numFmtId="0" fontId="123" fillId="0" borderId="73" xfId="67" applyFont="1" applyBorder="1" applyAlignment="1">
      <alignment horizontal="center" vertical="center" wrapText="1"/>
    </xf>
    <xf numFmtId="0" fontId="122" fillId="0" borderId="167" xfId="0" applyFont="1" applyBorder="1" applyAlignment="1">
      <alignment horizontal="center" vertical="center" wrapText="1"/>
    </xf>
    <xf numFmtId="0" fontId="122" fillId="0" borderId="11" xfId="0" applyFont="1" applyBorder="1" applyAlignment="1">
      <alignment horizontal="center" vertical="center" wrapText="1"/>
    </xf>
    <xf numFmtId="0" fontId="123" fillId="0" borderId="23" xfId="93" applyFont="1" applyBorder="1" applyAlignment="1">
      <alignment horizontal="distributed" vertical="center" wrapText="1"/>
    </xf>
    <xf numFmtId="0" fontId="123" fillId="0" borderId="82" xfId="93" applyFont="1" applyBorder="1" applyAlignment="1">
      <alignment horizontal="distributed" vertical="center" wrapText="1"/>
    </xf>
    <xf numFmtId="0" fontId="122" fillId="0" borderId="20" xfId="0" applyFont="1" applyBorder="1" applyAlignment="1">
      <alignment horizontal="distributed" vertical="center" wrapText="1"/>
    </xf>
    <xf numFmtId="194" fontId="124" fillId="0" borderId="158" xfId="113" applyNumberFormat="1" applyFont="1" applyBorder="1" applyAlignment="1" applyProtection="1">
      <alignment vertical="center"/>
      <protection locked="0"/>
    </xf>
    <xf numFmtId="194" fontId="124" fillId="0" borderId="362" xfId="113" applyNumberFormat="1" applyFont="1" applyBorder="1" applyAlignment="1" applyProtection="1">
      <alignment vertical="center"/>
      <protection locked="0"/>
    </xf>
    <xf numFmtId="194" fontId="124" fillId="0" borderId="171" xfId="113" applyNumberFormat="1" applyFont="1" applyBorder="1" applyAlignment="1" applyProtection="1">
      <alignment vertical="center"/>
      <protection locked="0"/>
    </xf>
    <xf numFmtId="194" fontId="124" fillId="0" borderId="363" xfId="113" applyNumberFormat="1" applyFont="1" applyBorder="1" applyAlignment="1" applyProtection="1">
      <alignment vertical="center"/>
      <protection locked="0"/>
    </xf>
    <xf numFmtId="194" fontId="124" fillId="0" borderId="364" xfId="113" applyNumberFormat="1" applyFont="1" applyBorder="1" applyAlignment="1" applyProtection="1">
      <alignment vertical="center"/>
      <protection locked="0"/>
    </xf>
    <xf numFmtId="194" fontId="124" fillId="0" borderId="365" xfId="113" applyNumberFormat="1" applyFont="1" applyBorder="1" applyAlignment="1" applyProtection="1">
      <alignment vertical="center"/>
      <protection locked="0"/>
    </xf>
    <xf numFmtId="194" fontId="124" fillId="0" borderId="366" xfId="113" applyNumberFormat="1" applyFont="1" applyBorder="1" applyAlignment="1" applyProtection="1">
      <alignment vertical="center"/>
      <protection locked="0"/>
    </xf>
    <xf numFmtId="194" fontId="124" fillId="0" borderId="367" xfId="113" applyNumberFormat="1" applyFont="1" applyBorder="1" applyAlignment="1" applyProtection="1">
      <alignment vertical="center"/>
      <protection locked="0"/>
    </xf>
    <xf numFmtId="194" fontId="99" fillId="0" borderId="367" xfId="113" applyNumberFormat="1" applyFont="1" applyBorder="1" applyAlignment="1" applyProtection="1">
      <alignment vertical="center"/>
      <protection locked="0"/>
    </xf>
    <xf numFmtId="194" fontId="124" fillId="0" borderId="163" xfId="113" applyNumberFormat="1" applyFont="1" applyBorder="1" applyAlignment="1" applyProtection="1">
      <alignment vertical="center"/>
      <protection locked="0"/>
    </xf>
    <xf numFmtId="0" fontId="115" fillId="0" borderId="0" xfId="94" applyFont="1" applyAlignment="1">
      <alignment horizontal="left" wrapText="1"/>
    </xf>
    <xf numFmtId="0" fontId="49" fillId="0" borderId="0" xfId="93" quotePrefix="1" applyFont="1" applyAlignment="1">
      <alignment horizontal="left" wrapText="1"/>
    </xf>
    <xf numFmtId="0" fontId="48" fillId="0" borderId="0" xfId="93" applyFont="1" applyAlignment="1">
      <alignment horizontal="left" wrapText="1"/>
    </xf>
    <xf numFmtId="0" fontId="0" fillId="0" borderId="0" xfId="0" applyAlignment="1">
      <alignment horizontal="left" wrapText="1"/>
    </xf>
    <xf numFmtId="0" fontId="0" fillId="0" borderId="20" xfId="0" applyBorder="1" applyAlignment="1">
      <alignment vertical="center" wrapText="1"/>
    </xf>
    <xf numFmtId="0" fontId="8" fillId="0" borderId="73" xfId="113" applyFont="1" applyBorder="1" applyAlignment="1">
      <alignment horizontal="center" vertical="center" wrapText="1"/>
    </xf>
    <xf numFmtId="0" fontId="0" fillId="0" borderId="11" xfId="0" applyBorder="1" applyAlignment="1">
      <alignment vertical="center" wrapText="1"/>
    </xf>
    <xf numFmtId="0" fontId="83" fillId="0" borderId="23" xfId="0" applyFont="1" applyBorder="1" applyAlignment="1">
      <alignment horizontal="center" vertical="center" wrapText="1"/>
    </xf>
    <xf numFmtId="0" fontId="83" fillId="0" borderId="82" xfId="0" applyFont="1" applyBorder="1" applyAlignment="1">
      <alignment horizontal="center" vertical="center" wrapText="1"/>
    </xf>
    <xf numFmtId="0" fontId="83" fillId="0" borderId="10" xfId="89" applyFont="1" applyBorder="1" applyAlignment="1">
      <alignment horizontal="center" vertical="center" wrapText="1"/>
    </xf>
    <xf numFmtId="0" fontId="83" fillId="0" borderId="23" xfId="89" applyFont="1" applyBorder="1" applyAlignment="1">
      <alignment horizontal="center" vertical="center" wrapText="1"/>
    </xf>
    <xf numFmtId="0" fontId="83" fillId="0" borderId="10" xfId="0" applyFont="1" applyBorder="1" applyAlignment="1">
      <alignment horizontal="center" vertical="center" wrapText="1"/>
    </xf>
    <xf numFmtId="0" fontId="83" fillId="0" borderId="23" xfId="0" applyFont="1" applyBorder="1"/>
    <xf numFmtId="0" fontId="83" fillId="0" borderId="73" xfId="0" applyFont="1" applyBorder="1" applyAlignment="1">
      <alignment horizontal="center" vertical="center"/>
    </xf>
    <xf numFmtId="0" fontId="83" fillId="0" borderId="167" xfId="0" applyFont="1" applyBorder="1" applyAlignment="1">
      <alignment horizontal="center" vertical="center"/>
    </xf>
    <xf numFmtId="0" fontId="83" fillId="0" borderId="73" xfId="115" applyFont="1" applyBorder="1" applyAlignment="1">
      <alignment horizontal="center"/>
    </xf>
    <xf numFmtId="0" fontId="83" fillId="0" borderId="167" xfId="115" applyFont="1" applyBorder="1" applyAlignment="1">
      <alignment horizontal="center"/>
    </xf>
    <xf numFmtId="0" fontId="83" fillId="0" borderId="23" xfId="115" applyFont="1" applyBorder="1" applyAlignment="1">
      <alignment horizontal="center" vertical="center"/>
    </xf>
    <xf numFmtId="0" fontId="83" fillId="0" borderId="82" xfId="115" quotePrefix="1" applyFont="1" applyBorder="1" applyAlignment="1">
      <alignment horizontal="center" vertical="center"/>
    </xf>
    <xf numFmtId="0" fontId="83" fillId="0" borderId="23" xfId="91" applyFont="1" applyBorder="1" applyAlignment="1">
      <alignment horizontal="left" vertical="center" wrapText="1"/>
    </xf>
    <xf numFmtId="0" fontId="83" fillId="0" borderId="82" xfId="91" applyFont="1" applyBorder="1" applyAlignment="1">
      <alignment horizontal="left" vertical="center" wrapText="1"/>
    </xf>
    <xf numFmtId="0" fontId="83" fillId="0" borderId="20" xfId="91" applyFont="1" applyBorder="1" applyAlignment="1">
      <alignment horizontal="left" vertical="center" wrapText="1"/>
    </xf>
    <xf numFmtId="0" fontId="83" fillId="0" borderId="10" xfId="115" applyFont="1" applyBorder="1" applyAlignment="1">
      <alignment horizontal="center" vertical="center"/>
    </xf>
    <xf numFmtId="0" fontId="83" fillId="0" borderId="11" xfId="115" applyFont="1" applyBorder="1" applyAlignment="1">
      <alignment horizontal="center"/>
    </xf>
    <xf numFmtId="0" fontId="83" fillId="0" borderId="10" xfId="91" applyFont="1" applyBorder="1" applyAlignment="1">
      <alignment horizontal="center" vertical="center" wrapText="1"/>
    </xf>
    <xf numFmtId="179" fontId="83" fillId="0" borderId="23" xfId="132" applyNumberFormat="1" applyFont="1" applyFill="1" applyBorder="1" applyAlignment="1">
      <alignment horizontal="center" vertical="center" wrapText="1"/>
    </xf>
    <xf numFmtId="179" fontId="83" fillId="0" borderId="82" xfId="132" applyNumberFormat="1" applyFont="1" applyFill="1" applyBorder="1" applyAlignment="1">
      <alignment horizontal="center" vertical="center" wrapText="1"/>
    </xf>
    <xf numFmtId="179" fontId="83" fillId="0" borderId="85" xfId="132" applyNumberFormat="1" applyFont="1" applyFill="1" applyBorder="1" applyAlignment="1">
      <alignment horizontal="center" vertical="center" wrapText="1"/>
    </xf>
    <xf numFmtId="179" fontId="83" fillId="0" borderId="134" xfId="132" applyNumberFormat="1" applyFont="1" applyFill="1" applyBorder="1" applyAlignment="1">
      <alignment horizontal="center" vertical="center" wrapText="1"/>
    </xf>
    <xf numFmtId="179" fontId="83" fillId="0" borderId="23" xfId="132" applyNumberFormat="1" applyFont="1" applyFill="1" applyBorder="1" applyAlignment="1">
      <alignment horizontal="center" vertical="center"/>
    </xf>
    <xf numFmtId="179" fontId="83" fillId="0" borderId="82" xfId="132" applyNumberFormat="1" applyFont="1" applyFill="1" applyBorder="1" applyAlignment="1">
      <alignment horizontal="center" vertical="center"/>
    </xf>
    <xf numFmtId="0" fontId="83" fillId="0" borderId="23" xfId="0" applyFont="1" applyBorder="1" applyAlignment="1">
      <alignment horizontal="left" vertical="center" wrapText="1"/>
    </xf>
    <xf numFmtId="0" fontId="83" fillId="0" borderId="82" xfId="0" applyFont="1" applyBorder="1" applyAlignment="1">
      <alignment horizontal="left" vertical="center" wrapText="1"/>
    </xf>
    <xf numFmtId="0" fontId="83" fillId="0" borderId="20" xfId="0" applyFont="1" applyBorder="1" applyAlignment="1">
      <alignment horizontal="left" vertical="center" wrapText="1"/>
    </xf>
    <xf numFmtId="0" fontId="83" fillId="0" borderId="10" xfId="0" applyFont="1" applyBorder="1" applyAlignment="1">
      <alignment horizontal="distributed" vertical="center"/>
    </xf>
    <xf numFmtId="0" fontId="81" fillId="0" borderId="82" xfId="0" applyFont="1" applyBorder="1"/>
    <xf numFmtId="0" fontId="8" fillId="0" borderId="73" xfId="124" applyFont="1" applyBorder="1" applyAlignment="1">
      <alignment horizontal="center" vertical="center" wrapText="1"/>
    </xf>
    <xf numFmtId="0" fontId="0" fillId="0" borderId="167" xfId="0" applyBorder="1" applyAlignment="1">
      <alignment horizontal="center" vertical="center" wrapText="1"/>
    </xf>
    <xf numFmtId="0" fontId="0" fillId="0" borderId="11" xfId="0" applyBorder="1" applyAlignment="1">
      <alignment horizontal="center" vertical="center" wrapText="1"/>
    </xf>
    <xf numFmtId="0" fontId="8" fillId="0" borderId="23" xfId="0" applyFont="1" applyBorder="1" applyAlignment="1">
      <alignment horizontal="distributed" vertical="center" wrapText="1"/>
    </xf>
    <xf numFmtId="0" fontId="8" fillId="0" borderId="82" xfId="0" applyFont="1" applyBorder="1" applyAlignment="1">
      <alignment horizontal="distributed" vertical="center" wrapText="1"/>
    </xf>
    <xf numFmtId="0" fontId="8" fillId="0" borderId="167" xfId="113" applyFont="1" applyBorder="1" applyAlignment="1">
      <alignment horizontal="center" vertical="center" wrapText="1"/>
    </xf>
    <xf numFmtId="0" fontId="8" fillId="0" borderId="11" xfId="113" applyFont="1" applyBorder="1" applyAlignment="1">
      <alignment horizontal="center" vertical="center" wrapText="1"/>
    </xf>
    <xf numFmtId="0" fontId="8" fillId="0" borderId="23" xfId="0" applyFont="1" applyBorder="1" applyAlignment="1">
      <alignment horizontal="left" vertical="center" wrapText="1"/>
    </xf>
    <xf numFmtId="0" fontId="8" fillId="0" borderId="82" xfId="0" applyFont="1" applyBorder="1" applyAlignment="1">
      <alignment horizontal="left" vertical="center" wrapText="1"/>
    </xf>
    <xf numFmtId="0" fontId="8" fillId="0" borderId="20" xfId="0" applyFont="1" applyBorder="1" applyAlignment="1">
      <alignment horizontal="left" vertical="center" wrapText="1"/>
    </xf>
    <xf numFmtId="0" fontId="8" fillId="0" borderId="10" xfId="0" applyFont="1" applyBorder="1" applyAlignment="1">
      <alignment horizontal="distributed" vertical="center"/>
    </xf>
    <xf numFmtId="179" fontId="8" fillId="0" borderId="23" xfId="132" applyNumberFormat="1" applyFont="1" applyFill="1" applyBorder="1" applyAlignment="1">
      <alignment horizontal="center" vertical="center" wrapText="1"/>
    </xf>
    <xf numFmtId="0" fontId="0" fillId="0" borderId="20" xfId="0" applyBorder="1" applyAlignment="1">
      <alignment horizontal="center" vertical="center" wrapText="1"/>
    </xf>
    <xf numFmtId="0" fontId="8" fillId="0" borderId="73" xfId="124" applyFont="1" applyBorder="1" applyAlignment="1">
      <alignment horizontal="center" vertical="center"/>
    </xf>
    <xf numFmtId="0" fontId="8" fillId="0" borderId="167" xfId="124" applyFont="1" applyBorder="1" applyAlignment="1">
      <alignment horizontal="center" vertical="center"/>
    </xf>
    <xf numFmtId="0" fontId="8" fillId="0" borderId="11" xfId="124" applyFont="1" applyBorder="1" applyAlignment="1">
      <alignment horizontal="center" vertical="center"/>
    </xf>
    <xf numFmtId="0" fontId="83" fillId="0" borderId="20" xfId="0" applyFont="1" applyBorder="1" applyAlignment="1">
      <alignment horizontal="center" vertical="center" wrapText="1"/>
    </xf>
    <xf numFmtId="0" fontId="83" fillId="0" borderId="0" xfId="102" applyFont="1" applyAlignment="1">
      <alignment horizontal="left" vertical="center" wrapText="1"/>
    </xf>
    <xf numFmtId="0" fontId="83" fillId="0" borderId="10" xfId="112" applyFont="1" applyBorder="1" applyAlignment="1">
      <alignment horizontal="distributed" vertical="center" wrapText="1"/>
    </xf>
    <xf numFmtId="0" fontId="83" fillId="0" borderId="23" xfId="112" applyFont="1" applyBorder="1" applyAlignment="1">
      <alignment vertical="center" wrapText="1"/>
    </xf>
    <xf numFmtId="0" fontId="83" fillId="0" borderId="23" xfId="112" applyFont="1" applyBorder="1" applyAlignment="1">
      <alignment horizontal="center" vertical="center" wrapText="1"/>
    </xf>
    <xf numFmtId="0" fontId="83" fillId="0" borderId="82" xfId="112" applyFont="1" applyBorder="1" applyAlignment="1">
      <alignment horizontal="center" vertical="center" wrapText="1"/>
    </xf>
    <xf numFmtId="0" fontId="83" fillId="0" borderId="20" xfId="112" applyFont="1" applyBorder="1" applyAlignment="1">
      <alignment horizontal="center" vertical="center" wrapText="1"/>
    </xf>
    <xf numFmtId="0" fontId="83" fillId="0" borderId="23" xfId="112" applyFont="1" applyBorder="1" applyAlignment="1">
      <alignment horizontal="center" vertical="center"/>
    </xf>
    <xf numFmtId="0" fontId="83" fillId="0" borderId="82" xfId="112" applyFont="1" applyBorder="1" applyAlignment="1">
      <alignment horizontal="center" vertical="center"/>
    </xf>
    <xf numFmtId="0" fontId="83" fillId="0" borderId="20" xfId="112" applyFont="1" applyBorder="1" applyAlignment="1">
      <alignment horizontal="center" vertical="center"/>
    </xf>
    <xf numFmtId="49" fontId="83" fillId="0" borderId="23" xfId="112" applyNumberFormat="1" applyFont="1" applyBorder="1" applyAlignment="1">
      <alignment horizontal="center" vertical="center" wrapText="1"/>
    </xf>
    <xf numFmtId="49" fontId="83" fillId="0" borderId="82" xfId="112" applyNumberFormat="1" applyFont="1" applyBorder="1" applyAlignment="1">
      <alignment horizontal="center" vertical="center" wrapText="1"/>
    </xf>
    <xf numFmtId="0" fontId="83" fillId="0" borderId="10" xfId="100" applyFont="1" applyBorder="1" applyAlignment="1">
      <alignment horizontal="center" vertical="center" wrapText="1"/>
    </xf>
    <xf numFmtId="0" fontId="83" fillId="0" borderId="23" xfId="100" applyFont="1" applyBorder="1" applyAlignment="1">
      <alignment horizontal="center" vertical="center" wrapText="1"/>
    </xf>
    <xf numFmtId="0" fontId="83" fillId="0" borderId="10" xfId="112" applyFont="1" applyBorder="1" applyAlignment="1">
      <alignment horizontal="center" vertical="center" wrapText="1"/>
    </xf>
    <xf numFmtId="0" fontId="83" fillId="0" borderId="23" xfId="112" applyFont="1" applyBorder="1" applyAlignment="1">
      <alignment horizontal="distributed" vertical="center" wrapText="1"/>
    </xf>
    <xf numFmtId="0" fontId="37" fillId="0" borderId="73" xfId="95" applyFont="1" applyBorder="1" applyAlignment="1">
      <alignment horizontal="left" vertical="center"/>
    </xf>
    <xf numFmtId="0" fontId="47" fillId="0" borderId="167" xfId="107" applyFont="1" applyBorder="1" applyAlignment="1">
      <alignment horizontal="left" vertical="center"/>
    </xf>
    <xf numFmtId="0" fontId="47" fillId="0" borderId="11" xfId="107" applyFont="1" applyBorder="1" applyAlignment="1">
      <alignment horizontal="left" vertical="center"/>
    </xf>
    <xf numFmtId="0" fontId="37" fillId="0" borderId="10" xfId="95" applyFont="1" applyBorder="1" applyAlignment="1">
      <alignment horizontal="center" vertical="distributed" wrapText="1"/>
    </xf>
    <xf numFmtId="0" fontId="37" fillId="0" borderId="10" xfId="121" applyFont="1" applyBorder="1" applyAlignment="1">
      <alignment horizontal="center" vertical="center" wrapText="1"/>
    </xf>
    <xf numFmtId="0" fontId="37" fillId="0" borderId="10" xfId="95" applyFont="1" applyBorder="1" applyAlignment="1">
      <alignment horizontal="center" vertical="center"/>
    </xf>
    <xf numFmtId="0" fontId="83" fillId="0" borderId="23" xfId="124" applyFont="1" applyBorder="1" applyAlignment="1">
      <alignment horizontal="center" vertical="center"/>
    </xf>
    <xf numFmtId="0" fontId="83" fillId="0" borderId="82" xfId="124" applyFont="1" applyBorder="1" applyAlignment="1">
      <alignment horizontal="center" vertical="center"/>
    </xf>
    <xf numFmtId="0" fontId="83" fillId="0" borderId="23" xfId="0" applyFont="1" applyBorder="1" applyAlignment="1">
      <alignment horizontal="distributed" vertical="center" wrapText="1"/>
    </xf>
    <xf numFmtId="0" fontId="83" fillId="0" borderId="82" xfId="0" applyFont="1" applyBorder="1" applyAlignment="1">
      <alignment horizontal="distributed" vertical="center" wrapText="1"/>
    </xf>
    <xf numFmtId="0" fontId="83" fillId="0" borderId="10" xfId="124" applyFont="1" applyBorder="1" applyAlignment="1">
      <alignment horizontal="center" vertical="center"/>
    </xf>
    <xf numFmtId="0" fontId="83" fillId="0" borderId="85" xfId="124" applyFont="1" applyBorder="1" applyAlignment="1">
      <alignment horizontal="center" vertical="center" wrapText="1"/>
    </xf>
    <xf numFmtId="0" fontId="83" fillId="0" borderId="1" xfId="124" applyFont="1" applyBorder="1" applyAlignment="1">
      <alignment horizontal="center" vertical="center" wrapText="1"/>
    </xf>
    <xf numFmtId="49" fontId="114" fillId="0" borderId="10" xfId="81" applyNumberFormat="1"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22" xfId="0" applyFont="1" applyBorder="1" applyAlignment="1">
      <alignment horizontal="center" vertical="center" wrapText="1"/>
    </xf>
    <xf numFmtId="0" fontId="114" fillId="0" borderId="6" xfId="0" applyFont="1" applyBorder="1" applyAlignment="1">
      <alignment horizontal="center" vertical="center" wrapText="1"/>
    </xf>
    <xf numFmtId="0" fontId="114" fillId="0" borderId="13" xfId="0" applyFont="1" applyBorder="1" applyAlignment="1">
      <alignment horizontal="center" vertical="center" wrapText="1"/>
    </xf>
    <xf numFmtId="0" fontId="115" fillId="6" borderId="10" xfId="0" applyFont="1" applyFill="1" applyBorder="1" applyAlignment="1">
      <alignment horizontal="left" vertical="center" wrapText="1"/>
    </xf>
    <xf numFmtId="0" fontId="115" fillId="0" borderId="23"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20" xfId="0" applyFont="1" applyBorder="1" applyAlignment="1">
      <alignment horizontal="center" vertical="center" wrapText="1"/>
    </xf>
    <xf numFmtId="0" fontId="115" fillId="6" borderId="18" xfId="0" applyFont="1" applyFill="1" applyBorder="1" applyAlignment="1">
      <alignment horizontal="left" vertical="center" wrapText="1"/>
    </xf>
    <xf numFmtId="0" fontId="115" fillId="6" borderId="20" xfId="0" applyFont="1" applyFill="1" applyBorder="1" applyAlignment="1">
      <alignment horizontal="left" vertical="center" wrapText="1"/>
    </xf>
    <xf numFmtId="0" fontId="115" fillId="0" borderId="76" xfId="0" applyFont="1" applyBorder="1" applyAlignment="1">
      <alignment horizontal="center" vertical="center" wrapText="1"/>
    </xf>
    <xf numFmtId="0" fontId="115" fillId="0" borderId="25" xfId="0" applyFont="1" applyBorder="1" applyAlignment="1">
      <alignment horizontal="center" vertical="center" wrapText="1"/>
    </xf>
    <xf numFmtId="0" fontId="115" fillId="0" borderId="110" xfId="0" applyFont="1" applyBorder="1" applyAlignment="1">
      <alignment horizontal="center" vertical="center" wrapText="1"/>
    </xf>
    <xf numFmtId="0" fontId="115" fillId="6" borderId="23" xfId="0" applyFont="1" applyFill="1" applyBorder="1" applyAlignment="1">
      <alignment horizontal="left" vertical="center" wrapText="1"/>
    </xf>
    <xf numFmtId="0" fontId="65" fillId="6" borderId="10" xfId="0" applyFont="1" applyFill="1" applyBorder="1" applyAlignment="1">
      <alignment horizontal="left" vertical="center" wrapText="1"/>
    </xf>
    <xf numFmtId="0" fontId="173" fillId="6" borderId="20" xfId="0" applyFont="1" applyFill="1" applyBorder="1" applyAlignment="1">
      <alignment horizontal="left" vertical="center" wrapText="1"/>
    </xf>
    <xf numFmtId="0" fontId="114" fillId="0" borderId="17"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49" fontId="115" fillId="6" borderId="18" xfId="242" applyNumberFormat="1" applyFont="1" applyFill="1" applyBorder="1" applyAlignment="1" applyProtection="1">
      <alignment horizontal="left" vertical="center" wrapText="1"/>
    </xf>
    <xf numFmtId="190" fontId="119" fillId="0" borderId="16" xfId="242" applyNumberFormat="1" applyFont="1" applyFill="1" applyBorder="1" applyAlignment="1" applyProtection="1">
      <alignment horizontal="center" vertical="center" wrapText="1"/>
    </xf>
    <xf numFmtId="49" fontId="115" fillId="0" borderId="76" xfId="189" applyNumberFormat="1" applyFont="1" applyFill="1" applyBorder="1" applyAlignment="1" applyProtection="1">
      <alignment horizontal="center" vertical="center" wrapText="1"/>
    </xf>
    <xf numFmtId="49" fontId="115" fillId="0" borderId="25" xfId="189" applyNumberFormat="1" applyFont="1" applyFill="1" applyBorder="1" applyAlignment="1" applyProtection="1">
      <alignment horizontal="center" vertical="center" wrapText="1"/>
    </xf>
    <xf numFmtId="49" fontId="115" fillId="0" borderId="110" xfId="189" applyNumberFormat="1" applyFont="1" applyFill="1" applyBorder="1" applyAlignment="1" applyProtection="1">
      <alignment horizontal="center" vertical="center" wrapText="1"/>
    </xf>
    <xf numFmtId="49" fontId="115" fillId="6" borderId="10" xfId="189" applyNumberFormat="1" applyFont="1" applyFill="1" applyBorder="1" applyAlignment="1" applyProtection="1">
      <alignment horizontal="left" vertical="center" wrapText="1"/>
    </xf>
    <xf numFmtId="49" fontId="115" fillId="0" borderId="76" xfId="242" applyNumberFormat="1" applyFont="1" applyFill="1" applyBorder="1" applyAlignment="1" applyProtection="1">
      <alignment horizontal="center" vertical="center" wrapText="1"/>
    </xf>
    <xf numFmtId="49" fontId="115" fillId="0" borderId="25" xfId="242" applyNumberFormat="1" applyFont="1" applyFill="1" applyBorder="1" applyAlignment="1" applyProtection="1">
      <alignment horizontal="center" vertical="center" wrapText="1"/>
    </xf>
    <xf numFmtId="49" fontId="115" fillId="0" borderId="110"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horizontal="left" vertical="center" wrapText="1"/>
    </xf>
    <xf numFmtId="49" fontId="115" fillId="0" borderId="79"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vertical="center" wrapText="1"/>
    </xf>
    <xf numFmtId="190" fontId="119" fillId="0" borderId="17" xfId="242" applyNumberFormat="1" applyFont="1" applyFill="1" applyBorder="1" applyAlignment="1" applyProtection="1">
      <alignment horizontal="center" vertical="center" wrapText="1"/>
    </xf>
    <xf numFmtId="0" fontId="114" fillId="0" borderId="188" xfId="81" applyFont="1" applyBorder="1" applyAlignment="1">
      <alignment horizontal="center" vertical="center" wrapText="1"/>
    </xf>
    <xf numFmtId="0" fontId="114" fillId="0" borderId="81" xfId="81" applyFont="1" applyBorder="1" applyAlignment="1">
      <alignment horizontal="center" vertical="center" wrapText="1"/>
    </xf>
    <xf numFmtId="0" fontId="114" fillId="0" borderId="88" xfId="81" applyFont="1" applyBorder="1" applyAlignment="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0" fontId="114" fillId="8" borderId="16" xfId="81" applyFont="1" applyFill="1" applyBorder="1" applyAlignment="1">
      <alignment horizontal="center" vertical="center" wrapText="1"/>
    </xf>
    <xf numFmtId="0" fontId="114" fillId="8" borderId="10" xfId="81" applyFont="1" applyFill="1" applyBorder="1" applyAlignment="1">
      <alignment horizontal="center" vertical="center" wrapText="1"/>
    </xf>
    <xf numFmtId="0" fontId="115" fillId="0" borderId="18" xfId="0" applyFont="1" applyBorder="1" applyAlignment="1">
      <alignment horizontal="center" wrapText="1"/>
    </xf>
    <xf numFmtId="49" fontId="114" fillId="0" borderId="16" xfId="242" applyNumberFormat="1" applyFont="1" applyFill="1" applyBorder="1" applyAlignment="1" applyProtection="1">
      <alignment horizontal="center" vertical="center" wrapText="1"/>
    </xf>
    <xf numFmtId="49" fontId="114" fillId="0" borderId="10" xfId="242" applyNumberFormat="1" applyFont="1" applyFill="1" applyBorder="1" applyAlignment="1" applyProtection="1">
      <alignment horizontal="center" vertical="center" wrapText="1"/>
    </xf>
    <xf numFmtId="49" fontId="15" fillId="0" borderId="16" xfId="242" applyNumberFormat="1" applyFont="1" applyFill="1" applyBorder="1" applyAlignment="1" applyProtection="1">
      <alignment horizontal="center" vertical="center" wrapText="1"/>
    </xf>
    <xf numFmtId="49" fontId="15" fillId="0" borderId="17" xfId="242" applyNumberFormat="1" applyFont="1" applyFill="1" applyBorder="1" applyAlignment="1" applyProtection="1">
      <alignment horizontal="center" vertical="center" wrapText="1"/>
    </xf>
    <xf numFmtId="49" fontId="15" fillId="0" borderId="10" xfId="242" applyNumberFormat="1" applyFont="1" applyFill="1" applyBorder="1" applyAlignment="1" applyProtection="1">
      <alignment horizontal="center" vertical="center" wrapText="1"/>
    </xf>
    <xf numFmtId="0" fontId="103" fillId="0" borderId="17" xfId="0" applyFont="1" applyBorder="1" applyAlignment="1">
      <alignment horizontal="center" vertical="center"/>
    </xf>
    <xf numFmtId="0" fontId="15" fillId="0" borderId="12" xfId="0" applyFont="1" applyBorder="1" applyAlignment="1">
      <alignment horizontal="center" vertical="center"/>
    </xf>
    <xf numFmtId="0" fontId="5" fillId="0" borderId="22" xfId="0" applyFont="1" applyBorder="1" applyAlignment="1">
      <alignment horizontal="center" vertical="center"/>
    </xf>
    <xf numFmtId="0" fontId="5" fillId="0" borderId="6" xfId="0" applyFont="1" applyBorder="1" applyAlignment="1">
      <alignment horizontal="center" vertical="center"/>
    </xf>
    <xf numFmtId="0" fontId="15" fillId="0" borderId="16" xfId="0" applyFont="1" applyBorder="1" applyAlignment="1">
      <alignment horizontal="center" vertical="center"/>
    </xf>
    <xf numFmtId="0" fontId="5" fillId="0" borderId="10" xfId="0" applyFont="1" applyBorder="1" applyAlignment="1">
      <alignment horizontal="center" vertical="center"/>
    </xf>
    <xf numFmtId="0" fontId="15" fillId="0" borderId="91" xfId="0" applyFont="1" applyBorder="1" applyAlignment="1">
      <alignment horizontal="center" vertical="center"/>
    </xf>
    <xf numFmtId="0" fontId="5" fillId="0" borderId="73" xfId="0" applyFont="1" applyBorder="1" applyAlignment="1">
      <alignment horizontal="center" vertical="center"/>
    </xf>
    <xf numFmtId="0" fontId="15" fillId="0" borderId="189" xfId="0" applyFont="1" applyBorder="1" applyAlignment="1">
      <alignment horizontal="center" vertical="center"/>
    </xf>
    <xf numFmtId="0" fontId="5" fillId="0" borderId="329" xfId="0" applyFont="1" applyBorder="1" applyAlignment="1">
      <alignment horizontal="center" vertical="center"/>
    </xf>
    <xf numFmtId="0" fontId="15" fillId="0" borderId="16" xfId="0" applyFont="1" applyBorder="1" applyAlignment="1">
      <alignment horizontal="center"/>
    </xf>
    <xf numFmtId="0" fontId="5" fillId="0" borderId="13" xfId="0" applyFont="1" applyBorder="1" applyAlignment="1">
      <alignment horizontal="center" vertical="center"/>
    </xf>
    <xf numFmtId="0" fontId="5" fillId="0" borderId="18" xfId="0" applyFont="1" applyBorder="1" applyAlignment="1">
      <alignment horizontal="center" vertical="center"/>
    </xf>
    <xf numFmtId="190" fontId="125" fillId="0" borderId="22" xfId="242" applyNumberFormat="1" applyFont="1" applyFill="1" applyBorder="1" applyAlignment="1" applyProtection="1">
      <alignment horizontal="center" vertical="center"/>
    </xf>
    <xf numFmtId="190" fontId="125" fillId="0" borderId="6" xfId="242" applyNumberFormat="1" applyFont="1" applyFill="1" applyBorder="1" applyAlignment="1" applyProtection="1">
      <alignment horizontal="center" vertical="center"/>
    </xf>
    <xf numFmtId="190" fontId="125" fillId="0" borderId="13" xfId="242" applyNumberFormat="1" applyFont="1" applyFill="1" applyBorder="1" applyAlignment="1" applyProtection="1">
      <alignment horizontal="center" vertical="center"/>
    </xf>
    <xf numFmtId="49" fontId="125" fillId="0" borderId="87" xfId="242" applyNumberFormat="1" applyFont="1" applyFill="1" applyBorder="1" applyAlignment="1" applyProtection="1">
      <alignment horizontal="center" vertical="center" wrapText="1"/>
    </xf>
    <xf numFmtId="49" fontId="125" fillId="0" borderId="20" xfId="242" applyNumberFormat="1" applyFont="1" applyFill="1" applyBorder="1" applyAlignment="1" applyProtection="1">
      <alignment horizontal="center" vertical="center" wrapText="1"/>
    </xf>
    <xf numFmtId="0" fontId="125" fillId="8" borderId="87" xfId="81" applyFont="1" applyFill="1" applyBorder="1" applyAlignment="1">
      <alignment horizontal="center" vertical="center"/>
    </xf>
    <xf numFmtId="0" fontId="125" fillId="8" borderId="20" xfId="81" applyFont="1" applyFill="1" applyBorder="1" applyAlignment="1">
      <alignment horizontal="center" vertical="center"/>
    </xf>
    <xf numFmtId="49" fontId="125" fillId="0" borderId="176" xfId="242" applyNumberFormat="1" applyFont="1" applyFill="1" applyBorder="1" applyAlignment="1" applyProtection="1">
      <alignment horizontal="center" vertical="center" wrapText="1"/>
    </xf>
    <xf numFmtId="49" fontId="125" fillId="0" borderId="21" xfId="242" applyNumberFormat="1" applyFont="1" applyFill="1" applyBorder="1" applyAlignment="1" applyProtection="1">
      <alignment horizontal="center" vertical="center" wrapText="1"/>
    </xf>
    <xf numFmtId="0" fontId="37" fillId="0" borderId="0" xfId="58" applyFont="1" applyAlignment="1">
      <alignment vertical="center" wrapText="1"/>
    </xf>
    <xf numFmtId="0" fontId="5" fillId="0" borderId="0" xfId="59" applyFont="1" applyAlignment="1">
      <alignment horizontal="left" vertical="center"/>
    </xf>
    <xf numFmtId="0" fontId="15" fillId="0" borderId="188" xfId="59" applyFont="1" applyBorder="1" applyAlignment="1">
      <alignment horizontal="center" vertical="center" wrapText="1"/>
    </xf>
    <xf numFmtId="0" fontId="15" fillId="0" borderId="88" xfId="59" applyFont="1" applyBorder="1" applyAlignment="1">
      <alignment horizontal="center" vertical="center" wrapText="1"/>
    </xf>
    <xf numFmtId="0" fontId="15" fillId="0" borderId="22" xfId="59" applyFont="1" applyBorder="1" applyAlignment="1">
      <alignment horizontal="center" vertical="center" wrapText="1"/>
    </xf>
    <xf numFmtId="0" fontId="15" fillId="0" borderId="13" xfId="59" applyFont="1" applyBorder="1" applyAlignment="1">
      <alignment horizontal="center" vertical="center" wrapText="1"/>
    </xf>
    <xf numFmtId="0" fontId="159" fillId="13" borderId="295" xfId="25" applyFont="1" applyFill="1" applyBorder="1" applyAlignment="1">
      <alignment horizontal="center" vertical="center"/>
    </xf>
    <xf numFmtId="0" fontId="159" fillId="13" borderId="328" xfId="25" applyFont="1" applyFill="1" applyBorder="1" applyAlignment="1">
      <alignment horizontal="center" vertical="center"/>
    </xf>
    <xf numFmtId="0" fontId="159" fillId="13" borderId="150" xfId="25" applyFont="1" applyFill="1" applyBorder="1" applyAlignment="1">
      <alignment horizontal="center" vertical="center"/>
    </xf>
    <xf numFmtId="0" fontId="159" fillId="13" borderId="361" xfId="25" applyFont="1" applyFill="1" applyBorder="1" applyAlignment="1">
      <alignment horizontal="center" vertical="center"/>
    </xf>
    <xf numFmtId="0" fontId="159" fillId="13" borderId="92" xfId="25" applyFont="1" applyFill="1" applyBorder="1" applyAlignment="1">
      <alignment horizontal="center" vertical="center"/>
    </xf>
    <xf numFmtId="0" fontId="15" fillId="13" borderId="85" xfId="25" applyFont="1" applyFill="1" applyBorder="1" applyAlignment="1">
      <alignment horizontal="center" vertical="center"/>
    </xf>
    <xf numFmtId="0" fontId="15" fillId="13" borderId="134" xfId="25" applyFont="1" applyFill="1" applyBorder="1" applyAlignment="1">
      <alignment horizontal="center" vertical="center"/>
    </xf>
    <xf numFmtId="0" fontId="15" fillId="13" borderId="179" xfId="25" applyFont="1" applyFill="1" applyBorder="1" applyAlignment="1">
      <alignment horizontal="center" vertical="center"/>
    </xf>
    <xf numFmtId="0" fontId="15" fillId="13" borderId="19" xfId="25" applyFont="1" applyFill="1" applyBorder="1" applyAlignment="1">
      <alignment horizontal="center" vertical="center"/>
    </xf>
    <xf numFmtId="0" fontId="15" fillId="13" borderId="73" xfId="25" applyFont="1" applyFill="1" applyBorder="1" applyAlignment="1">
      <alignment horizontal="center" vertical="center"/>
    </xf>
    <xf numFmtId="0" fontId="15" fillId="13" borderId="11" xfId="25" applyFont="1" applyFill="1" applyBorder="1" applyAlignment="1">
      <alignment horizontal="center" vertical="center"/>
    </xf>
    <xf numFmtId="0" fontId="15" fillId="13" borderId="10" xfId="25" applyFont="1" applyFill="1" applyBorder="1" applyAlignment="1">
      <alignment horizontal="center" vertical="center"/>
    </xf>
    <xf numFmtId="0" fontId="15" fillId="13" borderId="10" xfId="25" applyFont="1" applyFill="1" applyBorder="1" applyAlignment="1">
      <alignment horizontal="center" vertical="center" wrapText="1"/>
    </xf>
    <xf numFmtId="0" fontId="159" fillId="13" borderId="188" xfId="25" applyFont="1" applyFill="1" applyBorder="1" applyAlignment="1">
      <alignment horizontal="center" vertical="center"/>
    </xf>
    <xf numFmtId="0" fontId="159" fillId="13" borderId="84" xfId="25" applyFont="1" applyFill="1" applyBorder="1" applyAlignment="1">
      <alignment horizontal="center" vertical="center"/>
    </xf>
    <xf numFmtId="0" fontId="159" fillId="13" borderId="91" xfId="25" applyFont="1" applyFill="1" applyBorder="1" applyAlignment="1">
      <alignment horizontal="center" vertical="center"/>
    </xf>
    <xf numFmtId="0" fontId="15" fillId="13" borderId="23" xfId="25" applyFont="1" applyFill="1" applyBorder="1" applyAlignment="1">
      <alignment horizontal="center" vertical="center"/>
    </xf>
    <xf numFmtId="0" fontId="15" fillId="13" borderId="20" xfId="25" applyFont="1" applyFill="1" applyBorder="1" applyAlignment="1">
      <alignment horizontal="center" vertical="center"/>
    </xf>
    <xf numFmtId="0" fontId="42" fillId="13" borderId="23" xfId="25" applyFont="1" applyFill="1" applyBorder="1" applyAlignment="1">
      <alignment horizontal="center" vertical="center"/>
    </xf>
    <xf numFmtId="0" fontId="42" fillId="13" borderId="372" xfId="25" applyFont="1" applyFill="1" applyBorder="1" applyAlignment="1">
      <alignment horizontal="center" vertical="center" wrapText="1"/>
    </xf>
    <xf numFmtId="0" fontId="15" fillId="13" borderId="373" xfId="25" applyFont="1" applyFill="1" applyBorder="1" applyAlignment="1">
      <alignment horizontal="center" vertical="center" wrapText="1"/>
    </xf>
    <xf numFmtId="0" fontId="5" fillId="8" borderId="0" xfId="25" applyFont="1" applyFill="1" applyAlignment="1">
      <alignment horizontal="center" vertical="center"/>
    </xf>
    <xf numFmtId="0" fontId="15" fillId="13" borderId="369" xfId="25" applyFont="1" applyFill="1" applyBorder="1" applyAlignment="1">
      <alignment horizontal="center" vertical="center"/>
    </xf>
    <xf numFmtId="0" fontId="15" fillId="13" borderId="330" xfId="25" applyFont="1" applyFill="1" applyBorder="1" applyAlignment="1">
      <alignment horizontal="center" vertical="center"/>
    </xf>
    <xf numFmtId="0" fontId="15" fillId="13" borderId="370" xfId="25" applyFont="1" applyFill="1" applyBorder="1" applyAlignment="1">
      <alignment horizontal="center" vertical="center"/>
    </xf>
    <xf numFmtId="0" fontId="15" fillId="13" borderId="331" xfId="25" applyFont="1" applyFill="1" applyBorder="1" applyAlignment="1">
      <alignment horizontal="center" vertical="center"/>
    </xf>
    <xf numFmtId="0" fontId="15" fillId="13" borderId="370" xfId="25" applyFont="1" applyFill="1" applyBorder="1" applyAlignment="1">
      <alignment horizontal="center" vertical="center" wrapText="1"/>
    </xf>
    <xf numFmtId="0" fontId="15" fillId="13" borderId="376" xfId="25" applyFont="1" applyFill="1" applyBorder="1" applyAlignment="1">
      <alignment horizontal="center" vertical="center" wrapText="1"/>
    </xf>
    <xf numFmtId="0" fontId="15" fillId="13" borderId="377" xfId="25" applyFont="1" applyFill="1" applyBorder="1" applyAlignment="1">
      <alignment horizontal="center" vertical="center" wrapText="1"/>
    </xf>
    <xf numFmtId="0" fontId="167" fillId="13" borderId="376" xfId="25" applyFont="1" applyFill="1" applyBorder="1" applyAlignment="1">
      <alignment horizontal="center" vertical="center" wrapText="1"/>
    </xf>
    <xf numFmtId="0" fontId="167" fillId="13" borderId="377" xfId="25" applyFont="1" applyFill="1" applyBorder="1" applyAlignment="1">
      <alignment horizontal="center" vertical="center" wrapText="1"/>
    </xf>
    <xf numFmtId="0" fontId="15" fillId="13" borderId="368" xfId="25" applyFont="1" applyFill="1" applyBorder="1" applyAlignment="1">
      <alignment horizontal="center" vertical="center"/>
    </xf>
    <xf numFmtId="0" fontId="15" fillId="13" borderId="348" xfId="25" applyFont="1" applyFill="1" applyBorder="1" applyAlignment="1">
      <alignment horizontal="center" vertical="center"/>
    </xf>
    <xf numFmtId="0" fontId="15" fillId="13" borderId="374" xfId="25" applyFont="1" applyFill="1" applyBorder="1" applyAlignment="1">
      <alignment horizontal="center" vertical="center"/>
    </xf>
    <xf numFmtId="0" fontId="15" fillId="13" borderId="375" xfId="25" applyFont="1" applyFill="1" applyBorder="1" applyAlignment="1">
      <alignment horizontal="center" vertical="center"/>
    </xf>
    <xf numFmtId="0" fontId="5" fillId="8" borderId="148" xfId="25" applyFont="1" applyFill="1" applyBorder="1" applyAlignment="1">
      <alignment horizontal="center" vertical="center"/>
    </xf>
    <xf numFmtId="0" fontId="181" fillId="13" borderId="376" xfId="25" applyFont="1" applyFill="1" applyBorder="1" applyAlignment="1">
      <alignment horizontal="center" vertical="center" wrapText="1"/>
    </xf>
    <xf numFmtId="0" fontId="15" fillId="13" borderId="387" xfId="25" applyFont="1" applyFill="1" applyBorder="1" applyAlignment="1">
      <alignment horizontal="center" vertical="center" wrapText="1"/>
    </xf>
    <xf numFmtId="0" fontId="15" fillId="13" borderId="361" xfId="25" applyFont="1" applyFill="1" applyBorder="1" applyAlignment="1">
      <alignment horizontal="center" vertical="center" wrapText="1"/>
    </xf>
    <xf numFmtId="0" fontId="15" fillId="13" borderId="371" xfId="25" applyFont="1" applyFill="1" applyBorder="1" applyAlignment="1">
      <alignment horizontal="center" vertical="center" wrapText="1"/>
    </xf>
    <xf numFmtId="0" fontId="15" fillId="13" borderId="358" xfId="25" applyFont="1" applyFill="1" applyBorder="1" applyAlignment="1">
      <alignment horizontal="center" vertical="center"/>
    </xf>
    <xf numFmtId="0" fontId="15" fillId="13" borderId="159" xfId="25" applyFont="1" applyFill="1" applyBorder="1" applyAlignment="1">
      <alignment horizontal="center" vertical="center"/>
    </xf>
    <xf numFmtId="0" fontId="15" fillId="13" borderId="152" xfId="25" applyFont="1" applyFill="1" applyBorder="1" applyAlignment="1">
      <alignment horizontal="center" vertical="center"/>
    </xf>
    <xf numFmtId="0" fontId="15" fillId="13" borderId="156" xfId="25" applyFont="1" applyFill="1" applyBorder="1" applyAlignment="1">
      <alignment horizontal="center" vertical="center"/>
    </xf>
    <xf numFmtId="0" fontId="15" fillId="13" borderId="145" xfId="25" applyFont="1" applyFill="1" applyBorder="1" applyAlignment="1">
      <alignment horizontal="center" vertical="center"/>
    </xf>
    <xf numFmtId="0" fontId="15" fillId="13" borderId="22" xfId="25" applyFont="1" applyFill="1" applyBorder="1" applyAlignment="1">
      <alignment horizontal="center" vertical="center" wrapText="1"/>
    </xf>
    <xf numFmtId="0" fontId="15" fillId="13" borderId="16" xfId="25" applyFont="1" applyFill="1" applyBorder="1" applyAlignment="1">
      <alignment horizontal="center" vertical="center" wrapText="1"/>
    </xf>
    <xf numFmtId="0" fontId="15" fillId="13" borderId="152" xfId="25" applyFont="1" applyFill="1" applyBorder="1" applyAlignment="1">
      <alignment horizontal="center" vertical="center" wrapText="1"/>
    </xf>
    <xf numFmtId="0" fontId="15" fillId="13" borderId="11" xfId="25" applyFont="1" applyFill="1" applyBorder="1" applyAlignment="1">
      <alignment horizontal="center" vertical="center" wrapText="1"/>
    </xf>
    <xf numFmtId="0" fontId="15" fillId="13" borderId="156" xfId="25" applyFont="1" applyFill="1" applyBorder="1" applyAlignment="1">
      <alignment horizontal="center" vertical="center" wrapText="1"/>
    </xf>
    <xf numFmtId="0" fontId="15" fillId="13" borderId="145" xfId="25" applyFont="1" applyFill="1" applyBorder="1" applyAlignment="1">
      <alignment horizontal="center" vertical="center" wrapText="1"/>
    </xf>
    <xf numFmtId="0" fontId="15" fillId="13" borderId="150" xfId="25" applyFont="1" applyFill="1" applyBorder="1" applyAlignment="1">
      <alignment horizontal="center" vertical="center"/>
    </xf>
    <xf numFmtId="0" fontId="15" fillId="13" borderId="138" xfId="25" applyFont="1" applyFill="1" applyBorder="1" applyAlignment="1">
      <alignment horizontal="center" vertical="center"/>
    </xf>
    <xf numFmtId="0" fontId="15" fillId="13" borderId="188" xfId="25" applyFont="1" applyFill="1" applyBorder="1" applyAlignment="1">
      <alignment horizontal="center" vertical="center"/>
    </xf>
    <xf numFmtId="0" fontId="15" fillId="13" borderId="84" xfId="25" applyFont="1" applyFill="1" applyBorder="1" applyAlignment="1">
      <alignment horizontal="center" vertical="center"/>
    </xf>
    <xf numFmtId="0" fontId="15" fillId="13" borderId="16" xfId="25" applyFont="1" applyFill="1" applyBorder="1" applyAlignment="1">
      <alignment horizontal="center" vertical="center"/>
    </xf>
    <xf numFmtId="0" fontId="15" fillId="13" borderId="17" xfId="25" applyFont="1" applyFill="1" applyBorder="1" applyAlignment="1">
      <alignment horizontal="center" vertical="center"/>
    </xf>
    <xf numFmtId="0" fontId="5" fillId="13" borderId="188" xfId="25" applyFont="1" applyFill="1" applyBorder="1" applyAlignment="1">
      <alignment horizontal="center" vertical="center"/>
    </xf>
    <xf numFmtId="0" fontId="5" fillId="13" borderId="84" xfId="25" applyFont="1" applyFill="1" applyBorder="1" applyAlignment="1">
      <alignment horizontal="center" vertical="center"/>
    </xf>
    <xf numFmtId="0" fontId="15" fillId="13" borderId="91" xfId="25" applyFont="1" applyFill="1" applyBorder="1" applyAlignment="1">
      <alignment horizontal="center" vertical="center"/>
    </xf>
    <xf numFmtId="0" fontId="15" fillId="13" borderId="361" xfId="25" applyFont="1" applyFill="1" applyBorder="1" applyAlignment="1">
      <alignment horizontal="center" vertical="center"/>
    </xf>
    <xf numFmtId="0" fontId="15" fillId="13" borderId="378" xfId="25" applyFont="1" applyFill="1" applyBorder="1" applyAlignment="1">
      <alignment horizontal="center" vertical="center"/>
    </xf>
    <xf numFmtId="0" fontId="15" fillId="13" borderId="87" xfId="25" applyFont="1" applyFill="1" applyBorder="1" applyAlignment="1">
      <alignment horizontal="center" vertical="center"/>
    </xf>
    <xf numFmtId="0" fontId="15" fillId="13" borderId="379" xfId="25" applyFont="1" applyFill="1" applyBorder="1" applyAlignment="1">
      <alignment horizontal="center" vertical="center"/>
    </xf>
    <xf numFmtId="0" fontId="15" fillId="13" borderId="12" xfId="25" applyFont="1" applyFill="1" applyBorder="1" applyAlignment="1">
      <alignment horizontal="center" vertical="center"/>
    </xf>
    <xf numFmtId="0" fontId="15" fillId="20" borderId="0" xfId="25" applyFont="1" applyFill="1" applyAlignment="1">
      <alignment horizontal="center" vertical="center"/>
    </xf>
    <xf numFmtId="0" fontId="5" fillId="16" borderId="23" xfId="25" applyFont="1" applyFill="1" applyBorder="1" applyAlignment="1">
      <alignment horizontal="center" vertical="center"/>
    </xf>
    <xf numFmtId="0" fontId="5" fillId="16" borderId="20" xfId="25" applyFont="1" applyFill="1" applyBorder="1" applyAlignment="1">
      <alignment horizontal="center" vertical="center"/>
    </xf>
    <xf numFmtId="0" fontId="5" fillId="17" borderId="380" xfId="25" applyFont="1" applyFill="1" applyBorder="1" applyAlignment="1">
      <alignment horizontal="center" vertical="center" wrapText="1"/>
    </xf>
    <xf numFmtId="0" fontId="5" fillId="17" borderId="381" xfId="25" applyFont="1" applyFill="1" applyBorder="1" applyAlignment="1">
      <alignment horizontal="center" vertical="center" wrapText="1"/>
    </xf>
    <xf numFmtId="222" fontId="5" fillId="17" borderId="334" xfId="25" applyNumberFormat="1" applyFont="1" applyFill="1" applyBorder="1" applyAlignment="1">
      <alignment horizontal="center" vertical="center" wrapText="1"/>
    </xf>
    <xf numFmtId="222" fontId="5" fillId="17" borderId="382" xfId="25" applyNumberFormat="1" applyFont="1" applyFill="1" applyBorder="1" applyAlignment="1">
      <alignment horizontal="center" vertical="center" wrapText="1"/>
    </xf>
    <xf numFmtId="222" fontId="5" fillId="17" borderId="333" xfId="25" applyNumberFormat="1" applyFont="1" applyFill="1" applyBorder="1" applyAlignment="1">
      <alignment horizontal="center" vertical="center" wrapText="1"/>
    </xf>
    <xf numFmtId="222" fontId="107" fillId="14" borderId="73" xfId="25" applyNumberFormat="1" applyFont="1" applyFill="1" applyBorder="1" applyAlignment="1">
      <alignment horizontal="center" vertical="center" wrapText="1"/>
    </xf>
    <xf numFmtId="222" fontId="107" fillId="14" borderId="167" xfId="25" applyNumberFormat="1" applyFont="1" applyFill="1" applyBorder="1" applyAlignment="1">
      <alignment horizontal="center" vertical="center" wrapText="1"/>
    </xf>
    <xf numFmtId="222" fontId="107" fillId="14" borderId="11" xfId="25" applyNumberFormat="1" applyFont="1" applyFill="1" applyBorder="1" applyAlignment="1">
      <alignment horizontal="center" vertical="center" wrapText="1"/>
    </xf>
    <xf numFmtId="0" fontId="13" fillId="16" borderId="86" xfId="25" applyFont="1" applyFill="1" applyBorder="1" applyAlignment="1">
      <alignment horizontal="center" vertical="center"/>
    </xf>
    <xf numFmtId="0" fontId="13" fillId="16" borderId="359" xfId="25" applyFont="1" applyFill="1" applyBorder="1" applyAlignment="1">
      <alignment horizontal="center" vertical="center"/>
    </xf>
    <xf numFmtId="0" fontId="13" fillId="16" borderId="178" xfId="25" applyFont="1" applyFill="1" applyBorder="1" applyAlignment="1">
      <alignment horizontal="center" vertical="center"/>
    </xf>
    <xf numFmtId="0" fontId="13" fillId="16" borderId="146" xfId="25" applyFont="1" applyFill="1" applyBorder="1" applyAlignment="1">
      <alignment horizontal="center" vertical="center"/>
    </xf>
    <xf numFmtId="223" fontId="13" fillId="16" borderId="176" xfId="25" applyNumberFormat="1" applyFont="1" applyFill="1" applyBorder="1" applyAlignment="1">
      <alignment horizontal="center" vertical="center" wrapText="1"/>
    </xf>
    <xf numFmtId="223" fontId="13" fillId="16" borderId="122" xfId="25" applyNumberFormat="1" applyFont="1" applyFill="1" applyBorder="1" applyAlignment="1">
      <alignment horizontal="center" vertical="center" wrapText="1"/>
    </xf>
    <xf numFmtId="0" fontId="105" fillId="21" borderId="33" xfId="47" applyFont="1" applyFill="1" applyBorder="1" applyAlignment="1">
      <alignment horizontal="center" vertical="center"/>
    </xf>
    <xf numFmtId="0" fontId="106" fillId="21" borderId="0" xfId="47" applyFont="1" applyFill="1" applyAlignment="1">
      <alignment horizontal="center" vertical="center"/>
    </xf>
    <xf numFmtId="0" fontId="105" fillId="0" borderId="73" xfId="47" applyFont="1" applyBorder="1" applyAlignment="1">
      <alignment horizontal="center" vertical="center"/>
    </xf>
    <xf numFmtId="0" fontId="105" fillId="0" borderId="11" xfId="47" applyFont="1" applyBorder="1" applyAlignment="1">
      <alignment horizontal="center" vertical="center"/>
    </xf>
    <xf numFmtId="0" fontId="107" fillId="14" borderId="73" xfId="47" applyFont="1" applyFill="1" applyBorder="1" applyAlignment="1">
      <alignment horizontal="center" vertical="center"/>
    </xf>
    <xf numFmtId="0" fontId="107" fillId="14" borderId="167" xfId="47" applyFont="1" applyFill="1" applyBorder="1" applyAlignment="1">
      <alignment horizontal="center" vertical="center"/>
    </xf>
    <xf numFmtId="0" fontId="107" fillId="14" borderId="153" xfId="47" applyFont="1" applyFill="1" applyBorder="1" applyAlignment="1">
      <alignment horizontal="center" vertical="center"/>
    </xf>
    <xf numFmtId="0" fontId="105" fillId="0" borderId="152" xfId="47" applyFont="1" applyBorder="1" applyAlignment="1">
      <alignment horizontal="center" vertical="center"/>
    </xf>
    <xf numFmtId="0" fontId="107" fillId="14" borderId="11" xfId="47" applyFont="1" applyFill="1" applyBorder="1" applyAlignment="1">
      <alignment horizontal="center" vertical="center"/>
    </xf>
    <xf numFmtId="177" fontId="106" fillId="17" borderId="0" xfId="35" applyNumberFormat="1" applyFont="1" applyFill="1" applyAlignment="1">
      <alignment horizontal="left"/>
    </xf>
    <xf numFmtId="177" fontId="111" fillId="17" borderId="0" xfId="35" applyNumberFormat="1" applyFont="1" applyFill="1" applyAlignment="1">
      <alignment horizontal="left"/>
    </xf>
    <xf numFmtId="222" fontId="13" fillId="16" borderId="188" xfId="25" applyNumberFormat="1" applyFont="1" applyFill="1" applyBorder="1" applyAlignment="1">
      <alignment horizontal="center" vertical="center" wrapText="1"/>
    </xf>
    <xf numFmtId="222" fontId="13" fillId="16" borderId="88" xfId="25" applyNumberFormat="1" applyFont="1" applyFill="1" applyBorder="1" applyAlignment="1">
      <alignment horizontal="center" vertical="center" wrapText="1"/>
    </xf>
    <xf numFmtId="0" fontId="5" fillId="16" borderId="85" xfId="25" applyFont="1" applyFill="1" applyBorder="1" applyAlignment="1">
      <alignment horizontal="center" vertical="center"/>
    </xf>
    <xf numFmtId="0" fontId="5" fillId="16" borderId="134" xfId="25" applyFont="1" applyFill="1" applyBorder="1" applyAlignment="1">
      <alignment horizontal="center" vertical="center"/>
    </xf>
    <xf numFmtId="0" fontId="5" fillId="16" borderId="179" xfId="25" applyFont="1" applyFill="1" applyBorder="1" applyAlignment="1">
      <alignment horizontal="center" vertical="center"/>
    </xf>
    <xf numFmtId="0" fontId="5" fillId="16" borderId="19" xfId="25" applyFont="1" applyFill="1" applyBorder="1" applyAlignment="1">
      <alignment horizontal="center" vertical="center"/>
    </xf>
    <xf numFmtId="0" fontId="5" fillId="16" borderId="23" xfId="25" applyFont="1" applyFill="1" applyBorder="1" applyAlignment="1">
      <alignment horizontal="center" vertical="center" wrapText="1"/>
    </xf>
    <xf numFmtId="0" fontId="5" fillId="16" borderId="20" xfId="25" applyFont="1" applyFill="1" applyBorder="1" applyAlignment="1">
      <alignment horizontal="center" vertical="center" wrapText="1"/>
    </xf>
    <xf numFmtId="222" fontId="107" fillId="14" borderId="153" xfId="25" applyNumberFormat="1" applyFont="1" applyFill="1" applyBorder="1" applyAlignment="1">
      <alignment horizontal="center" vertical="center" wrapText="1"/>
    </xf>
    <xf numFmtId="0" fontId="105" fillId="14" borderId="159" xfId="25" applyFont="1" applyFill="1" applyBorder="1" applyAlignment="1">
      <alignment horizontal="center" vertical="center"/>
    </xf>
    <xf numFmtId="0" fontId="105" fillId="14" borderId="134" xfId="25" applyFont="1" applyFill="1" applyBorder="1" applyAlignment="1">
      <alignment horizontal="center" vertical="center"/>
    </xf>
    <xf numFmtId="0" fontId="105" fillId="14" borderId="182" xfId="25" applyFont="1" applyFill="1" applyBorder="1" applyAlignment="1">
      <alignment horizontal="center" vertical="center"/>
    </xf>
    <xf numFmtId="0" fontId="105" fillId="14" borderId="19" xfId="25" applyFont="1" applyFill="1" applyBorder="1" applyAlignment="1">
      <alignment horizontal="center" vertical="center"/>
    </xf>
    <xf numFmtId="222" fontId="105" fillId="14" borderId="23" xfId="25" applyNumberFormat="1" applyFont="1" applyFill="1" applyBorder="1" applyAlignment="1">
      <alignment horizontal="center" vertical="center" wrapText="1"/>
    </xf>
    <xf numFmtId="222" fontId="105" fillId="14" borderId="20" xfId="25" applyNumberFormat="1" applyFont="1" applyFill="1" applyBorder="1" applyAlignment="1">
      <alignment horizontal="center" vertical="center" wrapText="1"/>
    </xf>
    <xf numFmtId="0" fontId="15" fillId="0" borderId="73" xfId="47" applyFont="1" applyBorder="1" applyAlignment="1">
      <alignment horizontal="center" vertical="center"/>
    </xf>
    <xf numFmtId="0" fontId="15" fillId="0" borderId="11" xfId="47" applyFont="1" applyBorder="1" applyAlignment="1">
      <alignment horizontal="center" vertical="center"/>
    </xf>
    <xf numFmtId="0" fontId="105" fillId="14" borderId="85" xfId="25" applyFont="1" applyFill="1" applyBorder="1" applyAlignment="1">
      <alignment horizontal="center" vertical="center"/>
    </xf>
    <xf numFmtId="0" fontId="105" fillId="14" borderId="179" xfId="25" applyFont="1" applyFill="1" applyBorder="1" applyAlignment="1">
      <alignment horizontal="center" vertical="center"/>
    </xf>
    <xf numFmtId="0" fontId="5" fillId="21" borderId="33" xfId="47" applyFont="1" applyFill="1" applyBorder="1" applyAlignment="1">
      <alignment horizontal="center" vertical="center"/>
    </xf>
    <xf numFmtId="0" fontId="5" fillId="14" borderId="23" xfId="25" applyFont="1" applyFill="1" applyBorder="1" applyAlignment="1">
      <alignment horizontal="center" vertical="center"/>
    </xf>
    <xf numFmtId="0" fontId="5" fillId="14" borderId="20" xfId="25" applyFont="1" applyFill="1" applyBorder="1" applyAlignment="1">
      <alignment horizontal="center" vertical="center"/>
    </xf>
    <xf numFmtId="0" fontId="109" fillId="14" borderId="73" xfId="25" applyFont="1" applyFill="1" applyBorder="1" applyAlignment="1">
      <alignment horizontal="center" vertical="center"/>
    </xf>
    <xf numFmtId="0" fontId="109" fillId="14" borderId="167" xfId="25" applyFont="1" applyFill="1" applyBorder="1" applyAlignment="1">
      <alignment horizontal="center" vertical="center"/>
    </xf>
    <xf numFmtId="0" fontId="109" fillId="14" borderId="11" xfId="25" applyFont="1" applyFill="1" applyBorder="1" applyAlignment="1">
      <alignment horizontal="center" vertical="center"/>
    </xf>
    <xf numFmtId="0" fontId="5" fillId="14" borderId="23" xfId="25" applyFont="1" applyFill="1" applyBorder="1" applyAlignment="1">
      <alignment horizontal="center" vertical="center" wrapText="1"/>
    </xf>
    <xf numFmtId="0" fontId="5" fillId="14" borderId="20" xfId="25" applyFont="1" applyFill="1" applyBorder="1" applyAlignment="1">
      <alignment horizontal="center" vertical="center" wrapText="1"/>
    </xf>
    <xf numFmtId="0" fontId="146" fillId="4" borderId="0" xfId="25" applyFont="1" applyFill="1" applyAlignment="1">
      <alignment horizontal="center" vertical="center" wrapText="1"/>
    </xf>
    <xf numFmtId="0" fontId="146" fillId="8" borderId="10" xfId="25" applyFont="1" applyFill="1" applyBorder="1" applyAlignment="1">
      <alignment horizontal="center" vertical="center" wrapText="1"/>
    </xf>
    <xf numFmtId="0" fontId="146" fillId="8" borderId="73" xfId="25" applyFont="1" applyFill="1" applyBorder="1" applyAlignment="1">
      <alignment horizontal="center" vertical="center" wrapText="1"/>
    </xf>
    <xf numFmtId="0" fontId="146" fillId="8" borderId="167" xfId="25" applyFont="1" applyFill="1" applyBorder="1" applyAlignment="1">
      <alignment horizontal="center" vertical="center" wrapText="1"/>
    </xf>
    <xf numFmtId="0" fontId="146" fillId="8" borderId="11" xfId="25" applyFont="1" applyFill="1" applyBorder="1" applyAlignment="1">
      <alignment horizontal="center" vertical="center" wrapText="1"/>
    </xf>
    <xf numFmtId="0" fontId="146" fillId="8" borderId="73" xfId="25" applyFont="1" applyFill="1" applyBorder="1" applyAlignment="1">
      <alignment horizontal="center" vertical="center"/>
    </xf>
    <xf numFmtId="0" fontId="146" fillId="8" borderId="11" xfId="25" applyFont="1" applyFill="1" applyBorder="1" applyAlignment="1">
      <alignment horizontal="center" vertical="center"/>
    </xf>
    <xf numFmtId="228" fontId="141" fillId="0" borderId="10" xfId="25" applyNumberFormat="1" applyFont="1" applyBorder="1" applyAlignment="1">
      <alignment horizontal="center" vertical="center"/>
    </xf>
    <xf numFmtId="229" fontId="141" fillId="0" borderId="10" xfId="25" applyNumberFormat="1" applyFont="1" applyBorder="1" applyAlignment="1">
      <alignment horizontal="center" vertical="center"/>
    </xf>
    <xf numFmtId="9" fontId="146" fillId="4" borderId="0" xfId="25" applyNumberFormat="1" applyFont="1" applyFill="1" applyAlignment="1">
      <alignment horizontal="center" vertical="center"/>
    </xf>
    <xf numFmtId="0" fontId="146" fillId="8" borderId="10" xfId="25" applyFont="1" applyFill="1" applyBorder="1" applyAlignment="1">
      <alignment horizontal="center" vertical="center"/>
    </xf>
    <xf numFmtId="0" fontId="146" fillId="4" borderId="33" xfId="25" applyFont="1" applyFill="1" applyBorder="1" applyAlignment="1">
      <alignment horizontal="center" vertical="center" wrapText="1"/>
    </xf>
    <xf numFmtId="0" fontId="147" fillId="8" borderId="10" xfId="25" applyFont="1" applyFill="1" applyBorder="1" applyAlignment="1">
      <alignment horizontal="center" vertical="center"/>
    </xf>
    <xf numFmtId="0" fontId="148" fillId="8" borderId="10" xfId="25" applyFont="1" applyFill="1" applyBorder="1" applyAlignment="1">
      <alignment horizontal="center" vertical="center"/>
    </xf>
    <xf numFmtId="0" fontId="116" fillId="20" borderId="0" xfId="51" applyFont="1" applyFill="1" applyAlignment="1">
      <alignment horizontal="center" vertical="center"/>
    </xf>
    <xf numFmtId="9" fontId="5" fillId="5" borderId="189" xfId="51" applyNumberFormat="1" applyFont="1" applyFill="1" applyBorder="1" applyAlignment="1">
      <alignment horizontal="center" vertical="center"/>
    </xf>
    <xf numFmtId="9" fontId="5" fillId="5" borderId="329" xfId="51" applyNumberFormat="1" applyFont="1" applyFill="1" applyBorder="1" applyAlignment="1">
      <alignment horizontal="center" vertical="center"/>
    </xf>
    <xf numFmtId="9" fontId="5" fillId="5" borderId="291" xfId="51" applyNumberFormat="1" applyFont="1" applyFill="1" applyBorder="1" applyAlignment="1">
      <alignment horizontal="center" vertical="center"/>
    </xf>
    <xf numFmtId="0" fontId="5" fillId="0" borderId="22" xfId="51" applyFont="1" applyBorder="1" applyAlignment="1">
      <alignment horizontal="center" vertical="center" wrapText="1"/>
    </xf>
    <xf numFmtId="0" fontId="5" fillId="0" borderId="6" xfId="51" applyFont="1" applyBorder="1" applyAlignment="1">
      <alignment horizontal="center" vertical="center" wrapText="1"/>
    </xf>
    <xf numFmtId="0" fontId="5" fillId="0" borderId="13" xfId="51" applyFont="1" applyBorder="1" applyAlignment="1">
      <alignment horizontal="center" vertical="center" wrapText="1"/>
    </xf>
    <xf numFmtId="0" fontId="5" fillId="0" borderId="17" xfId="51" applyFont="1" applyBorder="1" applyAlignment="1">
      <alignment horizontal="center" vertical="center" wrapText="1"/>
    </xf>
    <xf numFmtId="0" fontId="5" fillId="0" borderId="12" xfId="51" applyFont="1" applyBorder="1" applyAlignment="1">
      <alignment horizontal="center" vertical="center" wrapText="1"/>
    </xf>
    <xf numFmtId="0" fontId="5" fillId="0" borderId="15" xfId="51" applyFont="1" applyBorder="1" applyAlignment="1">
      <alignment horizontal="center" vertical="center" wrapText="1"/>
    </xf>
    <xf numFmtId="0" fontId="5" fillId="0" borderId="16" xfId="51" applyFont="1" applyBorder="1" applyAlignment="1">
      <alignment horizontal="center" vertical="center" wrapText="1"/>
    </xf>
    <xf numFmtId="0" fontId="5" fillId="0" borderId="10" xfId="51" applyFont="1" applyBorder="1" applyAlignment="1">
      <alignment horizontal="center" vertical="center" wrapText="1"/>
    </xf>
    <xf numFmtId="0" fontId="5" fillId="0" borderId="18" xfId="51" applyFont="1" applyBorder="1" applyAlignment="1">
      <alignment horizontal="center" vertical="center" wrapText="1"/>
    </xf>
    <xf numFmtId="0" fontId="5" fillId="0" borderId="86" xfId="51" applyFont="1" applyBorder="1" applyAlignment="1">
      <alignment horizontal="center" vertical="center" wrapText="1"/>
    </xf>
    <xf numFmtId="0" fontId="5" fillId="0" borderId="148" xfId="51" applyFont="1" applyBorder="1" applyAlignment="1">
      <alignment horizontal="center" vertical="center" wrapText="1"/>
    </xf>
    <xf numFmtId="0" fontId="5" fillId="0" borderId="383" xfId="51" applyFont="1" applyBorder="1" applyAlignment="1">
      <alignment horizontal="center" vertical="center" wrapText="1"/>
    </xf>
    <xf numFmtId="0" fontId="5" fillId="0" borderId="147" xfId="51" applyFont="1" applyBorder="1" applyAlignment="1">
      <alignment horizontal="center" vertical="center" wrapText="1"/>
    </xf>
    <xf numFmtId="0" fontId="0" fillId="0" borderId="0" xfId="0"/>
    <xf numFmtId="0" fontId="15" fillId="0" borderId="0" xfId="51" applyFont="1" applyAlignment="1">
      <alignment horizontal="center" vertical="center"/>
    </xf>
    <xf numFmtId="0" fontId="5" fillId="0" borderId="84" xfId="51" applyFont="1" applyBorder="1" applyAlignment="1">
      <alignment horizontal="center" vertical="center" wrapText="1"/>
    </xf>
    <xf numFmtId="0" fontId="5" fillId="0" borderId="20" xfId="51" applyFont="1" applyBorder="1" applyAlignment="1">
      <alignment horizontal="center" vertical="center" wrapText="1"/>
    </xf>
    <xf numFmtId="0" fontId="5" fillId="22" borderId="20" xfId="51" applyFont="1" applyFill="1" applyBorder="1" applyAlignment="1">
      <alignment horizontal="center" vertical="center" wrapText="1"/>
    </xf>
    <xf numFmtId="0" fontId="5" fillId="22" borderId="21" xfId="51" applyFont="1" applyFill="1" applyBorder="1" applyAlignment="1">
      <alignment horizontal="center" vertical="center" wrapText="1"/>
    </xf>
    <xf numFmtId="0" fontId="5" fillId="22" borderId="10" xfId="51" applyFont="1" applyFill="1" applyBorder="1" applyAlignment="1">
      <alignment horizontal="center" vertical="center" wrapText="1"/>
    </xf>
    <xf numFmtId="0" fontId="5" fillId="22" borderId="12" xfId="51" applyFont="1" applyFill="1" applyBorder="1" applyAlignment="1">
      <alignment horizontal="center" vertical="center" wrapText="1"/>
    </xf>
    <xf numFmtId="0" fontId="5" fillId="22" borderId="18" xfId="51" applyFont="1" applyFill="1" applyBorder="1" applyAlignment="1">
      <alignment horizontal="center" vertical="center" wrapText="1"/>
    </xf>
    <xf numFmtId="0" fontId="5" fillId="22" borderId="15" xfId="51" applyFont="1" applyFill="1" applyBorder="1" applyAlignment="1">
      <alignment horizontal="center" vertical="center" wrapText="1"/>
    </xf>
    <xf numFmtId="0" fontId="5" fillId="0" borderId="176" xfId="51" applyFont="1" applyBorder="1" applyAlignment="1">
      <alignment horizontal="center" vertical="center" wrapText="1"/>
    </xf>
    <xf numFmtId="0" fontId="5" fillId="0" borderId="21" xfId="51" applyFont="1" applyBorder="1" applyAlignment="1">
      <alignment horizontal="center" vertical="center"/>
    </xf>
    <xf numFmtId="0" fontId="5" fillId="0" borderId="12" xfId="51" applyFont="1" applyBorder="1" applyAlignment="1">
      <alignment horizontal="center" vertical="center"/>
    </xf>
    <xf numFmtId="0" fontId="5" fillId="22" borderId="147" xfId="51" applyFont="1" applyFill="1" applyBorder="1" applyAlignment="1">
      <alignment horizontal="center" vertical="center" wrapText="1"/>
    </xf>
    <xf numFmtId="0" fontId="5" fillId="22" borderId="0" xfId="51" applyFont="1" applyFill="1" applyAlignment="1">
      <alignment horizontal="center" vertical="center" wrapText="1"/>
    </xf>
    <xf numFmtId="0" fontId="5" fillId="22" borderId="229" xfId="51" applyFont="1" applyFill="1" applyBorder="1" applyAlignment="1">
      <alignment horizontal="center" vertical="center" wrapText="1"/>
    </xf>
    <xf numFmtId="0" fontId="5" fillId="22" borderId="86" xfId="51" applyFont="1" applyFill="1" applyBorder="1" applyAlignment="1">
      <alignment horizontal="center" vertical="center" wrapText="1"/>
    </xf>
    <xf numFmtId="0" fontId="5" fillId="22" borderId="383" xfId="51" applyFont="1" applyFill="1" applyBorder="1" applyAlignment="1">
      <alignment horizontal="center" vertical="center" wrapText="1"/>
    </xf>
    <xf numFmtId="0" fontId="5" fillId="22" borderId="22" xfId="51" applyFont="1" applyFill="1" applyBorder="1" applyAlignment="1">
      <alignment horizontal="center" vertical="center" wrapText="1"/>
    </xf>
    <xf numFmtId="0" fontId="5" fillId="22" borderId="6" xfId="51" applyFont="1" applyFill="1" applyBorder="1" applyAlignment="1">
      <alignment horizontal="center" vertical="center" wrapText="1"/>
    </xf>
    <xf numFmtId="0" fontId="5" fillId="22" borderId="13" xfId="51" applyFont="1" applyFill="1" applyBorder="1" applyAlignment="1">
      <alignment horizontal="center" vertical="center" wrapText="1"/>
    </xf>
    <xf numFmtId="0" fontId="5" fillId="0" borderId="0" xfId="51" applyFont="1" applyAlignment="1">
      <alignment horizontal="center" vertical="center"/>
    </xf>
    <xf numFmtId="0" fontId="5" fillId="0" borderId="15" xfId="51" applyFont="1" applyBorder="1" applyAlignment="1">
      <alignment horizontal="center" vertical="center"/>
    </xf>
    <xf numFmtId="0" fontId="5" fillId="0" borderId="91" xfId="51" applyFont="1" applyBorder="1" applyAlignment="1">
      <alignment horizontal="center" vertical="center" wrapText="1"/>
    </xf>
    <xf numFmtId="0" fontId="5" fillId="0" borderId="73" xfId="51" applyFont="1" applyBorder="1" applyAlignment="1">
      <alignment horizontal="center" vertical="center" wrapText="1"/>
    </xf>
    <xf numFmtId="0" fontId="5" fillId="0" borderId="14" xfId="51" applyFont="1" applyBorder="1" applyAlignment="1">
      <alignment horizontal="center" vertical="center" wrapText="1"/>
    </xf>
    <xf numFmtId="0" fontId="5" fillId="22" borderId="358" xfId="51" applyFont="1" applyFill="1" applyBorder="1" applyAlignment="1">
      <alignment horizontal="center" vertical="center" wrapText="1"/>
    </xf>
    <xf numFmtId="0" fontId="5" fillId="22" borderId="359" xfId="51" applyFont="1" applyFill="1" applyBorder="1" applyAlignment="1">
      <alignment horizontal="center" vertical="center" wrapText="1"/>
    </xf>
    <xf numFmtId="0" fontId="5" fillId="22" borderId="5" xfId="51" applyFont="1" applyFill="1" applyBorder="1" applyAlignment="1">
      <alignment horizontal="center" vertical="center" wrapText="1"/>
    </xf>
    <xf numFmtId="0" fontId="5" fillId="22" borderId="4" xfId="51" applyFont="1" applyFill="1" applyBorder="1" applyAlignment="1">
      <alignment horizontal="center" vertical="center" wrapText="1"/>
    </xf>
    <xf numFmtId="0" fontId="5" fillId="22" borderId="105" xfId="51" applyFont="1" applyFill="1" applyBorder="1" applyAlignment="1">
      <alignment horizontal="center" vertical="center" wrapText="1"/>
    </xf>
    <xf numFmtId="0" fontId="5" fillId="22" borderId="146" xfId="51" applyFont="1" applyFill="1" applyBorder="1" applyAlignment="1">
      <alignment horizontal="center" vertical="center" wrapText="1"/>
    </xf>
    <xf numFmtId="0" fontId="5" fillId="22" borderId="188" xfId="51" applyFont="1" applyFill="1" applyBorder="1" applyAlignment="1">
      <alignment horizontal="center" vertical="center" wrapText="1"/>
    </xf>
    <xf numFmtId="0" fontId="5" fillId="22" borderId="84" xfId="51" applyFont="1" applyFill="1" applyBorder="1" applyAlignment="1">
      <alignment horizontal="center" vertical="center" wrapText="1"/>
    </xf>
    <xf numFmtId="0" fontId="5" fillId="22" borderId="178" xfId="51" applyFont="1" applyFill="1" applyBorder="1" applyAlignment="1">
      <alignment horizontal="center" vertical="center" wrapText="1"/>
    </xf>
    <xf numFmtId="0" fontId="5" fillId="22" borderId="112" xfId="51" applyFont="1" applyFill="1" applyBorder="1" applyAlignment="1">
      <alignment horizontal="center" vertical="center" wrapText="1"/>
    </xf>
    <xf numFmtId="0" fontId="5" fillId="22" borderId="148" xfId="51" applyFont="1" applyFill="1" applyBorder="1" applyAlignment="1">
      <alignment horizontal="center" vertical="center" wrapText="1"/>
    </xf>
    <xf numFmtId="0" fontId="5" fillId="22" borderId="3" xfId="51" applyFont="1" applyFill="1" applyBorder="1" applyAlignment="1">
      <alignment horizontal="center" vertical="center" wrapText="1"/>
    </xf>
    <xf numFmtId="0" fontId="5" fillId="22" borderId="16" xfId="51" applyFont="1" applyFill="1" applyBorder="1" applyAlignment="1">
      <alignment horizontal="center" vertical="center" wrapText="1"/>
    </xf>
    <xf numFmtId="0" fontId="159" fillId="0" borderId="23" xfId="131" applyFont="1" applyBorder="1" applyAlignment="1">
      <alignment horizontal="center" vertical="center" wrapText="1"/>
    </xf>
    <xf numFmtId="0" fontId="159" fillId="0" borderId="20" xfId="131" applyFont="1" applyBorder="1" applyAlignment="1">
      <alignment horizontal="center" vertical="center" wrapText="1"/>
    </xf>
    <xf numFmtId="0" fontId="160" fillId="0" borderId="73" xfId="0" applyFont="1" applyBorder="1" applyAlignment="1">
      <alignment horizontal="left" vertical="center" wrapText="1"/>
    </xf>
    <xf numFmtId="0" fontId="159" fillId="0" borderId="167" xfId="0" applyFont="1" applyBorder="1" applyAlignment="1">
      <alignment horizontal="left" vertical="center" wrapText="1"/>
    </xf>
    <xf numFmtId="0" fontId="159" fillId="0" borderId="11" xfId="0" applyFont="1" applyBorder="1" applyAlignment="1">
      <alignment horizontal="left" vertical="center" wrapText="1"/>
    </xf>
    <xf numFmtId="0" fontId="159" fillId="0" borderId="73" xfId="131" applyFont="1" applyBorder="1" applyAlignment="1">
      <alignment horizontal="center" vertical="center" wrapText="1"/>
    </xf>
    <xf numFmtId="0" fontId="159" fillId="0" borderId="167" xfId="131" applyFont="1" applyBorder="1" applyAlignment="1">
      <alignment horizontal="center" vertical="center" wrapText="1"/>
    </xf>
    <xf numFmtId="0" fontId="159" fillId="0" borderId="11" xfId="131" applyFont="1" applyBorder="1" applyAlignment="1">
      <alignment horizontal="center" vertical="center" wrapText="1"/>
    </xf>
    <xf numFmtId="0" fontId="159" fillId="0" borderId="23" xfId="0" applyFont="1" applyBorder="1" applyAlignment="1">
      <alignment horizontal="center" vertical="center" wrapText="1"/>
    </xf>
    <xf numFmtId="0" fontId="159" fillId="0" borderId="82" xfId="0" applyFont="1" applyBorder="1" applyAlignment="1">
      <alignment horizontal="center" vertical="center" wrapText="1"/>
    </xf>
    <xf numFmtId="0" fontId="159" fillId="0" borderId="20" xfId="0" applyFont="1" applyBorder="1" applyAlignment="1">
      <alignment horizontal="center" vertical="center" wrapText="1"/>
    </xf>
    <xf numFmtId="0" fontId="160" fillId="0" borderId="167" xfId="0" applyFont="1" applyBorder="1" applyAlignment="1">
      <alignment horizontal="left" vertical="center" wrapText="1"/>
    </xf>
    <xf numFmtId="0" fontId="160" fillId="0" borderId="11" xfId="0" applyFont="1" applyBorder="1" applyAlignment="1">
      <alignment horizontal="left" vertical="center" wrapText="1"/>
    </xf>
    <xf numFmtId="0" fontId="160" fillId="0" borderId="73" xfId="0" applyFont="1" applyBorder="1" applyAlignment="1">
      <alignment horizontal="left" vertical="top"/>
    </xf>
    <xf numFmtId="0" fontId="160" fillId="0" borderId="167" xfId="0" applyFont="1" applyBorder="1" applyAlignment="1">
      <alignment horizontal="left" vertical="top"/>
    </xf>
    <xf numFmtId="0" fontId="160" fillId="0" borderId="11" xfId="0" applyFont="1" applyBorder="1" applyAlignment="1">
      <alignment horizontal="left" vertical="top"/>
    </xf>
    <xf numFmtId="0" fontId="160" fillId="0" borderId="23" xfId="0" applyFont="1" applyBorder="1" applyAlignment="1">
      <alignment horizontal="center" vertical="center" wrapText="1"/>
    </xf>
    <xf numFmtId="0" fontId="160" fillId="0" borderId="82" xfId="0" applyFont="1" applyBorder="1" applyAlignment="1">
      <alignment horizontal="center" vertical="center" wrapText="1"/>
    </xf>
    <xf numFmtId="0" fontId="160" fillId="0" borderId="20" xfId="0" applyFont="1" applyBorder="1" applyAlignment="1">
      <alignment horizontal="center" vertical="center" wrapText="1"/>
    </xf>
    <xf numFmtId="0" fontId="161" fillId="0" borderId="10" xfId="71" applyFont="1" applyBorder="1" applyAlignment="1">
      <alignment horizontal="center" vertical="center"/>
    </xf>
    <xf numFmtId="0" fontId="161" fillId="0" borderId="85" xfId="71" applyFont="1" applyBorder="1" applyAlignment="1">
      <alignment horizontal="center" vertical="center" wrapText="1"/>
    </xf>
    <xf numFmtId="0" fontId="161" fillId="0" borderId="134" xfId="71" applyFont="1" applyBorder="1" applyAlignment="1">
      <alignment horizontal="center" vertical="center" wrapText="1"/>
    </xf>
    <xf numFmtId="0" fontId="161" fillId="0" borderId="179" xfId="71" applyFont="1" applyBorder="1" applyAlignment="1">
      <alignment horizontal="center" vertical="center" wrapText="1"/>
    </xf>
    <xf numFmtId="0" fontId="161" fillId="0" borderId="19" xfId="71" applyFont="1" applyBorder="1" applyAlignment="1">
      <alignment horizontal="center" vertical="center" wrapText="1"/>
    </xf>
    <xf numFmtId="0" fontId="161" fillId="0" borderId="23" xfId="71" applyFont="1" applyBorder="1" applyAlignment="1">
      <alignment horizontal="left" vertical="center" wrapText="1"/>
    </xf>
    <xf numFmtId="0" fontId="161" fillId="0" borderId="82" xfId="71" applyFont="1" applyBorder="1" applyAlignment="1">
      <alignment horizontal="left" vertical="center" wrapText="1"/>
    </xf>
    <xf numFmtId="0" fontId="161" fillId="0" borderId="20" xfId="71" applyFont="1" applyBorder="1" applyAlignment="1">
      <alignment horizontal="left" vertical="center" wrapText="1"/>
    </xf>
    <xf numFmtId="0" fontId="161" fillId="0" borderId="73" xfId="81" applyFont="1" applyBorder="1" applyAlignment="1">
      <alignment horizontal="left" vertical="center"/>
    </xf>
    <xf numFmtId="0" fontId="161" fillId="0" borderId="11" xfId="81" applyFont="1" applyBorder="1" applyAlignment="1">
      <alignment horizontal="left" vertical="center"/>
    </xf>
    <xf numFmtId="0" fontId="161" fillId="0" borderId="23" xfId="108" applyFont="1" applyBorder="1" applyAlignment="1">
      <alignment horizontal="left" vertical="center" wrapText="1"/>
    </xf>
    <xf numFmtId="0" fontId="161" fillId="0" borderId="82" xfId="108" applyFont="1" applyBorder="1" applyAlignment="1">
      <alignment horizontal="left" vertical="center" wrapText="1"/>
    </xf>
    <xf numFmtId="0" fontId="161" fillId="0" borderId="20" xfId="108" applyFont="1" applyBorder="1" applyAlignment="1">
      <alignment horizontal="left" vertical="center" wrapText="1"/>
    </xf>
    <xf numFmtId="0" fontId="161" fillId="0" borderId="73" xfId="71" applyFont="1" applyBorder="1" applyAlignment="1">
      <alignment horizontal="left" vertical="center" wrapText="1"/>
    </xf>
    <xf numFmtId="0" fontId="161" fillId="0" borderId="11" xfId="71" applyFont="1" applyBorder="1" applyAlignment="1">
      <alignment horizontal="left" vertical="center" wrapText="1"/>
    </xf>
    <xf numFmtId="0" fontId="161" fillId="0" borderId="73" xfId="81" applyFont="1" applyBorder="1" applyAlignment="1">
      <alignment horizontal="center" vertical="center"/>
    </xf>
    <xf numFmtId="0" fontId="161" fillId="0" borderId="11" xfId="81" applyFont="1" applyBorder="1" applyAlignment="1">
      <alignment horizontal="center" vertical="center"/>
    </xf>
    <xf numFmtId="0" fontId="161" fillId="0" borderId="23" xfId="109" applyFont="1" applyBorder="1" applyAlignment="1">
      <alignment horizontal="center" vertical="center" wrapText="1"/>
    </xf>
    <xf numFmtId="0" fontId="161" fillId="0" borderId="20" xfId="109" applyFont="1" applyBorder="1" applyAlignment="1">
      <alignment horizontal="center" vertical="center" wrapText="1"/>
    </xf>
    <xf numFmtId="49" fontId="161" fillId="0" borderId="179" xfId="73" applyNumberFormat="1" applyFont="1" applyBorder="1" applyAlignment="1">
      <alignment horizontal="center" vertical="center" wrapText="1"/>
    </xf>
    <xf numFmtId="49" fontId="161" fillId="0" borderId="33" xfId="73" applyNumberFormat="1" applyFont="1" applyBorder="1" applyAlignment="1">
      <alignment horizontal="center" vertical="center" wrapText="1"/>
    </xf>
    <xf numFmtId="0" fontId="161" fillId="0" borderId="85" xfId="73" applyFont="1" applyBorder="1" applyAlignment="1">
      <alignment horizontal="center" vertical="center" wrapText="1"/>
    </xf>
    <xf numFmtId="0" fontId="161" fillId="0" borderId="1" xfId="73" applyFont="1" applyBorder="1" applyAlignment="1">
      <alignment horizontal="center" vertical="center" wrapText="1"/>
    </xf>
    <xf numFmtId="0" fontId="161" fillId="0" borderId="73" xfId="73" applyFont="1" applyBorder="1" applyAlignment="1">
      <alignment horizontal="left" vertical="center" wrapText="1"/>
    </xf>
    <xf numFmtId="0" fontId="161" fillId="0" borderId="167" xfId="73" applyFont="1" applyBorder="1" applyAlignment="1">
      <alignment horizontal="left" vertical="center" wrapText="1"/>
    </xf>
    <xf numFmtId="0" fontId="161" fillId="0" borderId="23" xfId="73" applyFont="1" applyBorder="1" applyAlignment="1">
      <alignment horizontal="left" vertical="center" wrapText="1"/>
    </xf>
    <xf numFmtId="0" fontId="161" fillId="0" borderId="82" xfId="73" applyFont="1" applyBorder="1" applyAlignment="1">
      <alignment horizontal="left" vertical="center" wrapText="1"/>
    </xf>
    <xf numFmtId="0" fontId="161" fillId="0" borderId="20" xfId="73" applyFont="1" applyBorder="1" applyAlignment="1">
      <alignment horizontal="left" vertical="center" wrapText="1"/>
    </xf>
    <xf numFmtId="0" fontId="162" fillId="0" borderId="0" xfId="0" applyFont="1" applyAlignment="1">
      <alignment horizontal="left" vertical="top" wrapText="1"/>
    </xf>
    <xf numFmtId="0" fontId="163" fillId="0" borderId="0" xfId="0" applyFont="1" applyAlignment="1">
      <alignment horizontal="left" vertical="top" wrapText="1"/>
    </xf>
    <xf numFmtId="0" fontId="161" fillId="0" borderId="0" xfId="87" applyFont="1" applyAlignment="1">
      <alignment horizontal="left" vertical="top" wrapText="1"/>
    </xf>
    <xf numFmtId="0" fontId="161" fillId="0" borderId="23" xfId="109" applyFont="1" applyBorder="1" applyAlignment="1">
      <alignment horizontal="left" vertical="center" wrapText="1"/>
    </xf>
    <xf numFmtId="0" fontId="161" fillId="0" borderId="82" xfId="109" applyFont="1" applyBorder="1" applyAlignment="1">
      <alignment horizontal="left" vertical="center" wrapText="1"/>
    </xf>
    <xf numFmtId="0" fontId="161" fillId="0" borderId="20" xfId="109" applyFont="1" applyBorder="1" applyAlignment="1">
      <alignment horizontal="left" vertical="center" wrapText="1"/>
    </xf>
    <xf numFmtId="0" fontId="161" fillId="6" borderId="73" xfId="71" applyFont="1" applyFill="1" applyBorder="1" applyAlignment="1">
      <alignment horizontal="center" vertical="center" wrapText="1"/>
    </xf>
    <xf numFmtId="0" fontId="161" fillId="6" borderId="167" xfId="71" applyFont="1" applyFill="1" applyBorder="1" applyAlignment="1">
      <alignment horizontal="center" vertical="center" wrapText="1"/>
    </xf>
    <xf numFmtId="0" fontId="161" fillId="6" borderId="11" xfId="71" applyFont="1" applyFill="1" applyBorder="1" applyAlignment="1">
      <alignment horizontal="center" vertical="center" wrapText="1"/>
    </xf>
    <xf numFmtId="0" fontId="161" fillId="0" borderId="23" xfId="71" applyFont="1" applyBorder="1" applyAlignment="1">
      <alignment horizontal="center" vertical="center" wrapText="1"/>
    </xf>
    <xf numFmtId="0" fontId="161" fillId="0" borderId="82" xfId="71" applyFont="1" applyBorder="1" applyAlignment="1">
      <alignment horizontal="center" vertical="center" wrapText="1"/>
    </xf>
    <xf numFmtId="0" fontId="161" fillId="0" borderId="23" xfId="108" applyFont="1" applyBorder="1" applyAlignment="1">
      <alignment horizontal="center" vertical="center" wrapText="1"/>
    </xf>
    <xf numFmtId="0" fontId="161" fillId="0" borderId="82" xfId="108" applyFont="1" applyBorder="1" applyAlignment="1">
      <alignment horizontal="center" vertical="center" wrapText="1"/>
    </xf>
    <xf numFmtId="0" fontId="161" fillId="0" borderId="20" xfId="108" applyFont="1" applyBorder="1" applyAlignment="1">
      <alignment horizontal="center" vertical="center" wrapText="1"/>
    </xf>
    <xf numFmtId="0" fontId="162" fillId="0" borderId="23" xfId="71" applyFont="1" applyBorder="1" applyAlignment="1">
      <alignment horizontal="center" vertical="center" wrapText="1"/>
    </xf>
    <xf numFmtId="0" fontId="161" fillId="0" borderId="10" xfId="71" applyFont="1" applyBorder="1" applyAlignment="1">
      <alignment horizontal="center" vertical="center" wrapText="1"/>
    </xf>
    <xf numFmtId="0" fontId="162" fillId="0" borderId="85" xfId="71" applyFont="1" applyBorder="1" applyAlignment="1">
      <alignment horizontal="center" vertical="center" wrapText="1"/>
    </xf>
    <xf numFmtId="0" fontId="162" fillId="0" borderId="1" xfId="71" applyFont="1" applyBorder="1" applyAlignment="1">
      <alignment horizontal="center" vertical="center" wrapText="1"/>
    </xf>
    <xf numFmtId="0" fontId="162" fillId="0" borderId="134" xfId="71" applyFont="1" applyBorder="1" applyAlignment="1">
      <alignment horizontal="center" vertical="center" wrapText="1"/>
    </xf>
    <xf numFmtId="0" fontId="162" fillId="0" borderId="179" xfId="71" applyFont="1" applyBorder="1" applyAlignment="1">
      <alignment horizontal="center" vertical="center" wrapText="1"/>
    </xf>
    <xf numFmtId="0" fontId="162" fillId="0" borderId="33" xfId="71" applyFont="1" applyBorder="1" applyAlignment="1">
      <alignment horizontal="center" vertical="center" wrapText="1"/>
    </xf>
    <xf numFmtId="0" fontId="162" fillId="0" borderId="19" xfId="71" applyFont="1" applyBorder="1" applyAlignment="1">
      <alignment horizontal="center" vertical="center" wrapText="1"/>
    </xf>
    <xf numFmtId="0" fontId="164" fillId="0" borderId="73" xfId="0" quotePrefix="1" applyFont="1" applyBorder="1" applyAlignment="1">
      <alignment horizontal="center"/>
    </xf>
    <xf numFmtId="0" fontId="164" fillId="0" borderId="167" xfId="0" quotePrefix="1" applyFont="1" applyBorder="1" applyAlignment="1">
      <alignment horizontal="center"/>
    </xf>
    <xf numFmtId="0" fontId="164" fillId="0" borderId="11" xfId="0" quotePrefix="1" applyFont="1" applyBorder="1" applyAlignment="1">
      <alignment horizontal="center"/>
    </xf>
    <xf numFmtId="0" fontId="162" fillId="0" borderId="73" xfId="71" applyFont="1" applyBorder="1" applyAlignment="1">
      <alignment horizontal="center" vertical="center" wrapText="1"/>
    </xf>
    <xf numFmtId="0" fontId="161" fillId="0" borderId="167" xfId="71" applyFont="1" applyBorder="1" applyAlignment="1">
      <alignment horizontal="center" vertical="center" wrapText="1"/>
    </xf>
    <xf numFmtId="0" fontId="161" fillId="0" borderId="11" xfId="71" applyFont="1" applyBorder="1" applyAlignment="1">
      <alignment horizontal="center" vertical="center" wrapText="1"/>
    </xf>
    <xf numFmtId="0" fontId="162" fillId="0" borderId="23" xfId="108" applyFont="1" applyBorder="1" applyAlignment="1">
      <alignment horizontal="center" vertical="center" wrapText="1"/>
    </xf>
    <xf numFmtId="0" fontId="162" fillId="0" borderId="20" xfId="108" applyFont="1" applyBorder="1" applyAlignment="1">
      <alignment horizontal="center" vertical="center" wrapText="1"/>
    </xf>
    <xf numFmtId="0" fontId="162" fillId="0" borderId="20" xfId="71" applyFont="1" applyBorder="1" applyAlignment="1">
      <alignment horizontal="center" vertical="center" wrapText="1"/>
    </xf>
    <xf numFmtId="0" fontId="162" fillId="0" borderId="11" xfId="71" applyFont="1" applyBorder="1" applyAlignment="1">
      <alignment horizontal="center" vertical="center" wrapText="1"/>
    </xf>
    <xf numFmtId="0" fontId="162" fillId="0" borderId="10" xfId="108" applyFont="1" applyBorder="1" applyAlignment="1">
      <alignment horizontal="center" vertical="center" wrapText="1"/>
    </xf>
    <xf numFmtId="0" fontId="162" fillId="0" borderId="73" xfId="39" applyFont="1" applyBorder="1" applyAlignment="1">
      <alignment horizontal="center" vertical="center" wrapText="1"/>
    </xf>
    <xf numFmtId="0" fontId="162" fillId="0" borderId="167" xfId="39" applyFont="1" applyBorder="1" applyAlignment="1">
      <alignment horizontal="center" vertical="center" wrapText="1"/>
    </xf>
    <xf numFmtId="194" fontId="162" fillId="0" borderId="10" xfId="71" applyNumberFormat="1" applyFont="1" applyBorder="1" applyAlignment="1" applyProtection="1">
      <alignment horizontal="center" vertical="center" wrapText="1"/>
      <protection locked="0"/>
    </xf>
    <xf numFmtId="194" fontId="162" fillId="0" borderId="23" xfId="71" applyNumberFormat="1" applyFont="1" applyBorder="1" applyAlignment="1" applyProtection="1">
      <alignment horizontal="center" vertical="center" wrapText="1"/>
      <protection locked="0"/>
    </xf>
    <xf numFmtId="0" fontId="162" fillId="0" borderId="82" xfId="108" applyFont="1" applyBorder="1" applyAlignment="1">
      <alignment horizontal="center" vertical="center" wrapText="1"/>
    </xf>
    <xf numFmtId="191" fontId="5" fillId="0" borderId="23" xfId="71" applyNumberFormat="1" applyFont="1" applyBorder="1" applyAlignment="1">
      <alignment horizontal="left" vertical="center" wrapText="1"/>
    </xf>
    <xf numFmtId="191" fontId="5" fillId="0" borderId="82" xfId="71" applyNumberFormat="1" applyFont="1" applyBorder="1" applyAlignment="1">
      <alignment horizontal="left" vertical="center" wrapText="1"/>
    </xf>
    <xf numFmtId="191" fontId="5" fillId="0" borderId="20" xfId="71" applyNumberFormat="1" applyFont="1" applyBorder="1" applyAlignment="1">
      <alignment horizontal="left" vertical="center" wrapText="1"/>
    </xf>
    <xf numFmtId="191" fontId="5" fillId="0" borderId="73" xfId="71" applyNumberFormat="1" applyFont="1" applyBorder="1" applyAlignment="1">
      <alignment horizontal="left" vertical="center" wrapText="1"/>
    </xf>
    <xf numFmtId="191" fontId="5" fillId="0" borderId="11" xfId="71" applyNumberFormat="1" applyFont="1" applyBorder="1" applyAlignment="1">
      <alignment horizontal="left" vertical="center" wrapText="1"/>
    </xf>
    <xf numFmtId="0" fontId="15" fillId="0" borderId="23" xfId="71" applyFont="1" applyBorder="1" applyAlignment="1">
      <alignment horizontal="center" vertical="center" wrapText="1"/>
    </xf>
    <xf numFmtId="0" fontId="15" fillId="0" borderId="82" xfId="71" applyFont="1" applyBorder="1" applyAlignment="1">
      <alignment horizontal="center" vertical="center" wrapText="1"/>
    </xf>
    <xf numFmtId="0" fontId="15" fillId="0" borderId="20" xfId="71" applyFont="1" applyBorder="1" applyAlignment="1">
      <alignment horizontal="center" vertical="center" wrapText="1"/>
    </xf>
    <xf numFmtId="191" fontId="15" fillId="0" borderId="23" xfId="71" applyNumberFormat="1" applyFont="1" applyBorder="1" applyAlignment="1">
      <alignment horizontal="center" vertical="center" wrapText="1"/>
    </xf>
    <xf numFmtId="191" fontId="15" fillId="0" borderId="20" xfId="71" applyNumberFormat="1" applyFont="1" applyBorder="1" applyAlignment="1">
      <alignment horizontal="center" vertical="center" wrapText="1"/>
    </xf>
    <xf numFmtId="191" fontId="15" fillId="0" borderId="73" xfId="71" applyNumberFormat="1" applyFont="1" applyBorder="1" applyAlignment="1">
      <alignment horizontal="center" vertical="center" wrapText="1"/>
    </xf>
    <xf numFmtId="191" fontId="15" fillId="0" borderId="167" xfId="71" applyNumberFormat="1" applyFont="1" applyBorder="1" applyAlignment="1">
      <alignment horizontal="center" vertical="center" wrapText="1"/>
    </xf>
    <xf numFmtId="191" fontId="15" fillId="0" borderId="11" xfId="71" applyNumberFormat="1" applyFont="1" applyBorder="1" applyAlignment="1">
      <alignment horizontal="center" vertical="center" wrapText="1"/>
    </xf>
    <xf numFmtId="191" fontId="42" fillId="0" borderId="73" xfId="71" applyNumberFormat="1" applyFont="1" applyBorder="1" applyAlignment="1">
      <alignment horizontal="center" vertical="center" wrapText="1"/>
    </xf>
    <xf numFmtId="191" fontId="42" fillId="0" borderId="167" xfId="71" applyNumberFormat="1" applyFont="1" applyBorder="1" applyAlignment="1">
      <alignment horizontal="center" vertical="center" wrapText="1"/>
    </xf>
    <xf numFmtId="191" fontId="42" fillId="0" borderId="11" xfId="71" applyNumberFormat="1" applyFont="1" applyBorder="1" applyAlignment="1">
      <alignment horizontal="center" vertical="center" wrapText="1"/>
    </xf>
    <xf numFmtId="191" fontId="15" fillId="0" borderId="85" xfId="71" applyNumberFormat="1" applyFont="1" applyBorder="1" applyAlignment="1">
      <alignment horizontal="center" vertical="center" wrapText="1"/>
    </xf>
    <xf numFmtId="191" fontId="15" fillId="0" borderId="134" xfId="71" applyNumberFormat="1" applyFont="1" applyBorder="1" applyAlignment="1">
      <alignment horizontal="center" vertical="center" wrapText="1"/>
    </xf>
    <xf numFmtId="191" fontId="15" fillId="0" borderId="179" xfId="71" applyNumberFormat="1" applyFont="1" applyBorder="1" applyAlignment="1">
      <alignment horizontal="center" vertical="center" wrapText="1"/>
    </xf>
    <xf numFmtId="191" fontId="15" fillId="0" borderId="19" xfId="71" applyNumberFormat="1" applyFont="1" applyBorder="1" applyAlignment="1">
      <alignment horizontal="center" vertical="center" wrapText="1"/>
    </xf>
    <xf numFmtId="49" fontId="15" fillId="0" borderId="73" xfId="71" applyNumberFormat="1" applyFont="1" applyBorder="1" applyAlignment="1">
      <alignment horizontal="center" vertical="center" wrapText="1"/>
    </xf>
    <xf numFmtId="49" fontId="15" fillId="0" borderId="11" xfId="71" applyNumberFormat="1" applyFont="1" applyBorder="1" applyAlignment="1">
      <alignment horizontal="center" vertical="center" wrapText="1"/>
    </xf>
    <xf numFmtId="0" fontId="15" fillId="0" borderId="73" xfId="71" applyFont="1" applyBorder="1" applyAlignment="1">
      <alignment horizontal="center" vertical="center" wrapText="1"/>
    </xf>
    <xf numFmtId="0" fontId="15" fillId="0" borderId="11" xfId="71" applyFont="1" applyBorder="1" applyAlignment="1">
      <alignment horizontal="center" vertical="center" wrapText="1"/>
    </xf>
    <xf numFmtId="0" fontId="15" fillId="0" borderId="167" xfId="71" applyFont="1" applyBorder="1" applyAlignment="1">
      <alignment horizontal="center" vertical="center" wrapText="1"/>
    </xf>
    <xf numFmtId="0" fontId="44" fillId="0" borderId="10" xfId="71" applyFont="1" applyBorder="1" applyAlignment="1">
      <alignment horizontal="center" vertical="center"/>
    </xf>
    <xf numFmtId="0" fontId="15" fillId="0" borderId="33" xfId="59" applyFont="1" applyBorder="1" applyAlignment="1">
      <alignment horizontal="center" vertical="center" wrapText="1"/>
    </xf>
    <xf numFmtId="0" fontId="37" fillId="0" borderId="33" xfId="64" applyFont="1" applyBorder="1" applyAlignment="1">
      <alignment horizontal="center" vertical="center"/>
    </xf>
    <xf numFmtId="0" fontId="37" fillId="0" borderId="23" xfId="66" applyFont="1" applyBorder="1" applyAlignment="1">
      <alignment horizontal="left" vertical="center" wrapText="1"/>
    </xf>
    <xf numFmtId="0" fontId="37" fillId="0" borderId="82" xfId="66" applyFont="1" applyBorder="1" applyAlignment="1">
      <alignment horizontal="left" vertical="center" wrapText="1"/>
    </xf>
    <xf numFmtId="0" fontId="37" fillId="0" borderId="20" xfId="66" applyFont="1" applyBorder="1" applyAlignment="1">
      <alignment horizontal="left" vertical="center" wrapText="1"/>
    </xf>
    <xf numFmtId="0" fontId="70" fillId="0" borderId="0" xfId="66" applyFont="1" applyAlignment="1">
      <alignment horizontal="left" vertical="center" wrapText="1"/>
    </xf>
    <xf numFmtId="0" fontId="37" fillId="0" borderId="23" xfId="66" applyFont="1" applyBorder="1" applyAlignment="1">
      <alignment horizontal="left" vertical="center"/>
    </xf>
    <xf numFmtId="0" fontId="37" fillId="0" borderId="82" xfId="66" applyFont="1" applyBorder="1" applyAlignment="1">
      <alignment horizontal="left" vertical="center"/>
    </xf>
    <xf numFmtId="0" fontId="37" fillId="0" borderId="20" xfId="66" applyFont="1" applyBorder="1" applyAlignment="1">
      <alignment horizontal="left" vertical="center"/>
    </xf>
    <xf numFmtId="0" fontId="37" fillId="0" borderId="0" xfId="66" applyFont="1" applyAlignment="1">
      <alignment horizontal="left" vertical="center" wrapText="1"/>
    </xf>
    <xf numFmtId="0" fontId="37" fillId="0" borderId="6" xfId="71" applyFont="1" applyBorder="1" applyAlignment="1">
      <alignment horizontal="center" vertical="center" wrapText="1"/>
    </xf>
    <xf numFmtId="0" fontId="37" fillId="0" borderId="14" xfId="71" applyFont="1" applyBorder="1" applyAlignment="1">
      <alignment horizontal="center" vertical="center" wrapText="1"/>
    </xf>
    <xf numFmtId="0" fontId="37" fillId="0" borderId="177" xfId="71" applyFont="1" applyBorder="1" applyAlignment="1">
      <alignment horizontal="center" vertical="center" wrapText="1"/>
    </xf>
    <xf numFmtId="0" fontId="37" fillId="0" borderId="17" xfId="57" applyFont="1" applyBorder="1" applyAlignment="1">
      <alignment horizontal="center" vertical="center"/>
    </xf>
    <xf numFmtId="0" fontId="37" fillId="0" borderId="12" xfId="57" applyFont="1" applyBorder="1" applyAlignment="1">
      <alignment horizontal="center" vertical="center"/>
    </xf>
    <xf numFmtId="0" fontId="37" fillId="0" borderId="16" xfId="57" applyFont="1" applyBorder="1" applyAlignment="1">
      <alignment horizontal="center" vertical="center"/>
    </xf>
    <xf numFmtId="0" fontId="37" fillId="0" borderId="10" xfId="57" applyFont="1" applyBorder="1" applyAlignment="1">
      <alignment horizontal="center" vertical="center"/>
    </xf>
    <xf numFmtId="191" fontId="37" fillId="0" borderId="14" xfId="71" applyNumberFormat="1" applyFont="1" applyBorder="1" applyAlignment="1">
      <alignment horizontal="center" vertical="center" wrapText="1"/>
    </xf>
    <xf numFmtId="191" fontId="37" fillId="0" borderId="177" xfId="71" applyNumberFormat="1" applyFont="1" applyBorder="1" applyAlignment="1">
      <alignment horizontal="center" vertical="center" wrapText="1"/>
    </xf>
    <xf numFmtId="0" fontId="37" fillId="0" borderId="22" xfId="57" applyFont="1" applyBorder="1" applyAlignment="1">
      <alignment horizontal="center" vertical="center"/>
    </xf>
    <xf numFmtId="0" fontId="37" fillId="0" borderId="6" xfId="57" applyFont="1" applyBorder="1" applyAlignment="1">
      <alignment horizontal="center" vertical="center"/>
    </xf>
    <xf numFmtId="0" fontId="15" fillId="0" borderId="150" xfId="81" applyFont="1" applyBorder="1" applyAlignment="1">
      <alignment horizontal="center" vertical="center" wrapText="1"/>
    </xf>
    <xf numFmtId="0" fontId="15" fillId="0" borderId="92" xfId="81" applyFont="1" applyBorder="1" applyAlignment="1">
      <alignment horizontal="center" vertical="center" wrapText="1"/>
    </xf>
    <xf numFmtId="49" fontId="5" fillId="0" borderId="88" xfId="81" applyNumberFormat="1" applyFont="1" applyBorder="1" applyAlignment="1">
      <alignment horizontal="center" wrapText="1"/>
    </xf>
    <xf numFmtId="49" fontId="5" fillId="0" borderId="89" xfId="81" applyNumberFormat="1" applyFont="1" applyBorder="1" applyAlignment="1">
      <alignment horizontal="center" wrapText="1"/>
    </xf>
    <xf numFmtId="0" fontId="5" fillId="0" borderId="0" xfId="81" applyFont="1" applyAlignment="1">
      <alignment horizontal="left" vertical="center" wrapText="1"/>
    </xf>
    <xf numFmtId="0" fontId="5" fillId="0" borderId="0" xfId="0" applyFont="1"/>
    <xf numFmtId="0" fontId="195" fillId="0" borderId="0" xfId="0" applyFont="1"/>
  </cellXfs>
  <cellStyles count="278">
    <cellStyle name="_x000a_shell=progma" xfId="1" xr:uid="{00000000-0005-0000-0000-000000000000}"/>
    <cellStyle name="Centered Heading" xfId="2" xr:uid="{00000000-0005-0000-0000-000001000000}"/>
    <cellStyle name="Comma_Worksheet in  US Financial Statements Ref. Workbook - Single Co" xfId="3" xr:uid="{00000000-0005-0000-0000-000002000000}"/>
    <cellStyle name="CR Comma" xfId="4" xr:uid="{00000000-0005-0000-0000-000003000000}"/>
    <cellStyle name="Credit" xfId="5" xr:uid="{00000000-0005-0000-0000-000004000000}"/>
    <cellStyle name="Credit subtotal" xfId="6" xr:uid="{00000000-0005-0000-0000-000005000000}"/>
    <cellStyle name="Credit Total" xfId="7" xr:uid="{00000000-0005-0000-0000-000006000000}"/>
    <cellStyle name="Debit" xfId="8" xr:uid="{00000000-0005-0000-0000-000007000000}"/>
    <cellStyle name="Debit subtotal" xfId="9" xr:uid="{00000000-0005-0000-0000-000008000000}"/>
    <cellStyle name="Debit Total" xfId="10" xr:uid="{00000000-0005-0000-0000-000009000000}"/>
    <cellStyle name="Euro" xfId="11" xr:uid="{00000000-0005-0000-0000-00000A000000}"/>
    <cellStyle name="Euro 2" xfId="12" xr:uid="{00000000-0005-0000-0000-00000B000000}"/>
    <cellStyle name="Footnote" xfId="13" xr:uid="{00000000-0005-0000-0000-00000C000000}"/>
    <cellStyle name="Heading" xfId="14" xr:uid="{00000000-0005-0000-0000-00000D000000}"/>
    <cellStyle name="Heading No Underline" xfId="15" xr:uid="{00000000-0005-0000-0000-00000E000000}"/>
    <cellStyle name="IAIS_FT.Empty" xfId="16" xr:uid="{00000000-0005-0000-0000-00000F000000}"/>
    <cellStyle name="Normal_A" xfId="17" xr:uid="{00000000-0005-0000-0000-000010000000}"/>
    <cellStyle name="oft Excel]_x000d__x000a_Comment=The open=/f lines load custom functions into the Paste Function list._x000d__x000a_Maximized=3_x000d__x000a_AutoFormat=" xfId="18" xr:uid="{00000000-0005-0000-0000-000011000000}"/>
    <cellStyle name="Percent (0)" xfId="19" xr:uid="{00000000-0005-0000-0000-000012000000}"/>
    <cellStyle name="Table Heading" xfId="20" xr:uid="{00000000-0005-0000-0000-000013000000}"/>
    <cellStyle name="Table Title" xfId="21" xr:uid="{00000000-0005-0000-0000-000014000000}"/>
    <cellStyle name="Table Units" xfId="22" xr:uid="{00000000-0005-0000-0000-000015000000}"/>
    <cellStyle name="Tickmark" xfId="23" xr:uid="{00000000-0005-0000-0000-000016000000}"/>
    <cellStyle name="一月" xfId="24" xr:uid="{00000000-0005-0000-0000-000017000000}"/>
    <cellStyle name="一般" xfId="0" builtinId="0"/>
    <cellStyle name="一般 10" xfId="25" xr:uid="{00000000-0005-0000-0000-000019000000}"/>
    <cellStyle name="一般 11" xfId="26" xr:uid="{00000000-0005-0000-0000-00001A000000}"/>
    <cellStyle name="一般 12" xfId="27" xr:uid="{00000000-0005-0000-0000-00001B000000}"/>
    <cellStyle name="一般 13" xfId="28" xr:uid="{00000000-0005-0000-0000-00001C000000}"/>
    <cellStyle name="一般 14" xfId="29" xr:uid="{00000000-0005-0000-0000-00001D000000}"/>
    <cellStyle name="一般 15" xfId="30" xr:uid="{00000000-0005-0000-0000-00001E000000}"/>
    <cellStyle name="一般 16" xfId="31" xr:uid="{00000000-0005-0000-0000-00001F000000}"/>
    <cellStyle name="一般 17" xfId="32" xr:uid="{00000000-0005-0000-0000-000020000000}"/>
    <cellStyle name="一般 17 2" xfId="33" xr:uid="{00000000-0005-0000-0000-000021000000}"/>
    <cellStyle name="一般 18" xfId="34" xr:uid="{00000000-0005-0000-0000-000022000000}"/>
    <cellStyle name="一般 18 2" xfId="35" xr:uid="{00000000-0005-0000-0000-000023000000}"/>
    <cellStyle name="一般 19" xfId="36" xr:uid="{00000000-0005-0000-0000-000024000000}"/>
    <cellStyle name="一般 2" xfId="37" xr:uid="{00000000-0005-0000-0000-000025000000}"/>
    <cellStyle name="一般 2 2" xfId="38" xr:uid="{00000000-0005-0000-0000-000026000000}"/>
    <cellStyle name="一般 2 3" xfId="39" xr:uid="{00000000-0005-0000-0000-000027000000}"/>
    <cellStyle name="一般 2_RBC相關報表-產險" xfId="40" xr:uid="{00000000-0005-0000-0000-000028000000}"/>
    <cellStyle name="一般 20" xfId="41" xr:uid="{00000000-0005-0000-0000-000029000000}"/>
    <cellStyle name="一般 27" xfId="42" xr:uid="{00000000-0005-0000-0000-00002A000000}"/>
    <cellStyle name="一般 3" xfId="43" xr:uid="{00000000-0005-0000-0000-00002B000000}"/>
    <cellStyle name="一般 3 2" xfId="44" xr:uid="{00000000-0005-0000-0000-00002C000000}"/>
    <cellStyle name="一般 3 2 2" xfId="45" xr:uid="{00000000-0005-0000-0000-00002D000000}"/>
    <cellStyle name="一般 3 3" xfId="46" xr:uid="{00000000-0005-0000-0000-00002E000000}"/>
    <cellStyle name="一般 3 4" xfId="47" xr:uid="{00000000-0005-0000-0000-00002F000000}"/>
    <cellStyle name="一般 4" xfId="48" xr:uid="{00000000-0005-0000-0000-000030000000}"/>
    <cellStyle name="一般 4 2" xfId="49" xr:uid="{00000000-0005-0000-0000-000031000000}"/>
    <cellStyle name="一般 4 3" xfId="50" xr:uid="{00000000-0005-0000-0000-000032000000}"/>
    <cellStyle name="一般 4 4" xfId="51" xr:uid="{00000000-0005-0000-0000-000033000000}"/>
    <cellStyle name="一般 5" xfId="52" xr:uid="{00000000-0005-0000-0000-000034000000}"/>
    <cellStyle name="一般 6" xfId="53" xr:uid="{00000000-0005-0000-0000-000035000000}"/>
    <cellStyle name="一般 7" xfId="54" xr:uid="{00000000-0005-0000-0000-000036000000}"/>
    <cellStyle name="一般 8" xfId="55" xr:uid="{00000000-0005-0000-0000-000037000000}"/>
    <cellStyle name="一般 9" xfId="56" xr:uid="{00000000-0005-0000-0000-000038000000}"/>
    <cellStyle name="一般_~3692007" xfId="57" xr:uid="{00000000-0005-0000-0000-000039000000}"/>
    <cellStyle name="一般_1.人身保險業資本適足性報告" xfId="58" xr:uid="{00000000-0005-0000-0000-00003A000000}"/>
    <cellStyle name="一般_1.人身保險業資本適足性報告 2" xfId="59" xr:uid="{00000000-0005-0000-0000-00003B000000}"/>
    <cellStyle name="一般_1.人身保險業資本適足性報告_RBC相關暨修訂報表-產險0811" xfId="60" xr:uid="{00000000-0005-0000-0000-00003C000000}"/>
    <cellStyle name="一般_1.人身保險業資本適足性報告_產險年度檢表930428-1" xfId="61" xr:uid="{00000000-0005-0000-0000-00003D000000}"/>
    <cellStyle name="一般_1.人身保險業資本適足性報告_壽險年度檢表930428-1" xfId="62" xr:uid="{00000000-0005-0000-0000-00003E000000}"/>
    <cellStyle name="一般_1.財產保險業資本適足性報告" xfId="63" xr:uid="{00000000-0005-0000-0000-00003F000000}"/>
    <cellStyle name="一般_1.財產保險業資本適足性報告 2" xfId="64" xr:uid="{00000000-0005-0000-0000-000040000000}"/>
    <cellStyle name="一般_1.財產保險業資本適足性報告_RBC相關暨修訂報表-產險0811" xfId="65" xr:uid="{00000000-0005-0000-0000-000041000000}"/>
    <cellStyle name="一般_2.人身保險業資本適足性報告相關填報表格" xfId="66" xr:uid="{00000000-0005-0000-0000-000042000000}"/>
    <cellStyle name="一般_2.人身保險業資本適足性報告相關填報表格_19-4&amp;5 (1)_再保險資產表draft_0704" xfId="67" xr:uid="{00000000-0005-0000-0000-000043000000}"/>
    <cellStyle name="一般_2.人身保險業資本適足性報告相關填報表格_19-4&amp;5 (1)_再保險資產表draft_0825" xfId="68" xr:uid="{00000000-0005-0000-0000-000044000000}"/>
    <cellStyle name="一般_2.人身保險業資本適足性報告相關填報表格_檢查報表_壽_951129" xfId="69" xr:uid="{00000000-0005-0000-0000-000045000000}"/>
    <cellStyle name="一般_2006產險年度檢表RBC" xfId="70" xr:uid="{00000000-0005-0000-0000-000046000000}"/>
    <cellStyle name="一般_921002保險業月報yaotung" xfId="71" xr:uid="{00000000-0005-0000-0000-000047000000}"/>
    <cellStyle name="一般_921002保險業月報yaotung 2" xfId="72" xr:uid="{00000000-0005-0000-0000-000048000000}"/>
    <cellStyle name="一般_921002保險業月報yaotung_RBC相關報表-壽險(100.11.10)" xfId="73" xr:uid="{00000000-0005-0000-0000-000049000000}"/>
    <cellStyle name="一般_921002保險業月報yaotung_年度檢查報表表19-930521產壽公會版" xfId="74" xr:uid="{00000000-0005-0000-0000-00004A000000}"/>
    <cellStyle name="一般_921002保險業月報yaotung_檢查報表_壽_951129" xfId="75" xr:uid="{00000000-0005-0000-0000-00004B000000}"/>
    <cellStyle name="一般_921002保險業月報yaotung_檢查報表_壽_951129_96年RBC相關報表_產險970508" xfId="76" xr:uid="{00000000-0005-0000-0000-00004C000000}"/>
    <cellStyle name="一般_921002保險業月報yaotung_檢查報表_壽_951129_檢查報表-產960306" xfId="77" xr:uid="{00000000-0005-0000-0000-00004D000000}"/>
    <cellStyle name="一般_921118公債有價證券借貸表" xfId="78" xr:uid="{00000000-0005-0000-0000-00004E000000}"/>
    <cellStyle name="一般_921118投資型保險投資餘額明細表" xfId="79" xr:uid="{00000000-0005-0000-0000-00004F000000}"/>
    <cellStyle name="一般_921118表外交易" xfId="80" xr:uid="{00000000-0005-0000-0000-000050000000}"/>
    <cellStyle name="一般_94RBC報表修改-壽險(2修 )" xfId="81" xr:uid="{00000000-0005-0000-0000-000051000000}"/>
    <cellStyle name="一般_94RBC報表修改-壽險(2修 )_檢查報表_壽_951129" xfId="82" xr:uid="{00000000-0005-0000-0000-000052000000}"/>
    <cellStyle name="一般_95年度RBC衍生性商品報表1214 " xfId="83" xr:uid="{00000000-0005-0000-0000-000053000000}"/>
    <cellStyle name="一般_Book2" xfId="84" xr:uid="{00000000-0005-0000-0000-000054000000}"/>
    <cellStyle name="一般_RBC_961115" xfId="85" xr:uid="{00000000-0005-0000-0000-000055000000}"/>
    <cellStyle name="一般_RBCFB89" xfId="86" xr:uid="{00000000-0005-0000-0000-000056000000}"/>
    <cellStyle name="一般_RBC相關報表-壽險(100.11.10)" xfId="87" xr:uid="{00000000-0005-0000-0000-000057000000}"/>
    <cellStyle name="一般_人身保險業資本適足性相關填報表格(910517草案)--修正版" xfId="88" xr:uid="{00000000-0005-0000-0000-000058000000}"/>
    <cellStyle name="一般_人身保險業資本適足性相關填報表格(910517草案)--修正版_檢查報表-產險971229(不含業務報表)" xfId="89" xr:uid="{00000000-0005-0000-0000-000059000000}"/>
    <cellStyle name="一般_人身保險業資本適足性相關填報表格(910517草案)--修正版_檢查報表-產險971229(不含業務報表) 2" xfId="90" xr:uid="{00000000-0005-0000-0000-00005A000000}"/>
    <cellStyle name="一般_分出再保費用相關報表(0413)" xfId="91" xr:uid="{00000000-0005-0000-0000-00005B000000}"/>
    <cellStyle name="一般_半年報檢查報表-壽險" xfId="92" xr:uid="{00000000-0005-0000-0000-00005C000000}"/>
    <cellStyle name="一般_再保險相關報表" xfId="93" xr:uid="{00000000-0005-0000-0000-00005D000000}"/>
    <cellStyle name="一般_再保險資產表_100年適用11.21" xfId="94" xr:uid="{00000000-0005-0000-0000-00005E000000}"/>
    <cellStyle name="一般_年報-五科意見911016" xfId="95" xr:uid="{00000000-0005-0000-0000-00005F000000}"/>
    <cellStyle name="一般_年報-五科意見911016_RBC相關暨修訂報表-產險0811" xfId="96" xr:uid="{00000000-0005-0000-0000-000060000000}"/>
    <cellStyle name="一般_年報-五科意見911016_非RBC相關報表-產險(0512)" xfId="97" xr:uid="{00000000-0005-0000-0000-000061000000}"/>
    <cellStyle name="一般_年報-五科意見911016_檢查報表-產險971229(不含業務報表)" xfId="98" xr:uid="{00000000-0005-0000-0000-000062000000}"/>
    <cellStyle name="一般_年報-五科意見911220" xfId="99" xr:uid="{00000000-0005-0000-0000-000063000000}"/>
    <cellStyle name="一般_年報-五科意見920127" xfId="100" xr:uid="{00000000-0005-0000-0000-000064000000}"/>
    <cellStyle name="一般_年報-五科意見920127_RBC相關暨修訂報表-產險0811" xfId="101" xr:uid="{00000000-0005-0000-0000-000065000000}"/>
    <cellStyle name="一般_年報-五科意見920127_非RBC相關報表-產險(0512)" xfId="102" xr:uid="{00000000-0005-0000-0000-000066000000}"/>
    <cellStyle name="一般_成本VS市價明細表-Life(0430)" xfId="103" xr:uid="{00000000-0005-0000-0000-000067000000}"/>
    <cellStyle name="一般_成本VS市價明細表-Property(0430)" xfId="104" xr:uid="{00000000-0005-0000-0000-000068000000}"/>
    <cellStyle name="一般_非RBC相關亦未修訂報表-產險" xfId="105" xr:uid="{00000000-0005-0000-0000-000069000000}"/>
    <cellStyle name="一般_非RBC相關亦未修訂報表-產險 2" xfId="106" xr:uid="{00000000-0005-0000-0000-00006A000000}"/>
    <cellStyle name="一般_非RBC相關報表-壽險(100.11.10)" xfId="107" xr:uid="{00000000-0005-0000-0000-00006B000000}"/>
    <cellStyle name="一般_建議" xfId="108" xr:uid="{00000000-0005-0000-0000-00006C000000}"/>
    <cellStyle name="一般_建議_RBC相關報表-壽險(100.11.10)" xfId="109" xr:uid="{00000000-0005-0000-0000-00006D000000}"/>
    <cellStyle name="一般_建議_檢查報表_壽_951129_96年RBC相關報表_產險970508" xfId="110" xr:uid="{00000000-0005-0000-0000-00006E000000}"/>
    <cellStyle name="一般_建議_檢查報表_壽_951129_檢查報表-產960306" xfId="111" xr:uid="{00000000-0005-0000-0000-00006F000000}"/>
    <cellStyle name="一般_產險92年新制準備金試算表--財政部核定版--92.01.22" xfId="112" xr:uid="{00000000-0005-0000-0000-000070000000}"/>
    <cellStyle name="一般_新產險檢查報表(含頁碼)(910204)" xfId="113" xr:uid="{00000000-0005-0000-0000-000071000000}"/>
    <cellStyle name="一般_壽險年度檢表930428-1" xfId="114" xr:uid="{00000000-0005-0000-0000-000072000000}"/>
    <cellStyle name="一般_壽險年度檢查報表空白表格" xfId="115" xr:uid="{00000000-0005-0000-0000-000073000000}"/>
    <cellStyle name="一般_壽險檢表-基本資料Output" xfId="116" xr:uid="{00000000-0005-0000-0000-000074000000}"/>
    <cellStyle name="一般_複本96年RBC相關報表_產險970221" xfId="117" xr:uid="{00000000-0005-0000-0000-000075000000}"/>
    <cellStyle name="一般_檢查報表_壽(不含Co調整)_951201" xfId="118" xr:uid="{00000000-0005-0000-0000-000076000000}"/>
    <cellStyle name="一般_檢查報表_壽(不含Co調整)_951205" xfId="119" xr:uid="{00000000-0005-0000-0000-000077000000}"/>
    <cellStyle name="一般_檢查報表_壽_951129" xfId="120" xr:uid="{00000000-0005-0000-0000-000078000000}"/>
    <cellStyle name="一般_檢查報表16表" xfId="121" xr:uid="{00000000-0005-0000-0000-000079000000}"/>
    <cellStyle name="一般_檢查報表16表_檢查報表_壽(不含Co調整)_951205" xfId="122" xr:uid="{00000000-0005-0000-0000-00007A000000}"/>
    <cellStyle name="一般_檢查報表16表_檢查報表_壽(不含Co調整)_951214" xfId="123" xr:uid="{00000000-0005-0000-0000-00007B000000}"/>
    <cellStyle name="一般_檢查報表-產950208整合" xfId="124" xr:uid="{00000000-0005-0000-0000-00007C000000}"/>
    <cellStyle name="一般_檢查報表-產950208整合_會議資料_報表_修改後1230" xfId="125" xr:uid="{00000000-0005-0000-0000-00007D000000}"/>
    <cellStyle name="一般_檢查報表-產950208整合_會議資料_報表_修改後1230 2" xfId="126" xr:uid="{00000000-0005-0000-0000-00007E000000}"/>
    <cellStyle name="一般_檢查報表-產險1217" xfId="127" xr:uid="{00000000-0005-0000-0000-00007F000000}"/>
    <cellStyle name="一般_檢查報表-產險980120(不含與RBC相關) 2" xfId="128" xr:uid="{00000000-0005-0000-0000-000080000000}"/>
    <cellStyle name="一般_檢查報表-產險980120(不含與RBC相關) 2 2" xfId="129" xr:uid="{00000000-0005-0000-0000-000081000000}"/>
    <cellStyle name="一般_檢查報表-壽險" xfId="130" xr:uid="{00000000-0005-0000-0000-000082000000}"/>
    <cellStyle name="一般_檢查報表-壽險1217(修)" xfId="131" xr:uid="{00000000-0005-0000-0000-000083000000}"/>
    <cellStyle name="千分位" xfId="132" builtinId="3"/>
    <cellStyle name="千分位 2" xfId="133" xr:uid="{00000000-0005-0000-0000-000085000000}"/>
    <cellStyle name="千分位 2 2" xfId="134" xr:uid="{00000000-0005-0000-0000-000086000000}"/>
    <cellStyle name="千分位 2 2 2" xfId="135" xr:uid="{00000000-0005-0000-0000-000087000000}"/>
    <cellStyle name="千分位 2 2 2 2" xfId="136" xr:uid="{00000000-0005-0000-0000-000088000000}"/>
    <cellStyle name="千分位 2 2 2 2 2" xfId="137" xr:uid="{00000000-0005-0000-0000-000089000000}"/>
    <cellStyle name="千分位 2 2 2 3" xfId="138" xr:uid="{00000000-0005-0000-0000-00008A000000}"/>
    <cellStyle name="千分位 2 2 3" xfId="139" xr:uid="{00000000-0005-0000-0000-00008B000000}"/>
    <cellStyle name="千分位 2 2 3 2" xfId="140" xr:uid="{00000000-0005-0000-0000-00008C000000}"/>
    <cellStyle name="千分位 2 2 3 3" xfId="141" xr:uid="{00000000-0005-0000-0000-00008D000000}"/>
    <cellStyle name="千分位 2 2 4" xfId="142" xr:uid="{00000000-0005-0000-0000-00008E000000}"/>
    <cellStyle name="千分位 2 2 5" xfId="143" xr:uid="{00000000-0005-0000-0000-00008F000000}"/>
    <cellStyle name="千分位 2 3" xfId="144" xr:uid="{00000000-0005-0000-0000-000090000000}"/>
    <cellStyle name="千分位 2 3 2" xfId="145" xr:uid="{00000000-0005-0000-0000-000091000000}"/>
    <cellStyle name="千分位 2 3 2 2" xfId="146" xr:uid="{00000000-0005-0000-0000-000092000000}"/>
    <cellStyle name="千分位 2 3 2 2 2" xfId="147" xr:uid="{00000000-0005-0000-0000-000093000000}"/>
    <cellStyle name="千分位 2 3 2 2 3" xfId="148" xr:uid="{00000000-0005-0000-0000-000094000000}"/>
    <cellStyle name="千分位 2 3 2 3" xfId="149" xr:uid="{00000000-0005-0000-0000-000095000000}"/>
    <cellStyle name="千分位 2 3 2 3 2" xfId="150" xr:uid="{00000000-0005-0000-0000-000096000000}"/>
    <cellStyle name="千分位 2 3 2 4" xfId="151" xr:uid="{00000000-0005-0000-0000-000097000000}"/>
    <cellStyle name="千分位 2 3 2 5" xfId="152" xr:uid="{00000000-0005-0000-0000-000098000000}"/>
    <cellStyle name="千分位 2 3 3" xfId="153" xr:uid="{00000000-0005-0000-0000-000099000000}"/>
    <cellStyle name="千分位 2 3 3 2" xfId="154" xr:uid="{00000000-0005-0000-0000-00009A000000}"/>
    <cellStyle name="千分位 2 3 3 2 2" xfId="155" xr:uid="{00000000-0005-0000-0000-00009B000000}"/>
    <cellStyle name="千分位 2 3 3 3" xfId="156" xr:uid="{00000000-0005-0000-0000-00009C000000}"/>
    <cellStyle name="千分位 2 3 4" xfId="157" xr:uid="{00000000-0005-0000-0000-00009D000000}"/>
    <cellStyle name="千分位 2 3 4 2" xfId="158" xr:uid="{00000000-0005-0000-0000-00009E000000}"/>
    <cellStyle name="千分位 2 3 4 3" xfId="159" xr:uid="{00000000-0005-0000-0000-00009F000000}"/>
    <cellStyle name="千分位 2 3 5" xfId="160" xr:uid="{00000000-0005-0000-0000-0000A0000000}"/>
    <cellStyle name="千分位 2 3 6" xfId="161" xr:uid="{00000000-0005-0000-0000-0000A1000000}"/>
    <cellStyle name="千分位 2 4" xfId="162" xr:uid="{00000000-0005-0000-0000-0000A2000000}"/>
    <cellStyle name="千分位 2 4 2" xfId="163" xr:uid="{00000000-0005-0000-0000-0000A3000000}"/>
    <cellStyle name="千分位 2 4 2 2" xfId="164" xr:uid="{00000000-0005-0000-0000-0000A4000000}"/>
    <cellStyle name="千分位 2 4 2 2 2" xfId="165" xr:uid="{00000000-0005-0000-0000-0000A5000000}"/>
    <cellStyle name="千分位 2 4 2 2 3" xfId="166" xr:uid="{00000000-0005-0000-0000-0000A6000000}"/>
    <cellStyle name="千分位 2 4 2 3" xfId="167" xr:uid="{00000000-0005-0000-0000-0000A7000000}"/>
    <cellStyle name="千分位 2 4 2 3 2" xfId="168" xr:uid="{00000000-0005-0000-0000-0000A8000000}"/>
    <cellStyle name="千分位 2 4 2 4" xfId="169" xr:uid="{00000000-0005-0000-0000-0000A9000000}"/>
    <cellStyle name="千分位 2 4 2 5" xfId="170" xr:uid="{00000000-0005-0000-0000-0000AA000000}"/>
    <cellStyle name="千分位 2 4 3" xfId="171" xr:uid="{00000000-0005-0000-0000-0000AB000000}"/>
    <cellStyle name="千分位 2 4 3 2" xfId="172" xr:uid="{00000000-0005-0000-0000-0000AC000000}"/>
    <cellStyle name="千分位 2 4 3 2 2" xfId="173" xr:uid="{00000000-0005-0000-0000-0000AD000000}"/>
    <cellStyle name="千分位 2 4 3 3" xfId="174" xr:uid="{00000000-0005-0000-0000-0000AE000000}"/>
    <cellStyle name="千分位 2 4 4" xfId="175" xr:uid="{00000000-0005-0000-0000-0000AF000000}"/>
    <cellStyle name="千分位 2 4 4 2" xfId="176" xr:uid="{00000000-0005-0000-0000-0000B0000000}"/>
    <cellStyle name="千分位 2 4 4 3" xfId="177" xr:uid="{00000000-0005-0000-0000-0000B1000000}"/>
    <cellStyle name="千分位 2 4 5" xfId="178" xr:uid="{00000000-0005-0000-0000-0000B2000000}"/>
    <cellStyle name="千分位 2 4 6" xfId="179" xr:uid="{00000000-0005-0000-0000-0000B3000000}"/>
    <cellStyle name="千分位 2 5" xfId="180" xr:uid="{00000000-0005-0000-0000-0000B4000000}"/>
    <cellStyle name="千分位 2 5 2" xfId="181" xr:uid="{00000000-0005-0000-0000-0000B5000000}"/>
    <cellStyle name="千分位 2 5 2 2" xfId="182" xr:uid="{00000000-0005-0000-0000-0000B6000000}"/>
    <cellStyle name="千分位 2 5 3" xfId="183" xr:uid="{00000000-0005-0000-0000-0000B7000000}"/>
    <cellStyle name="千分位 2 6" xfId="184" xr:uid="{00000000-0005-0000-0000-0000B8000000}"/>
    <cellStyle name="千分位 2 6 2" xfId="185" xr:uid="{00000000-0005-0000-0000-0000B9000000}"/>
    <cellStyle name="千分位 2 6 3" xfId="186" xr:uid="{00000000-0005-0000-0000-0000BA000000}"/>
    <cellStyle name="千分位 2 7" xfId="187" xr:uid="{00000000-0005-0000-0000-0000BB000000}"/>
    <cellStyle name="千分位 2 8" xfId="188" xr:uid="{00000000-0005-0000-0000-0000BC000000}"/>
    <cellStyle name="千分位 3" xfId="189" xr:uid="{00000000-0005-0000-0000-0000BD000000}"/>
    <cellStyle name="千分位 3 2" xfId="190" xr:uid="{00000000-0005-0000-0000-0000BE000000}"/>
    <cellStyle name="千分位 3 2 2" xfId="191" xr:uid="{00000000-0005-0000-0000-0000BF000000}"/>
    <cellStyle name="千分位 3 2 2 2" xfId="192" xr:uid="{00000000-0005-0000-0000-0000C0000000}"/>
    <cellStyle name="千分位 3 2 3" xfId="193" xr:uid="{00000000-0005-0000-0000-0000C1000000}"/>
    <cellStyle name="千分位 3 2 4" xfId="194" xr:uid="{00000000-0005-0000-0000-0000C2000000}"/>
    <cellStyle name="千分位 3 3" xfId="195" xr:uid="{00000000-0005-0000-0000-0000C3000000}"/>
    <cellStyle name="千分位 3 3 2" xfId="196" xr:uid="{00000000-0005-0000-0000-0000C4000000}"/>
    <cellStyle name="千分位 3 3 2 2" xfId="197" xr:uid="{00000000-0005-0000-0000-0000C5000000}"/>
    <cellStyle name="千分位 3 3 2 3" xfId="198" xr:uid="{00000000-0005-0000-0000-0000C6000000}"/>
    <cellStyle name="千分位 4" xfId="199" xr:uid="{00000000-0005-0000-0000-0000C7000000}"/>
    <cellStyle name="千分位 4 2" xfId="200" xr:uid="{00000000-0005-0000-0000-0000C8000000}"/>
    <cellStyle name="千分位 4 3" xfId="201" xr:uid="{00000000-0005-0000-0000-0000C9000000}"/>
    <cellStyle name="千分位 4 4" xfId="202" xr:uid="{00000000-0005-0000-0000-0000CA000000}"/>
    <cellStyle name="千分位 5" xfId="203" xr:uid="{00000000-0005-0000-0000-0000CB000000}"/>
    <cellStyle name="千分位 5 2" xfId="204" xr:uid="{00000000-0005-0000-0000-0000CC000000}"/>
    <cellStyle name="千分位 6" xfId="205" xr:uid="{00000000-0005-0000-0000-0000CD000000}"/>
    <cellStyle name="千分位 7" xfId="206" xr:uid="{00000000-0005-0000-0000-0000CE000000}"/>
    <cellStyle name="千分位 8" xfId="207" xr:uid="{00000000-0005-0000-0000-0000CF000000}"/>
    <cellStyle name="千分位[0]" xfId="208" builtinId="6"/>
    <cellStyle name="千分位[0] 2" xfId="209" xr:uid="{00000000-0005-0000-0000-0000D1000000}"/>
    <cellStyle name="千分位[0] 2 2" xfId="210" xr:uid="{00000000-0005-0000-0000-0000D2000000}"/>
    <cellStyle name="千分位[0] 2 2 2" xfId="211" xr:uid="{00000000-0005-0000-0000-0000D3000000}"/>
    <cellStyle name="千分位[0] 2 2 2 2" xfId="212" xr:uid="{00000000-0005-0000-0000-0000D4000000}"/>
    <cellStyle name="千分位[0] 2 2 2 2 2" xfId="213" xr:uid="{00000000-0005-0000-0000-0000D5000000}"/>
    <cellStyle name="千分位[0] 2 2 2 3" xfId="214" xr:uid="{00000000-0005-0000-0000-0000D6000000}"/>
    <cellStyle name="千分位[0] 2 2 3" xfId="215" xr:uid="{00000000-0005-0000-0000-0000D7000000}"/>
    <cellStyle name="千分位[0] 2 2 3 2" xfId="216" xr:uid="{00000000-0005-0000-0000-0000D8000000}"/>
    <cellStyle name="千分位[0] 2 2 3 3" xfId="217" xr:uid="{00000000-0005-0000-0000-0000D9000000}"/>
    <cellStyle name="千分位[0] 2 2 4" xfId="218" xr:uid="{00000000-0005-0000-0000-0000DA000000}"/>
    <cellStyle name="千分位[0] 2 2 5" xfId="219" xr:uid="{00000000-0005-0000-0000-0000DB000000}"/>
    <cellStyle name="千分位[0] 2 3" xfId="220" xr:uid="{00000000-0005-0000-0000-0000DC000000}"/>
    <cellStyle name="千分位[0] 2 3 2" xfId="221" xr:uid="{00000000-0005-0000-0000-0000DD000000}"/>
    <cellStyle name="千分位[0] 2 3 2 2" xfId="222" xr:uid="{00000000-0005-0000-0000-0000DE000000}"/>
    <cellStyle name="千分位[0] 2 3 2 2 2" xfId="223" xr:uid="{00000000-0005-0000-0000-0000DF000000}"/>
    <cellStyle name="千分位[0] 2 3 2 3" xfId="224" xr:uid="{00000000-0005-0000-0000-0000E0000000}"/>
    <cellStyle name="千分位[0] 2 4" xfId="225" xr:uid="{00000000-0005-0000-0000-0000E1000000}"/>
    <cellStyle name="千分位[0] 2 4 2" xfId="226" xr:uid="{00000000-0005-0000-0000-0000E2000000}"/>
    <cellStyle name="千分位[0] 2 4 2 2" xfId="227" xr:uid="{00000000-0005-0000-0000-0000E3000000}"/>
    <cellStyle name="千分位[0] 2 4 3" xfId="228" xr:uid="{00000000-0005-0000-0000-0000E4000000}"/>
    <cellStyle name="千分位[0] 2 5" xfId="229" xr:uid="{00000000-0005-0000-0000-0000E5000000}"/>
    <cellStyle name="千分位[0] 2 5 2" xfId="230" xr:uid="{00000000-0005-0000-0000-0000E6000000}"/>
    <cellStyle name="千分位[0] 2 5 3" xfId="231" xr:uid="{00000000-0005-0000-0000-0000E7000000}"/>
    <cellStyle name="千分位[0] 2 6" xfId="232" xr:uid="{00000000-0005-0000-0000-0000E8000000}"/>
    <cellStyle name="千分位[0] 2 7" xfId="233" xr:uid="{00000000-0005-0000-0000-0000E9000000}"/>
    <cellStyle name="千分位[0] 3" xfId="234" xr:uid="{00000000-0005-0000-0000-0000EA000000}"/>
    <cellStyle name="千分位[0] 3 2" xfId="235" xr:uid="{00000000-0005-0000-0000-0000EB000000}"/>
    <cellStyle name="千分位[0] 4" xfId="236" xr:uid="{00000000-0005-0000-0000-0000EC000000}"/>
    <cellStyle name="千分位[0] 4 2" xfId="237" xr:uid="{00000000-0005-0000-0000-0000ED000000}"/>
    <cellStyle name="千分位[0] 5" xfId="238" xr:uid="{00000000-0005-0000-0000-0000EE000000}"/>
    <cellStyle name="千分位[0]_921002保險業月報yaotung" xfId="239" xr:uid="{00000000-0005-0000-0000-0000EF000000}"/>
    <cellStyle name="千分位[0]_產險92年新制準備金試算表--財政部核定版--92.01.22" xfId="240" xr:uid="{00000000-0005-0000-0000-0000F0000000}"/>
    <cellStyle name="千分位[0]_新產險檢查報表(含頁碼)(910204)" xfId="241" xr:uid="{00000000-0005-0000-0000-0000F1000000}"/>
    <cellStyle name="千分位_94RBC報表修改-壽險(2修 )" xfId="242" xr:uid="{00000000-0005-0000-0000-0000F2000000}"/>
    <cellStyle name="千分位_95年度RBC衍生性商品報表1214 " xfId="243" xr:uid="{00000000-0005-0000-0000-0000F3000000}"/>
    <cellStyle name="好_40911201 12~1月明細" xfId="244" xr:uid="{00000000-0005-0000-0000-0000F4000000}"/>
    <cellStyle name="好_RBC相關報表-產險" xfId="245" xr:uid="{00000000-0005-0000-0000-0000F5000000}"/>
    <cellStyle name="好_RBC相關報表-壽險(100.11.10)" xfId="246" xr:uid="{00000000-0005-0000-0000-0000F6000000}"/>
    <cellStyle name="好_RBC相關暨修訂報表-產險0811" xfId="247" xr:uid="{00000000-0005-0000-0000-0000F7000000}"/>
    <cellStyle name="好_半年報檢查報表-業務類強制車險-產險" xfId="248" xr:uid="{00000000-0005-0000-0000-0000F8000000}"/>
    <cellStyle name="好_再保險資產表_100年適用11.21" xfId="249" xr:uid="{00000000-0005-0000-0000-0000F9000000}"/>
    <cellStyle name="好_年報檢查報表-業務類強制車險-產險-修正1129" xfId="250" xr:uid="{00000000-0005-0000-0000-0000FA000000}"/>
    <cellStyle name="好_非RBC相關報表-產險" xfId="251" xr:uid="{00000000-0005-0000-0000-0000FB000000}"/>
    <cellStyle name="好_非RBC相關報表-產險(0512)" xfId="252" xr:uid="{00000000-0005-0000-0000-0000FC000000}"/>
    <cellStyle name="百分比" xfId="253" builtinId="5"/>
    <cellStyle name="百分比 2" xfId="254" xr:uid="{00000000-0005-0000-0000-0000FE000000}"/>
    <cellStyle name="百分比 2 2" xfId="255" xr:uid="{00000000-0005-0000-0000-0000FF000000}"/>
    <cellStyle name="百分比 2 3" xfId="256" xr:uid="{00000000-0005-0000-0000-000000010000}"/>
    <cellStyle name="百分比 2 4" xfId="257" xr:uid="{00000000-0005-0000-0000-000001010000}"/>
    <cellStyle name="百分比 2 5" xfId="258" xr:uid="{00000000-0005-0000-0000-000002010000}"/>
    <cellStyle name="百分比 2 6" xfId="259" xr:uid="{00000000-0005-0000-0000-000003010000}"/>
    <cellStyle name="百分比 3" xfId="260" xr:uid="{00000000-0005-0000-0000-000004010000}"/>
    <cellStyle name="百分比 4" xfId="261" xr:uid="{00000000-0005-0000-0000-000005010000}"/>
    <cellStyle name="百分比 5" xfId="262" xr:uid="{00000000-0005-0000-0000-000006010000}"/>
    <cellStyle name="百分比 5 2" xfId="263" xr:uid="{00000000-0005-0000-0000-000007010000}"/>
    <cellStyle name="貨幣[0]" xfId="264" xr:uid="{00000000-0005-0000-0000-000008010000}"/>
    <cellStyle name="貨幣[0] 2" xfId="265" xr:uid="{00000000-0005-0000-0000-000009010000}"/>
    <cellStyle name="貨幣[0] 2 2" xfId="266" xr:uid="{00000000-0005-0000-0000-00000A010000}"/>
    <cellStyle name="貨幣[0] 2 2 2" xfId="267" xr:uid="{00000000-0005-0000-0000-00000B010000}"/>
    <cellStyle name="貨幣[0] 2 3" xfId="268" xr:uid="{00000000-0005-0000-0000-00000C010000}"/>
    <cellStyle name="壞_40911201 12~1月明細" xfId="269" xr:uid="{00000000-0005-0000-0000-00000D010000}"/>
    <cellStyle name="壞_RBC相關報表-產險" xfId="270" xr:uid="{00000000-0005-0000-0000-00000E010000}"/>
    <cellStyle name="壞_RBC相關報表-壽險(100.11.10)" xfId="271" xr:uid="{00000000-0005-0000-0000-00000F010000}"/>
    <cellStyle name="壞_RBC相關暨修訂報表-產險0811" xfId="272" xr:uid="{00000000-0005-0000-0000-000010010000}"/>
    <cellStyle name="壞_半年報檢查報表-業務類強制車險-產險" xfId="273" xr:uid="{00000000-0005-0000-0000-000011010000}"/>
    <cellStyle name="壞_再保險資產表_100年適用11.21" xfId="274" xr:uid="{00000000-0005-0000-0000-000012010000}"/>
    <cellStyle name="壞_年報檢查報表-業務類強制車險-產險-修正1129" xfId="275" xr:uid="{00000000-0005-0000-0000-000013010000}"/>
    <cellStyle name="壞_非RBC相關報表-產險" xfId="276" xr:uid="{00000000-0005-0000-0000-000014010000}"/>
    <cellStyle name="壞_非RBC相關報表-產險(0512)" xfId="277" xr:uid="{00000000-0005-0000-0000-000015010000}"/>
  </cellStyles>
  <dxfs count="0"/>
  <tableStyles count="0" defaultTableStyle="TableStyleMedium9" defaultPivotStyle="PivotStyleLight16"/>
  <colors>
    <mruColors>
      <color rgb="FFB7DB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1551377</xdr:colOff>
      <xdr:row>4</xdr:row>
      <xdr:rowOff>81280</xdr:rowOff>
    </xdr:from>
    <xdr:ext cx="6876565" cy="436088"/>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a:t>
              </a:r>
              <a:r>
                <a:rPr lang="en-US" altLang="zh-TW" sz="1100" b="0" i="0">
                  <a:solidFill>
                    <a:schemeClr val="tx1"/>
                  </a:solidFill>
                  <a:effectLst/>
                  <a:latin typeface="Cambria Math" panose="02040503050406030204" pitchFamily="18" charset="0"/>
                  <a:ea typeface="+mn-ea"/>
                  <a:cs typeface="+mn-cs"/>
                </a:rPr>
                <a:t>+R_3𝑐^2+</a:t>
              </a:r>
              <a:r>
                <a:rPr lang="en-US" altLang="zh-TW" sz="1100" b="0" i="0">
                  <a:solidFill>
                    <a:sysClr val="windowText" lastClr="000000"/>
                  </a:solidFill>
                  <a:effectLst/>
                  <a:latin typeface="Cambria Math" panose="02040503050406030204" pitchFamily="18" charset="0"/>
                  <a:ea typeface="+mn-ea"/>
                  <a:cs typeface="+mn-cs"/>
                </a:rPr>
                <a:t>R_3𝑑^2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ysClr val="windowText" lastClr="00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30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30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30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30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id="{00000000-0008-0000-3100-000001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4" name="Object 2" hidden="1">
              <a:extLst>
                <a:ext uri="{63B3BB69-23CF-44E3-9099-C40C66FF867C}">
                  <a14:compatExt spid="_x0000_s141314"/>
                </a:ext>
                <a:ext uri="{FF2B5EF4-FFF2-40B4-BE49-F238E27FC236}">
                  <a16:creationId xmlns:a16="http://schemas.microsoft.com/office/drawing/2014/main" id="{00000000-0008-0000-3100-000002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100-000003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6" name="Object 4" hidden="1">
              <a:extLst>
                <a:ext uri="{63B3BB69-23CF-44E3-9099-C40C66FF867C}">
                  <a14:compatExt spid="_x0000_s141316"/>
                </a:ext>
                <a:ext uri="{FF2B5EF4-FFF2-40B4-BE49-F238E27FC236}">
                  <a16:creationId xmlns:a16="http://schemas.microsoft.com/office/drawing/2014/main" id="{00000000-0008-0000-3100-000004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7" name="Object 5" hidden="1">
              <a:extLst>
                <a:ext uri="{63B3BB69-23CF-44E3-9099-C40C66FF867C}">
                  <a14:compatExt spid="_x0000_s141317"/>
                </a:ext>
                <a:ext uri="{FF2B5EF4-FFF2-40B4-BE49-F238E27FC236}">
                  <a16:creationId xmlns:a16="http://schemas.microsoft.com/office/drawing/2014/main" id="{00000000-0008-0000-3100-000005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8" name="Object 6" hidden="1">
              <a:extLst>
                <a:ext uri="{63B3BB69-23CF-44E3-9099-C40C66FF867C}">
                  <a14:compatExt spid="_x0000_s141318"/>
                </a:ext>
                <a:ext uri="{FF2B5EF4-FFF2-40B4-BE49-F238E27FC236}">
                  <a16:creationId xmlns:a16="http://schemas.microsoft.com/office/drawing/2014/main" id="{00000000-0008-0000-3100-000006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9" name="Object 7" hidden="1">
              <a:extLst>
                <a:ext uri="{63B3BB69-23CF-44E3-9099-C40C66FF867C}">
                  <a14:compatExt spid="_x0000_s141319"/>
                </a:ext>
                <a:ext uri="{FF2B5EF4-FFF2-40B4-BE49-F238E27FC236}">
                  <a16:creationId xmlns:a16="http://schemas.microsoft.com/office/drawing/2014/main" id="{00000000-0008-0000-3100-000007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20" name="Object 8" hidden="1">
              <a:extLst>
                <a:ext uri="{63B3BB69-23CF-44E3-9099-C40C66FF867C}">
                  <a14:compatExt spid="_x0000_s141320"/>
                </a:ext>
                <a:ext uri="{FF2B5EF4-FFF2-40B4-BE49-F238E27FC236}">
                  <a16:creationId xmlns:a16="http://schemas.microsoft.com/office/drawing/2014/main" id="{00000000-0008-0000-3100-000008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3200-000001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3200-000002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5" name="Object 3" hidden="1">
              <a:extLst>
                <a:ext uri="{63B3BB69-23CF-44E3-9099-C40C66FF867C}">
                  <a14:compatExt spid="_x0000_s172035"/>
                </a:ext>
                <a:ext uri="{FF2B5EF4-FFF2-40B4-BE49-F238E27FC236}">
                  <a16:creationId xmlns:a16="http://schemas.microsoft.com/office/drawing/2014/main" id="{00000000-0008-0000-3200-000003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6" name="Object 4" hidden="1">
              <a:extLst>
                <a:ext uri="{63B3BB69-23CF-44E3-9099-C40C66FF867C}">
                  <a14:compatExt spid="_x0000_s172036"/>
                </a:ext>
                <a:ext uri="{FF2B5EF4-FFF2-40B4-BE49-F238E27FC236}">
                  <a16:creationId xmlns:a16="http://schemas.microsoft.com/office/drawing/2014/main" id="{00000000-0008-0000-3200-000004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7" name="Object 5" hidden="1">
              <a:extLst>
                <a:ext uri="{63B3BB69-23CF-44E3-9099-C40C66FF867C}">
                  <a14:compatExt spid="_x0000_s172037"/>
                </a:ext>
                <a:ext uri="{FF2B5EF4-FFF2-40B4-BE49-F238E27FC236}">
                  <a16:creationId xmlns:a16="http://schemas.microsoft.com/office/drawing/2014/main" id="{00000000-0008-0000-3200-000005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8" name="Object 6" hidden="1">
              <a:extLst>
                <a:ext uri="{63B3BB69-23CF-44E3-9099-C40C66FF867C}">
                  <a14:compatExt spid="_x0000_s172038"/>
                </a:ext>
                <a:ext uri="{FF2B5EF4-FFF2-40B4-BE49-F238E27FC236}">
                  <a16:creationId xmlns:a16="http://schemas.microsoft.com/office/drawing/2014/main" id="{00000000-0008-0000-3200-000006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1023743</xdr:colOff>
      <xdr:row>2</xdr:row>
      <xdr:rowOff>48206</xdr:rowOff>
    </xdr:from>
    <xdr:ext cx="4195957" cy="373051"/>
    <mc:AlternateContent xmlns:mc="http://schemas.openxmlformats.org/markup-compatibility/2006" xmlns:a14="http://schemas.microsoft.com/office/drawing/2010/main">
      <mc:Choice Requires="a14">
        <xdr:sp macro="" textlink="">
          <xdr:nvSpPr>
            <xdr:cNvPr id="8" name="文字方塊 7">
              <a:extLst>
                <a:ext uri="{FF2B5EF4-FFF2-40B4-BE49-F238E27FC236}">
                  <a16:creationId xmlns:a16="http://schemas.microsoft.com/office/drawing/2014/main" id="{00000000-0008-0000-32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200" b="0" i="1">
                            <a:solidFill>
                              <a:sysClr val="windowText" lastClr="000000"/>
                            </a:solidFill>
                            <a:latin typeface="Cambria Math" panose="02040503050406030204" pitchFamily="18" charset="0"/>
                            <a:ea typeface="Cambria Math" panose="02040503050406030204" pitchFamily="18" charset="0"/>
                          </a:rPr>
                        </m:ctrlPr>
                      </m:radPr>
                      <m:deg/>
                      <m:e>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baseline="0">
                                <a:solidFill>
                                  <a:sysClr val="windowText" lastClr="000000"/>
                                </a:solidFill>
                                <a:effectLst/>
                                <a:latin typeface="Cambria Math" panose="02040503050406030204" pitchFamily="18" charset="0"/>
                                <a:ea typeface="+mn-ea"/>
                                <a:cs typeface="+mn-cs"/>
                              </a:rPr>
                              <m:t>天災自留風險資本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r>
                          <a:rPr lang="en-US" altLang="zh-TW" sz="1100" b="0" i="1">
                            <a:solidFill>
                              <a:sysClr val="windowText" lastClr="000000"/>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a:solidFill>
                                  <a:sysClr val="windowText" lastClr="000000"/>
                                </a:solidFill>
                                <a:effectLst/>
                                <a:latin typeface="Cambria Math" panose="02040503050406030204" pitchFamily="18" charset="0"/>
                                <a:ea typeface="+mn-ea"/>
                                <a:cs typeface="+mn-cs"/>
                              </a:rPr>
                              <m:t>其他巨災自留風險資本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8" name="文字方塊 7">
              <a:extLst>
                <a:ext uri="{FF2B5EF4-FFF2-40B4-BE49-F238E27FC236}">
                  <a16:creationId xmlns:a16="http://schemas.microsoft.com/office/drawing/2014/main" id="{00000000-0008-0000-31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R_3𝑑</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ysClr val="windowText" lastClr="000000"/>
                  </a:solidFill>
                  <a:effectLst/>
                  <a:latin typeface="Cambria Math" panose="02040503050406030204" pitchFamily="18" charset="0"/>
                  <a:ea typeface="+mn-ea"/>
                  <a:cs typeface="+mn-cs"/>
                </a:rPr>
                <a:t>R_</a:t>
              </a:r>
              <a:r>
                <a:rPr lang="zh-TW" altLang="en-US" sz="1100" b="0" i="0" baseline="0">
                  <a:solidFill>
                    <a:sysClr val="windowText" lastClr="000000"/>
                  </a:solidFill>
                  <a:effectLst/>
                  <a:latin typeface="Cambria Math" panose="02040503050406030204" pitchFamily="18" charset="0"/>
                  <a:ea typeface="+mn-ea"/>
                  <a:cs typeface="+mn-cs"/>
                </a:rPr>
                <a:t>天災自留風險資本^</a:t>
              </a:r>
              <a:r>
                <a:rPr lang="en-US" altLang="zh-TW" sz="1100" b="0" i="0">
                  <a:solidFill>
                    <a:sysClr val="windowText" lastClr="000000"/>
                  </a:solidFill>
                  <a:effectLst/>
                  <a:latin typeface="Cambria Math" panose="02040503050406030204" pitchFamily="18" charset="0"/>
                  <a:ea typeface="+mn-ea"/>
                  <a:cs typeface="+mn-cs"/>
                </a:rPr>
                <a:t>2+R_</a:t>
              </a:r>
              <a:r>
                <a:rPr lang="zh-TW" altLang="en-US" sz="1100" b="0" i="0">
                  <a:solidFill>
                    <a:sysClr val="windowText" lastClr="000000"/>
                  </a:solidFill>
                  <a:effectLst/>
                  <a:latin typeface="Cambria Math" panose="02040503050406030204" pitchFamily="18" charset="0"/>
                  <a:ea typeface="+mn-ea"/>
                  <a:cs typeface="+mn-cs"/>
                </a:rPr>
                <a:t>其他巨災自留風險資本^</a:t>
              </a:r>
              <a:r>
                <a:rPr lang="en-US" altLang="zh-TW" sz="1100" b="0" i="0">
                  <a:solidFill>
                    <a:sysClr val="windowText" lastClr="000000"/>
                  </a:solidFill>
                  <a:effectLst/>
                  <a:latin typeface="Cambria Math" panose="02040503050406030204" pitchFamily="18" charset="0"/>
                  <a:ea typeface="+mn-ea"/>
                  <a:cs typeface="+mn-cs"/>
                </a:rPr>
                <a:t>2 </a:t>
              </a:r>
              <a:r>
                <a:rPr lang="en-US" altLang="zh-TW"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33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2" name="Object 2" hidden="1">
              <a:extLst>
                <a:ext uri="{63B3BB69-23CF-44E3-9099-C40C66FF867C}">
                  <a14:compatExt spid="_x0000_s225282"/>
                </a:ext>
                <a:ext uri="{FF2B5EF4-FFF2-40B4-BE49-F238E27FC236}">
                  <a16:creationId xmlns:a16="http://schemas.microsoft.com/office/drawing/2014/main" id="{00000000-0008-0000-33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3" name="Object 3" hidden="1">
              <a:extLst>
                <a:ext uri="{63B3BB69-23CF-44E3-9099-C40C66FF867C}">
                  <a14:compatExt spid="_x0000_s225283"/>
                </a:ext>
                <a:ext uri="{FF2B5EF4-FFF2-40B4-BE49-F238E27FC236}">
                  <a16:creationId xmlns:a16="http://schemas.microsoft.com/office/drawing/2014/main" id="{00000000-0008-0000-33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4" name="Object 4" hidden="1">
              <a:extLst>
                <a:ext uri="{63B3BB69-23CF-44E3-9099-C40C66FF867C}">
                  <a14:compatExt spid="_x0000_s225284"/>
                </a:ext>
                <a:ext uri="{FF2B5EF4-FFF2-40B4-BE49-F238E27FC236}">
                  <a16:creationId xmlns:a16="http://schemas.microsoft.com/office/drawing/2014/main" id="{00000000-0008-0000-3300-000004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5" name="Object 5" hidden="1">
              <a:extLst>
                <a:ext uri="{63B3BB69-23CF-44E3-9099-C40C66FF867C}">
                  <a14:compatExt spid="_x0000_s225285"/>
                </a:ext>
                <a:ext uri="{FF2B5EF4-FFF2-40B4-BE49-F238E27FC236}">
                  <a16:creationId xmlns:a16="http://schemas.microsoft.com/office/drawing/2014/main" id="{00000000-0008-0000-3300-000005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6" name="Object 6" hidden="1">
              <a:extLst>
                <a:ext uri="{63B3BB69-23CF-44E3-9099-C40C66FF867C}">
                  <a14:compatExt spid="_x0000_s225286"/>
                </a:ext>
                <a:ext uri="{FF2B5EF4-FFF2-40B4-BE49-F238E27FC236}">
                  <a16:creationId xmlns:a16="http://schemas.microsoft.com/office/drawing/2014/main" id="{00000000-0008-0000-3300-000006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48</xdr:col>
      <xdr:colOff>312964</xdr:colOff>
      <xdr:row>21</xdr:row>
      <xdr:rowOff>21029</xdr:rowOff>
    </xdr:from>
    <xdr:to>
      <xdr:col>50</xdr:col>
      <xdr:colOff>163285</xdr:colOff>
      <xdr:row>22</xdr:row>
      <xdr:rowOff>188026</xdr:rowOff>
    </xdr:to>
    <xdr:sp macro="" textlink="">
      <xdr:nvSpPr>
        <xdr:cNvPr id="2" name="向下箭號 1">
          <a:extLst>
            <a:ext uri="{FF2B5EF4-FFF2-40B4-BE49-F238E27FC236}">
              <a16:creationId xmlns:a16="http://schemas.microsoft.com/office/drawing/2014/main" id="{00000000-0008-0000-4100-000002000000}"/>
            </a:ext>
          </a:extLst>
        </xdr:cNvPr>
        <xdr:cNvSpPr/>
      </xdr:nvSpPr>
      <xdr:spPr>
        <a:xfrm>
          <a:off x="50309689" y="4716854"/>
          <a:ext cx="1431471" cy="376547"/>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29</xdr:row>
          <xdr:rowOff>0</xdr:rowOff>
        </xdr:from>
        <xdr:to>
          <xdr:col>3</xdr:col>
          <xdr:colOff>381000</xdr:colOff>
          <xdr:row>31</xdr:row>
          <xdr:rowOff>66675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5300-00000118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i10\&#36001;&#21209;&#31934;&#31639;&#20849;&#29992;&#36039;&#26009;&#21312;\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row r="6">
          <cell r="E6">
            <v>300982</v>
          </cell>
        </row>
      </sheetData>
      <sheetData sheetId="564">
        <row r="6">
          <cell r="E6">
            <v>300982</v>
          </cell>
        </row>
      </sheetData>
      <sheetData sheetId="565">
        <row r="6">
          <cell r="E6">
            <v>300982</v>
          </cell>
        </row>
      </sheetData>
      <sheetData sheetId="566"/>
      <sheetData sheetId="567">
        <row r="6">
          <cell r="E6">
            <v>300982</v>
          </cell>
        </row>
      </sheetData>
      <sheetData sheetId="568">
        <row r="6">
          <cell r="E6">
            <v>300982</v>
          </cell>
        </row>
      </sheetData>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3-o"/>
      <sheetName val="1"/>
      <sheetName val="附表3_EQRP100Y層分配比"/>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corp"/>
      <sheetName val="corp-value"/>
      <sheetName val="mtge"/>
      <sheetName val="mtge-vlaue"/>
      <sheetName val="gov"/>
      <sheetName val="gov-value"/>
      <sheetName val="Sheet5"/>
      <sheetName val="OCI"/>
      <sheetName val="匯率"/>
      <sheetName val="2014資金運用預估曝險(配負債前後)"/>
      <sheetName val="2014第四季整合表(配負債前)"/>
      <sheetName val="2014第四季整合表(配負債後)"/>
      <sheetName val="5DAYRPT "/>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Assump by month"/>
      <sheetName val="All"/>
      <sheetName val="Index Ratio2"/>
      <sheetName val="表02-7"/>
      <sheetName val="表10-2"/>
      <sheetName val="BS EX-RATE 2000.11 "/>
      <sheetName val="表30-13-1"/>
      <sheetName val="表30-9"/>
      <sheetName val="FS清单"/>
      <sheetName val="收盤價"/>
      <sheetName val="利息支出"/>
      <sheetName val="Final_Country"/>
      <sheetName val="表18"/>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AB表"/>
      <sheetName val="固資-匯總"/>
      <sheetName val="固資-開發"/>
      <sheetName val="固資－MO設計"/>
      <sheetName val="固資-PX設計"/>
      <sheetName val="固資-MO組立"/>
      <sheetName val="固資-PX組立"/>
      <sheetName val="固資-零件加工"/>
      <sheetName val="HY Public Only"/>
      <sheetName val="AIA"/>
      <sheetName val="選單選項"/>
      <sheetName val="980331彙總"/>
      <sheetName val="應收退稅款"/>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Qx"/>
      <sheetName val="assump"/>
      <sheetName val="Graph Data"/>
      <sheetName val="Portfolio &amp; Sector Analysis"/>
      <sheetName val="Cash Flow"/>
      <sheetName val="IBNR"/>
      <sheetName val="Incd"/>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49.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0.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3.vml"/><Relationship Id="rId7" Type="http://schemas.openxmlformats.org/officeDocument/2006/relationships/oleObject" Target="../embeddings/oleObject15.bin"/><Relationship Id="rId2" Type="http://schemas.openxmlformats.org/officeDocument/2006/relationships/drawing" Target="../drawings/drawing4.xml"/><Relationship Id="rId1" Type="http://schemas.openxmlformats.org/officeDocument/2006/relationships/printerSettings" Target="../printerSettings/printerSettings51.bin"/><Relationship Id="rId6" Type="http://schemas.openxmlformats.org/officeDocument/2006/relationships/oleObject" Target="../embeddings/oleObject14.bin"/><Relationship Id="rId5" Type="http://schemas.openxmlformats.org/officeDocument/2006/relationships/image" Target="../media/image1.emf"/><Relationship Id="rId10" Type="http://schemas.openxmlformats.org/officeDocument/2006/relationships/oleObject" Target="../embeddings/oleObject18.bin"/><Relationship Id="rId4" Type="http://schemas.openxmlformats.org/officeDocument/2006/relationships/oleObject" Target="../embeddings/oleObject13.bin"/><Relationship Id="rId9" Type="http://schemas.openxmlformats.org/officeDocument/2006/relationships/oleObject" Target="../embeddings/oleObject17.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vmlDrawing" Target="../drawings/vmlDrawing4.vml"/><Relationship Id="rId7"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52.bin"/><Relationship Id="rId6" Type="http://schemas.openxmlformats.org/officeDocument/2006/relationships/oleObject" Target="../embeddings/oleObject20.bin"/><Relationship Id="rId5" Type="http://schemas.openxmlformats.org/officeDocument/2006/relationships/image" Target="../media/image1.emf"/><Relationship Id="rId10" Type="http://schemas.openxmlformats.org/officeDocument/2006/relationships/oleObject" Target="../embeddings/oleObject24.bin"/><Relationship Id="rId4" Type="http://schemas.openxmlformats.org/officeDocument/2006/relationships/oleObject" Target="../embeddings/oleObject19.bin"/><Relationship Id="rId9" Type="http://schemas.openxmlformats.org/officeDocument/2006/relationships/oleObject" Target="../embeddings/oleObject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oleObject" Target="../embeddings/oleObject2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6"/>
  <dimension ref="A1:E26"/>
  <sheetViews>
    <sheetView showGridLines="0" view="pageBreakPreview" zoomScale="75" zoomScaleNormal="75" zoomScaleSheetLayoutView="75" workbookViewId="0">
      <selection activeCell="G28" sqref="G28"/>
    </sheetView>
  </sheetViews>
  <sheetFormatPr defaultColWidth="0" defaultRowHeight="16.5" zeroHeight="1"/>
  <cols>
    <col min="1" max="1" width="57.875" style="3" customWidth="1"/>
    <col min="2" max="2" width="59.25" style="3" customWidth="1"/>
    <col min="3" max="16384" width="0" style="3" hidden="1"/>
  </cols>
  <sheetData>
    <row r="1" spans="1:5" ht="159" customHeight="1">
      <c r="A1" s="1" t="s">
        <v>240</v>
      </c>
      <c r="B1" s="2"/>
    </row>
    <row r="2" spans="1:5" ht="70.150000000000006" customHeight="1">
      <c r="A2" s="4" t="s">
        <v>237</v>
      </c>
      <c r="B2" s="5"/>
    </row>
    <row r="3" spans="1:5" ht="60.6" customHeight="1">
      <c r="A3" s="6" t="s">
        <v>687</v>
      </c>
      <c r="B3" s="2"/>
    </row>
    <row r="4" spans="1:5" ht="60.6" customHeight="1">
      <c r="A4" s="27" t="s">
        <v>238</v>
      </c>
      <c r="B4" s="2"/>
    </row>
    <row r="5" spans="1:5" ht="149.44999999999999" customHeight="1">
      <c r="A5" s="7" t="s">
        <v>239</v>
      </c>
      <c r="B5" s="2"/>
    </row>
    <row r="9" spans="1:5" ht="21" hidden="1">
      <c r="E9" s="8"/>
    </row>
    <row r="26" spans="1:1" hidden="1">
      <c r="A26" s="3">
        <v>21</v>
      </c>
    </row>
  </sheetData>
  <phoneticPr fontId="7" type="noConversion"/>
  <printOptions horizontalCentered="1" gridLinesSet="0"/>
  <pageMargins left="0.47244094488188981" right="0.47244094488188981" top="0.39370078740157483" bottom="0.39370078740157483" header="0" footer="0"/>
  <pageSetup paperSize="9" scale="79" fitToWidth="2" orientation="portrait" blackAndWhite="1" r:id="rId1"/>
  <headerFooter alignWithMargins="0">
    <oddHeader>&amp;L&amp;"標楷體,標準"附錄三　財產保險業RBC監理報表</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59"/>
  <sheetViews>
    <sheetView view="pageBreakPreview" zoomScaleNormal="100" zoomScaleSheetLayoutView="100" workbookViewId="0"/>
  </sheetViews>
  <sheetFormatPr defaultColWidth="15.625" defaultRowHeight="15.75"/>
  <cols>
    <col min="1" max="1" width="5.625" style="1259" customWidth="1"/>
    <col min="2" max="2" width="45.625" style="1259" customWidth="1"/>
    <col min="3" max="9" width="20.625" style="1259" customWidth="1"/>
    <col min="10" max="16384" width="15.625" style="1259"/>
  </cols>
  <sheetData>
    <row r="1" spans="1:11" ht="16.5">
      <c r="A1" s="1199" t="str">
        <f>+封面!A3&amp;" "&amp;封面!A2</f>
        <v xml:space="preserve">        保險股份有限公司(○○分公司) 年度(月、季、半年)報表</v>
      </c>
      <c r="C1" s="1260"/>
      <c r="D1" s="1260"/>
      <c r="E1" s="1260"/>
      <c r="F1" s="1260"/>
      <c r="G1" s="1260"/>
      <c r="H1" s="1260"/>
      <c r="I1" s="1261"/>
      <c r="J1" s="1261"/>
      <c r="K1" s="1261"/>
    </row>
    <row r="2" spans="1:11" ht="16.5">
      <c r="A2" s="1262" t="s">
        <v>4096</v>
      </c>
      <c r="B2" s="1263"/>
      <c r="C2" s="1263"/>
      <c r="D2" s="1263"/>
      <c r="E2" s="1263"/>
      <c r="F2" s="1263"/>
      <c r="G2" s="1264"/>
      <c r="I2" s="1265" t="s">
        <v>4097</v>
      </c>
      <c r="J2" s="1261"/>
      <c r="K2" s="1261"/>
    </row>
    <row r="3" spans="1:11" ht="33">
      <c r="A3" s="3230" t="s">
        <v>4064</v>
      </c>
      <c r="B3" s="3231" t="s">
        <v>4098</v>
      </c>
      <c r="C3" s="3230" t="s">
        <v>3868</v>
      </c>
      <c r="D3" s="3230"/>
      <c r="E3" s="3230" t="s">
        <v>4099</v>
      </c>
      <c r="F3" s="3230"/>
      <c r="G3" s="1887" t="s">
        <v>4100</v>
      </c>
      <c r="H3" s="1266" t="s">
        <v>4101</v>
      </c>
      <c r="I3" s="1266" t="s">
        <v>4102</v>
      </c>
      <c r="J3" s="1261"/>
      <c r="K3" s="1261"/>
    </row>
    <row r="4" spans="1:11" ht="16.5">
      <c r="A4" s="3230"/>
      <c r="B4" s="3231"/>
      <c r="C4" s="1887" t="s">
        <v>4103</v>
      </c>
      <c r="D4" s="1887" t="s">
        <v>4104</v>
      </c>
      <c r="E4" s="1887" t="s">
        <v>4103</v>
      </c>
      <c r="F4" s="1887" t="s">
        <v>4105</v>
      </c>
      <c r="G4" s="1887" t="s">
        <v>4104</v>
      </c>
      <c r="H4" s="1266" t="s">
        <v>4103</v>
      </c>
      <c r="I4" s="1266" t="s">
        <v>4103</v>
      </c>
      <c r="J4" s="1261"/>
      <c r="K4" s="1261"/>
    </row>
    <row r="5" spans="1:11">
      <c r="A5" s="3230"/>
      <c r="B5" s="1267" t="s">
        <v>422</v>
      </c>
      <c r="C5" s="1267" t="s">
        <v>329</v>
      </c>
      <c r="D5" s="1267" t="s">
        <v>415</v>
      </c>
      <c r="E5" s="1267" t="s">
        <v>330</v>
      </c>
      <c r="F5" s="1267" t="s">
        <v>173</v>
      </c>
      <c r="G5" s="1267" t="s">
        <v>174</v>
      </c>
      <c r="H5" s="1268" t="s">
        <v>483</v>
      </c>
      <c r="I5" s="1268" t="s">
        <v>35</v>
      </c>
      <c r="J5" s="1261"/>
      <c r="K5" s="1261"/>
    </row>
    <row r="6" spans="1:11" ht="16.5">
      <c r="A6" s="1269">
        <v>1</v>
      </c>
      <c r="B6" s="1270" t="s">
        <v>4106</v>
      </c>
      <c r="C6" s="1271"/>
      <c r="D6" s="1271"/>
      <c r="E6" s="1271"/>
      <c r="F6" s="1271"/>
      <c r="G6" s="1271"/>
      <c r="H6" s="1272"/>
      <c r="I6" s="1272"/>
      <c r="J6" s="1261"/>
      <c r="K6" s="1261"/>
    </row>
    <row r="7" spans="1:11" ht="16.5">
      <c r="A7" s="1269">
        <f t="shared" ref="A7:A46" si="0">A6+1</f>
        <v>2</v>
      </c>
      <c r="B7" s="1273" t="s">
        <v>4107</v>
      </c>
      <c r="C7" s="1274"/>
      <c r="D7" s="1274"/>
      <c r="E7" s="1274"/>
      <c r="F7" s="1274"/>
      <c r="G7" s="1274"/>
      <c r="H7" s="1275">
        <f>H8+H12</f>
        <v>0</v>
      </c>
      <c r="I7" s="1275">
        <f>I8</f>
        <v>0</v>
      </c>
      <c r="J7" s="1261"/>
      <c r="K7" s="1261"/>
    </row>
    <row r="8" spans="1:11" ht="16.5">
      <c r="A8" s="1269">
        <f t="shared" si="0"/>
        <v>3</v>
      </c>
      <c r="B8" s="1276" t="s">
        <v>4108</v>
      </c>
      <c r="C8" s="1274"/>
      <c r="D8" s="1274"/>
      <c r="E8" s="1274"/>
      <c r="F8" s="1274"/>
      <c r="G8" s="1274"/>
      <c r="H8" s="1275">
        <f>H9+H10+H11</f>
        <v>0</v>
      </c>
      <c r="I8" s="1275">
        <f>I9+I10+I11</f>
        <v>0</v>
      </c>
      <c r="J8" s="1261"/>
      <c r="K8" s="1261"/>
    </row>
    <row r="9" spans="1:11" ht="16.5">
      <c r="A9" s="1269">
        <f t="shared" si="0"/>
        <v>4</v>
      </c>
      <c r="B9" s="1277" t="s">
        <v>4109</v>
      </c>
      <c r="C9" s="1274"/>
      <c r="D9" s="1274"/>
      <c r="E9" s="1274"/>
      <c r="F9" s="1274"/>
      <c r="G9" s="1274"/>
      <c r="H9" s="1278"/>
      <c r="I9" s="1278"/>
      <c r="J9" s="1261"/>
      <c r="K9" s="1261"/>
    </row>
    <row r="10" spans="1:11" ht="16.5">
      <c r="A10" s="1269">
        <f t="shared" si="0"/>
        <v>5</v>
      </c>
      <c r="B10" s="1277" t="s">
        <v>4110</v>
      </c>
      <c r="C10" s="1274"/>
      <c r="D10" s="1274"/>
      <c r="E10" s="1274"/>
      <c r="F10" s="1274"/>
      <c r="G10" s="1274"/>
      <c r="H10" s="1278"/>
      <c r="I10" s="1278"/>
      <c r="J10" s="1261"/>
      <c r="K10" s="1261"/>
    </row>
    <row r="11" spans="1:11" ht="16.5">
      <c r="A11" s="1269">
        <f t="shared" si="0"/>
        <v>6</v>
      </c>
      <c r="B11" s="1277" t="s">
        <v>4111</v>
      </c>
      <c r="C11" s="1274"/>
      <c r="D11" s="1274"/>
      <c r="E11" s="1274"/>
      <c r="F11" s="1274"/>
      <c r="G11" s="1274"/>
      <c r="H11" s="1278"/>
      <c r="I11" s="1278"/>
      <c r="J11" s="1261"/>
      <c r="K11" s="1261"/>
    </row>
    <row r="12" spans="1:11" ht="16.5">
      <c r="A12" s="1269">
        <f>A11+1</f>
        <v>7</v>
      </c>
      <c r="B12" s="1276" t="s">
        <v>4112</v>
      </c>
      <c r="C12" s="1274"/>
      <c r="D12" s="1274"/>
      <c r="E12" s="1274"/>
      <c r="F12" s="1274"/>
      <c r="G12" s="1274"/>
      <c r="H12" s="1275">
        <f>+H13+H14+H15+H16</f>
        <v>0</v>
      </c>
      <c r="I12" s="1279"/>
      <c r="J12" s="1261"/>
      <c r="K12" s="1261"/>
    </row>
    <row r="13" spans="1:11" ht="49.5">
      <c r="A13" s="1269">
        <f t="shared" si="0"/>
        <v>8</v>
      </c>
      <c r="B13" s="1277" t="s">
        <v>4113</v>
      </c>
      <c r="C13" s="1274"/>
      <c r="D13" s="1274"/>
      <c r="E13" s="1274"/>
      <c r="F13" s="1274"/>
      <c r="G13" s="1274"/>
      <c r="H13" s="1278"/>
      <c r="I13" s="1279"/>
      <c r="J13" s="1261"/>
      <c r="K13" s="1261"/>
    </row>
    <row r="14" spans="1:11" ht="16.5">
      <c r="A14" s="1269">
        <f t="shared" si="0"/>
        <v>9</v>
      </c>
      <c r="B14" s="1280" t="s">
        <v>4114</v>
      </c>
      <c r="C14" s="1274"/>
      <c r="D14" s="1274"/>
      <c r="E14" s="1274"/>
      <c r="F14" s="1274"/>
      <c r="G14" s="1274"/>
      <c r="H14" s="1278"/>
      <c r="I14" s="1279"/>
      <c r="J14" s="1261"/>
      <c r="K14" s="1261"/>
    </row>
    <row r="15" spans="1:11" ht="33">
      <c r="A15" s="1269">
        <f t="shared" si="0"/>
        <v>10</v>
      </c>
      <c r="B15" s="1280" t="s">
        <v>4115</v>
      </c>
      <c r="C15" s="1274"/>
      <c r="D15" s="1274"/>
      <c r="E15" s="1274"/>
      <c r="F15" s="1274"/>
      <c r="G15" s="1274"/>
      <c r="H15" s="1278"/>
      <c r="I15" s="1279"/>
      <c r="J15" s="1261"/>
      <c r="K15" s="1261"/>
    </row>
    <row r="16" spans="1:11" ht="16.5">
      <c r="A16" s="1269">
        <f t="shared" si="0"/>
        <v>11</v>
      </c>
      <c r="B16" s="1280" t="s">
        <v>4032</v>
      </c>
      <c r="C16" s="1274"/>
      <c r="D16" s="1274"/>
      <c r="E16" s="1274"/>
      <c r="F16" s="1274"/>
      <c r="G16" s="1274"/>
      <c r="H16" s="1278"/>
      <c r="I16" s="1279"/>
      <c r="J16" s="1261"/>
      <c r="K16" s="1261"/>
    </row>
    <row r="17" spans="1:11" ht="16.5">
      <c r="A17" s="1269">
        <f t="shared" si="0"/>
        <v>12</v>
      </c>
      <c r="B17" s="1273" t="s">
        <v>4116</v>
      </c>
      <c r="C17" s="1274"/>
      <c r="D17" s="1274"/>
      <c r="E17" s="1274"/>
      <c r="F17" s="1274"/>
      <c r="G17" s="1274"/>
      <c r="H17" s="1275">
        <f>+H18+H22</f>
        <v>0</v>
      </c>
      <c r="I17" s="1275">
        <f>+I18</f>
        <v>0</v>
      </c>
      <c r="J17" s="1261"/>
      <c r="K17" s="1261"/>
    </row>
    <row r="18" spans="1:11" ht="16.5">
      <c r="A18" s="1269">
        <f t="shared" si="0"/>
        <v>13</v>
      </c>
      <c r="B18" s="1276" t="s">
        <v>4108</v>
      </c>
      <c r="C18" s="1274"/>
      <c r="D18" s="1274"/>
      <c r="E18" s="1274"/>
      <c r="F18" s="1274"/>
      <c r="G18" s="1274"/>
      <c r="H18" s="1275">
        <f>+H19+H20+H21</f>
        <v>0</v>
      </c>
      <c r="I18" s="1275">
        <f>+I19+I20+I21</f>
        <v>0</v>
      </c>
      <c r="J18" s="1261"/>
      <c r="K18" s="1261"/>
    </row>
    <row r="19" spans="1:11" ht="16.5">
      <c r="A19" s="1269">
        <f t="shared" si="0"/>
        <v>14</v>
      </c>
      <c r="B19" s="1277" t="s">
        <v>4109</v>
      </c>
      <c r="C19" s="1274"/>
      <c r="D19" s="1274"/>
      <c r="E19" s="1274"/>
      <c r="F19" s="1274"/>
      <c r="G19" s="1274"/>
      <c r="H19" s="1278"/>
      <c r="I19" s="1278"/>
      <c r="J19" s="1261"/>
      <c r="K19" s="1261"/>
    </row>
    <row r="20" spans="1:11" ht="16.5">
      <c r="A20" s="1269">
        <f t="shared" si="0"/>
        <v>15</v>
      </c>
      <c r="B20" s="1277" t="s">
        <v>4110</v>
      </c>
      <c r="C20" s="1274"/>
      <c r="D20" s="1274"/>
      <c r="E20" s="1274"/>
      <c r="F20" s="1274"/>
      <c r="G20" s="1274"/>
      <c r="H20" s="1278"/>
      <c r="I20" s="1278"/>
      <c r="J20" s="1261"/>
      <c r="K20" s="1261"/>
    </row>
    <row r="21" spans="1:11" ht="16.5">
      <c r="A21" s="1269">
        <f t="shared" si="0"/>
        <v>16</v>
      </c>
      <c r="B21" s="1277" t="s">
        <v>4111</v>
      </c>
      <c r="C21" s="1274"/>
      <c r="D21" s="1274"/>
      <c r="E21" s="1274"/>
      <c r="F21" s="1274"/>
      <c r="G21" s="1274"/>
      <c r="H21" s="1278"/>
      <c r="I21" s="1278"/>
      <c r="J21" s="1261"/>
      <c r="K21" s="1261"/>
    </row>
    <row r="22" spans="1:11" ht="16.5">
      <c r="A22" s="1269">
        <f>A21+1</f>
        <v>17</v>
      </c>
      <c r="B22" s="1276" t="s">
        <v>4112</v>
      </c>
      <c r="C22" s="1274"/>
      <c r="D22" s="1274"/>
      <c r="E22" s="1274" t="s">
        <v>484</v>
      </c>
      <c r="F22" s="1274"/>
      <c r="G22" s="1274"/>
      <c r="H22" s="1275">
        <f>+H23+H24+H25+H29+H30</f>
        <v>0</v>
      </c>
      <c r="I22" s="1279"/>
      <c r="J22" s="1261"/>
      <c r="K22" s="1261"/>
    </row>
    <row r="23" spans="1:11" ht="49.5">
      <c r="A23" s="1269">
        <f t="shared" si="0"/>
        <v>18</v>
      </c>
      <c r="B23" s="1277" t="s">
        <v>4113</v>
      </c>
      <c r="C23" s="1274"/>
      <c r="D23" s="1274"/>
      <c r="E23" s="1274"/>
      <c r="F23" s="1274"/>
      <c r="G23" s="1274"/>
      <c r="H23" s="1278"/>
      <c r="I23" s="1279"/>
      <c r="J23" s="1261"/>
      <c r="K23" s="1261"/>
    </row>
    <row r="24" spans="1:11" ht="16.5">
      <c r="A24" s="1269">
        <f t="shared" si="0"/>
        <v>19</v>
      </c>
      <c r="B24" s="1280" t="s">
        <v>4114</v>
      </c>
      <c r="C24" s="1274"/>
      <c r="D24" s="1274"/>
      <c r="E24" s="1274"/>
      <c r="F24" s="1274"/>
      <c r="G24" s="1274"/>
      <c r="H24" s="1278"/>
      <c r="I24" s="1279"/>
      <c r="J24" s="1261"/>
      <c r="K24" s="1261"/>
    </row>
    <row r="25" spans="1:11" ht="16.5">
      <c r="A25" s="1269">
        <f t="shared" si="0"/>
        <v>20</v>
      </c>
      <c r="B25" s="1280" t="s">
        <v>4117</v>
      </c>
      <c r="C25" s="1274"/>
      <c r="D25" s="1274"/>
      <c r="E25" s="1274"/>
      <c r="F25" s="1274"/>
      <c r="G25" s="1274"/>
      <c r="H25" s="1278"/>
      <c r="I25" s="1279"/>
      <c r="J25" s="1261"/>
      <c r="K25" s="1261"/>
    </row>
    <row r="26" spans="1:11" ht="16.5">
      <c r="A26" s="1281" t="s">
        <v>3515</v>
      </c>
      <c r="B26" s="1280" t="s">
        <v>4118</v>
      </c>
      <c r="C26" s="1274"/>
      <c r="D26" s="1274"/>
      <c r="E26" s="1274"/>
      <c r="F26" s="1274"/>
      <c r="G26" s="1274"/>
      <c r="H26" s="1278"/>
      <c r="I26" s="1279"/>
      <c r="J26" s="1261"/>
      <c r="K26" s="1261"/>
    </row>
    <row r="27" spans="1:11" ht="33">
      <c r="A27" s="1281" t="s">
        <v>3516</v>
      </c>
      <c r="B27" s="1282" t="s">
        <v>4119</v>
      </c>
      <c r="C27" s="1274"/>
      <c r="D27" s="1274"/>
      <c r="E27" s="1274"/>
      <c r="F27" s="1274"/>
      <c r="G27" s="1274"/>
      <c r="H27" s="1278"/>
      <c r="I27" s="1279"/>
      <c r="J27" s="1261"/>
      <c r="K27" s="1261"/>
    </row>
    <row r="28" spans="1:11" ht="16.5">
      <c r="A28" s="1281" t="s">
        <v>3517</v>
      </c>
      <c r="B28" s="1280" t="s">
        <v>4120</v>
      </c>
      <c r="C28" s="1274"/>
      <c r="D28" s="1274"/>
      <c r="E28" s="1274"/>
      <c r="F28" s="1274"/>
      <c r="G28" s="1274"/>
      <c r="H28" s="1278"/>
      <c r="I28" s="1279"/>
      <c r="J28" s="1261"/>
      <c r="K28" s="1261"/>
    </row>
    <row r="29" spans="1:11" ht="33">
      <c r="A29" s="1269">
        <f>A25+1</f>
        <v>21</v>
      </c>
      <c r="B29" s="1280" t="s">
        <v>4115</v>
      </c>
      <c r="C29" s="1274"/>
      <c r="D29" s="1274"/>
      <c r="E29" s="1274"/>
      <c r="F29" s="1274"/>
      <c r="G29" s="1274"/>
      <c r="H29" s="1278"/>
      <c r="I29" s="1279"/>
      <c r="J29" s="1261"/>
      <c r="K29" s="1261"/>
    </row>
    <row r="30" spans="1:11" ht="16.5">
      <c r="A30" s="1269">
        <f t="shared" si="0"/>
        <v>22</v>
      </c>
      <c r="B30" s="1280" t="s">
        <v>4032</v>
      </c>
      <c r="C30" s="1274"/>
      <c r="D30" s="1274"/>
      <c r="E30" s="1274"/>
      <c r="F30" s="1274"/>
      <c r="G30" s="1274"/>
      <c r="H30" s="1278"/>
      <c r="I30" s="1279"/>
      <c r="J30" s="1261"/>
      <c r="K30" s="1261"/>
    </row>
    <row r="31" spans="1:11" ht="16.5">
      <c r="A31" s="1269">
        <f t="shared" si="0"/>
        <v>23</v>
      </c>
      <c r="B31" s="1270" t="s">
        <v>4121</v>
      </c>
      <c r="C31" s="1274"/>
      <c r="D31" s="1274"/>
      <c r="E31" s="1274"/>
      <c r="F31" s="1274"/>
      <c r="G31" s="1274"/>
      <c r="H31" s="1275">
        <f>+H7+H17</f>
        <v>0</v>
      </c>
      <c r="I31" s="1275">
        <f>+I7+I17</f>
        <v>0</v>
      </c>
      <c r="J31" s="1261"/>
      <c r="K31" s="1261"/>
    </row>
    <row r="32" spans="1:11">
      <c r="A32" s="1269">
        <f t="shared" si="0"/>
        <v>24</v>
      </c>
      <c r="B32" s="1283"/>
      <c r="C32" s="1284"/>
      <c r="D32" s="1284"/>
      <c r="E32" s="1284"/>
      <c r="F32" s="1284"/>
      <c r="G32" s="1284"/>
      <c r="H32" s="1279"/>
      <c r="I32" s="1279"/>
      <c r="J32" s="1261"/>
      <c r="K32" s="1261"/>
    </row>
    <row r="33" spans="1:11" ht="16.5">
      <c r="A33" s="1269">
        <f t="shared" si="0"/>
        <v>25</v>
      </c>
      <c r="B33" s="1270" t="s">
        <v>4122</v>
      </c>
      <c r="C33" s="1274"/>
      <c r="D33" s="1274"/>
      <c r="E33" s="1274"/>
      <c r="F33" s="1274"/>
      <c r="G33" s="1274"/>
      <c r="H33" s="1279"/>
      <c r="I33" s="1279"/>
      <c r="J33" s="1261"/>
      <c r="K33" s="1261"/>
    </row>
    <row r="34" spans="1:11" ht="16.5">
      <c r="A34" s="1269">
        <f t="shared" si="0"/>
        <v>26</v>
      </c>
      <c r="B34" s="1273" t="s">
        <v>4107</v>
      </c>
      <c r="C34" s="1285"/>
      <c r="D34" s="1274"/>
      <c r="E34" s="1274"/>
      <c r="F34" s="1274"/>
      <c r="G34" s="1285"/>
      <c r="H34" s="1275">
        <f>+H35+H39</f>
        <v>0</v>
      </c>
      <c r="I34" s="1275">
        <f>+I35</f>
        <v>0</v>
      </c>
      <c r="J34" s="1261"/>
      <c r="K34" s="1261"/>
    </row>
    <row r="35" spans="1:11" ht="16.5">
      <c r="A35" s="1269">
        <f t="shared" si="0"/>
        <v>27</v>
      </c>
      <c r="B35" s="1276" t="s">
        <v>4123</v>
      </c>
      <c r="C35" s="1274"/>
      <c r="D35" s="1274"/>
      <c r="E35" s="1274"/>
      <c r="F35" s="1274"/>
      <c r="G35" s="1274"/>
      <c r="H35" s="1275">
        <f>H36+H37</f>
        <v>0</v>
      </c>
      <c r="I35" s="1275">
        <f>I36+I37</f>
        <v>0</v>
      </c>
      <c r="J35" s="1261"/>
      <c r="K35" s="1261"/>
    </row>
    <row r="36" spans="1:11" ht="16.5">
      <c r="A36" s="1269">
        <f t="shared" si="0"/>
        <v>28</v>
      </c>
      <c r="B36" s="1277" t="s">
        <v>4109</v>
      </c>
      <c r="C36" s="1274"/>
      <c r="D36" s="1274"/>
      <c r="E36" s="1274"/>
      <c r="F36" s="1274"/>
      <c r="G36" s="1274"/>
      <c r="H36" s="1278"/>
      <c r="I36" s="1278"/>
      <c r="J36" s="1261"/>
      <c r="K36" s="1261"/>
    </row>
    <row r="37" spans="1:11" ht="16.5">
      <c r="A37" s="1269">
        <f t="shared" si="0"/>
        <v>29</v>
      </c>
      <c r="B37" s="1277" t="s">
        <v>4111</v>
      </c>
      <c r="C37" s="1274"/>
      <c r="D37" s="1274"/>
      <c r="E37" s="1274"/>
      <c r="F37" s="1274"/>
      <c r="G37" s="1274"/>
      <c r="H37" s="1278"/>
      <c r="I37" s="1278"/>
      <c r="J37" s="1261"/>
      <c r="K37" s="1261"/>
    </row>
    <row r="38" spans="1:11" ht="16.5">
      <c r="A38" s="2031" t="s">
        <v>4875</v>
      </c>
      <c r="B38" s="2032" t="s">
        <v>4876</v>
      </c>
      <c r="C38" s="1274"/>
      <c r="D38" s="1274"/>
      <c r="E38" s="1274"/>
      <c r="F38" s="1274"/>
      <c r="G38" s="1274"/>
      <c r="H38" s="1278"/>
      <c r="I38" s="1278"/>
      <c r="J38" s="1261"/>
      <c r="K38" s="1261"/>
    </row>
    <row r="39" spans="1:11" ht="16.5">
      <c r="A39" s="1269">
        <f>A37+1</f>
        <v>30</v>
      </c>
      <c r="B39" s="1276" t="s">
        <v>4124</v>
      </c>
      <c r="C39" s="1274"/>
      <c r="D39" s="1274"/>
      <c r="E39" s="1274"/>
      <c r="F39" s="1274"/>
      <c r="G39" s="1274"/>
      <c r="H39" s="1286"/>
      <c r="I39" s="1279"/>
      <c r="J39" s="1261"/>
      <c r="K39" s="1261"/>
    </row>
    <row r="40" spans="1:11" ht="33">
      <c r="A40" s="1269">
        <f t="shared" si="0"/>
        <v>31</v>
      </c>
      <c r="B40" s="1277" t="s">
        <v>4125</v>
      </c>
      <c r="C40" s="1274"/>
      <c r="D40" s="1274"/>
      <c r="E40" s="1274"/>
      <c r="F40" s="1274"/>
      <c r="G40" s="1274"/>
      <c r="H40" s="1278"/>
      <c r="I40" s="1279"/>
      <c r="J40" s="1261"/>
      <c r="K40" s="1261"/>
    </row>
    <row r="41" spans="1:11" ht="16.5">
      <c r="A41" s="1269">
        <f t="shared" si="0"/>
        <v>32</v>
      </c>
      <c r="B41" s="1277" t="s">
        <v>4032</v>
      </c>
      <c r="C41" s="1274"/>
      <c r="D41" s="1274"/>
      <c r="E41" s="1274"/>
      <c r="F41" s="1274"/>
      <c r="G41" s="1274"/>
      <c r="H41" s="1286"/>
      <c r="I41" s="1279"/>
      <c r="J41" s="1261"/>
      <c r="K41" s="1261"/>
    </row>
    <row r="42" spans="1:11" ht="16.5">
      <c r="A42" s="1269">
        <f t="shared" si="0"/>
        <v>33</v>
      </c>
      <c r="B42" s="1273" t="s">
        <v>4126</v>
      </c>
      <c r="C42" s="1274"/>
      <c r="D42" s="1274"/>
      <c r="E42" s="1274"/>
      <c r="F42" s="1274"/>
      <c r="G42" s="1274"/>
      <c r="H42" s="1275">
        <f>+H43+H44</f>
        <v>0</v>
      </c>
      <c r="I42" s="1275">
        <f>+I43</f>
        <v>0</v>
      </c>
      <c r="J42" s="1261"/>
      <c r="K42" s="1261"/>
    </row>
    <row r="43" spans="1:11" ht="16.5">
      <c r="A43" s="1269">
        <f t="shared" si="0"/>
        <v>34</v>
      </c>
      <c r="B43" s="1276" t="s">
        <v>4123</v>
      </c>
      <c r="C43" s="1274"/>
      <c r="D43" s="1274"/>
      <c r="E43" s="1274"/>
      <c r="F43" s="1274"/>
      <c r="G43" s="1274"/>
      <c r="H43" s="1278"/>
      <c r="I43" s="1278"/>
      <c r="J43" s="1261"/>
      <c r="K43" s="1261"/>
    </row>
    <row r="44" spans="1:11" ht="16.5">
      <c r="A44" s="1269">
        <f t="shared" si="0"/>
        <v>35</v>
      </c>
      <c r="B44" s="1276" t="s">
        <v>4124</v>
      </c>
      <c r="C44" s="1274"/>
      <c r="D44" s="1274"/>
      <c r="E44" s="1274"/>
      <c r="F44" s="1274"/>
      <c r="G44" s="1274"/>
      <c r="H44" s="1278"/>
      <c r="I44" s="1279"/>
      <c r="J44" s="1261"/>
      <c r="K44" s="1261"/>
    </row>
    <row r="45" spans="1:11" ht="16.5">
      <c r="A45" s="1269">
        <f t="shared" si="0"/>
        <v>36</v>
      </c>
      <c r="B45" s="1270" t="s">
        <v>4121</v>
      </c>
      <c r="C45" s="1274"/>
      <c r="D45" s="1274"/>
      <c r="E45" s="1274"/>
      <c r="F45" s="1274"/>
      <c r="G45" s="1274"/>
      <c r="H45" s="1275">
        <f>H34+H42</f>
        <v>0</v>
      </c>
      <c r="I45" s="1275">
        <f>I34+I42</f>
        <v>0</v>
      </c>
      <c r="J45" s="1261"/>
      <c r="K45" s="1261"/>
    </row>
    <row r="46" spans="1:11" ht="16.5">
      <c r="A46" s="1269">
        <f t="shared" si="0"/>
        <v>37</v>
      </c>
      <c r="B46" s="1287" t="s">
        <v>4127</v>
      </c>
      <c r="C46" s="1288"/>
      <c r="D46" s="1288"/>
      <c r="E46" s="1288"/>
      <c r="F46" s="1288"/>
      <c r="G46" s="1288"/>
      <c r="H46" s="1289">
        <f>+H45+H31</f>
        <v>0</v>
      </c>
      <c r="I46" s="1289">
        <f>+I45+I31</f>
        <v>0</v>
      </c>
      <c r="J46" s="1261"/>
      <c r="K46" s="1261"/>
    </row>
    <row r="47" spans="1:11" ht="16.5" thickBot="1">
      <c r="A47" s="1292"/>
      <c r="B47" s="1290"/>
      <c r="C47" s="2033"/>
      <c r="D47" s="2033"/>
      <c r="E47" s="2033"/>
      <c r="F47" s="2033"/>
      <c r="G47" s="2033"/>
      <c r="H47" s="1346"/>
      <c r="I47" s="1261"/>
      <c r="J47" s="1261"/>
      <c r="K47" s="1261"/>
    </row>
    <row r="48" spans="1:11" ht="33">
      <c r="A48" s="2034">
        <v>38</v>
      </c>
      <c r="B48" s="2035" t="s">
        <v>5309</v>
      </c>
      <c r="C48" s="2036"/>
      <c r="D48" s="2036"/>
      <c r="E48" s="2036"/>
      <c r="F48" s="2036"/>
      <c r="G48" s="2036"/>
      <c r="H48" s="2037"/>
      <c r="I48" s="2038"/>
      <c r="J48" s="1261"/>
      <c r="K48" s="1261"/>
    </row>
    <row r="49" spans="1:11" ht="38.25" thickBot="1">
      <c r="A49" s="2039">
        <v>39</v>
      </c>
      <c r="B49" s="2040" t="s">
        <v>5310</v>
      </c>
      <c r="C49" s="2041"/>
      <c r="D49" s="2041"/>
      <c r="E49" s="2041"/>
      <c r="F49" s="2041"/>
      <c r="G49" s="2041"/>
      <c r="H49" s="2042"/>
      <c r="I49" s="2043"/>
      <c r="J49" s="1261"/>
      <c r="K49" s="1261"/>
    </row>
    <row r="50" spans="1:11">
      <c r="A50" s="1292"/>
      <c r="B50" s="1290"/>
      <c r="C50" s="2033"/>
      <c r="D50" s="2033"/>
      <c r="E50" s="2033"/>
      <c r="F50" s="2033"/>
      <c r="G50" s="2033"/>
      <c r="H50" s="1346"/>
      <c r="I50" s="1261"/>
      <c r="J50" s="1261"/>
      <c r="K50" s="1261"/>
    </row>
    <row r="51" spans="1:11" ht="16.5">
      <c r="A51" s="2044" t="s">
        <v>4794</v>
      </c>
      <c r="B51" s="1196" t="s">
        <v>5311</v>
      </c>
      <c r="C51" s="2045"/>
      <c r="D51" s="2045"/>
      <c r="E51" s="2045"/>
      <c r="F51" s="2045"/>
      <c r="G51" s="2045"/>
      <c r="H51" s="1346"/>
      <c r="I51" s="1261"/>
      <c r="J51" s="1261"/>
      <c r="K51" s="1261"/>
    </row>
    <row r="52" spans="1:11" ht="16.5">
      <c r="A52" s="2044" t="s">
        <v>4797</v>
      </c>
      <c r="B52" s="1196" t="s">
        <v>5312</v>
      </c>
      <c r="C52" s="2045"/>
      <c r="D52" s="2045"/>
      <c r="E52" s="2045"/>
      <c r="F52" s="2045"/>
      <c r="G52" s="2045"/>
      <c r="H52" s="1346"/>
      <c r="I52" s="1261"/>
      <c r="J52" s="1261"/>
      <c r="K52" s="1261"/>
    </row>
    <row r="53" spans="1:11" ht="16.5">
      <c r="A53" s="2044" t="s">
        <v>4799</v>
      </c>
      <c r="B53" s="1196" t="s">
        <v>5313</v>
      </c>
      <c r="C53" s="2045"/>
      <c r="D53" s="2045"/>
      <c r="E53" s="2045"/>
      <c r="F53" s="2045"/>
      <c r="G53" s="2045"/>
      <c r="H53" s="1346"/>
      <c r="I53" s="1261"/>
      <c r="J53" s="1261"/>
      <c r="K53" s="1261"/>
    </row>
    <row r="54" spans="1:11" ht="16.5">
      <c r="A54" s="2044" t="s">
        <v>4174</v>
      </c>
      <c r="B54" s="1196" t="s">
        <v>5314</v>
      </c>
      <c r="C54" s="1262"/>
      <c r="D54" s="1262"/>
      <c r="E54" s="1262"/>
      <c r="F54" s="1262"/>
      <c r="G54" s="1262"/>
      <c r="H54" s="1346"/>
      <c r="I54" s="1261"/>
      <c r="J54" s="1261"/>
      <c r="K54" s="1261"/>
    </row>
    <row r="55" spans="1:11" ht="16.5">
      <c r="A55" s="1450" t="s">
        <v>4176</v>
      </c>
      <c r="B55" s="1196" t="s">
        <v>5315</v>
      </c>
      <c r="C55" s="1262"/>
      <c r="D55" s="1262"/>
      <c r="E55" s="1262"/>
      <c r="F55" s="1262"/>
      <c r="G55" s="1262"/>
      <c r="H55" s="1346"/>
      <c r="I55" s="1261"/>
      <c r="J55" s="1261"/>
      <c r="K55" s="1261"/>
    </row>
    <row r="56" spans="1:11" ht="16.5">
      <c r="A56" s="2044" t="s">
        <v>4178</v>
      </c>
      <c r="B56" s="1262" t="s">
        <v>5316</v>
      </c>
      <c r="C56" s="1262"/>
      <c r="D56" s="1262"/>
      <c r="E56" s="1262"/>
      <c r="F56" s="1262"/>
      <c r="G56" s="1262"/>
    </row>
    <row r="57" spans="1:11" ht="16.5">
      <c r="A57" s="2044" t="s">
        <v>4180</v>
      </c>
      <c r="B57" s="1196" t="s">
        <v>5317</v>
      </c>
      <c r="C57" s="1349"/>
      <c r="D57" s="1349"/>
      <c r="E57" s="1349"/>
      <c r="F57" s="1349"/>
      <c r="G57" s="1262"/>
    </row>
    <row r="58" spans="1:11" ht="16.5">
      <c r="A58" s="1563" t="s">
        <v>4182</v>
      </c>
      <c r="B58" s="2000" t="s">
        <v>5250</v>
      </c>
    </row>
    <row r="59" spans="1:11" ht="16.5">
      <c r="A59" s="2814" t="s">
        <v>6211</v>
      </c>
      <c r="B59" s="2815" t="s">
        <v>6212</v>
      </c>
    </row>
  </sheetData>
  <mergeCells count="4">
    <mergeCell ref="C3:D3"/>
    <mergeCell ref="E3:F3"/>
    <mergeCell ref="A3:A5"/>
    <mergeCell ref="B3:B4"/>
  </mergeCells>
  <phoneticPr fontId="9" type="noConversion"/>
  <pageMargins left="0" right="0" top="0" bottom="0" header="0" footer="0"/>
  <pageSetup paperSize="9" scale="51" orientation="landscape" r:id="rId1"/>
  <headerFooter alignWithMargins="0">
    <oddFooter>&amp;C&amp;P/&amp;N&amp;R&amp;A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6"/>
  <sheetViews>
    <sheetView view="pageBreakPreview" zoomScaleNormal="100" zoomScaleSheetLayoutView="100" workbookViewId="0"/>
  </sheetViews>
  <sheetFormatPr defaultColWidth="15.625" defaultRowHeight="15.75"/>
  <cols>
    <col min="1" max="1" width="5.625" style="1291" customWidth="1"/>
    <col min="2" max="2" width="60.625" style="1291" customWidth="1"/>
    <col min="3" max="7" width="20.625" style="1291" customWidth="1"/>
    <col min="8" max="16384" width="15.625" style="1291"/>
  </cols>
  <sheetData>
    <row r="1" spans="1:7" ht="16.5">
      <c r="A1" s="1199" t="str">
        <f>+封面!A3&amp;" "&amp;封面!A2</f>
        <v xml:space="preserve">        保險股份有限公司(○○分公司) 年度(月、季、半年)報表</v>
      </c>
      <c r="B1" s="1290"/>
      <c r="C1" s="1290"/>
      <c r="D1" s="1290"/>
      <c r="E1" s="1290"/>
      <c r="F1" s="1290"/>
    </row>
    <row r="2" spans="1:7" ht="16.5">
      <c r="A2" s="1262" t="s">
        <v>4128</v>
      </c>
      <c r="B2" s="1263"/>
      <c r="C2" s="1292"/>
      <c r="D2" s="1292"/>
      <c r="F2" s="1292"/>
      <c r="G2" s="1293" t="s">
        <v>4097</v>
      </c>
    </row>
    <row r="3" spans="1:7" ht="33">
      <c r="A3" s="3230" t="s">
        <v>4064</v>
      </c>
      <c r="B3" s="1888" t="s">
        <v>4098</v>
      </c>
      <c r="C3" s="1887" t="s">
        <v>4129</v>
      </c>
      <c r="D3" s="1887" t="s">
        <v>4130</v>
      </c>
      <c r="E3" s="1887" t="s">
        <v>4099</v>
      </c>
      <c r="F3" s="1887" t="s">
        <v>4100</v>
      </c>
      <c r="G3" s="1266" t="s">
        <v>4131</v>
      </c>
    </row>
    <row r="4" spans="1:7">
      <c r="A4" s="3230"/>
      <c r="B4" s="1267" t="s">
        <v>422</v>
      </c>
      <c r="C4" s="1267" t="s">
        <v>329</v>
      </c>
      <c r="D4" s="1267" t="s">
        <v>171</v>
      </c>
      <c r="E4" s="1267" t="s">
        <v>330</v>
      </c>
      <c r="F4" s="1268" t="s">
        <v>655</v>
      </c>
      <c r="G4" s="1268" t="s">
        <v>33</v>
      </c>
    </row>
    <row r="5" spans="1:7" ht="16.5">
      <c r="A5" s="1294">
        <v>1</v>
      </c>
      <c r="B5" s="1295" t="s">
        <v>4132</v>
      </c>
      <c r="C5" s="1296"/>
      <c r="D5" s="1296"/>
      <c r="E5" s="1296"/>
      <c r="F5" s="1296"/>
      <c r="G5" s="1297"/>
    </row>
    <row r="6" spans="1:7" ht="16.5">
      <c r="A6" s="1298">
        <f t="shared" ref="A6:A59" si="0">A5+1</f>
        <v>2</v>
      </c>
      <c r="B6" s="1299" t="s">
        <v>4133</v>
      </c>
      <c r="C6" s="1300"/>
      <c r="D6" s="1300"/>
      <c r="E6" s="1300"/>
      <c r="F6" s="1300"/>
      <c r="G6" s="1301">
        <f>+G7+G8</f>
        <v>0</v>
      </c>
    </row>
    <row r="7" spans="1:7" ht="16.5">
      <c r="A7" s="1298">
        <f t="shared" si="0"/>
        <v>3</v>
      </c>
      <c r="B7" s="1302" t="s">
        <v>4134</v>
      </c>
      <c r="C7" s="1300"/>
      <c r="D7" s="1300"/>
      <c r="E7" s="1303"/>
      <c r="F7" s="1303"/>
      <c r="G7" s="1304"/>
    </row>
    <row r="8" spans="1:7" ht="16.5">
      <c r="A8" s="1305">
        <f t="shared" si="0"/>
        <v>4</v>
      </c>
      <c r="B8" s="1306" t="s">
        <v>4135</v>
      </c>
      <c r="C8" s="1307"/>
      <c r="D8" s="1307"/>
      <c r="E8" s="1308"/>
      <c r="F8" s="1308"/>
      <c r="G8" s="1309"/>
    </row>
    <row r="9" spans="1:7" ht="16.5">
      <c r="A9" s="1294">
        <f t="shared" si="0"/>
        <v>5</v>
      </c>
      <c r="B9" s="1299" t="s">
        <v>4136</v>
      </c>
      <c r="C9" s="1296"/>
      <c r="D9" s="1296"/>
      <c r="E9" s="1296"/>
      <c r="F9" s="1296"/>
      <c r="G9" s="1310">
        <f>+G10+G11</f>
        <v>0</v>
      </c>
    </row>
    <row r="10" spans="1:7" ht="16.5">
      <c r="A10" s="1298">
        <f t="shared" si="0"/>
        <v>6</v>
      </c>
      <c r="B10" s="1302" t="s">
        <v>4134</v>
      </c>
      <c r="C10" s="1300"/>
      <c r="D10" s="1300"/>
      <c r="E10" s="1303"/>
      <c r="F10" s="1303"/>
      <c r="G10" s="1304"/>
    </row>
    <row r="11" spans="1:7" ht="16.5">
      <c r="A11" s="1311">
        <f t="shared" si="0"/>
        <v>7</v>
      </c>
      <c r="B11" s="1312" t="s">
        <v>4135</v>
      </c>
      <c r="C11" s="1313"/>
      <c r="D11" s="1313"/>
      <c r="E11" s="1314"/>
      <c r="F11" s="1314"/>
      <c r="G11" s="1315"/>
    </row>
    <row r="12" spans="1:7" ht="16.5">
      <c r="A12" s="1316">
        <f t="shared" si="0"/>
        <v>8</v>
      </c>
      <c r="B12" s="1317" t="s">
        <v>4137</v>
      </c>
      <c r="C12" s="1318"/>
      <c r="D12" s="1318"/>
      <c r="E12" s="1318"/>
      <c r="F12" s="1318"/>
      <c r="G12" s="1319"/>
    </row>
    <row r="13" spans="1:7" ht="16.5">
      <c r="A13" s="1294">
        <f t="shared" si="0"/>
        <v>9</v>
      </c>
      <c r="B13" s="1299" t="s">
        <v>4138</v>
      </c>
      <c r="C13" s="1296"/>
      <c r="D13" s="1296"/>
      <c r="E13" s="1296"/>
      <c r="F13" s="1296"/>
      <c r="G13" s="1310">
        <f>+G14+G15</f>
        <v>0</v>
      </c>
    </row>
    <row r="14" spans="1:7" ht="16.5">
      <c r="A14" s="1298">
        <f t="shared" si="0"/>
        <v>10</v>
      </c>
      <c r="B14" s="1302" t="s">
        <v>4139</v>
      </c>
      <c r="C14" s="1300"/>
      <c r="D14" s="1303"/>
      <c r="E14" s="1303"/>
      <c r="F14" s="1303"/>
      <c r="G14" s="1304"/>
    </row>
    <row r="15" spans="1:7" ht="16.5">
      <c r="A15" s="1298">
        <f t="shared" si="0"/>
        <v>11</v>
      </c>
      <c r="B15" s="1302" t="s">
        <v>4140</v>
      </c>
      <c r="C15" s="1300"/>
      <c r="D15" s="1300"/>
      <c r="E15" s="1300"/>
      <c r="F15" s="1300"/>
      <c r="G15" s="1301">
        <f>+G16+G17</f>
        <v>0</v>
      </c>
    </row>
    <row r="16" spans="1:7" ht="16.5">
      <c r="A16" s="1298">
        <f t="shared" si="0"/>
        <v>12</v>
      </c>
      <c r="B16" s="1320" t="s">
        <v>4141</v>
      </c>
      <c r="C16" s="1300"/>
      <c r="D16" s="1300"/>
      <c r="E16" s="1303"/>
      <c r="F16" s="1303"/>
      <c r="G16" s="1304"/>
    </row>
    <row r="17" spans="1:7" ht="16.5">
      <c r="A17" s="1305">
        <f t="shared" si="0"/>
        <v>13</v>
      </c>
      <c r="B17" s="1321" t="s">
        <v>4142</v>
      </c>
      <c r="C17" s="1307"/>
      <c r="D17" s="1307"/>
      <c r="E17" s="1307"/>
      <c r="F17" s="1307"/>
      <c r="G17" s="1322"/>
    </row>
    <row r="18" spans="1:7" ht="16.5">
      <c r="A18" s="1294">
        <f t="shared" si="0"/>
        <v>14</v>
      </c>
      <c r="B18" s="1299" t="s">
        <v>4143</v>
      </c>
      <c r="C18" s="1296"/>
      <c r="D18" s="1296"/>
      <c r="E18" s="1296"/>
      <c r="F18" s="1296"/>
      <c r="G18" s="1310">
        <f>+G19+G20+G24</f>
        <v>0</v>
      </c>
    </row>
    <row r="19" spans="1:7" ht="16.5">
      <c r="A19" s="1298">
        <f t="shared" si="0"/>
        <v>15</v>
      </c>
      <c r="B19" s="1302" t="s">
        <v>4144</v>
      </c>
      <c r="C19" s="1300"/>
      <c r="D19" s="1300"/>
      <c r="E19" s="1300"/>
      <c r="F19" s="1300"/>
      <c r="G19" s="1304"/>
    </row>
    <row r="20" spans="1:7" ht="16.5">
      <c r="A20" s="1298">
        <f t="shared" si="0"/>
        <v>16</v>
      </c>
      <c r="B20" s="1302" t="s">
        <v>4145</v>
      </c>
      <c r="C20" s="1300"/>
      <c r="D20" s="1300"/>
      <c r="E20" s="1300"/>
      <c r="F20" s="1300"/>
      <c r="G20" s="1323"/>
    </row>
    <row r="21" spans="1:7" ht="16.5">
      <c r="A21" s="1324" t="s">
        <v>3518</v>
      </c>
      <c r="B21" s="1325" t="s">
        <v>4146</v>
      </c>
      <c r="C21" s="1300"/>
      <c r="D21" s="1300"/>
      <c r="E21" s="1300"/>
      <c r="F21" s="1300"/>
      <c r="G21" s="1323"/>
    </row>
    <row r="22" spans="1:7" ht="16.5">
      <c r="A22" s="1324" t="s">
        <v>3519</v>
      </c>
      <c r="B22" s="1325" t="s">
        <v>4147</v>
      </c>
      <c r="C22" s="1300"/>
      <c r="D22" s="1300"/>
      <c r="E22" s="1300"/>
      <c r="F22" s="1300"/>
      <c r="G22" s="1323"/>
    </row>
    <row r="23" spans="1:7" ht="16.5">
      <c r="A23" s="1324" t="s">
        <v>3520</v>
      </c>
      <c r="B23" s="1325" t="s">
        <v>4148</v>
      </c>
      <c r="C23" s="1300"/>
      <c r="D23" s="1300"/>
      <c r="E23" s="1300"/>
      <c r="F23" s="1300"/>
      <c r="G23" s="1323"/>
    </row>
    <row r="24" spans="1:7" ht="33">
      <c r="A24" s="1298">
        <f>A20+1</f>
        <v>17</v>
      </c>
      <c r="B24" s="1302" t="s">
        <v>4149</v>
      </c>
      <c r="C24" s="1300"/>
      <c r="D24" s="1300"/>
      <c r="E24" s="1300"/>
      <c r="F24" s="1300"/>
      <c r="G24" s="1301">
        <f>+G25+G28+G31+G32</f>
        <v>0</v>
      </c>
    </row>
    <row r="25" spans="1:7" ht="16.5">
      <c r="A25" s="1298">
        <f t="shared" si="0"/>
        <v>18</v>
      </c>
      <c r="B25" s="1320" t="s">
        <v>4150</v>
      </c>
      <c r="C25" s="1300"/>
      <c r="D25" s="1300"/>
      <c r="E25" s="1300"/>
      <c r="F25" s="1300"/>
      <c r="G25" s="1301">
        <f>+G26+G27</f>
        <v>0</v>
      </c>
    </row>
    <row r="26" spans="1:7" ht="16.5">
      <c r="A26" s="1298">
        <f t="shared" si="0"/>
        <v>19</v>
      </c>
      <c r="B26" s="2027" t="s">
        <v>5300</v>
      </c>
      <c r="C26" s="1300"/>
      <c r="D26" s="1300"/>
      <c r="E26" s="1300"/>
      <c r="F26" s="1300"/>
      <c r="G26" s="1304"/>
    </row>
    <row r="27" spans="1:7" ht="16.5">
      <c r="A27" s="1298">
        <f t="shared" si="0"/>
        <v>20</v>
      </c>
      <c r="B27" s="2027" t="s">
        <v>5301</v>
      </c>
      <c r="C27" s="1300"/>
      <c r="D27" s="1300"/>
      <c r="E27" s="1300"/>
      <c r="F27" s="1300"/>
      <c r="G27" s="1304"/>
    </row>
    <row r="28" spans="1:7" ht="16.5">
      <c r="A28" s="1298">
        <f t="shared" si="0"/>
        <v>21</v>
      </c>
      <c r="B28" s="1320" t="s">
        <v>4151</v>
      </c>
      <c r="C28" s="1300"/>
      <c r="D28" s="1300"/>
      <c r="E28" s="1300"/>
      <c r="F28" s="1300"/>
      <c r="G28" s="1301">
        <f>+G29+G30</f>
        <v>0</v>
      </c>
    </row>
    <row r="29" spans="1:7" ht="16.5">
      <c r="A29" s="1298">
        <f t="shared" si="0"/>
        <v>22</v>
      </c>
      <c r="B29" s="2027" t="s">
        <v>5300</v>
      </c>
      <c r="C29" s="1300"/>
      <c r="D29" s="1300"/>
      <c r="E29" s="1300"/>
      <c r="F29" s="1300"/>
      <c r="G29" s="1304"/>
    </row>
    <row r="30" spans="1:7" ht="16.5">
      <c r="A30" s="1298">
        <f t="shared" si="0"/>
        <v>23</v>
      </c>
      <c r="B30" s="2027" t="s">
        <v>5301</v>
      </c>
      <c r="C30" s="1300"/>
      <c r="D30" s="1300"/>
      <c r="E30" s="1300"/>
      <c r="F30" s="1300"/>
      <c r="G30" s="1304"/>
    </row>
    <row r="31" spans="1:7" ht="16.5">
      <c r="A31" s="1298">
        <f t="shared" si="0"/>
        <v>24</v>
      </c>
      <c r="B31" s="1320" t="s">
        <v>4152</v>
      </c>
      <c r="C31" s="1300"/>
      <c r="D31" s="1300"/>
      <c r="E31" s="1300"/>
      <c r="F31" s="1300"/>
      <c r="G31" s="1323"/>
    </row>
    <row r="32" spans="1:7" ht="16.5">
      <c r="A32" s="1298">
        <f t="shared" si="0"/>
        <v>25</v>
      </c>
      <c r="B32" s="1320" t="s">
        <v>4153</v>
      </c>
      <c r="C32" s="1300"/>
      <c r="D32" s="1300"/>
      <c r="E32" s="1300"/>
      <c r="F32" s="1300"/>
      <c r="G32" s="1301">
        <f>+G33+G34</f>
        <v>0</v>
      </c>
    </row>
    <row r="33" spans="1:7" ht="16.5">
      <c r="A33" s="1298">
        <f t="shared" si="0"/>
        <v>26</v>
      </c>
      <c r="B33" s="2027" t="s">
        <v>5302</v>
      </c>
      <c r="C33" s="1300"/>
      <c r="D33" s="1300"/>
      <c r="E33" s="1300"/>
      <c r="F33" s="1300"/>
      <c r="G33" s="1304"/>
    </row>
    <row r="34" spans="1:7" ht="16.5">
      <c r="A34" s="1298">
        <f t="shared" si="0"/>
        <v>27</v>
      </c>
      <c r="B34" s="2027" t="s">
        <v>5303</v>
      </c>
      <c r="C34" s="1300"/>
      <c r="D34" s="1300"/>
      <c r="E34" s="1300"/>
      <c r="F34" s="1300"/>
      <c r="G34" s="1301">
        <f>+G35+G36</f>
        <v>0</v>
      </c>
    </row>
    <row r="35" spans="1:7" ht="16.5">
      <c r="A35" s="1298">
        <f t="shared" si="0"/>
        <v>28</v>
      </c>
      <c r="B35" s="2028" t="s">
        <v>5304</v>
      </c>
      <c r="C35" s="1300"/>
      <c r="D35" s="1300"/>
      <c r="E35" s="1300"/>
      <c r="F35" s="1300"/>
      <c r="G35" s="1304"/>
    </row>
    <row r="36" spans="1:7" ht="16.5">
      <c r="A36" s="1305">
        <f t="shared" si="0"/>
        <v>29</v>
      </c>
      <c r="B36" s="2029" t="s">
        <v>5305</v>
      </c>
      <c r="C36" s="1307"/>
      <c r="D36" s="1307"/>
      <c r="E36" s="1307"/>
      <c r="F36" s="1307"/>
      <c r="G36" s="1322"/>
    </row>
    <row r="37" spans="1:7" ht="16.5">
      <c r="A37" s="1326">
        <f t="shared" si="0"/>
        <v>30</v>
      </c>
      <c r="B37" s="1299" t="s">
        <v>4154</v>
      </c>
      <c r="C37" s="1296"/>
      <c r="D37" s="1296"/>
      <c r="E37" s="1296"/>
      <c r="F37" s="1296"/>
      <c r="G37" s="1310">
        <f>+G38+G39</f>
        <v>0</v>
      </c>
    </row>
    <row r="38" spans="1:7" ht="16.5">
      <c r="A38" s="1324">
        <f t="shared" si="0"/>
        <v>31</v>
      </c>
      <c r="B38" s="1302" t="s">
        <v>4155</v>
      </c>
      <c r="C38" s="1300"/>
      <c r="D38" s="1300"/>
      <c r="E38" s="1327"/>
      <c r="F38" s="1327"/>
      <c r="G38" s="1304"/>
    </row>
    <row r="39" spans="1:7" ht="16.5">
      <c r="A39" s="1328">
        <f t="shared" si="0"/>
        <v>32</v>
      </c>
      <c r="B39" s="1312" t="s">
        <v>4156</v>
      </c>
      <c r="C39" s="1313"/>
      <c r="D39" s="1313"/>
      <c r="E39" s="1329"/>
      <c r="F39" s="1329"/>
      <c r="G39" s="1315"/>
    </row>
    <row r="40" spans="1:7" ht="16.5">
      <c r="A40" s="1316">
        <f>A39+1</f>
        <v>33</v>
      </c>
      <c r="B40" s="1330" t="s">
        <v>4157</v>
      </c>
      <c r="C40" s="1318"/>
      <c r="D40" s="1318"/>
      <c r="E40" s="1318"/>
      <c r="F40" s="1318"/>
      <c r="G40" s="1331">
        <f>+G6+G9+G12+G13+G18+G37</f>
        <v>0</v>
      </c>
    </row>
    <row r="41" spans="1:7" ht="16.5">
      <c r="A41" s="1316">
        <f t="shared" si="0"/>
        <v>34</v>
      </c>
      <c r="B41" s="1330" t="s">
        <v>4158</v>
      </c>
      <c r="C41" s="1318"/>
      <c r="D41" s="1318"/>
      <c r="E41" s="1318"/>
      <c r="F41" s="1318"/>
      <c r="G41" s="1319"/>
    </row>
    <row r="42" spans="1:7" ht="16.5">
      <c r="A42" s="1294">
        <f t="shared" si="0"/>
        <v>35</v>
      </c>
      <c r="B42" s="1332" t="s">
        <v>4159</v>
      </c>
      <c r="C42" s="1296"/>
      <c r="D42" s="1296"/>
      <c r="E42" s="1296"/>
      <c r="F42" s="1296"/>
      <c r="G42" s="1310">
        <f>+G43+G44+G45</f>
        <v>0</v>
      </c>
    </row>
    <row r="43" spans="1:7" ht="16.5">
      <c r="A43" s="1298">
        <f t="shared" si="0"/>
        <v>36</v>
      </c>
      <c r="B43" s="1333" t="s">
        <v>4160</v>
      </c>
      <c r="C43" s="1300"/>
      <c r="D43" s="1300"/>
      <c r="E43" s="1303"/>
      <c r="F43" s="1303"/>
      <c r="G43" s="1304"/>
    </row>
    <row r="44" spans="1:7" ht="16.5">
      <c r="A44" s="1334">
        <f t="shared" si="0"/>
        <v>37</v>
      </c>
      <c r="B44" s="1333" t="s">
        <v>4161</v>
      </c>
      <c r="C44" s="1300"/>
      <c r="D44" s="1300"/>
      <c r="E44" s="1300"/>
      <c r="F44" s="1300"/>
      <c r="G44" s="1323"/>
    </row>
    <row r="45" spans="1:7" ht="16.5">
      <c r="A45" s="1334">
        <f t="shared" si="0"/>
        <v>38</v>
      </c>
      <c r="B45" s="1302" t="s">
        <v>4162</v>
      </c>
      <c r="C45" s="1300"/>
      <c r="D45" s="1300"/>
      <c r="E45" s="1300"/>
      <c r="F45" s="1300"/>
      <c r="G45" s="1301">
        <f>+G46+G47</f>
        <v>0</v>
      </c>
    </row>
    <row r="46" spans="1:7" ht="16.5">
      <c r="A46" s="1334">
        <f t="shared" si="0"/>
        <v>39</v>
      </c>
      <c r="B46" s="1320" t="s">
        <v>4163</v>
      </c>
      <c r="C46" s="1300"/>
      <c r="D46" s="1303"/>
      <c r="E46" s="1303"/>
      <c r="F46" s="1303"/>
      <c r="G46" s="1304"/>
    </row>
    <row r="47" spans="1:7" ht="16.5">
      <c r="A47" s="1334">
        <f t="shared" si="0"/>
        <v>40</v>
      </c>
      <c r="B47" s="1320" t="s">
        <v>4164</v>
      </c>
      <c r="C47" s="1300"/>
      <c r="D47" s="1300"/>
      <c r="E47" s="1300"/>
      <c r="F47" s="1300"/>
      <c r="G47" s="1301">
        <f>+G48+G49</f>
        <v>0</v>
      </c>
    </row>
    <row r="48" spans="1:7" ht="16.5">
      <c r="A48" s="1334">
        <f t="shared" si="0"/>
        <v>41</v>
      </c>
      <c r="B48" s="2027" t="s">
        <v>5306</v>
      </c>
      <c r="C48" s="1300"/>
      <c r="D48" s="1300"/>
      <c r="E48" s="1303"/>
      <c r="F48" s="1303"/>
      <c r="G48" s="1304"/>
    </row>
    <row r="49" spans="1:8" ht="16.5">
      <c r="A49" s="1335">
        <f t="shared" si="0"/>
        <v>42</v>
      </c>
      <c r="B49" s="2030" t="s">
        <v>5307</v>
      </c>
      <c r="C49" s="1307"/>
      <c r="D49" s="1307"/>
      <c r="E49" s="1307"/>
      <c r="F49" s="1307"/>
      <c r="G49" s="1322"/>
    </row>
    <row r="50" spans="1:8" ht="16.5">
      <c r="A50" s="1336">
        <f t="shared" si="0"/>
        <v>43</v>
      </c>
      <c r="B50" s="1332" t="s">
        <v>4165</v>
      </c>
      <c r="C50" s="1296"/>
      <c r="D50" s="1296"/>
      <c r="E50" s="1296"/>
      <c r="F50" s="1296"/>
      <c r="G50" s="1310">
        <f>+G51+G52+G53</f>
        <v>0</v>
      </c>
    </row>
    <row r="51" spans="1:8" ht="16.5">
      <c r="A51" s="1334">
        <f t="shared" si="0"/>
        <v>44</v>
      </c>
      <c r="B51" s="1333" t="s">
        <v>4160</v>
      </c>
      <c r="C51" s="1300"/>
      <c r="D51" s="1300"/>
      <c r="E51" s="1303"/>
      <c r="F51" s="1303"/>
      <c r="G51" s="1304"/>
    </row>
    <row r="52" spans="1:8" ht="16.5">
      <c r="A52" s="1334">
        <f t="shared" si="0"/>
        <v>45</v>
      </c>
      <c r="B52" s="1333" t="s">
        <v>4161</v>
      </c>
      <c r="C52" s="1300"/>
      <c r="D52" s="1300"/>
      <c r="E52" s="1300"/>
      <c r="F52" s="1300"/>
      <c r="G52" s="1323"/>
    </row>
    <row r="53" spans="1:8" ht="16.5">
      <c r="A53" s="1334">
        <f t="shared" si="0"/>
        <v>46</v>
      </c>
      <c r="B53" s="1302" t="s">
        <v>4162</v>
      </c>
      <c r="C53" s="1300"/>
      <c r="D53" s="1300"/>
      <c r="E53" s="1300"/>
      <c r="F53" s="1300"/>
      <c r="G53" s="1301">
        <f>+G54+G55</f>
        <v>0</v>
      </c>
    </row>
    <row r="54" spans="1:8" ht="16.5">
      <c r="A54" s="1334">
        <f t="shared" si="0"/>
        <v>47</v>
      </c>
      <c r="B54" s="1320" t="s">
        <v>4163</v>
      </c>
      <c r="C54" s="1300"/>
      <c r="D54" s="1303"/>
      <c r="E54" s="1303"/>
      <c r="F54" s="1303"/>
      <c r="G54" s="1304"/>
    </row>
    <row r="55" spans="1:8" ht="16.5">
      <c r="A55" s="1334">
        <f t="shared" si="0"/>
        <v>48</v>
      </c>
      <c r="B55" s="1320" t="s">
        <v>4164</v>
      </c>
      <c r="C55" s="1300"/>
      <c r="D55" s="1300"/>
      <c r="E55" s="1300"/>
      <c r="F55" s="1300"/>
      <c r="G55" s="1301">
        <f>+G56+G57</f>
        <v>0</v>
      </c>
    </row>
    <row r="56" spans="1:8" ht="16.5">
      <c r="A56" s="1334">
        <f t="shared" si="0"/>
        <v>49</v>
      </c>
      <c r="B56" s="2027" t="s">
        <v>5306</v>
      </c>
      <c r="C56" s="1300"/>
      <c r="D56" s="1300"/>
      <c r="E56" s="1303"/>
      <c r="F56" s="1303"/>
      <c r="G56" s="1304"/>
    </row>
    <row r="57" spans="1:8" ht="16.5">
      <c r="A57" s="1337">
        <f t="shared" si="0"/>
        <v>50</v>
      </c>
      <c r="B57" s="2030" t="s">
        <v>5307</v>
      </c>
      <c r="C57" s="1313"/>
      <c r="D57" s="1313"/>
      <c r="E57" s="1313"/>
      <c r="F57" s="1313"/>
      <c r="G57" s="1338"/>
    </row>
    <row r="58" spans="1:8" ht="16.5">
      <c r="A58" s="1339">
        <f t="shared" si="0"/>
        <v>51</v>
      </c>
      <c r="B58" s="1330" t="s">
        <v>4166</v>
      </c>
      <c r="C58" s="1318"/>
      <c r="D58" s="1318"/>
      <c r="E58" s="1318"/>
      <c r="F58" s="1318"/>
      <c r="G58" s="1331">
        <f>+G42+G50</f>
        <v>0</v>
      </c>
    </row>
    <row r="59" spans="1:8" ht="16.5">
      <c r="A59" s="1340">
        <f t="shared" si="0"/>
        <v>52</v>
      </c>
      <c r="B59" s="1341" t="s">
        <v>4167</v>
      </c>
      <c r="C59" s="1342"/>
      <c r="D59" s="1342"/>
      <c r="E59" s="1342"/>
      <c r="F59" s="1342"/>
      <c r="G59" s="1343">
        <f>+G40+G58</f>
        <v>0</v>
      </c>
    </row>
    <row r="60" spans="1:8">
      <c r="A60" s="1344"/>
      <c r="B60" s="1345"/>
      <c r="C60" s="1346"/>
      <c r="D60" s="1346"/>
      <c r="E60" s="1346"/>
      <c r="F60" s="1346"/>
      <c r="G60" s="1347"/>
    </row>
    <row r="61" spans="1:8" ht="16.5">
      <c r="A61" s="1293" t="s">
        <v>4168</v>
      </c>
      <c r="B61" s="1262" t="s">
        <v>4169</v>
      </c>
      <c r="C61" s="1263"/>
      <c r="D61" s="1263"/>
      <c r="E61" s="1263"/>
      <c r="F61" s="1348"/>
      <c r="G61" s="1348"/>
      <c r="H61" s="1348"/>
    </row>
    <row r="62" spans="1:8" ht="16.5">
      <c r="A62" s="1293" t="s">
        <v>4170</v>
      </c>
      <c r="B62" s="1262" t="s">
        <v>4171</v>
      </c>
      <c r="C62" s="1263"/>
      <c r="D62" s="1263"/>
      <c r="E62" s="1263"/>
      <c r="F62" s="1348"/>
      <c r="G62" s="1348"/>
      <c r="H62" s="1348"/>
    </row>
    <row r="63" spans="1:8" ht="16.5">
      <c r="A63" s="1293" t="s">
        <v>4172</v>
      </c>
      <c r="B63" s="1262" t="s">
        <v>4173</v>
      </c>
      <c r="C63" s="1263"/>
      <c r="D63" s="1263"/>
      <c r="E63" s="1263"/>
      <c r="F63" s="1348"/>
      <c r="G63" s="1348"/>
      <c r="H63" s="1348"/>
    </row>
    <row r="64" spans="1:8" ht="16.5">
      <c r="A64" s="1293" t="s">
        <v>4174</v>
      </c>
      <c r="B64" s="1262" t="s">
        <v>4175</v>
      </c>
      <c r="C64" s="1263"/>
      <c r="D64" s="1263"/>
      <c r="E64" s="1263"/>
      <c r="F64" s="1348"/>
      <c r="G64" s="1348"/>
      <c r="H64" s="1348"/>
    </row>
    <row r="65" spans="1:8" ht="16.5">
      <c r="A65" s="1293" t="s">
        <v>4176</v>
      </c>
      <c r="B65" s="1262" t="s">
        <v>4177</v>
      </c>
      <c r="C65" s="1263"/>
      <c r="D65" s="1263"/>
      <c r="E65" s="1263"/>
      <c r="F65" s="1348"/>
      <c r="G65" s="1348"/>
      <c r="H65" s="1348"/>
    </row>
    <row r="66" spans="1:8" ht="16.5">
      <c r="A66" s="1293" t="s">
        <v>4178</v>
      </c>
      <c r="B66" s="1262" t="s">
        <v>4179</v>
      </c>
      <c r="C66" s="1263"/>
      <c r="D66" s="1263"/>
      <c r="E66" s="1263"/>
      <c r="F66" s="1348"/>
      <c r="G66" s="1348"/>
      <c r="H66" s="1348"/>
    </row>
    <row r="67" spans="1:8" ht="16.5">
      <c r="A67" s="1293" t="s">
        <v>4180</v>
      </c>
      <c r="B67" s="1262" t="s">
        <v>4181</v>
      </c>
      <c r="C67" s="1263"/>
      <c r="D67" s="1263"/>
      <c r="E67" s="1263"/>
      <c r="F67" s="1348"/>
      <c r="G67" s="1348"/>
      <c r="H67" s="1348"/>
    </row>
    <row r="68" spans="1:8" ht="16.5">
      <c r="A68" s="1293" t="s">
        <v>4182</v>
      </c>
      <c r="B68" s="1262" t="s">
        <v>4183</v>
      </c>
      <c r="C68" s="1263"/>
      <c r="D68" s="1263"/>
      <c r="E68" s="1263"/>
      <c r="F68" s="1348"/>
      <c r="G68" s="1348"/>
      <c r="H68" s="1348"/>
    </row>
    <row r="69" spans="1:8" ht="16.5">
      <c r="A69" s="1293" t="s">
        <v>4184</v>
      </c>
      <c r="B69" s="1262" t="s">
        <v>4185</v>
      </c>
      <c r="C69" s="1263"/>
      <c r="D69" s="1263"/>
      <c r="E69" s="1263"/>
      <c r="F69" s="1348"/>
      <c r="G69" s="1348"/>
      <c r="H69" s="1348"/>
    </row>
    <row r="70" spans="1:8" ht="16.5">
      <c r="A70" s="1293" t="s">
        <v>4186</v>
      </c>
      <c r="B70" s="1262" t="s">
        <v>4187</v>
      </c>
      <c r="C70" s="1263"/>
      <c r="D70" s="1263"/>
      <c r="E70" s="1263"/>
      <c r="F70" s="1348"/>
      <c r="G70" s="1348"/>
      <c r="H70" s="1348"/>
    </row>
    <row r="71" spans="1:8" ht="16.5">
      <c r="A71" s="1293" t="s">
        <v>4188</v>
      </c>
      <c r="B71" s="1262" t="s">
        <v>4189</v>
      </c>
      <c r="C71" s="1263"/>
      <c r="D71" s="1263"/>
      <c r="E71" s="1263"/>
      <c r="F71" s="1348"/>
      <c r="G71" s="1348"/>
      <c r="H71" s="1348"/>
    </row>
    <row r="72" spans="1:8" ht="16.5">
      <c r="A72" s="1293" t="s">
        <v>4190</v>
      </c>
      <c r="B72" s="1349" t="s">
        <v>4191</v>
      </c>
      <c r="C72" s="1346"/>
      <c r="D72" s="1346"/>
      <c r="E72" s="1346"/>
      <c r="F72" s="1346"/>
    </row>
    <row r="73" spans="1:8" ht="16.5">
      <c r="A73" s="1293" t="s">
        <v>4192</v>
      </c>
      <c r="B73" s="1349" t="s">
        <v>4193</v>
      </c>
      <c r="C73" s="1346"/>
      <c r="D73" s="1346"/>
      <c r="E73" s="1346"/>
      <c r="F73" s="1346"/>
    </row>
    <row r="74" spans="1:8" ht="16.5">
      <c r="A74" s="1292" t="s">
        <v>5308</v>
      </c>
      <c r="B74" s="2000" t="s">
        <v>5250</v>
      </c>
      <c r="C74" s="1346"/>
      <c r="D74" s="1346"/>
      <c r="E74" s="1346"/>
      <c r="F74" s="1346"/>
    </row>
    <row r="75" spans="1:8">
      <c r="A75" s="1263"/>
      <c r="B75" s="1290"/>
      <c r="C75" s="1350"/>
      <c r="D75" s="1350"/>
      <c r="E75" s="1350"/>
      <c r="F75" s="1350"/>
    </row>
    <row r="76" spans="1:8">
      <c r="A76" s="1292"/>
      <c r="B76" s="1290"/>
      <c r="C76" s="1350"/>
      <c r="D76" s="1350"/>
      <c r="E76" s="1350"/>
      <c r="F76" s="1350"/>
    </row>
  </sheetData>
  <mergeCells count="1">
    <mergeCell ref="A3:A4"/>
  </mergeCells>
  <phoneticPr fontId="9" type="noConversion"/>
  <pageMargins left="0.51181102362204722" right="0.35433070866141736" top="0.39370078740157483" bottom="0.27559055118110237" header="0.15748031496062992" footer="0.23622047244094491"/>
  <pageSetup paperSize="9" scale="55" orientation="portrait" r:id="rId1"/>
  <headerFooter alignWithMargins="0">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view="pageBreakPreview" zoomScaleNormal="100" zoomScaleSheetLayoutView="100" workbookViewId="0"/>
  </sheetViews>
  <sheetFormatPr defaultColWidth="15.625" defaultRowHeight="15.75"/>
  <cols>
    <col min="1" max="1" width="5.625" style="2018" customWidth="1"/>
    <col min="2" max="22" width="15.625" style="2018"/>
    <col min="23" max="23" width="17.375" style="2018" customWidth="1"/>
    <col min="24" max="16384" width="15.625" style="2018"/>
  </cols>
  <sheetData>
    <row r="1" spans="1:33"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3"/>
    </row>
    <row r="2" spans="1:33" ht="16.5">
      <c r="A2" s="1231" t="s">
        <v>5270</v>
      </c>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C2" s="1239"/>
      <c r="AD2" s="1239"/>
      <c r="AE2" s="1239"/>
      <c r="AF2" s="1984" t="s">
        <v>5271</v>
      </c>
      <c r="AG2" s="1233"/>
    </row>
    <row r="3" spans="1:33" ht="15.6" customHeight="1">
      <c r="A3" s="3210" t="s">
        <v>4064</v>
      </c>
      <c r="B3" s="3210" t="s">
        <v>5272</v>
      </c>
      <c r="C3" s="3210"/>
      <c r="D3" s="3210"/>
      <c r="E3" s="3210"/>
      <c r="F3" s="3210" t="s">
        <v>4065</v>
      </c>
      <c r="G3" s="3210"/>
      <c r="H3" s="3210"/>
      <c r="I3" s="3210"/>
      <c r="J3" s="3210"/>
      <c r="K3" s="3210" t="s">
        <v>4067</v>
      </c>
      <c r="L3" s="3210" t="s">
        <v>4068</v>
      </c>
      <c r="M3" s="3210" t="s">
        <v>4069</v>
      </c>
      <c r="N3" s="3210" t="s">
        <v>5273</v>
      </c>
      <c r="O3" s="3210" t="s">
        <v>5274</v>
      </c>
      <c r="P3" s="3210" t="s">
        <v>5275</v>
      </c>
      <c r="Q3" s="3210" t="s">
        <v>5276</v>
      </c>
      <c r="R3" s="3210" t="s">
        <v>5277</v>
      </c>
      <c r="S3" s="3210" t="s">
        <v>5278</v>
      </c>
      <c r="T3" s="3210" t="s">
        <v>5252</v>
      </c>
      <c r="U3" s="3210" t="s">
        <v>5279</v>
      </c>
      <c r="V3" s="3210" t="s">
        <v>5280</v>
      </c>
      <c r="W3" s="3210" t="s">
        <v>5281</v>
      </c>
      <c r="X3" s="3210" t="s">
        <v>5282</v>
      </c>
      <c r="Y3" s="3210" t="s">
        <v>5283</v>
      </c>
      <c r="Z3" s="3210" t="s">
        <v>5284</v>
      </c>
      <c r="AA3" s="3210" t="s">
        <v>4197</v>
      </c>
      <c r="AB3" s="3210" t="s">
        <v>5259</v>
      </c>
      <c r="AC3" s="3210"/>
      <c r="AD3" s="3210" t="s">
        <v>5260</v>
      </c>
      <c r="AE3" s="3210" t="s">
        <v>5261</v>
      </c>
      <c r="AF3" s="3210" t="s">
        <v>5197</v>
      </c>
      <c r="AG3" s="1233"/>
    </row>
    <row r="4" spans="1:33" ht="33">
      <c r="A4" s="3210"/>
      <c r="B4" s="1886" t="s">
        <v>4071</v>
      </c>
      <c r="C4" s="1886" t="s">
        <v>4072</v>
      </c>
      <c r="D4" s="1886" t="s">
        <v>4073</v>
      </c>
      <c r="E4" s="1886" t="s">
        <v>4074</v>
      </c>
      <c r="F4" s="1886" t="s">
        <v>4071</v>
      </c>
      <c r="G4" s="1886" t="s">
        <v>4072</v>
      </c>
      <c r="H4" s="1886" t="s">
        <v>4073</v>
      </c>
      <c r="I4" s="1886" t="s">
        <v>4074</v>
      </c>
      <c r="J4" s="1242" t="s">
        <v>4075</v>
      </c>
      <c r="K4" s="3210"/>
      <c r="L4" s="3210"/>
      <c r="M4" s="3210"/>
      <c r="N4" s="3232"/>
      <c r="O4" s="3232"/>
      <c r="P4" s="3210"/>
      <c r="Q4" s="3210"/>
      <c r="R4" s="3210"/>
      <c r="S4" s="3210"/>
      <c r="T4" s="3210"/>
      <c r="U4" s="3210"/>
      <c r="V4" s="3210"/>
      <c r="W4" s="3210"/>
      <c r="X4" s="3210"/>
      <c r="Y4" s="3210"/>
      <c r="Z4" s="3210"/>
      <c r="AA4" s="3210"/>
      <c r="AB4" s="1886" t="s">
        <v>5264</v>
      </c>
      <c r="AC4" s="1886" t="s">
        <v>5265</v>
      </c>
      <c r="AD4" s="3224"/>
      <c r="AE4" s="3210"/>
      <c r="AF4" s="3224"/>
      <c r="AG4" s="1233"/>
    </row>
    <row r="5" spans="1:33">
      <c r="A5" s="3210"/>
      <c r="B5" s="2019" t="s">
        <v>422</v>
      </c>
      <c r="C5" s="2019" t="s">
        <v>423</v>
      </c>
      <c r="D5" s="2019" t="s">
        <v>171</v>
      </c>
      <c r="E5" s="2019" t="s">
        <v>172</v>
      </c>
      <c r="F5" s="2019" t="s">
        <v>173</v>
      </c>
      <c r="G5" s="2019" t="s">
        <v>174</v>
      </c>
      <c r="H5" s="2019" t="s">
        <v>175</v>
      </c>
      <c r="I5" s="2019" t="s">
        <v>176</v>
      </c>
      <c r="J5" s="2019" t="s">
        <v>177</v>
      </c>
      <c r="K5" s="2019" t="s">
        <v>9</v>
      </c>
      <c r="L5" s="2019" t="s">
        <v>327</v>
      </c>
      <c r="M5" s="2019" t="s">
        <v>704</v>
      </c>
      <c r="N5" s="2019" t="s">
        <v>328</v>
      </c>
      <c r="O5" s="2019" t="s">
        <v>705</v>
      </c>
      <c r="P5" s="2019" t="s">
        <v>728</v>
      </c>
      <c r="Q5" s="2019" t="s">
        <v>419</v>
      </c>
      <c r="R5" s="2019" t="s">
        <v>420</v>
      </c>
      <c r="S5" s="2019" t="s">
        <v>424</v>
      </c>
      <c r="T5" s="2019" t="s">
        <v>425</v>
      </c>
      <c r="U5" s="2019" t="s">
        <v>426</v>
      </c>
      <c r="V5" s="2019" t="s">
        <v>427</v>
      </c>
      <c r="W5" s="2019" t="s">
        <v>428</v>
      </c>
      <c r="X5" s="2019" t="s">
        <v>143</v>
      </c>
      <c r="Y5" s="2019" t="s">
        <v>144</v>
      </c>
      <c r="Z5" s="2019" t="s">
        <v>300</v>
      </c>
      <c r="AA5" s="2019" t="s">
        <v>301</v>
      </c>
      <c r="AB5" s="2019" t="s">
        <v>302</v>
      </c>
      <c r="AC5" s="2019" t="s">
        <v>303</v>
      </c>
      <c r="AD5" s="2019" t="s">
        <v>304</v>
      </c>
      <c r="AE5" s="2019" t="s">
        <v>236</v>
      </c>
      <c r="AF5" s="2019" t="s">
        <v>729</v>
      </c>
      <c r="AG5" s="1233"/>
    </row>
    <row r="6" spans="1:33">
      <c r="A6" s="1370">
        <v>1</v>
      </c>
      <c r="B6" s="2020"/>
      <c r="C6" s="1987"/>
      <c r="D6" s="1987"/>
      <c r="E6" s="1987"/>
      <c r="F6" s="2020"/>
      <c r="G6" s="1987"/>
      <c r="H6" s="1987"/>
      <c r="I6" s="1987"/>
      <c r="J6" s="1987"/>
      <c r="K6" s="1987"/>
      <c r="L6" s="1987"/>
      <c r="M6" s="1987"/>
      <c r="N6" s="1987"/>
      <c r="O6" s="1987"/>
      <c r="P6" s="1987"/>
      <c r="Q6" s="1987"/>
      <c r="R6" s="1987"/>
      <c r="S6" s="1987"/>
      <c r="T6" s="1987"/>
      <c r="U6" s="1987"/>
      <c r="V6" s="2021"/>
      <c r="W6" s="2021"/>
      <c r="X6" s="1987"/>
      <c r="Y6" s="1986"/>
      <c r="Z6" s="1986"/>
      <c r="AA6" s="1986"/>
      <c r="AB6" s="2002"/>
      <c r="AC6" s="1986"/>
      <c r="AD6" s="2021"/>
      <c r="AE6" s="1987"/>
      <c r="AF6" s="1987"/>
      <c r="AG6" s="1233"/>
    </row>
    <row r="7" spans="1:33">
      <c r="A7" s="1370">
        <v>2</v>
      </c>
      <c r="B7" s="2020"/>
      <c r="C7" s="1987"/>
      <c r="D7" s="1987"/>
      <c r="E7" s="1987"/>
      <c r="F7" s="2020"/>
      <c r="G7" s="1987"/>
      <c r="H7" s="1987"/>
      <c r="I7" s="1987"/>
      <c r="J7" s="1987"/>
      <c r="K7" s="1987"/>
      <c r="L7" s="1987"/>
      <c r="M7" s="1987"/>
      <c r="N7" s="1987"/>
      <c r="O7" s="1987"/>
      <c r="P7" s="1987"/>
      <c r="Q7" s="1987"/>
      <c r="R7" s="1987"/>
      <c r="S7" s="1987"/>
      <c r="T7" s="1987"/>
      <c r="U7" s="1987"/>
      <c r="V7" s="2021"/>
      <c r="W7" s="2021"/>
      <c r="X7" s="1987"/>
      <c r="Y7" s="1986"/>
      <c r="Z7" s="1986"/>
      <c r="AA7" s="1986"/>
      <c r="AB7" s="2002"/>
      <c r="AC7" s="1986"/>
      <c r="AD7" s="2021"/>
      <c r="AE7" s="1987"/>
      <c r="AF7" s="1987"/>
      <c r="AG7" s="1233"/>
    </row>
    <row r="8" spans="1:33">
      <c r="A8" s="1370">
        <v>3</v>
      </c>
      <c r="B8" s="2020"/>
      <c r="C8" s="1987"/>
      <c r="D8" s="1987"/>
      <c r="E8" s="1987"/>
      <c r="F8" s="2020"/>
      <c r="G8" s="1987"/>
      <c r="H8" s="1987"/>
      <c r="I8" s="1987"/>
      <c r="J8" s="1987"/>
      <c r="K8" s="1987"/>
      <c r="L8" s="1987"/>
      <c r="M8" s="1987"/>
      <c r="N8" s="1987"/>
      <c r="O8" s="1987"/>
      <c r="P8" s="1987"/>
      <c r="Q8" s="1987"/>
      <c r="R8" s="1987"/>
      <c r="S8" s="1987"/>
      <c r="T8" s="1987"/>
      <c r="U8" s="1987"/>
      <c r="V8" s="2021"/>
      <c r="W8" s="2021"/>
      <c r="X8" s="1987"/>
      <c r="Y8" s="1986"/>
      <c r="Z8" s="1986"/>
      <c r="AA8" s="1986"/>
      <c r="AB8" s="2002"/>
      <c r="AC8" s="1986"/>
      <c r="AD8" s="2021"/>
      <c r="AE8" s="1987"/>
      <c r="AF8" s="1987"/>
      <c r="AG8" s="1233"/>
    </row>
    <row r="9" spans="1:33">
      <c r="A9" s="1370">
        <v>4</v>
      </c>
      <c r="B9" s="2020"/>
      <c r="C9" s="1987"/>
      <c r="D9" s="1987"/>
      <c r="E9" s="1987"/>
      <c r="F9" s="2020"/>
      <c r="G9" s="1987"/>
      <c r="H9" s="1987"/>
      <c r="I9" s="1987"/>
      <c r="J9" s="1987"/>
      <c r="K9" s="1987"/>
      <c r="L9" s="1987"/>
      <c r="M9" s="1987"/>
      <c r="N9" s="1987"/>
      <c r="O9" s="1987"/>
      <c r="P9" s="1987"/>
      <c r="Q9" s="1987"/>
      <c r="R9" s="1987"/>
      <c r="S9" s="1987"/>
      <c r="T9" s="1987"/>
      <c r="U9" s="1987"/>
      <c r="V9" s="2021"/>
      <c r="W9" s="2021"/>
      <c r="X9" s="1987"/>
      <c r="Y9" s="1986"/>
      <c r="Z9" s="1986"/>
      <c r="AA9" s="1986"/>
      <c r="AB9" s="2002"/>
      <c r="AC9" s="1986"/>
      <c r="AD9" s="2021"/>
      <c r="AE9" s="1987"/>
      <c r="AF9" s="1987"/>
      <c r="AG9" s="1233"/>
    </row>
    <row r="10" spans="1:33">
      <c r="A10" s="1370">
        <v>5</v>
      </c>
      <c r="B10" s="2020"/>
      <c r="C10" s="1987"/>
      <c r="D10" s="1987"/>
      <c r="E10" s="1987"/>
      <c r="F10" s="2020"/>
      <c r="G10" s="1987"/>
      <c r="H10" s="1987"/>
      <c r="I10" s="1987"/>
      <c r="J10" s="1987"/>
      <c r="K10" s="1987"/>
      <c r="L10" s="1987"/>
      <c r="M10" s="1987"/>
      <c r="N10" s="1987"/>
      <c r="O10" s="1987"/>
      <c r="P10" s="1987"/>
      <c r="Q10" s="1987"/>
      <c r="R10" s="1987"/>
      <c r="S10" s="1987"/>
      <c r="T10" s="1987"/>
      <c r="U10" s="1987"/>
      <c r="V10" s="2021"/>
      <c r="W10" s="2021"/>
      <c r="X10" s="1987"/>
      <c r="Y10" s="1986"/>
      <c r="Z10" s="1986"/>
      <c r="AA10" s="1986"/>
      <c r="AB10" s="2002"/>
      <c r="AC10" s="1986"/>
      <c r="AD10" s="2021"/>
      <c r="AE10" s="1987"/>
      <c r="AF10" s="1987"/>
      <c r="AG10" s="1233"/>
    </row>
    <row r="11" spans="1:33">
      <c r="A11" s="1370">
        <v>6</v>
      </c>
      <c r="B11" s="2020"/>
      <c r="C11" s="1987"/>
      <c r="D11" s="1987"/>
      <c r="E11" s="1987"/>
      <c r="F11" s="2020"/>
      <c r="G11" s="1987"/>
      <c r="H11" s="1987"/>
      <c r="I11" s="1987"/>
      <c r="J11" s="1987"/>
      <c r="K11" s="1987"/>
      <c r="L11" s="1987"/>
      <c r="M11" s="1987"/>
      <c r="N11" s="1987"/>
      <c r="O11" s="1987"/>
      <c r="P11" s="1987"/>
      <c r="Q11" s="1987"/>
      <c r="R11" s="1987"/>
      <c r="S11" s="1987"/>
      <c r="T11" s="1987"/>
      <c r="U11" s="1987"/>
      <c r="V11" s="2021"/>
      <c r="W11" s="2021"/>
      <c r="X11" s="1987"/>
      <c r="Y11" s="1986"/>
      <c r="Z11" s="1986"/>
      <c r="AA11" s="1986"/>
      <c r="AB11" s="2002"/>
      <c r="AC11" s="1986"/>
      <c r="AD11" s="2021"/>
      <c r="AE11" s="1987"/>
      <c r="AF11" s="1987"/>
      <c r="AG11" s="1233"/>
    </row>
    <row r="12" spans="1:33">
      <c r="A12" s="1370">
        <v>7</v>
      </c>
      <c r="B12" s="2020"/>
      <c r="C12" s="1987"/>
      <c r="D12" s="1987"/>
      <c r="E12" s="1987"/>
      <c r="F12" s="2020"/>
      <c r="G12" s="1987"/>
      <c r="H12" s="1987"/>
      <c r="I12" s="1987"/>
      <c r="J12" s="1987"/>
      <c r="K12" s="1987"/>
      <c r="L12" s="1987"/>
      <c r="M12" s="1987"/>
      <c r="N12" s="1987"/>
      <c r="O12" s="1987"/>
      <c r="P12" s="1987"/>
      <c r="Q12" s="1987"/>
      <c r="R12" s="1987"/>
      <c r="S12" s="1987"/>
      <c r="T12" s="1987"/>
      <c r="U12" s="1987"/>
      <c r="V12" s="2021"/>
      <c r="W12" s="2021"/>
      <c r="X12" s="1987"/>
      <c r="Y12" s="1986"/>
      <c r="Z12" s="1986"/>
      <c r="AA12" s="1986"/>
      <c r="AB12" s="2002"/>
      <c r="AC12" s="1986"/>
      <c r="AD12" s="2021"/>
      <c r="AE12" s="1987"/>
      <c r="AF12" s="1987"/>
      <c r="AG12" s="1233"/>
    </row>
    <row r="13" spans="1:33">
      <c r="A13" s="1370">
        <v>8</v>
      </c>
      <c r="B13" s="2020"/>
      <c r="C13" s="1987"/>
      <c r="D13" s="1987"/>
      <c r="E13" s="1987"/>
      <c r="F13" s="2020"/>
      <c r="G13" s="1987"/>
      <c r="H13" s="1987"/>
      <c r="I13" s="1987"/>
      <c r="J13" s="1987"/>
      <c r="K13" s="1987"/>
      <c r="L13" s="1987"/>
      <c r="M13" s="1987"/>
      <c r="N13" s="1987"/>
      <c r="O13" s="1987"/>
      <c r="P13" s="1987"/>
      <c r="Q13" s="1987"/>
      <c r="R13" s="1987"/>
      <c r="S13" s="1987"/>
      <c r="T13" s="1987"/>
      <c r="U13" s="1987"/>
      <c r="V13" s="2021"/>
      <c r="W13" s="2021"/>
      <c r="X13" s="1987"/>
      <c r="Y13" s="1986"/>
      <c r="Z13" s="1986"/>
      <c r="AA13" s="1986"/>
      <c r="AB13" s="2002"/>
      <c r="AC13" s="1986"/>
      <c r="AD13" s="2021"/>
      <c r="AE13" s="1987"/>
      <c r="AF13" s="1987"/>
      <c r="AG13" s="1233"/>
    </row>
    <row r="14" spans="1:33">
      <c r="A14" s="1370">
        <v>9</v>
      </c>
      <c r="B14" s="2020"/>
      <c r="C14" s="1987"/>
      <c r="D14" s="1987"/>
      <c r="E14" s="1987"/>
      <c r="F14" s="2020"/>
      <c r="G14" s="1987"/>
      <c r="H14" s="1987"/>
      <c r="I14" s="1987"/>
      <c r="J14" s="1987"/>
      <c r="K14" s="1987"/>
      <c r="L14" s="1987"/>
      <c r="M14" s="1987"/>
      <c r="N14" s="1987"/>
      <c r="O14" s="1987"/>
      <c r="P14" s="1987"/>
      <c r="Q14" s="1987"/>
      <c r="R14" s="1987"/>
      <c r="S14" s="1987"/>
      <c r="T14" s="1987"/>
      <c r="U14" s="1987"/>
      <c r="V14" s="2021"/>
      <c r="W14" s="2021"/>
      <c r="X14" s="1987"/>
      <c r="Y14" s="1986"/>
      <c r="Z14" s="1986"/>
      <c r="AA14" s="1986"/>
      <c r="AB14" s="2002"/>
      <c r="AC14" s="1986"/>
      <c r="AD14" s="2021"/>
      <c r="AE14" s="1987"/>
      <c r="AF14" s="1987"/>
      <c r="AG14" s="1233"/>
    </row>
    <row r="15" spans="1:33">
      <c r="A15" s="1370">
        <v>10</v>
      </c>
      <c r="B15" s="2020"/>
      <c r="C15" s="1987"/>
      <c r="D15" s="1987"/>
      <c r="E15" s="1987"/>
      <c r="F15" s="2020"/>
      <c r="G15" s="1987"/>
      <c r="H15" s="1987"/>
      <c r="I15" s="1987"/>
      <c r="J15" s="1987"/>
      <c r="K15" s="1987"/>
      <c r="L15" s="1987"/>
      <c r="M15" s="1987"/>
      <c r="N15" s="1987"/>
      <c r="O15" s="1987"/>
      <c r="P15" s="1987"/>
      <c r="Q15" s="1987"/>
      <c r="R15" s="1987"/>
      <c r="S15" s="1987"/>
      <c r="T15" s="1987"/>
      <c r="U15" s="1987"/>
      <c r="V15" s="2021"/>
      <c r="W15" s="2021"/>
      <c r="X15" s="1987"/>
      <c r="Y15" s="1986"/>
      <c r="Z15" s="1986"/>
      <c r="AA15" s="1986"/>
      <c r="AB15" s="2002"/>
      <c r="AC15" s="1986"/>
      <c r="AD15" s="2021"/>
      <c r="AE15" s="1987"/>
      <c r="AF15" s="1987"/>
      <c r="AG15" s="1233"/>
    </row>
    <row r="16" spans="1:33">
      <c r="A16" s="1375"/>
      <c r="B16" s="2022"/>
      <c r="C16" s="2023"/>
      <c r="D16" s="2023"/>
      <c r="E16" s="2023"/>
      <c r="F16" s="2022"/>
      <c r="G16" s="2023"/>
      <c r="H16" s="2023"/>
      <c r="I16" s="2023"/>
      <c r="J16" s="2023"/>
      <c r="K16" s="2023"/>
      <c r="L16" s="2023"/>
      <c r="M16" s="2023"/>
      <c r="N16" s="2023"/>
      <c r="O16" s="2023"/>
      <c r="P16" s="2023"/>
      <c r="Q16" s="2023"/>
      <c r="R16" s="2023"/>
      <c r="S16" s="2023"/>
      <c r="T16" s="2023"/>
      <c r="U16" s="2023"/>
      <c r="V16" s="2024"/>
      <c r="W16" s="2024"/>
      <c r="X16" s="2023"/>
      <c r="Y16" s="2025"/>
      <c r="Z16" s="2025"/>
      <c r="AA16" s="2025"/>
      <c r="AB16" s="2026"/>
      <c r="AC16" s="2025"/>
      <c r="AD16" s="2024"/>
      <c r="AE16" s="2023"/>
      <c r="AF16" s="2023"/>
      <c r="AG16" s="1233"/>
    </row>
    <row r="17" spans="1:33" ht="16.5">
      <c r="A17" s="1253" t="s">
        <v>4076</v>
      </c>
      <c r="B17" s="1231"/>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3"/>
    </row>
    <row r="18" spans="1:33" ht="16.5">
      <c r="A18" s="1253">
        <v>1</v>
      </c>
      <c r="B18" s="1231" t="s">
        <v>5285</v>
      </c>
      <c r="C18" s="1368"/>
      <c r="D18" s="1368"/>
      <c r="E18" s="1368"/>
      <c r="F18" s="1368"/>
      <c r="G18" s="1368"/>
      <c r="H18" s="1368"/>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233"/>
    </row>
    <row r="19" spans="1:33" ht="16.5">
      <c r="A19" s="1253">
        <v>2</v>
      </c>
      <c r="B19" s="1254" t="s">
        <v>5286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233"/>
    </row>
    <row r="20" spans="1:33" ht="16.5">
      <c r="A20" s="1253">
        <v>3</v>
      </c>
      <c r="B20" s="1254" t="s">
        <v>5287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233"/>
    </row>
    <row r="21" spans="1:33" ht="16.5">
      <c r="A21" s="1253">
        <v>4</v>
      </c>
      <c r="B21" s="1231" t="s">
        <v>5288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c r="AD21" s="1368"/>
      <c r="AE21" s="1368"/>
      <c r="AF21" s="1368"/>
      <c r="AG21" s="1233"/>
    </row>
    <row r="22" spans="1:33" ht="16.5">
      <c r="A22" s="1253"/>
      <c r="B22" s="1231" t="s">
        <v>5289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c r="AF22" s="1368"/>
      <c r="AG22" s="1233"/>
    </row>
    <row r="23" spans="1:33" ht="16.5">
      <c r="A23" s="1253">
        <v>5</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233"/>
    </row>
    <row r="24" spans="1:33" ht="16.5">
      <c r="A24" s="1253">
        <v>6</v>
      </c>
      <c r="B24" s="1254" t="s">
        <v>4241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233"/>
    </row>
    <row r="25" spans="1:33" ht="16.5">
      <c r="A25" s="1253">
        <v>7</v>
      </c>
      <c r="B25" s="1254" t="s">
        <v>4082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233"/>
    </row>
    <row r="26" spans="1:33" ht="16.5">
      <c r="A26" s="1195"/>
      <c r="B26" s="1231" t="s">
        <v>5290</v>
      </c>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233"/>
    </row>
    <row r="27" spans="1:33" ht="16.5">
      <c r="A27" s="1253">
        <v>8</v>
      </c>
      <c r="B27" s="1254" t="s">
        <v>5291</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233"/>
    </row>
    <row r="28" spans="1:33" ht="16.5">
      <c r="A28" s="1253">
        <v>9</v>
      </c>
      <c r="B28" s="1254" t="s">
        <v>5292</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233"/>
    </row>
    <row r="29" spans="1:33" ht="16.5">
      <c r="A29" s="1253">
        <v>10</v>
      </c>
      <c r="B29" s="1254" t="s">
        <v>4086</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233"/>
    </row>
    <row r="30" spans="1:33" ht="16.5">
      <c r="A30" s="1253">
        <v>11</v>
      </c>
      <c r="B30" s="1254" t="s">
        <v>5293</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233"/>
    </row>
    <row r="31" spans="1:33" ht="16.5">
      <c r="A31" s="1253">
        <v>12</v>
      </c>
      <c r="B31" s="1254" t="s">
        <v>5294</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233"/>
    </row>
    <row r="32" spans="1:33" ht="16.5">
      <c r="A32" s="1253">
        <v>13</v>
      </c>
      <c r="B32" s="1254" t="s">
        <v>5295</v>
      </c>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233"/>
    </row>
    <row r="33" spans="1:33" ht="16.5">
      <c r="A33" s="1253">
        <v>14</v>
      </c>
      <c r="B33" s="1231" t="s">
        <v>5296</v>
      </c>
      <c r="C33" s="1239"/>
      <c r="D33" s="1239"/>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3"/>
    </row>
    <row r="34" spans="1:33" ht="16.5">
      <c r="A34" s="1253">
        <v>15</v>
      </c>
      <c r="B34" s="1231" t="s">
        <v>4246</v>
      </c>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row>
    <row r="35" spans="1:33" ht="16.5">
      <c r="A35" s="1253">
        <v>16</v>
      </c>
      <c r="B35" s="1196" t="s">
        <v>5297</v>
      </c>
    </row>
    <row r="36" spans="1:33" ht="16.5">
      <c r="A36" s="1249">
        <v>17</v>
      </c>
      <c r="B36" s="1258" t="s">
        <v>5298</v>
      </c>
    </row>
    <row r="37" spans="1:33" ht="16.5">
      <c r="A37" s="1375"/>
      <c r="B37" s="1258" t="s">
        <v>5299</v>
      </c>
    </row>
    <row r="38" spans="1:33" ht="16.5">
      <c r="A38" s="1253">
        <v>18</v>
      </c>
      <c r="B38" s="2000" t="s">
        <v>5266</v>
      </c>
    </row>
  </sheetData>
  <mergeCells count="24">
    <mergeCell ref="W3:W4"/>
    <mergeCell ref="X3:X4"/>
    <mergeCell ref="AD3:AD4"/>
    <mergeCell ref="AF3:AF4"/>
    <mergeCell ref="Y3:Y4"/>
    <mergeCell ref="Z3:Z4"/>
    <mergeCell ref="AA3:AA4"/>
    <mergeCell ref="AE3:AE4"/>
    <mergeCell ref="AB3:AC3"/>
    <mergeCell ref="V3:V4"/>
    <mergeCell ref="S3:S4"/>
    <mergeCell ref="T3:T4"/>
    <mergeCell ref="U3:U4"/>
    <mergeCell ref="A3:A5"/>
    <mergeCell ref="B3:E3"/>
    <mergeCell ref="F3:J3"/>
    <mergeCell ref="K3:K4"/>
    <mergeCell ref="L3:L4"/>
    <mergeCell ref="O3:O4"/>
    <mergeCell ref="P3:P4"/>
    <mergeCell ref="N3:N4"/>
    <mergeCell ref="Q3:Q4"/>
    <mergeCell ref="M3:M4"/>
    <mergeCell ref="R3:R4"/>
  </mergeCells>
  <phoneticPr fontId="7" type="noConversion"/>
  <dataValidations disablePrompts="1" count="1">
    <dataValidation type="whole" allowBlank="1" showInputMessage="1" showErrorMessage="1" errorTitle="錯誤" error="輸入資料格式錯誤!!" sqref="AB6:AB16" xr:uid="{00000000-0002-0000-0B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70" fitToWidth="0" orientation="landscape" r:id="rId1"/>
  <headerFooter alignWithMargins="0">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9">
    <pageSetUpPr fitToPage="1"/>
  </sheetPr>
  <dimension ref="A1:P54"/>
  <sheetViews>
    <sheetView workbookViewId="0">
      <pane xSplit="3" ySplit="5" topLeftCell="D33"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1369" customWidth="1"/>
    <col min="2" max="3" width="38.625" style="1369" customWidth="1"/>
    <col min="4" max="16384" width="15.625" style="1369"/>
  </cols>
  <sheetData>
    <row r="1" spans="1:16" s="1230" customFormat="1" ht="16.5">
      <c r="A1" s="1199" t="str">
        <f>+封面!A3&amp;" "&amp;封面!A2</f>
        <v xml:space="preserve">        保險股份有限公司(○○分公司) 年度(月、季、半年)報表</v>
      </c>
      <c r="B1" s="1351"/>
      <c r="C1" s="1351"/>
      <c r="D1" s="1351"/>
      <c r="E1" s="1351"/>
      <c r="F1" s="1351"/>
      <c r="G1" s="1351"/>
      <c r="H1" s="1351"/>
      <c r="I1" s="1351"/>
      <c r="J1" s="1351"/>
      <c r="K1" s="1351"/>
      <c r="L1" s="1351"/>
      <c r="M1" s="1351"/>
      <c r="N1" s="1351"/>
      <c r="O1" s="1351"/>
      <c r="P1" s="1351"/>
    </row>
    <row r="2" spans="1:16" s="1230" customFormat="1" ht="16.5">
      <c r="A2" s="1352" t="s">
        <v>4194</v>
      </c>
      <c r="B2" s="1353"/>
      <c r="C2" s="1351"/>
      <c r="D2" s="1351"/>
      <c r="E2" s="1351"/>
      <c r="F2" s="1351"/>
      <c r="G2" s="1351"/>
      <c r="H2" s="1351"/>
      <c r="I2" s="1351"/>
      <c r="J2" s="1351"/>
      <c r="K2" s="1351"/>
      <c r="L2" s="1351"/>
      <c r="N2" s="1351"/>
      <c r="O2" s="1351"/>
      <c r="P2" s="2003" t="s">
        <v>4972</v>
      </c>
    </row>
    <row r="3" spans="1:16" s="1230" customFormat="1" ht="16.5">
      <c r="A3" s="3213" t="s">
        <v>4064</v>
      </c>
      <c r="B3" s="3214" t="s">
        <v>4066</v>
      </c>
      <c r="C3" s="3214"/>
      <c r="D3" s="1354" t="s">
        <v>4195</v>
      </c>
      <c r="E3" s="1354"/>
      <c r="F3" s="1354"/>
      <c r="G3" s="1354"/>
      <c r="H3" s="1354" t="s">
        <v>4196</v>
      </c>
      <c r="I3" s="1354"/>
      <c r="J3" s="1354"/>
      <c r="K3" s="1354"/>
      <c r="L3" s="1354" t="s">
        <v>5196</v>
      </c>
      <c r="M3" s="1354"/>
      <c r="N3" s="1354"/>
      <c r="O3" s="1354"/>
      <c r="P3" s="3214" t="s">
        <v>5197</v>
      </c>
    </row>
    <row r="4" spans="1:16" s="1230" customFormat="1" ht="49.5">
      <c r="A4" s="3213"/>
      <c r="B4" s="3214"/>
      <c r="C4" s="3214"/>
      <c r="D4" s="1889" t="s">
        <v>3872</v>
      </c>
      <c r="E4" s="1886" t="s">
        <v>4197</v>
      </c>
      <c r="F4" s="1886" t="s">
        <v>4198</v>
      </c>
      <c r="G4" s="1886" t="s">
        <v>4199</v>
      </c>
      <c r="H4" s="1886" t="s">
        <v>3872</v>
      </c>
      <c r="I4" s="1886" t="s">
        <v>4197</v>
      </c>
      <c r="J4" s="1886" t="s">
        <v>4198</v>
      </c>
      <c r="K4" s="1886" t="s">
        <v>4199</v>
      </c>
      <c r="L4" s="1886" t="s">
        <v>3872</v>
      </c>
      <c r="M4" s="1886" t="s">
        <v>4197</v>
      </c>
      <c r="N4" s="1886" t="s">
        <v>4198</v>
      </c>
      <c r="O4" s="1886" t="s">
        <v>4199</v>
      </c>
      <c r="P4" s="3227"/>
    </row>
    <row r="5" spans="1:16" s="1230" customFormat="1">
      <c r="A5" s="3213"/>
      <c r="B5" s="3215" t="s">
        <v>422</v>
      </c>
      <c r="C5" s="3215"/>
      <c r="D5" s="1890" t="s">
        <v>423</v>
      </c>
      <c r="E5" s="1890" t="s">
        <v>171</v>
      </c>
      <c r="F5" s="1243" t="s">
        <v>172</v>
      </c>
      <c r="G5" s="1243" t="s">
        <v>657</v>
      </c>
      <c r="H5" s="1243" t="s">
        <v>174</v>
      </c>
      <c r="I5" s="1243" t="s">
        <v>175</v>
      </c>
      <c r="J5" s="1243" t="s">
        <v>176</v>
      </c>
      <c r="K5" s="1243" t="s">
        <v>177</v>
      </c>
      <c r="L5" s="1243" t="s">
        <v>178</v>
      </c>
      <c r="M5" s="1243" t="s">
        <v>179</v>
      </c>
      <c r="N5" s="1243" t="s">
        <v>180</v>
      </c>
      <c r="O5" s="1243" t="s">
        <v>416</v>
      </c>
      <c r="P5" s="1243" t="s">
        <v>417</v>
      </c>
    </row>
    <row r="6" spans="1:16" s="1230" customFormat="1" ht="16.5">
      <c r="A6" s="1891">
        <v>1</v>
      </c>
      <c r="B6" s="3216" t="s">
        <v>4200</v>
      </c>
      <c r="C6" s="1246" t="s">
        <v>4201</v>
      </c>
      <c r="D6" s="1355"/>
      <c r="E6" s="1355"/>
      <c r="F6" s="1355"/>
      <c r="G6" s="1355"/>
      <c r="H6" s="1355"/>
      <c r="I6" s="1355"/>
      <c r="J6" s="1355"/>
      <c r="K6" s="1355"/>
      <c r="L6" s="1355"/>
      <c r="M6" s="1355"/>
      <c r="N6" s="1355"/>
      <c r="O6" s="1355"/>
      <c r="P6" s="2004"/>
    </row>
    <row r="7" spans="1:16" s="1230" customFormat="1" ht="33">
      <c r="A7" s="1891">
        <f t="shared" ref="A7:A45" si="0">A6+1</f>
        <v>2</v>
      </c>
      <c r="B7" s="3216"/>
      <c r="C7" s="1356" t="s">
        <v>4202</v>
      </c>
      <c r="D7" s="1355"/>
      <c r="E7" s="1355"/>
      <c r="F7" s="1355"/>
      <c r="G7" s="1355"/>
      <c r="H7" s="1355"/>
      <c r="I7" s="1355"/>
      <c r="J7" s="1355"/>
      <c r="K7" s="1355"/>
      <c r="L7" s="1355"/>
      <c r="M7" s="1355"/>
      <c r="N7" s="1355"/>
      <c r="O7" s="1355"/>
      <c r="P7" s="2004"/>
    </row>
    <row r="8" spans="1:16" s="1230" customFormat="1" ht="33">
      <c r="A8" s="1891">
        <f t="shared" si="0"/>
        <v>3</v>
      </c>
      <c r="B8" s="3216"/>
      <c r="C8" s="1356" t="s">
        <v>4203</v>
      </c>
      <c r="D8" s="1355"/>
      <c r="E8" s="1355"/>
      <c r="F8" s="1355"/>
      <c r="G8" s="1355"/>
      <c r="H8" s="1355"/>
      <c r="I8" s="1355"/>
      <c r="J8" s="1355"/>
      <c r="K8" s="1355"/>
      <c r="L8" s="1355"/>
      <c r="M8" s="1355"/>
      <c r="N8" s="1355"/>
      <c r="O8" s="1355"/>
      <c r="P8" s="2004"/>
    </row>
    <row r="9" spans="1:16" s="1230" customFormat="1" ht="33">
      <c r="A9" s="1891">
        <f t="shared" si="0"/>
        <v>4</v>
      </c>
      <c r="B9" s="3216"/>
      <c r="C9" s="1356" t="s">
        <v>4204</v>
      </c>
      <c r="D9" s="1355"/>
      <c r="E9" s="1355"/>
      <c r="F9" s="1355"/>
      <c r="G9" s="1355"/>
      <c r="H9" s="1355"/>
      <c r="I9" s="1355"/>
      <c r="J9" s="1355"/>
      <c r="K9" s="1355"/>
      <c r="L9" s="1355"/>
      <c r="M9" s="1355"/>
      <c r="N9" s="1355"/>
      <c r="O9" s="1355"/>
      <c r="P9" s="2004"/>
    </row>
    <row r="10" spans="1:16" s="1230" customFormat="1" ht="16.5">
      <c r="A10" s="1891">
        <f t="shared" si="0"/>
        <v>5</v>
      </c>
      <c r="B10" s="3216"/>
      <c r="C10" s="1356" t="s">
        <v>4205</v>
      </c>
      <c r="D10" s="1355"/>
      <c r="E10" s="1355"/>
      <c r="F10" s="1355"/>
      <c r="G10" s="1355"/>
      <c r="H10" s="1355"/>
      <c r="I10" s="1355"/>
      <c r="J10" s="1355"/>
      <c r="K10" s="1355"/>
      <c r="L10" s="1355"/>
      <c r="M10" s="1355"/>
      <c r="N10" s="1355"/>
      <c r="O10" s="1355"/>
      <c r="P10" s="2004"/>
    </row>
    <row r="11" spans="1:16" s="1230" customFormat="1" ht="16.5">
      <c r="A11" s="1891">
        <f t="shared" si="0"/>
        <v>6</v>
      </c>
      <c r="B11" s="3216"/>
      <c r="C11" s="1357" t="s">
        <v>4206</v>
      </c>
      <c r="D11" s="1355"/>
      <c r="E11" s="1355"/>
      <c r="F11" s="1355"/>
      <c r="G11" s="1355"/>
      <c r="H11" s="1355"/>
      <c r="I11" s="1355"/>
      <c r="J11" s="1355"/>
      <c r="K11" s="1355"/>
      <c r="L11" s="1355"/>
      <c r="M11" s="1355"/>
      <c r="N11" s="1355"/>
      <c r="O11" s="1355"/>
      <c r="P11" s="2004"/>
    </row>
    <row r="12" spans="1:16" s="1230" customFormat="1" ht="33">
      <c r="A12" s="1891">
        <f t="shared" si="0"/>
        <v>7</v>
      </c>
      <c r="B12" s="3216"/>
      <c r="C12" s="1356" t="s">
        <v>4202</v>
      </c>
      <c r="D12" s="1355"/>
      <c r="E12" s="1355"/>
      <c r="F12" s="1355"/>
      <c r="G12" s="1355"/>
      <c r="H12" s="1355"/>
      <c r="I12" s="1355"/>
      <c r="J12" s="1355"/>
      <c r="K12" s="1355"/>
      <c r="L12" s="1355"/>
      <c r="M12" s="1355"/>
      <c r="N12" s="1355"/>
      <c r="O12" s="1355"/>
      <c r="P12" s="2004"/>
    </row>
    <row r="13" spans="1:16" s="1230" customFormat="1" ht="33">
      <c r="A13" s="1891">
        <f t="shared" si="0"/>
        <v>8</v>
      </c>
      <c r="B13" s="3216"/>
      <c r="C13" s="1356" t="s">
        <v>4203</v>
      </c>
      <c r="D13" s="1355"/>
      <c r="E13" s="1355"/>
      <c r="F13" s="1355"/>
      <c r="G13" s="1355"/>
      <c r="H13" s="1355"/>
      <c r="I13" s="1355"/>
      <c r="J13" s="1355"/>
      <c r="K13" s="1355"/>
      <c r="L13" s="1355"/>
      <c r="M13" s="1355"/>
      <c r="N13" s="1355"/>
      <c r="O13" s="1355"/>
      <c r="P13" s="2004"/>
    </row>
    <row r="14" spans="1:16" s="1230" customFormat="1" ht="33">
      <c r="A14" s="1891">
        <f t="shared" si="0"/>
        <v>9</v>
      </c>
      <c r="B14" s="3216"/>
      <c r="C14" s="1356" t="s">
        <v>4204</v>
      </c>
      <c r="D14" s="1355"/>
      <c r="E14" s="1355"/>
      <c r="F14" s="1355"/>
      <c r="G14" s="1355"/>
      <c r="H14" s="1355"/>
      <c r="I14" s="1355"/>
      <c r="J14" s="1355"/>
      <c r="K14" s="1355"/>
      <c r="L14" s="1355"/>
      <c r="M14" s="1355"/>
      <c r="N14" s="1355"/>
      <c r="O14" s="1355"/>
      <c r="P14" s="2004"/>
    </row>
    <row r="15" spans="1:16" s="1230" customFormat="1" ht="16.5">
      <c r="A15" s="1891">
        <f t="shared" si="0"/>
        <v>10</v>
      </c>
      <c r="B15" s="3216"/>
      <c r="C15" s="1356" t="s">
        <v>4205</v>
      </c>
      <c r="D15" s="1355"/>
      <c r="E15" s="1355"/>
      <c r="F15" s="1355"/>
      <c r="G15" s="1355"/>
      <c r="H15" s="1355"/>
      <c r="I15" s="1355"/>
      <c r="J15" s="1355"/>
      <c r="K15" s="1355"/>
      <c r="L15" s="1355"/>
      <c r="M15" s="1355"/>
      <c r="N15" s="1355"/>
      <c r="O15" s="1355"/>
      <c r="P15" s="2004"/>
    </row>
    <row r="16" spans="1:16" s="1230" customFormat="1" ht="16.5">
      <c r="A16" s="1891">
        <f t="shared" si="0"/>
        <v>11</v>
      </c>
      <c r="B16" s="3216"/>
      <c r="C16" s="1358" t="s">
        <v>4121</v>
      </c>
      <c r="D16" s="1355"/>
      <c r="E16" s="1355"/>
      <c r="F16" s="1355"/>
      <c r="G16" s="1355"/>
      <c r="H16" s="1355"/>
      <c r="I16" s="1355"/>
      <c r="J16" s="1355"/>
      <c r="K16" s="1355"/>
      <c r="L16" s="1355"/>
      <c r="M16" s="1355"/>
      <c r="N16" s="1355"/>
      <c r="O16" s="1355"/>
      <c r="P16" s="2004"/>
    </row>
    <row r="17" spans="1:16" s="1230" customFormat="1" ht="16.5">
      <c r="A17" s="1891">
        <f t="shared" si="0"/>
        <v>12</v>
      </c>
      <c r="B17" s="3216" t="s">
        <v>4207</v>
      </c>
      <c r="C17" s="1357" t="s">
        <v>4208</v>
      </c>
      <c r="D17" s="1355"/>
      <c r="E17" s="1355"/>
      <c r="F17" s="1355"/>
      <c r="G17" s="1355"/>
      <c r="H17" s="1355"/>
      <c r="I17" s="1355"/>
      <c r="J17" s="1355"/>
      <c r="K17" s="1355"/>
      <c r="L17" s="1355"/>
      <c r="M17" s="1355"/>
      <c r="N17" s="1355"/>
      <c r="O17" s="1355"/>
      <c r="P17" s="2004"/>
    </row>
    <row r="18" spans="1:16" s="1230" customFormat="1" ht="16.5">
      <c r="A18" s="1891">
        <f t="shared" si="0"/>
        <v>13</v>
      </c>
      <c r="B18" s="3216"/>
      <c r="C18" s="1357" t="s">
        <v>4209</v>
      </c>
      <c r="D18" s="1355"/>
      <c r="E18" s="1355"/>
      <c r="F18" s="1355"/>
      <c r="G18" s="1355"/>
      <c r="H18" s="1355"/>
      <c r="I18" s="1355"/>
      <c r="J18" s="1355"/>
      <c r="K18" s="1355"/>
      <c r="L18" s="1355"/>
      <c r="M18" s="1355"/>
      <c r="N18" s="1355"/>
      <c r="O18" s="1355"/>
      <c r="P18" s="2004"/>
    </row>
    <row r="19" spans="1:16" s="1230" customFormat="1" ht="16.5">
      <c r="A19" s="1891">
        <f t="shared" si="0"/>
        <v>14</v>
      </c>
      <c r="B19" s="3216"/>
      <c r="C19" s="1357" t="s">
        <v>4210</v>
      </c>
      <c r="D19" s="1355"/>
      <c r="E19" s="1355"/>
      <c r="F19" s="1355"/>
      <c r="G19" s="1355"/>
      <c r="H19" s="1355"/>
      <c r="I19" s="1355"/>
      <c r="J19" s="1355"/>
      <c r="K19" s="1355"/>
      <c r="L19" s="1355"/>
      <c r="M19" s="1355"/>
      <c r="N19" s="1355"/>
      <c r="O19" s="1355"/>
      <c r="P19" s="2004"/>
    </row>
    <row r="20" spans="1:16" s="1230" customFormat="1" ht="16.5">
      <c r="A20" s="1891">
        <f t="shared" si="0"/>
        <v>15</v>
      </c>
      <c r="B20" s="3216"/>
      <c r="C20" s="1357" t="s">
        <v>4211</v>
      </c>
      <c r="D20" s="1355"/>
      <c r="E20" s="1355"/>
      <c r="F20" s="1355"/>
      <c r="G20" s="1355"/>
      <c r="H20" s="1355"/>
      <c r="I20" s="1355"/>
      <c r="J20" s="1355"/>
      <c r="K20" s="1355"/>
      <c r="L20" s="1355"/>
      <c r="M20" s="1355"/>
      <c r="N20" s="1355"/>
      <c r="O20" s="1355"/>
      <c r="P20" s="2004"/>
    </row>
    <row r="21" spans="1:16" s="1230" customFormat="1" ht="16.5">
      <c r="A21" s="1891">
        <f t="shared" si="0"/>
        <v>16</v>
      </c>
      <c r="B21" s="3216"/>
      <c r="C21" s="1358" t="s">
        <v>4121</v>
      </c>
      <c r="D21" s="1355"/>
      <c r="E21" s="1355"/>
      <c r="F21" s="1355"/>
      <c r="G21" s="1355"/>
      <c r="H21" s="1355"/>
      <c r="I21" s="1355"/>
      <c r="J21" s="1355"/>
      <c r="K21" s="1355"/>
      <c r="L21" s="1355"/>
      <c r="M21" s="1355"/>
      <c r="N21" s="1355"/>
      <c r="O21" s="1355"/>
      <c r="P21" s="2004"/>
    </row>
    <row r="22" spans="1:16" s="1230" customFormat="1" ht="15.75" customHeight="1">
      <c r="A22" s="1891">
        <f t="shared" si="0"/>
        <v>17</v>
      </c>
      <c r="B22" s="3242" t="s">
        <v>4212</v>
      </c>
      <c r="C22" s="3242"/>
      <c r="D22" s="1355"/>
      <c r="E22" s="1355"/>
      <c r="F22" s="1355"/>
      <c r="G22" s="1355"/>
      <c r="H22" s="1355"/>
      <c r="I22" s="1355"/>
      <c r="J22" s="1355"/>
      <c r="K22" s="1355"/>
      <c r="L22" s="1355"/>
      <c r="M22" s="1355"/>
      <c r="N22" s="1355"/>
      <c r="O22" s="1355"/>
      <c r="P22" s="2004"/>
    </row>
    <row r="23" spans="1:16" s="1230" customFormat="1" ht="15.75" customHeight="1">
      <c r="A23" s="1891">
        <f t="shared" si="0"/>
        <v>18</v>
      </c>
      <c r="B23" s="3242" t="s">
        <v>4213</v>
      </c>
      <c r="C23" s="3242"/>
      <c r="D23" s="1355"/>
      <c r="E23" s="1355"/>
      <c r="F23" s="1355"/>
      <c r="G23" s="1355"/>
      <c r="H23" s="1355"/>
      <c r="I23" s="1355"/>
      <c r="J23" s="1355"/>
      <c r="K23" s="1355"/>
      <c r="L23" s="1355"/>
      <c r="M23" s="1355"/>
      <c r="N23" s="1355"/>
      <c r="O23" s="1355"/>
      <c r="P23" s="2004"/>
    </row>
    <row r="24" spans="1:16" s="1230" customFormat="1" ht="15.75" customHeight="1">
      <c r="A24" s="1891">
        <f t="shared" si="0"/>
        <v>19</v>
      </c>
      <c r="B24" s="3235" t="s">
        <v>4214</v>
      </c>
      <c r="C24" s="3236"/>
      <c r="D24" s="1355"/>
      <c r="E24" s="1355"/>
      <c r="F24" s="1355"/>
      <c r="G24" s="1355"/>
      <c r="H24" s="1355"/>
      <c r="I24" s="1355"/>
      <c r="J24" s="1355"/>
      <c r="K24" s="1355"/>
      <c r="L24" s="1355"/>
      <c r="M24" s="1355"/>
      <c r="N24" s="1355"/>
      <c r="O24" s="1355"/>
      <c r="P24" s="2004"/>
    </row>
    <row r="25" spans="1:16" s="1230" customFormat="1" ht="15.75" customHeight="1">
      <c r="A25" s="1891">
        <f t="shared" si="0"/>
        <v>20</v>
      </c>
      <c r="B25" s="3235" t="s">
        <v>4215</v>
      </c>
      <c r="C25" s="3236"/>
      <c r="D25" s="1355"/>
      <c r="E25" s="1355"/>
      <c r="F25" s="1355"/>
      <c r="G25" s="1355"/>
      <c r="H25" s="1355"/>
      <c r="I25" s="1355"/>
      <c r="J25" s="1355"/>
      <c r="K25" s="1355"/>
      <c r="L25" s="1355"/>
      <c r="M25" s="1355"/>
      <c r="N25" s="1355"/>
      <c r="O25" s="1355"/>
      <c r="P25" s="2004"/>
    </row>
    <row r="26" spans="1:16" s="1230" customFormat="1" ht="15.75" customHeight="1">
      <c r="A26" s="1891">
        <f t="shared" si="0"/>
        <v>21</v>
      </c>
      <c r="B26" s="3237" t="s">
        <v>4216</v>
      </c>
      <c r="C26" s="3238"/>
      <c r="D26" s="1355"/>
      <c r="E26" s="1355"/>
      <c r="F26" s="1355"/>
      <c r="G26" s="1355"/>
      <c r="H26" s="1355"/>
      <c r="I26" s="1355"/>
      <c r="J26" s="1355"/>
      <c r="K26" s="1355"/>
      <c r="L26" s="1355"/>
      <c r="M26" s="1355"/>
      <c r="N26" s="1355"/>
      <c r="O26" s="1355"/>
      <c r="P26" s="2004"/>
    </row>
    <row r="27" spans="1:16" s="1230" customFormat="1" ht="15.75" customHeight="1">
      <c r="A27" s="1891">
        <f t="shared" si="0"/>
        <v>22</v>
      </c>
      <c r="B27" s="3237" t="s">
        <v>4217</v>
      </c>
      <c r="C27" s="3238"/>
      <c r="D27" s="1355"/>
      <c r="E27" s="1355"/>
      <c r="F27" s="1355"/>
      <c r="G27" s="1355"/>
      <c r="H27" s="1355"/>
      <c r="I27" s="1355"/>
      <c r="J27" s="1355"/>
      <c r="K27" s="1355"/>
      <c r="L27" s="1355"/>
      <c r="M27" s="1355"/>
      <c r="N27" s="1355"/>
      <c r="O27" s="1355"/>
      <c r="P27" s="2004"/>
    </row>
    <row r="28" spans="1:16" s="1526" customFormat="1" ht="16.5">
      <c r="A28" s="1891">
        <f t="shared" si="0"/>
        <v>23</v>
      </c>
      <c r="B28" s="3239" t="s">
        <v>4218</v>
      </c>
      <c r="C28" s="1359" t="s">
        <v>3587</v>
      </c>
      <c r="D28" s="1360"/>
      <c r="E28" s="1360"/>
      <c r="F28" s="1360"/>
      <c r="G28" s="1360"/>
      <c r="H28" s="1360"/>
      <c r="I28" s="1360"/>
      <c r="J28" s="1360"/>
      <c r="K28" s="1360"/>
      <c r="L28" s="1360">
        <f>L31+L32</f>
        <v>0</v>
      </c>
      <c r="M28" s="1360"/>
      <c r="N28" s="1360"/>
      <c r="O28" s="1360"/>
      <c r="P28" s="2005"/>
    </row>
    <row r="29" spans="1:16" s="1526" customFormat="1" ht="16.5">
      <c r="A29" s="1891">
        <f t="shared" si="0"/>
        <v>24</v>
      </c>
      <c r="B29" s="3240"/>
      <c r="C29" s="1361" t="s">
        <v>4219</v>
      </c>
      <c r="D29" s="1360"/>
      <c r="E29" s="1360"/>
      <c r="F29" s="1360"/>
      <c r="G29" s="1360"/>
      <c r="H29" s="1360"/>
      <c r="I29" s="1360"/>
      <c r="J29" s="1360"/>
      <c r="K29" s="1360"/>
      <c r="L29" s="1360"/>
      <c r="M29" s="1360"/>
      <c r="N29" s="1360"/>
      <c r="O29" s="1360"/>
      <c r="P29" s="2005"/>
    </row>
    <row r="30" spans="1:16" s="1526" customFormat="1" ht="16.5">
      <c r="A30" s="1891">
        <f t="shared" si="0"/>
        <v>25</v>
      </c>
      <c r="B30" s="3240"/>
      <c r="C30" s="1362" t="s">
        <v>4220</v>
      </c>
      <c r="D30" s="1360"/>
      <c r="E30" s="1360"/>
      <c r="F30" s="1360"/>
      <c r="G30" s="1360"/>
      <c r="H30" s="1360"/>
      <c r="I30" s="1360"/>
      <c r="J30" s="1360"/>
      <c r="K30" s="1360"/>
      <c r="L30" s="1360"/>
      <c r="M30" s="1360"/>
      <c r="N30" s="1360"/>
      <c r="O30" s="1360"/>
      <c r="P30" s="2005"/>
    </row>
    <row r="31" spans="1:16" s="1526" customFormat="1" ht="16.5">
      <c r="A31" s="1891">
        <f t="shared" si="0"/>
        <v>26</v>
      </c>
      <c r="B31" s="3240"/>
      <c r="C31" s="1363" t="s">
        <v>1845</v>
      </c>
      <c r="D31" s="1360"/>
      <c r="E31" s="1360"/>
      <c r="F31" s="1360"/>
      <c r="G31" s="1360"/>
      <c r="H31" s="1360"/>
      <c r="I31" s="1360"/>
      <c r="J31" s="1360"/>
      <c r="K31" s="1360"/>
      <c r="L31" s="2006"/>
      <c r="M31" s="1360"/>
      <c r="N31" s="1360"/>
      <c r="O31" s="1360"/>
      <c r="P31" s="2005"/>
    </row>
    <row r="32" spans="1:16" s="1526" customFormat="1" ht="16.5">
      <c r="A32" s="1891">
        <f t="shared" si="0"/>
        <v>27</v>
      </c>
      <c r="B32" s="3240"/>
      <c r="C32" s="1364" t="s">
        <v>4221</v>
      </c>
      <c r="D32" s="1360"/>
      <c r="E32" s="1360"/>
      <c r="F32" s="1360"/>
      <c r="G32" s="1360"/>
      <c r="H32" s="1360"/>
      <c r="I32" s="1360"/>
      <c r="J32" s="1360"/>
      <c r="K32" s="1360"/>
      <c r="L32" s="1360">
        <f>L39+L41</f>
        <v>0</v>
      </c>
      <c r="M32" s="1360"/>
      <c r="N32" s="1360"/>
      <c r="O32" s="1360"/>
      <c r="P32" s="2005"/>
    </row>
    <row r="33" spans="1:16" s="1526" customFormat="1" ht="16.5">
      <c r="A33" s="1891">
        <f t="shared" si="0"/>
        <v>28</v>
      </c>
      <c r="B33" s="3240"/>
      <c r="C33" s="1362" t="s">
        <v>4222</v>
      </c>
      <c r="D33" s="1360"/>
      <c r="E33" s="1360"/>
      <c r="F33" s="1360"/>
      <c r="G33" s="1360"/>
      <c r="H33" s="1360"/>
      <c r="I33" s="1360"/>
      <c r="J33" s="1360"/>
      <c r="K33" s="1360"/>
      <c r="L33" s="1360"/>
      <c r="M33" s="1360"/>
      <c r="N33" s="1360"/>
      <c r="O33" s="1360"/>
      <c r="P33" s="2005"/>
    </row>
    <row r="34" spans="1:16" s="1526" customFormat="1" ht="16.5">
      <c r="A34" s="1891">
        <f t="shared" si="0"/>
        <v>29</v>
      </c>
      <c r="B34" s="3240"/>
      <c r="C34" s="1361" t="s">
        <v>4223</v>
      </c>
      <c r="D34" s="1360"/>
      <c r="E34" s="1360"/>
      <c r="F34" s="1360"/>
      <c r="G34" s="1360"/>
      <c r="H34" s="1360"/>
      <c r="I34" s="1360"/>
      <c r="J34" s="1360"/>
      <c r="K34" s="1360"/>
      <c r="L34" s="1360"/>
      <c r="M34" s="1360"/>
      <c r="N34" s="1360"/>
      <c r="O34" s="1360"/>
      <c r="P34" s="2005"/>
    </row>
    <row r="35" spans="1:16" s="1526" customFormat="1" ht="16.5">
      <c r="A35" s="1891">
        <f t="shared" si="0"/>
        <v>30</v>
      </c>
      <c r="B35" s="3240"/>
      <c r="C35" s="1362" t="s">
        <v>4220</v>
      </c>
      <c r="D35" s="1360"/>
      <c r="E35" s="1360"/>
      <c r="F35" s="1360"/>
      <c r="G35" s="1360"/>
      <c r="H35" s="1360"/>
      <c r="I35" s="1360"/>
      <c r="J35" s="1360"/>
      <c r="K35" s="1360"/>
      <c r="L35" s="1360"/>
      <c r="M35" s="1360"/>
      <c r="N35" s="1360"/>
      <c r="O35" s="1360"/>
      <c r="P35" s="2005"/>
    </row>
    <row r="36" spans="1:16" s="1526" customFormat="1" ht="16.5">
      <c r="A36" s="1891">
        <f t="shared" si="0"/>
        <v>31</v>
      </c>
      <c r="B36" s="3240"/>
      <c r="C36" s="1363" t="s">
        <v>1845</v>
      </c>
      <c r="D36" s="1360"/>
      <c r="E36" s="1360"/>
      <c r="F36" s="1360"/>
      <c r="G36" s="1360"/>
      <c r="H36" s="1360"/>
      <c r="I36" s="1360"/>
      <c r="J36" s="1360"/>
      <c r="K36" s="1360"/>
      <c r="L36" s="2006"/>
      <c r="M36" s="1360"/>
      <c r="N36" s="1360"/>
      <c r="O36" s="1360"/>
      <c r="P36" s="2005"/>
    </row>
    <row r="37" spans="1:16" s="1526" customFormat="1" ht="16.5">
      <c r="A37" s="1891">
        <f t="shared" si="0"/>
        <v>32</v>
      </c>
      <c r="B37" s="3240"/>
      <c r="C37" s="1364" t="s">
        <v>4221</v>
      </c>
      <c r="D37" s="1360"/>
      <c r="E37" s="1360"/>
      <c r="F37" s="1360"/>
      <c r="G37" s="1360"/>
      <c r="H37" s="1360"/>
      <c r="I37" s="1360"/>
      <c r="J37" s="1360"/>
      <c r="K37" s="1360"/>
      <c r="L37" s="1360"/>
      <c r="M37" s="1360"/>
      <c r="N37" s="1360"/>
      <c r="O37" s="1360"/>
      <c r="P37" s="2005"/>
    </row>
    <row r="38" spans="1:16" s="1526" customFormat="1" ht="16.5">
      <c r="A38" s="1891">
        <f t="shared" si="0"/>
        <v>33</v>
      </c>
      <c r="B38" s="3240"/>
      <c r="C38" s="1362" t="s">
        <v>4222</v>
      </c>
      <c r="D38" s="1360"/>
      <c r="E38" s="1360"/>
      <c r="F38" s="1360"/>
      <c r="G38" s="1360"/>
      <c r="H38" s="1360"/>
      <c r="I38" s="1360"/>
      <c r="J38" s="1360"/>
      <c r="K38" s="1360"/>
      <c r="L38" s="1360"/>
      <c r="M38" s="1360"/>
      <c r="N38" s="1360"/>
      <c r="O38" s="1360"/>
      <c r="P38" s="2005"/>
    </row>
    <row r="39" spans="1:16" s="1526" customFormat="1" ht="16.5">
      <c r="A39" s="1891">
        <f t="shared" si="0"/>
        <v>34</v>
      </c>
      <c r="B39" s="3240"/>
      <c r="C39" s="1365" t="s">
        <v>3586</v>
      </c>
      <c r="D39" s="1360"/>
      <c r="E39" s="1360"/>
      <c r="F39" s="1360"/>
      <c r="G39" s="1360"/>
      <c r="H39" s="1360"/>
      <c r="I39" s="1360"/>
      <c r="J39" s="1360"/>
      <c r="K39" s="1360"/>
      <c r="L39" s="1360"/>
      <c r="M39" s="1360"/>
      <c r="N39" s="1360"/>
      <c r="O39" s="1360"/>
      <c r="P39" s="2005"/>
    </row>
    <row r="40" spans="1:16" s="1526" customFormat="1" ht="16.5">
      <c r="A40" s="1891">
        <f t="shared" si="0"/>
        <v>35</v>
      </c>
      <c r="B40" s="3240"/>
      <c r="C40" s="1361" t="s">
        <v>4220</v>
      </c>
      <c r="D40" s="1360"/>
      <c r="E40" s="1360"/>
      <c r="F40" s="1360"/>
      <c r="G40" s="1360"/>
      <c r="H40" s="1360"/>
      <c r="I40" s="1360"/>
      <c r="J40" s="1360"/>
      <c r="K40" s="1360"/>
      <c r="L40" s="1360"/>
      <c r="M40" s="1360"/>
      <c r="N40" s="1360"/>
      <c r="O40" s="1360"/>
      <c r="P40" s="2005"/>
    </row>
    <row r="41" spans="1:16" s="1526" customFormat="1" ht="16.5">
      <c r="A41" s="1891">
        <f t="shared" si="0"/>
        <v>36</v>
      </c>
      <c r="B41" s="3240"/>
      <c r="C41" s="1366" t="s">
        <v>1845</v>
      </c>
      <c r="D41" s="1360"/>
      <c r="E41" s="1360"/>
      <c r="F41" s="1360"/>
      <c r="G41" s="1360"/>
      <c r="H41" s="1360"/>
      <c r="I41" s="1360"/>
      <c r="J41" s="1360"/>
      <c r="K41" s="1360"/>
      <c r="L41" s="2006"/>
      <c r="M41" s="1360"/>
      <c r="N41" s="1360"/>
      <c r="O41" s="1360"/>
      <c r="P41" s="2005"/>
    </row>
    <row r="42" spans="1:16" s="1526" customFormat="1" ht="16.5">
      <c r="A42" s="1891">
        <f t="shared" si="0"/>
        <v>37</v>
      </c>
      <c r="B42" s="3240"/>
      <c r="C42" s="1362" t="s">
        <v>4221</v>
      </c>
      <c r="D42" s="1360"/>
      <c r="E42" s="1360"/>
      <c r="F42" s="1360"/>
      <c r="G42" s="1360"/>
      <c r="H42" s="1360"/>
      <c r="I42" s="1360"/>
      <c r="J42" s="1360"/>
      <c r="K42" s="1360"/>
      <c r="L42" s="1360"/>
      <c r="M42" s="1360"/>
      <c r="N42" s="1360"/>
      <c r="O42" s="1360"/>
      <c r="P42" s="2005"/>
    </row>
    <row r="43" spans="1:16" s="1526" customFormat="1" ht="16.5">
      <c r="A43" s="1891">
        <f t="shared" si="0"/>
        <v>38</v>
      </c>
      <c r="B43" s="3240"/>
      <c r="C43" s="1361" t="s">
        <v>4222</v>
      </c>
      <c r="D43" s="1360"/>
      <c r="E43" s="1360"/>
      <c r="F43" s="1360"/>
      <c r="G43" s="1360"/>
      <c r="H43" s="1360"/>
      <c r="I43" s="1360"/>
      <c r="J43" s="1360"/>
      <c r="K43" s="1360"/>
      <c r="L43" s="1360"/>
      <c r="M43" s="1360"/>
      <c r="N43" s="1360"/>
      <c r="O43" s="1360"/>
      <c r="P43" s="2005"/>
    </row>
    <row r="44" spans="1:16" s="1526" customFormat="1" ht="16.5">
      <c r="A44" s="1891">
        <f t="shared" si="0"/>
        <v>39</v>
      </c>
      <c r="B44" s="3241"/>
      <c r="C44" s="1367" t="s">
        <v>4224</v>
      </c>
      <c r="D44" s="1360"/>
      <c r="E44" s="1360"/>
      <c r="F44" s="1360"/>
      <c r="G44" s="1360"/>
      <c r="H44" s="1360"/>
      <c r="I44" s="1360"/>
      <c r="J44" s="1360"/>
      <c r="K44" s="1360"/>
      <c r="L44" s="1360"/>
      <c r="M44" s="1360"/>
      <c r="N44" s="1360"/>
      <c r="O44" s="1360"/>
      <c r="P44" s="2005"/>
    </row>
    <row r="45" spans="1:16" s="1526" customFormat="1" ht="15.75" customHeight="1">
      <c r="A45" s="1891">
        <f t="shared" si="0"/>
        <v>40</v>
      </c>
      <c r="B45" s="3235" t="s">
        <v>4225</v>
      </c>
      <c r="C45" s="3236"/>
      <c r="D45" s="1360"/>
      <c r="E45" s="1360"/>
      <c r="F45" s="1360"/>
      <c r="G45" s="1360"/>
      <c r="H45" s="1360"/>
      <c r="I45" s="1360"/>
      <c r="J45" s="1360"/>
      <c r="K45" s="1360"/>
      <c r="L45" s="1360"/>
      <c r="M45" s="1360"/>
      <c r="N45" s="1360"/>
      <c r="O45" s="1360"/>
      <c r="P45" s="2005"/>
    </row>
    <row r="46" spans="1:16" s="1526" customFormat="1" ht="16.5" thickBot="1">
      <c r="A46" s="1253"/>
      <c r="B46" s="1196"/>
      <c r="C46" s="1239"/>
      <c r="D46" s="1239"/>
      <c r="E46" s="1239"/>
      <c r="F46" s="1239"/>
      <c r="G46" s="1239"/>
      <c r="H46" s="1239"/>
      <c r="I46" s="1239"/>
      <c r="J46" s="1239"/>
      <c r="K46" s="1239"/>
      <c r="L46" s="1239"/>
      <c r="M46" s="1239"/>
      <c r="N46" s="1239"/>
      <c r="O46" s="1239"/>
      <c r="P46" s="1239"/>
    </row>
    <row r="47" spans="1:16" s="1526" customFormat="1" ht="49.5">
      <c r="A47" s="2007">
        <f>A45+1</f>
        <v>41</v>
      </c>
      <c r="B47" s="3233" t="s">
        <v>5267</v>
      </c>
      <c r="C47" s="2008" t="s">
        <v>5268</v>
      </c>
      <c r="D47" s="2009"/>
      <c r="E47" s="2009"/>
      <c r="F47" s="2009"/>
      <c r="G47" s="2009"/>
      <c r="H47" s="2010"/>
      <c r="I47" s="2009"/>
      <c r="J47" s="2009"/>
      <c r="K47" s="2009"/>
      <c r="L47" s="2009"/>
      <c r="M47" s="2009"/>
      <c r="N47" s="2009"/>
      <c r="O47" s="2009"/>
      <c r="P47" s="2011"/>
    </row>
    <row r="48" spans="1:16" s="1526" customFormat="1" ht="54.75" thickBot="1">
      <c r="A48" s="2012">
        <f>A47+1</f>
        <v>42</v>
      </c>
      <c r="B48" s="3234"/>
      <c r="C48" s="2013" t="s">
        <v>5269</v>
      </c>
      <c r="D48" s="2014"/>
      <c r="E48" s="2014"/>
      <c r="F48" s="2014"/>
      <c r="G48" s="2014"/>
      <c r="H48" s="2015"/>
      <c r="I48" s="2014"/>
      <c r="J48" s="2014"/>
      <c r="K48" s="2014"/>
      <c r="L48" s="2014"/>
      <c r="M48" s="2014"/>
      <c r="N48" s="2014"/>
      <c r="O48" s="2014"/>
      <c r="P48" s="2016"/>
    </row>
    <row r="49" spans="1:16" s="1526" customFormat="1" ht="16.5">
      <c r="A49" s="1253" t="s">
        <v>4076</v>
      </c>
      <c r="B49" s="1196"/>
      <c r="C49" s="1239"/>
      <c r="D49" s="1239"/>
      <c r="E49" s="1239"/>
      <c r="F49" s="1239"/>
      <c r="G49" s="1239"/>
      <c r="H49" s="1239"/>
      <c r="I49" s="1239"/>
      <c r="J49" s="1239"/>
      <c r="K49" s="1239"/>
      <c r="L49" s="1239"/>
      <c r="M49" s="1239"/>
      <c r="N49" s="1239"/>
      <c r="O49" s="1239"/>
      <c r="P49" s="1239"/>
    </row>
    <row r="50" spans="1:16" s="1526" customFormat="1" ht="16.5">
      <c r="A50" s="1253">
        <v>1</v>
      </c>
      <c r="B50" s="1231" t="s">
        <v>4226</v>
      </c>
      <c r="C50" s="1368"/>
      <c r="D50" s="1368"/>
      <c r="E50" s="1368"/>
      <c r="F50" s="1368"/>
      <c r="G50" s="1368"/>
      <c r="H50" s="1368"/>
      <c r="I50" s="1368"/>
      <c r="J50" s="1368"/>
      <c r="K50" s="1368"/>
      <c r="L50" s="1368"/>
      <c r="M50" s="1368"/>
      <c r="N50" s="1368"/>
      <c r="O50" s="1368"/>
      <c r="P50" s="1368"/>
    </row>
    <row r="51" spans="1:16" s="1526" customFormat="1" ht="16.5">
      <c r="A51" s="1253">
        <v>2</v>
      </c>
      <c r="B51" s="1196" t="s">
        <v>4227</v>
      </c>
      <c r="C51" s="1368"/>
      <c r="D51" s="1368"/>
      <c r="E51" s="1368"/>
      <c r="F51" s="1368"/>
      <c r="G51" s="1368"/>
      <c r="H51" s="1368"/>
      <c r="I51" s="1368"/>
      <c r="J51" s="1368"/>
      <c r="K51" s="1368"/>
      <c r="L51" s="1368"/>
      <c r="M51" s="1368"/>
      <c r="N51" s="1368"/>
      <c r="O51" s="1368"/>
      <c r="P51" s="1368"/>
    </row>
    <row r="52" spans="1:16" ht="16.5">
      <c r="A52" s="2017">
        <v>3</v>
      </c>
      <c r="B52" s="2000" t="s">
        <v>5250</v>
      </c>
    </row>
    <row r="53" spans="1:16">
      <c r="B53" s="1196"/>
    </row>
    <row r="54" spans="1:16">
      <c r="B54" s="1196"/>
    </row>
  </sheetData>
  <mergeCells count="15">
    <mergeCell ref="B47:B48"/>
    <mergeCell ref="A3:A5"/>
    <mergeCell ref="B3:C4"/>
    <mergeCell ref="B45:C45"/>
    <mergeCell ref="P3:P4"/>
    <mergeCell ref="B5:C5"/>
    <mergeCell ref="B25:C25"/>
    <mergeCell ref="B26:C26"/>
    <mergeCell ref="B6:B16"/>
    <mergeCell ref="B17:B21"/>
    <mergeCell ref="B24:C24"/>
    <mergeCell ref="B28:B44"/>
    <mergeCell ref="B22:C22"/>
    <mergeCell ref="B27:C27"/>
    <mergeCell ref="B23:C23"/>
  </mergeCells>
  <phoneticPr fontId="7" type="noConversion"/>
  <dataValidations count="1">
    <dataValidation type="whole" allowBlank="1" showInputMessage="1" showErrorMessage="1" errorTitle="錯誤" error="輸入資料格式錯誤!!" sqref="D6:O43" xr:uid="{00000000-0002-0000-0C00-000000000000}">
      <formula1>-9.99999999999999E+27</formula1>
      <formula2>9.99999999999999E+27</formula2>
    </dataValidation>
  </dataValidations>
  <pageMargins left="0.51181102362204722" right="0.35433070866141736" top="0.39370078740157483" bottom="0.27559055118110237" header="0.15748031496062992" footer="0.23622047244094491"/>
  <pageSetup paperSize="9" scale="48" orientation="landscape" r:id="rId1"/>
  <headerFooter alignWithMargins="0">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3"/>
  <dimension ref="A1:AB32"/>
  <sheetViews>
    <sheetView view="pageBreakPreview" zoomScale="90" zoomScaleNormal="100" zoomScaleSheetLayoutView="90" workbookViewId="0"/>
  </sheetViews>
  <sheetFormatPr defaultColWidth="15.625" defaultRowHeight="15.75"/>
  <cols>
    <col min="1" max="1" width="5.625" style="1376" customWidth="1"/>
    <col min="2" max="16384" width="15.625" style="1376"/>
  </cols>
  <sheetData>
    <row r="1" spans="1:28"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990"/>
    </row>
    <row r="2" spans="1:28" ht="16.5">
      <c r="A2" s="1231" t="s">
        <v>4228</v>
      </c>
      <c r="B2" s="1239"/>
      <c r="C2" s="1239"/>
      <c r="D2" s="1239"/>
      <c r="E2" s="1239"/>
      <c r="F2" s="1239"/>
      <c r="G2" s="1239"/>
      <c r="H2" s="1239"/>
      <c r="I2" s="1239"/>
      <c r="J2" s="1239"/>
      <c r="K2" s="1239"/>
      <c r="L2" s="1239"/>
      <c r="M2" s="1239"/>
      <c r="N2" s="1239"/>
      <c r="O2" s="1239"/>
      <c r="P2" s="1239"/>
      <c r="Q2" s="1239"/>
      <c r="R2" s="1239"/>
      <c r="S2" s="1239"/>
      <c r="T2" s="1239"/>
      <c r="U2" s="1239"/>
      <c r="W2" s="1239"/>
      <c r="X2" s="1239"/>
      <c r="Y2" s="1239"/>
      <c r="Z2" s="1990"/>
      <c r="AB2" s="1984" t="s">
        <v>5251</v>
      </c>
    </row>
    <row r="3" spans="1:28">
      <c r="A3" s="3210" t="s">
        <v>4064</v>
      </c>
      <c r="B3" s="3210" t="s">
        <v>4229</v>
      </c>
      <c r="C3" s="3210" t="s">
        <v>4230</v>
      </c>
      <c r="D3" s="3210" t="s">
        <v>4066</v>
      </c>
      <c r="E3" s="3210" t="s">
        <v>4067</v>
      </c>
      <c r="F3" s="3210" t="s">
        <v>4231</v>
      </c>
      <c r="G3" s="3210"/>
      <c r="H3" s="3210"/>
      <c r="I3" s="3210" t="s">
        <v>4068</v>
      </c>
      <c r="J3" s="3210" t="s">
        <v>4069</v>
      </c>
      <c r="K3" s="3210" t="s">
        <v>4232</v>
      </c>
      <c r="L3" s="3210"/>
      <c r="M3" s="3210"/>
      <c r="N3" s="3210"/>
      <c r="O3" s="3210" t="s">
        <v>5252</v>
      </c>
      <c r="P3" s="3210" t="s">
        <v>5253</v>
      </c>
      <c r="Q3" s="3210" t="s">
        <v>5254</v>
      </c>
      <c r="R3" s="3210" t="s">
        <v>5255</v>
      </c>
      <c r="S3" s="3210" t="s">
        <v>5256</v>
      </c>
      <c r="T3" s="3210" t="s">
        <v>5257</v>
      </c>
      <c r="U3" s="3210" t="s">
        <v>5258</v>
      </c>
      <c r="V3" s="3210" t="s">
        <v>5259</v>
      </c>
      <c r="W3" s="3210"/>
      <c r="X3" s="3210" t="s">
        <v>5260</v>
      </c>
      <c r="Y3" s="3210" t="s">
        <v>5261</v>
      </c>
      <c r="Z3" s="3210" t="s">
        <v>5262</v>
      </c>
      <c r="AA3" s="3210" t="s">
        <v>5263</v>
      </c>
      <c r="AB3" s="3210" t="s">
        <v>5197</v>
      </c>
    </row>
    <row r="4" spans="1:28" ht="33">
      <c r="A4" s="3210"/>
      <c r="B4" s="3210"/>
      <c r="C4" s="3210"/>
      <c r="D4" s="3210"/>
      <c r="E4" s="3210"/>
      <c r="F4" s="1886" t="s">
        <v>4071</v>
      </c>
      <c r="G4" s="1886" t="s">
        <v>4072</v>
      </c>
      <c r="H4" s="1886" t="s">
        <v>4075</v>
      </c>
      <c r="I4" s="3210"/>
      <c r="J4" s="3210"/>
      <c r="K4" s="1886" t="s">
        <v>4071</v>
      </c>
      <c r="L4" s="1886" t="s">
        <v>4072</v>
      </c>
      <c r="M4" s="1886" t="s">
        <v>4233</v>
      </c>
      <c r="N4" s="1886" t="s">
        <v>4234</v>
      </c>
      <c r="O4" s="3210"/>
      <c r="P4" s="3210"/>
      <c r="Q4" s="3210"/>
      <c r="R4" s="3210"/>
      <c r="S4" s="3210"/>
      <c r="T4" s="3210"/>
      <c r="U4" s="3210"/>
      <c r="V4" s="1886" t="s">
        <v>5264</v>
      </c>
      <c r="W4" s="1886" t="s">
        <v>5265</v>
      </c>
      <c r="X4" s="3210"/>
      <c r="Y4" s="3210"/>
      <c r="Z4" s="3210"/>
      <c r="AA4" s="3210"/>
      <c r="AB4" s="3210"/>
    </row>
    <row r="5" spans="1:28">
      <c r="A5" s="3210"/>
      <c r="B5" s="1886" t="s">
        <v>422</v>
      </c>
      <c r="C5" s="1886" t="s">
        <v>423</v>
      </c>
      <c r="D5" s="1886" t="s">
        <v>171</v>
      </c>
      <c r="E5" s="1886" t="s">
        <v>172</v>
      </c>
      <c r="F5" s="1886" t="s">
        <v>173</v>
      </c>
      <c r="G5" s="1886" t="s">
        <v>174</v>
      </c>
      <c r="H5" s="1886" t="s">
        <v>175</v>
      </c>
      <c r="I5" s="1886" t="s">
        <v>176</v>
      </c>
      <c r="J5" s="1886" t="s">
        <v>177</v>
      </c>
      <c r="K5" s="1886" t="s">
        <v>178</v>
      </c>
      <c r="L5" s="1886" t="s">
        <v>179</v>
      </c>
      <c r="M5" s="1886" t="s">
        <v>180</v>
      </c>
      <c r="N5" s="1886" t="s">
        <v>416</v>
      </c>
      <c r="O5" s="1886" t="s">
        <v>417</v>
      </c>
      <c r="P5" s="1886" t="s">
        <v>418</v>
      </c>
      <c r="Q5" s="1886" t="s">
        <v>419</v>
      </c>
      <c r="R5" s="1886" t="s">
        <v>420</v>
      </c>
      <c r="S5" s="1886" t="s">
        <v>424</v>
      </c>
      <c r="T5" s="1886" t="s">
        <v>425</v>
      </c>
      <c r="U5" s="1886" t="s">
        <v>426</v>
      </c>
      <c r="V5" s="1243" t="s">
        <v>693</v>
      </c>
      <c r="W5" s="1886" t="s">
        <v>428</v>
      </c>
      <c r="X5" s="1886" t="s">
        <v>143</v>
      </c>
      <c r="Y5" s="1886" t="s">
        <v>144</v>
      </c>
      <c r="Z5" s="1886" t="s">
        <v>300</v>
      </c>
      <c r="AA5" s="1886" t="s">
        <v>301</v>
      </c>
      <c r="AB5" s="1886" t="s">
        <v>302</v>
      </c>
    </row>
    <row r="6" spans="1:28">
      <c r="A6" s="1370">
        <v>1</v>
      </c>
      <c r="B6" s="1370"/>
      <c r="C6" s="1371"/>
      <c r="D6" s="1371"/>
      <c r="E6" s="1371"/>
      <c r="F6" s="1370"/>
      <c r="G6" s="1371"/>
      <c r="H6" s="1371"/>
      <c r="I6" s="1371"/>
      <c r="J6" s="1371"/>
      <c r="K6" s="1370"/>
      <c r="L6" s="1371"/>
      <c r="M6" s="1371"/>
      <c r="N6" s="1371"/>
      <c r="O6" s="1371"/>
      <c r="P6" s="2001"/>
      <c r="Q6" s="2001"/>
      <c r="R6" s="2001"/>
      <c r="S6" s="2001"/>
      <c r="T6" s="2001"/>
      <c r="U6" s="2001"/>
      <c r="V6" s="2002"/>
      <c r="W6" s="2001"/>
      <c r="X6" s="2001"/>
      <c r="Y6" s="1371"/>
      <c r="Z6" s="1371"/>
      <c r="AA6" s="1371"/>
      <c r="AB6" s="1371"/>
    </row>
    <row r="7" spans="1:28">
      <c r="A7" s="1370">
        <v>2</v>
      </c>
      <c r="B7" s="1370"/>
      <c r="C7" s="1371"/>
      <c r="D7" s="1371"/>
      <c r="E7" s="1371"/>
      <c r="F7" s="1370"/>
      <c r="G7" s="1371"/>
      <c r="H7" s="1371"/>
      <c r="I7" s="1371"/>
      <c r="J7" s="1371"/>
      <c r="K7" s="1370"/>
      <c r="L7" s="1371"/>
      <c r="M7" s="1371"/>
      <c r="N7" s="1371"/>
      <c r="O7" s="1371"/>
      <c r="P7" s="2001"/>
      <c r="Q7" s="2001"/>
      <c r="R7" s="2001"/>
      <c r="S7" s="2001"/>
      <c r="T7" s="2001"/>
      <c r="U7" s="2001"/>
      <c r="V7" s="2002"/>
      <c r="W7" s="2001"/>
      <c r="X7" s="2001"/>
      <c r="Y7" s="1371"/>
      <c r="Z7" s="1371"/>
      <c r="AA7" s="1371"/>
      <c r="AB7" s="1371"/>
    </row>
    <row r="8" spans="1:28">
      <c r="A8" s="1370">
        <v>3</v>
      </c>
      <c r="B8" s="1370"/>
      <c r="C8" s="1371"/>
      <c r="D8" s="1371"/>
      <c r="E8" s="1371"/>
      <c r="F8" s="1370"/>
      <c r="G8" s="1371"/>
      <c r="H8" s="1371"/>
      <c r="I8" s="1371"/>
      <c r="J8" s="1371"/>
      <c r="K8" s="1370"/>
      <c r="L8" s="1371"/>
      <c r="M8" s="1371"/>
      <c r="N8" s="1371"/>
      <c r="O8" s="1371"/>
      <c r="P8" s="2001"/>
      <c r="Q8" s="2001"/>
      <c r="R8" s="2001"/>
      <c r="S8" s="2001"/>
      <c r="T8" s="2001"/>
      <c r="U8" s="2001"/>
      <c r="V8" s="2002"/>
      <c r="W8" s="2001"/>
      <c r="X8" s="2001"/>
      <c r="Y8" s="1371"/>
      <c r="Z8" s="1371"/>
      <c r="AA8" s="1371"/>
      <c r="AB8" s="1371"/>
    </row>
    <row r="9" spans="1:28">
      <c r="A9" s="1370">
        <v>4</v>
      </c>
      <c r="B9" s="1370"/>
      <c r="C9" s="1371"/>
      <c r="D9" s="1371"/>
      <c r="E9" s="1371"/>
      <c r="F9" s="1370"/>
      <c r="G9" s="1371"/>
      <c r="H9" s="1371"/>
      <c r="I9" s="1371"/>
      <c r="J9" s="1371"/>
      <c r="K9" s="1370"/>
      <c r="L9" s="1371"/>
      <c r="M9" s="1371"/>
      <c r="N9" s="1371"/>
      <c r="O9" s="1371"/>
      <c r="P9" s="2001"/>
      <c r="Q9" s="2001"/>
      <c r="R9" s="2001"/>
      <c r="S9" s="2001"/>
      <c r="T9" s="2001"/>
      <c r="U9" s="2001"/>
      <c r="V9" s="2002"/>
      <c r="W9" s="2001"/>
      <c r="X9" s="2001"/>
      <c r="Y9" s="1371"/>
      <c r="Z9" s="1371"/>
      <c r="AA9" s="1371"/>
      <c r="AB9" s="1371"/>
    </row>
    <row r="10" spans="1:28">
      <c r="A10" s="1370">
        <v>5</v>
      </c>
      <c r="B10" s="1370"/>
      <c r="C10" s="1371"/>
      <c r="D10" s="1371"/>
      <c r="E10" s="1371"/>
      <c r="F10" s="1370"/>
      <c r="G10" s="1371"/>
      <c r="H10" s="1371"/>
      <c r="I10" s="1371"/>
      <c r="J10" s="1371"/>
      <c r="K10" s="1370"/>
      <c r="L10" s="1371"/>
      <c r="M10" s="1371"/>
      <c r="N10" s="1371"/>
      <c r="O10" s="1371"/>
      <c r="P10" s="2001"/>
      <c r="Q10" s="2001"/>
      <c r="R10" s="2001"/>
      <c r="S10" s="2001"/>
      <c r="T10" s="2001"/>
      <c r="U10" s="2001"/>
      <c r="V10" s="2002"/>
      <c r="W10" s="2001"/>
      <c r="X10" s="2001"/>
      <c r="Y10" s="1371"/>
      <c r="Z10" s="1371"/>
      <c r="AA10" s="1371"/>
      <c r="AB10" s="1371"/>
    </row>
    <row r="11" spans="1:28">
      <c r="A11" s="1370">
        <v>6</v>
      </c>
      <c r="B11" s="1370"/>
      <c r="C11" s="1371"/>
      <c r="D11" s="1371"/>
      <c r="E11" s="1371"/>
      <c r="F11" s="1370"/>
      <c r="G11" s="1371"/>
      <c r="H11" s="1371"/>
      <c r="I11" s="1371"/>
      <c r="J11" s="1371"/>
      <c r="K11" s="1370"/>
      <c r="L11" s="1371"/>
      <c r="M11" s="1371"/>
      <c r="N11" s="1371"/>
      <c r="O11" s="1371"/>
      <c r="P11" s="2001"/>
      <c r="Q11" s="2001"/>
      <c r="R11" s="2001"/>
      <c r="S11" s="2001"/>
      <c r="T11" s="2001"/>
      <c r="U11" s="2001"/>
      <c r="V11" s="2002"/>
      <c r="W11" s="2001"/>
      <c r="X11" s="2001"/>
      <c r="Y11" s="1371"/>
      <c r="Z11" s="1371"/>
      <c r="AA11" s="1371"/>
      <c r="AB11" s="1371"/>
    </row>
    <row r="12" spans="1:28">
      <c r="A12" s="1370">
        <v>7</v>
      </c>
      <c r="B12" s="1370"/>
      <c r="C12" s="1371"/>
      <c r="D12" s="1371"/>
      <c r="E12" s="1371"/>
      <c r="F12" s="1370"/>
      <c r="G12" s="1371"/>
      <c r="H12" s="1371"/>
      <c r="I12" s="1371"/>
      <c r="J12" s="1371"/>
      <c r="K12" s="1370"/>
      <c r="L12" s="1371"/>
      <c r="M12" s="1371"/>
      <c r="N12" s="1371"/>
      <c r="O12" s="1371"/>
      <c r="P12" s="2001"/>
      <c r="Q12" s="2001"/>
      <c r="R12" s="2001"/>
      <c r="S12" s="2001"/>
      <c r="T12" s="2001"/>
      <c r="U12" s="2001"/>
      <c r="V12" s="2002"/>
      <c r="W12" s="2001"/>
      <c r="X12" s="2001"/>
      <c r="Y12" s="1371"/>
      <c r="Z12" s="1371"/>
      <c r="AA12" s="1371"/>
      <c r="AB12" s="1371"/>
    </row>
    <row r="13" spans="1:28">
      <c r="A13" s="1370">
        <v>8</v>
      </c>
      <c r="B13" s="1370"/>
      <c r="C13" s="1371"/>
      <c r="D13" s="1371"/>
      <c r="E13" s="1371"/>
      <c r="F13" s="1370"/>
      <c r="G13" s="1371"/>
      <c r="H13" s="1371"/>
      <c r="I13" s="1371"/>
      <c r="J13" s="1371"/>
      <c r="K13" s="1370"/>
      <c r="L13" s="1371"/>
      <c r="M13" s="1371"/>
      <c r="N13" s="1371"/>
      <c r="O13" s="1371"/>
      <c r="P13" s="2001"/>
      <c r="Q13" s="2001"/>
      <c r="R13" s="2001"/>
      <c r="S13" s="2001"/>
      <c r="T13" s="2001"/>
      <c r="U13" s="2001"/>
      <c r="V13" s="2002"/>
      <c r="W13" s="2001"/>
      <c r="X13" s="2001"/>
      <c r="Y13" s="1371"/>
      <c r="Z13" s="1371"/>
      <c r="AA13" s="1371"/>
      <c r="AB13" s="1371"/>
    </row>
    <row r="14" spans="1:28">
      <c r="A14" s="1370">
        <v>9</v>
      </c>
      <c r="B14" s="1370"/>
      <c r="C14" s="1371"/>
      <c r="D14" s="1371"/>
      <c r="E14" s="1371"/>
      <c r="F14" s="1370"/>
      <c r="G14" s="1371"/>
      <c r="H14" s="1371"/>
      <c r="I14" s="1371"/>
      <c r="J14" s="1371"/>
      <c r="K14" s="1370"/>
      <c r="L14" s="1371"/>
      <c r="M14" s="1371"/>
      <c r="N14" s="1371"/>
      <c r="O14" s="1371"/>
      <c r="P14" s="2001"/>
      <c r="Q14" s="2001"/>
      <c r="R14" s="2001"/>
      <c r="S14" s="2001"/>
      <c r="T14" s="2001"/>
      <c r="U14" s="2001"/>
      <c r="V14" s="2002"/>
      <c r="W14" s="2001"/>
      <c r="X14" s="2001"/>
      <c r="Y14" s="1371"/>
      <c r="Z14" s="1371"/>
      <c r="AA14" s="1371"/>
      <c r="AB14" s="1371"/>
    </row>
    <row r="15" spans="1:28">
      <c r="A15" s="1370">
        <v>10</v>
      </c>
      <c r="B15" s="1370"/>
      <c r="C15" s="1371"/>
      <c r="D15" s="1371"/>
      <c r="E15" s="1371"/>
      <c r="F15" s="1370"/>
      <c r="G15" s="1371"/>
      <c r="H15" s="1371"/>
      <c r="I15" s="1371"/>
      <c r="J15" s="1371"/>
      <c r="K15" s="1370"/>
      <c r="L15" s="1371"/>
      <c r="M15" s="1371"/>
      <c r="N15" s="1371"/>
      <c r="O15" s="1371"/>
      <c r="P15" s="2001"/>
      <c r="Q15" s="2001"/>
      <c r="R15" s="2001"/>
      <c r="S15" s="2001"/>
      <c r="T15" s="2001"/>
      <c r="U15" s="2001"/>
      <c r="V15" s="2002"/>
      <c r="W15" s="2001"/>
      <c r="X15" s="2001"/>
      <c r="Y15" s="1371"/>
      <c r="Z15" s="1371"/>
      <c r="AA15" s="1371"/>
      <c r="AB15" s="1371"/>
    </row>
    <row r="16" spans="1:28" ht="16.5">
      <c r="A16" s="1370">
        <v>11</v>
      </c>
      <c r="B16" s="3243" t="s">
        <v>3187</v>
      </c>
      <c r="C16" s="1372" t="s">
        <v>1850</v>
      </c>
      <c r="D16" s="1373"/>
      <c r="E16" s="1373"/>
      <c r="F16" s="1373"/>
      <c r="G16" s="1373"/>
      <c r="H16" s="1373"/>
      <c r="I16" s="1373"/>
      <c r="J16" s="1373"/>
      <c r="K16" s="1373"/>
      <c r="L16" s="1373"/>
      <c r="M16" s="1373"/>
      <c r="N16" s="1373"/>
      <c r="O16" s="1373"/>
      <c r="P16" s="1373"/>
      <c r="Q16" s="1373"/>
      <c r="R16" s="1373"/>
      <c r="S16" s="1373"/>
      <c r="T16" s="1360">
        <f>SUMIF($D$6:$D$15,"A",T6:T15)</f>
        <v>0</v>
      </c>
      <c r="U16" s="1360">
        <f>SUMIF($D$6:$D$15,"A",U6:U15)</f>
        <v>0</v>
      </c>
      <c r="V16" s="1373"/>
      <c r="W16" s="1373"/>
      <c r="X16" s="1373"/>
      <c r="Y16" s="1373"/>
      <c r="Z16" s="1360">
        <f>SUMIF($D$6:$D$15,"A",Z6:Z15)</f>
        <v>0</v>
      </c>
      <c r="AA16" s="1360">
        <f>SUMIF($D$6:$D$15,"A",AA6:AA15)</f>
        <v>0</v>
      </c>
      <c r="AB16" s="1373"/>
    </row>
    <row r="17" spans="1:28" ht="33">
      <c r="A17" s="1370">
        <v>12</v>
      </c>
      <c r="B17" s="3243"/>
      <c r="C17" s="1374" t="s">
        <v>1873</v>
      </c>
      <c r="D17" s="1373"/>
      <c r="E17" s="1373"/>
      <c r="F17" s="1373"/>
      <c r="G17" s="1373"/>
      <c r="H17" s="1373"/>
      <c r="I17" s="1373"/>
      <c r="J17" s="1373"/>
      <c r="K17" s="1373"/>
      <c r="L17" s="1373"/>
      <c r="M17" s="1373"/>
      <c r="N17" s="1373"/>
      <c r="O17" s="1373"/>
      <c r="P17" s="1373"/>
      <c r="Q17" s="1373"/>
      <c r="R17" s="1373"/>
      <c r="S17" s="1373"/>
      <c r="T17" s="1360">
        <f>SUMIF($D$6:$D$15,"C",T6:T15)</f>
        <v>0</v>
      </c>
      <c r="U17" s="1360">
        <f>SUMIF($D$6:$D$15,"C",U6:U15)</f>
        <v>0</v>
      </c>
      <c r="V17" s="1373"/>
      <c r="W17" s="1373"/>
      <c r="X17" s="1373"/>
      <c r="Y17" s="1373"/>
      <c r="Z17" s="1360">
        <f>SUMIF($D$6:$D$15,"C",Z6:Z15)</f>
        <v>0</v>
      </c>
      <c r="AA17" s="1360">
        <f>SUMIF($D$6:$D$15,"C",AA6:AA15)</f>
        <v>0</v>
      </c>
      <c r="AB17" s="1373"/>
    </row>
    <row r="18" spans="1:28" ht="16.5">
      <c r="A18" s="1375" t="s">
        <v>4235</v>
      </c>
      <c r="B18" s="1239"/>
      <c r="C18" s="1239"/>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990"/>
    </row>
    <row r="19" spans="1:28" ht="16.5">
      <c r="A19" s="1375">
        <v>1</v>
      </c>
      <c r="B19" s="1231" t="s">
        <v>4236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990"/>
    </row>
    <row r="20" spans="1:28" ht="16.5">
      <c r="A20" s="1375">
        <v>2</v>
      </c>
      <c r="B20" s="1254" t="s">
        <v>4237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990"/>
    </row>
    <row r="21" spans="1:28" ht="16.5">
      <c r="A21" s="1375"/>
      <c r="B21" s="1254" t="s">
        <v>4238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990"/>
    </row>
    <row r="22" spans="1:28" ht="16.5">
      <c r="A22" s="1375"/>
      <c r="B22" s="1254" t="s">
        <v>4239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990"/>
    </row>
    <row r="23" spans="1:28" ht="16.5">
      <c r="A23" s="1375">
        <v>3</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990"/>
    </row>
    <row r="24" spans="1:28" ht="16.5">
      <c r="A24" s="1375">
        <v>4</v>
      </c>
      <c r="B24" s="1231" t="s">
        <v>4240</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990"/>
    </row>
    <row r="25" spans="1:28" ht="16.5">
      <c r="A25" s="1375">
        <v>5</v>
      </c>
      <c r="B25" s="1254" t="s">
        <v>4241</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990"/>
    </row>
    <row r="26" spans="1:28" ht="16.5">
      <c r="A26" s="1375">
        <v>6</v>
      </c>
      <c r="B26" s="1231" t="s">
        <v>4242</v>
      </c>
      <c r="C26" s="1239"/>
      <c r="D26" s="1239"/>
      <c r="E26" s="1239"/>
      <c r="F26" s="1239"/>
      <c r="G26" s="1239"/>
      <c r="H26" s="1239"/>
      <c r="I26" s="1239"/>
      <c r="J26" s="1239"/>
      <c r="K26" s="1239"/>
      <c r="L26" s="1239"/>
      <c r="M26" s="1239"/>
      <c r="N26" s="1239"/>
      <c r="O26" s="1239"/>
      <c r="P26" s="1239"/>
      <c r="Q26" s="1239"/>
      <c r="R26" s="1239"/>
      <c r="S26" s="1368"/>
      <c r="T26" s="1368"/>
      <c r="U26" s="1368"/>
      <c r="V26" s="1368"/>
      <c r="W26" s="1368"/>
      <c r="X26" s="1368"/>
      <c r="Y26" s="1368"/>
      <c r="Z26" s="1990"/>
    </row>
    <row r="27" spans="1:28" ht="16.5">
      <c r="A27" s="1375">
        <v>7</v>
      </c>
      <c r="B27" s="1254" t="s">
        <v>4243</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990"/>
    </row>
    <row r="28" spans="1:28" ht="16.5">
      <c r="A28" s="1375">
        <v>8</v>
      </c>
      <c r="B28" s="1254" t="s">
        <v>4244</v>
      </c>
      <c r="C28" s="1368"/>
      <c r="D28" s="1368"/>
      <c r="E28" s="1368"/>
      <c r="F28" s="1368"/>
      <c r="G28" s="1368"/>
      <c r="H28" s="1368"/>
      <c r="I28" s="1368"/>
      <c r="J28" s="1368"/>
      <c r="K28" s="1368"/>
      <c r="L28" s="1368"/>
      <c r="M28" s="1368"/>
      <c r="N28" s="1368"/>
      <c r="O28" s="1368"/>
      <c r="P28" s="1368"/>
      <c r="Q28" s="1368"/>
      <c r="R28" s="1368"/>
      <c r="S28" s="1239"/>
      <c r="T28" s="1239"/>
      <c r="U28" s="1239"/>
      <c r="V28" s="1239"/>
      <c r="W28" s="1239"/>
      <c r="X28" s="1239"/>
      <c r="Y28" s="1239"/>
      <c r="Z28" s="1990"/>
    </row>
    <row r="29" spans="1:28" ht="16.5">
      <c r="A29" s="1375">
        <v>9</v>
      </c>
      <c r="B29" s="1254" t="s">
        <v>4245</v>
      </c>
      <c r="C29" s="1239"/>
      <c r="D29" s="1239"/>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990"/>
    </row>
    <row r="30" spans="1:28" ht="16.5">
      <c r="A30" s="1375">
        <v>10</v>
      </c>
      <c r="B30" s="1231" t="s">
        <v>4246</v>
      </c>
      <c r="C30" s="1239"/>
      <c r="D30" s="1239"/>
      <c r="E30" s="1239"/>
      <c r="F30" s="1239"/>
      <c r="G30" s="1239"/>
      <c r="H30" s="1239"/>
      <c r="I30" s="1239"/>
      <c r="J30" s="1239"/>
      <c r="K30" s="1239"/>
      <c r="L30" s="1239"/>
      <c r="M30" s="1239"/>
      <c r="N30" s="1239"/>
      <c r="O30" s="1239"/>
      <c r="P30" s="1239"/>
      <c r="Q30" s="1239"/>
      <c r="R30" s="1239"/>
      <c r="S30" s="1990"/>
      <c r="T30" s="1990"/>
      <c r="U30" s="1990"/>
      <c r="V30" s="1990"/>
      <c r="W30" s="1990"/>
      <c r="X30" s="1990"/>
      <c r="Y30" s="1990"/>
      <c r="Z30" s="1990"/>
    </row>
    <row r="31" spans="1:28" ht="16.5">
      <c r="A31" s="1375">
        <v>11</v>
      </c>
      <c r="B31" s="1231" t="s">
        <v>4095</v>
      </c>
    </row>
    <row r="32" spans="1:28" ht="16.5">
      <c r="A32" s="1375">
        <v>12</v>
      </c>
      <c r="B32" s="2000" t="s">
        <v>5266</v>
      </c>
    </row>
  </sheetData>
  <mergeCells count="23">
    <mergeCell ref="AA3:AA4"/>
    <mergeCell ref="AB3:AB4"/>
    <mergeCell ref="K3:N3"/>
    <mergeCell ref="O3:O4"/>
    <mergeCell ref="P3:P4"/>
    <mergeCell ref="Q3:Q4"/>
    <mergeCell ref="Y3:Y4"/>
    <mergeCell ref="Z3:Z4"/>
    <mergeCell ref="T3:T4"/>
    <mergeCell ref="U3:U4"/>
    <mergeCell ref="B16:B17"/>
    <mergeCell ref="R3:R4"/>
    <mergeCell ref="S3:S4"/>
    <mergeCell ref="I3:I4"/>
    <mergeCell ref="J3:J4"/>
    <mergeCell ref="E3:E4"/>
    <mergeCell ref="F3:H3"/>
    <mergeCell ref="A3:A5"/>
    <mergeCell ref="B3:B4"/>
    <mergeCell ref="C3:C4"/>
    <mergeCell ref="D3:D4"/>
    <mergeCell ref="X3:X4"/>
    <mergeCell ref="V3:W3"/>
  </mergeCells>
  <phoneticPr fontId="9" type="noConversion"/>
  <dataValidations count="1">
    <dataValidation type="whole" allowBlank="1" showInputMessage="1" showErrorMessage="1" errorTitle="錯誤" error="輸入資料格式錯誤!!" sqref="V6:W15" xr:uid="{00000000-0002-0000-0D00-000000000000}">
      <formula1>-9.99999999999999E+25</formula1>
      <formula2>9.99999999999999E+25</formula2>
    </dataValidation>
  </dataValidations>
  <pageMargins left="0.43307086614173229" right="0.23622047244094491" top="0.74803149606299213" bottom="0.74803149606299213" header="0.31496062992125984" footer="0.31496062992125984"/>
  <pageSetup paperSize="9" scale="5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8">
    <pageSetUpPr fitToPage="1"/>
  </sheetPr>
  <dimension ref="A1:P83"/>
  <sheetViews>
    <sheetView zoomScaleNormal="100" zoomScaleSheetLayoutView="100" workbookViewId="0"/>
  </sheetViews>
  <sheetFormatPr defaultColWidth="15.625" defaultRowHeight="15.75"/>
  <cols>
    <col min="1" max="1" width="5.625" style="1982" customWidth="1"/>
    <col min="2" max="2" width="50.625" style="1982" customWidth="1"/>
    <col min="3" max="16384" width="15.625" style="1982"/>
  </cols>
  <sheetData>
    <row r="1" spans="1:16"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981"/>
    </row>
    <row r="2" spans="1:16" ht="16.5">
      <c r="A2" s="1983" t="s">
        <v>5194</v>
      </c>
      <c r="B2" s="1239"/>
      <c r="C2" s="1239"/>
      <c r="D2" s="1239"/>
      <c r="E2" s="1239"/>
      <c r="F2" s="1239"/>
      <c r="G2" s="1239"/>
      <c r="H2" s="1239"/>
      <c r="I2" s="1239"/>
      <c r="J2" s="1239"/>
      <c r="K2" s="1239"/>
      <c r="M2" s="1239"/>
      <c r="N2" s="1239"/>
      <c r="O2" s="1984" t="s">
        <v>4097</v>
      </c>
      <c r="P2" s="1981"/>
    </row>
    <row r="3" spans="1:16" ht="16.5">
      <c r="A3" s="3211" t="s">
        <v>4064</v>
      </c>
      <c r="B3" s="3210" t="s">
        <v>5195</v>
      </c>
      <c r="C3" s="1985" t="s">
        <v>4195</v>
      </c>
      <c r="D3" s="1985"/>
      <c r="E3" s="1985"/>
      <c r="F3" s="1985"/>
      <c r="G3" s="1985" t="s">
        <v>4196</v>
      </c>
      <c r="H3" s="1985"/>
      <c r="I3" s="1985"/>
      <c r="J3" s="1985"/>
      <c r="K3" s="1985" t="s">
        <v>5196</v>
      </c>
      <c r="L3" s="1985"/>
      <c r="M3" s="1985"/>
      <c r="N3" s="1985"/>
      <c r="O3" s="3210" t="s">
        <v>5197</v>
      </c>
      <c r="P3" s="1981"/>
    </row>
    <row r="4" spans="1:16" ht="49.5">
      <c r="A4" s="3211"/>
      <c r="B4" s="3210"/>
      <c r="C4" s="1886" t="s">
        <v>3872</v>
      </c>
      <c r="D4" s="1886" t="s">
        <v>5198</v>
      </c>
      <c r="E4" s="1886" t="s">
        <v>4198</v>
      </c>
      <c r="F4" s="1886" t="s">
        <v>4199</v>
      </c>
      <c r="G4" s="1886" t="s">
        <v>3872</v>
      </c>
      <c r="H4" s="1886" t="s">
        <v>5198</v>
      </c>
      <c r="I4" s="1886" t="s">
        <v>4198</v>
      </c>
      <c r="J4" s="1886" t="s">
        <v>4199</v>
      </c>
      <c r="K4" s="1886" t="s">
        <v>3872</v>
      </c>
      <c r="L4" s="1886" t="s">
        <v>5198</v>
      </c>
      <c r="M4" s="1886" t="s">
        <v>4198</v>
      </c>
      <c r="N4" s="1886" t="s">
        <v>4199</v>
      </c>
      <c r="O4" s="3210"/>
      <c r="P4" s="1981"/>
    </row>
    <row r="5" spans="1:16">
      <c r="A5" s="3211"/>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981"/>
    </row>
    <row r="6" spans="1:16" ht="16.5">
      <c r="A6" s="1244">
        <v>1</v>
      </c>
      <c r="B6" s="1371" t="s">
        <v>5199</v>
      </c>
      <c r="C6" s="1986"/>
      <c r="D6" s="1986"/>
      <c r="E6" s="1986"/>
      <c r="F6" s="1986"/>
      <c r="G6" s="1986"/>
      <c r="H6" s="1986"/>
      <c r="I6" s="1986"/>
      <c r="J6" s="1986"/>
      <c r="K6" s="1986"/>
      <c r="L6" s="1986"/>
      <c r="M6" s="1986"/>
      <c r="N6" s="1986"/>
      <c r="O6" s="1987"/>
      <c r="P6" s="1981"/>
    </row>
    <row r="7" spans="1:16" ht="16.5">
      <c r="A7" s="1244">
        <v>2</v>
      </c>
      <c r="B7" s="1371" t="s">
        <v>5200</v>
      </c>
      <c r="C7" s="1986"/>
      <c r="D7" s="1986"/>
      <c r="E7" s="1986"/>
      <c r="F7" s="1986"/>
      <c r="G7" s="1986"/>
      <c r="H7" s="1986"/>
      <c r="I7" s="1986"/>
      <c r="J7" s="1986"/>
      <c r="K7" s="1986"/>
      <c r="L7" s="1986"/>
      <c r="M7" s="1986"/>
      <c r="N7" s="1986"/>
      <c r="O7" s="1987"/>
      <c r="P7" s="1981"/>
    </row>
    <row r="8" spans="1:16" ht="16.5">
      <c r="A8" s="1244">
        <v>3</v>
      </c>
      <c r="B8" s="1371" t="s">
        <v>5201</v>
      </c>
      <c r="C8" s="1986"/>
      <c r="D8" s="1986"/>
      <c r="E8" s="1986"/>
      <c r="F8" s="1986"/>
      <c r="G8" s="1986"/>
      <c r="H8" s="1986"/>
      <c r="I8" s="1986"/>
      <c r="J8" s="1986"/>
      <c r="K8" s="1986"/>
      <c r="L8" s="1986"/>
      <c r="M8" s="1986"/>
      <c r="N8" s="1986"/>
      <c r="O8" s="1987"/>
      <c r="P8" s="1981"/>
    </row>
    <row r="9" spans="1:16" ht="16.5">
      <c r="A9" s="1244">
        <v>4</v>
      </c>
      <c r="B9" s="1371" t="s">
        <v>5202</v>
      </c>
      <c r="C9" s="1986"/>
      <c r="D9" s="1986"/>
      <c r="E9" s="1986"/>
      <c r="F9" s="1986"/>
      <c r="G9" s="1986"/>
      <c r="H9" s="1986"/>
      <c r="I9" s="1986"/>
      <c r="J9" s="1986"/>
      <c r="K9" s="1986"/>
      <c r="L9" s="1986"/>
      <c r="M9" s="1986"/>
      <c r="N9" s="1986"/>
      <c r="O9" s="1987"/>
      <c r="P9" s="1981"/>
    </row>
    <row r="10" spans="1:16" ht="16.5">
      <c r="A10" s="1244">
        <v>5</v>
      </c>
      <c r="B10" s="1371" t="s">
        <v>5203</v>
      </c>
      <c r="C10" s="1986"/>
      <c r="D10" s="1986"/>
      <c r="E10" s="1986"/>
      <c r="F10" s="1986"/>
      <c r="G10" s="1986"/>
      <c r="H10" s="1986"/>
      <c r="I10" s="1986"/>
      <c r="J10" s="1986"/>
      <c r="K10" s="1986"/>
      <c r="L10" s="1986"/>
      <c r="M10" s="1986"/>
      <c r="N10" s="1986"/>
      <c r="O10" s="1987"/>
      <c r="P10" s="1981"/>
    </row>
    <row r="11" spans="1:16" ht="16.5">
      <c r="A11" s="1244">
        <v>6</v>
      </c>
      <c r="B11" s="1371" t="s">
        <v>5204</v>
      </c>
      <c r="C11" s="1986"/>
      <c r="D11" s="1986"/>
      <c r="E11" s="1986"/>
      <c r="F11" s="1986"/>
      <c r="G11" s="1986"/>
      <c r="H11" s="1986"/>
      <c r="I11" s="1986"/>
      <c r="J11" s="1986"/>
      <c r="K11" s="1986"/>
      <c r="L11" s="1986"/>
      <c r="M11" s="1986"/>
      <c r="N11" s="1986"/>
      <c r="O11" s="1987"/>
      <c r="P11" s="1981"/>
    </row>
    <row r="12" spans="1:16" ht="16.5">
      <c r="A12" s="1244">
        <v>7</v>
      </c>
      <c r="B12" s="1371" t="s">
        <v>5205</v>
      </c>
      <c r="C12" s="1986"/>
      <c r="D12" s="1986"/>
      <c r="E12" s="1986"/>
      <c r="F12" s="1986"/>
      <c r="G12" s="1986"/>
      <c r="H12" s="1986"/>
      <c r="I12" s="1986"/>
      <c r="J12" s="1986"/>
      <c r="K12" s="1986"/>
      <c r="L12" s="1986"/>
      <c r="M12" s="1986"/>
      <c r="N12" s="1986"/>
      <c r="O12" s="1987"/>
      <c r="P12" s="1981"/>
    </row>
    <row r="13" spans="1:16" ht="16.5">
      <c r="A13" s="1244">
        <v>8</v>
      </c>
      <c r="B13" s="1371" t="s">
        <v>5206</v>
      </c>
      <c r="C13" s="1986"/>
      <c r="D13" s="1986"/>
      <c r="E13" s="1986"/>
      <c r="F13" s="1986"/>
      <c r="G13" s="1986"/>
      <c r="H13" s="1986"/>
      <c r="I13" s="1986"/>
      <c r="J13" s="1986"/>
      <c r="K13" s="1986"/>
      <c r="L13" s="1986"/>
      <c r="M13" s="1986"/>
      <c r="N13" s="1986"/>
      <c r="O13" s="1987"/>
      <c r="P13" s="1981"/>
    </row>
    <row r="14" spans="1:16" ht="16.5">
      <c r="A14" s="1244">
        <v>9</v>
      </c>
      <c r="B14" s="1371" t="s">
        <v>5207</v>
      </c>
      <c r="C14" s="1986"/>
      <c r="D14" s="1986"/>
      <c r="E14" s="1986"/>
      <c r="F14" s="1986"/>
      <c r="G14" s="1986"/>
      <c r="H14" s="1986"/>
      <c r="I14" s="1986"/>
      <c r="J14" s="1986"/>
      <c r="K14" s="1986"/>
      <c r="L14" s="1986"/>
      <c r="M14" s="1986"/>
      <c r="N14" s="1986"/>
      <c r="O14" s="1987"/>
      <c r="P14" s="1981"/>
    </row>
    <row r="15" spans="1:16" ht="16.5">
      <c r="A15" s="1244">
        <v>10</v>
      </c>
      <c r="B15" s="1371" t="s">
        <v>5208</v>
      </c>
      <c r="C15" s="1986"/>
      <c r="D15" s="1986"/>
      <c r="E15" s="1986"/>
      <c r="F15" s="1986"/>
      <c r="G15" s="1986"/>
      <c r="H15" s="1986"/>
      <c r="I15" s="1986"/>
      <c r="J15" s="1986"/>
      <c r="K15" s="1986"/>
      <c r="L15" s="1986"/>
      <c r="M15" s="1986"/>
      <c r="N15" s="1986"/>
      <c r="O15" s="1987"/>
      <c r="P15" s="1981"/>
    </row>
    <row r="16" spans="1:16" ht="16.5">
      <c r="A16" s="1244">
        <v>11</v>
      </c>
      <c r="B16" s="1371" t="s">
        <v>5209</v>
      </c>
      <c r="C16" s="1986"/>
      <c r="D16" s="1986"/>
      <c r="E16" s="1986"/>
      <c r="F16" s="1986"/>
      <c r="G16" s="1986"/>
      <c r="H16" s="1986"/>
      <c r="I16" s="1986"/>
      <c r="J16" s="1986"/>
      <c r="K16" s="1986"/>
      <c r="L16" s="1986"/>
      <c r="M16" s="1986"/>
      <c r="N16" s="1986"/>
      <c r="O16" s="1987"/>
      <c r="P16" s="1981"/>
    </row>
    <row r="17" spans="1:16" ht="16.5">
      <c r="A17" s="1244">
        <v>12</v>
      </c>
      <c r="B17" s="1371" t="s">
        <v>5210</v>
      </c>
      <c r="C17" s="1986"/>
      <c r="D17" s="1986"/>
      <c r="E17" s="1986"/>
      <c r="F17" s="1986"/>
      <c r="G17" s="1986"/>
      <c r="H17" s="1986"/>
      <c r="I17" s="1986"/>
      <c r="J17" s="1986"/>
      <c r="K17" s="1986"/>
      <c r="L17" s="1986"/>
      <c r="M17" s="1986"/>
      <c r="N17" s="1986"/>
      <c r="O17" s="1987"/>
      <c r="P17" s="1981"/>
    </row>
    <row r="18" spans="1:16" ht="16.5">
      <c r="A18" s="1244">
        <v>13</v>
      </c>
      <c r="B18" s="1371" t="s">
        <v>5211</v>
      </c>
      <c r="C18" s="1986"/>
      <c r="D18" s="1986"/>
      <c r="E18" s="1986"/>
      <c r="F18" s="1986"/>
      <c r="G18" s="1988"/>
      <c r="H18" s="1988"/>
      <c r="I18" s="1988"/>
      <c r="J18" s="1988"/>
      <c r="K18" s="1986"/>
      <c r="L18" s="1986"/>
      <c r="M18" s="1986"/>
      <c r="N18" s="1986"/>
      <c r="O18" s="1987"/>
      <c r="P18" s="1981"/>
    </row>
    <row r="19" spans="1:16" ht="16.5">
      <c r="A19" s="1244">
        <v>14</v>
      </c>
      <c r="B19" s="1371" t="s">
        <v>5212</v>
      </c>
      <c r="C19" s="1986"/>
      <c r="D19" s="1986"/>
      <c r="E19" s="1986"/>
      <c r="F19" s="1986"/>
      <c r="G19" s="1986"/>
      <c r="H19" s="1986"/>
      <c r="I19" s="1986"/>
      <c r="J19" s="1986"/>
      <c r="K19" s="1986"/>
      <c r="L19" s="1986"/>
      <c r="M19" s="1986"/>
      <c r="N19" s="1986"/>
      <c r="O19" s="1987"/>
      <c r="P19" s="1981"/>
    </row>
    <row r="20" spans="1:16" s="1376" customFormat="1" ht="16.5">
      <c r="A20" s="1989" t="s">
        <v>706</v>
      </c>
      <c r="B20" s="1371" t="s">
        <v>5213</v>
      </c>
      <c r="C20" s="1986"/>
      <c r="D20" s="1986"/>
      <c r="E20" s="1986"/>
      <c r="F20" s="1986"/>
      <c r="G20" s="1988"/>
      <c r="H20" s="1988"/>
      <c r="I20" s="1988"/>
      <c r="J20" s="1988"/>
      <c r="K20" s="1986"/>
      <c r="L20" s="1986"/>
      <c r="M20" s="1986"/>
      <c r="N20" s="1986"/>
      <c r="O20" s="1987"/>
      <c r="P20" s="1990"/>
    </row>
    <row r="21" spans="1:16" s="1376" customFormat="1" ht="33">
      <c r="A21" s="1989" t="s">
        <v>707</v>
      </c>
      <c r="B21" s="1371" t="s">
        <v>5214</v>
      </c>
      <c r="C21" s="1986"/>
      <c r="D21" s="1986"/>
      <c r="E21" s="1986"/>
      <c r="F21" s="1986"/>
      <c r="G21" s="1988"/>
      <c r="H21" s="1988"/>
      <c r="I21" s="1988"/>
      <c r="J21" s="1988"/>
      <c r="K21" s="1986"/>
      <c r="L21" s="1986"/>
      <c r="M21" s="1986"/>
      <c r="N21" s="1986"/>
      <c r="O21" s="1987"/>
      <c r="P21" s="1990"/>
    </row>
    <row r="22" spans="1:16" s="1376" customFormat="1" ht="16.5">
      <c r="A22" s="1989" t="s">
        <v>708</v>
      </c>
      <c r="B22" s="1991" t="s">
        <v>3243</v>
      </c>
      <c r="C22" s="1986"/>
      <c r="D22" s="1986"/>
      <c r="E22" s="1986"/>
      <c r="F22" s="1986"/>
      <c r="G22" s="1988"/>
      <c r="H22" s="1988"/>
      <c r="I22" s="1988"/>
      <c r="J22" s="1988"/>
      <c r="K22" s="1986"/>
      <c r="L22" s="1986"/>
      <c r="M22" s="1986"/>
      <c r="N22" s="1986"/>
      <c r="O22" s="1987"/>
      <c r="P22" s="1990"/>
    </row>
    <row r="23" spans="1:16" ht="16.5">
      <c r="A23" s="1989" t="s">
        <v>3244</v>
      </c>
      <c r="B23" s="1992" t="s">
        <v>5215</v>
      </c>
      <c r="C23" s="1986"/>
      <c r="D23" s="1986"/>
      <c r="E23" s="1986"/>
      <c r="F23" s="1986"/>
      <c r="G23" s="1988"/>
      <c r="H23" s="1988"/>
      <c r="I23" s="1988"/>
      <c r="J23" s="1988"/>
      <c r="K23" s="1986"/>
      <c r="L23" s="1986"/>
      <c r="M23" s="1986"/>
      <c r="N23" s="1986"/>
      <c r="O23" s="1987"/>
      <c r="P23" s="1990"/>
    </row>
    <row r="24" spans="1:16" ht="16.5">
      <c r="A24" s="1244">
        <v>16</v>
      </c>
      <c r="B24" s="1992" t="s">
        <v>5216</v>
      </c>
      <c r="C24" s="1986"/>
      <c r="D24" s="1986"/>
      <c r="E24" s="1986"/>
      <c r="F24" s="1986"/>
      <c r="G24" s="1986"/>
      <c r="H24" s="1986"/>
      <c r="I24" s="1986"/>
      <c r="J24" s="1986"/>
      <c r="K24" s="1986"/>
      <c r="L24" s="1986"/>
      <c r="M24" s="1986"/>
      <c r="N24" s="1986"/>
      <c r="O24" s="1987"/>
      <c r="P24" s="1981"/>
    </row>
    <row r="25" spans="1:16" ht="16.5">
      <c r="A25" s="1244">
        <f t="shared" ref="A25:A33" si="0">A24+1</f>
        <v>17</v>
      </c>
      <c r="B25" s="1992" t="s">
        <v>5217</v>
      </c>
      <c r="C25" s="1988"/>
      <c r="D25" s="1988"/>
      <c r="E25" s="1988"/>
      <c r="F25" s="1988"/>
      <c r="G25" s="1986"/>
      <c r="H25" s="1986"/>
      <c r="I25" s="1986"/>
      <c r="J25" s="1986"/>
      <c r="K25" s="1986"/>
      <c r="L25" s="1986"/>
      <c r="M25" s="1986"/>
      <c r="N25" s="1986"/>
      <c r="O25" s="1987"/>
      <c r="P25" s="1981"/>
    </row>
    <row r="26" spans="1:16" ht="16.5">
      <c r="A26" s="1244">
        <f t="shared" si="0"/>
        <v>18</v>
      </c>
      <c r="B26" s="1992" t="s">
        <v>5218</v>
      </c>
      <c r="C26" s="1988"/>
      <c r="D26" s="1988"/>
      <c r="E26" s="1988"/>
      <c r="F26" s="1988"/>
      <c r="G26" s="1986"/>
      <c r="H26" s="1986"/>
      <c r="I26" s="1986"/>
      <c r="J26" s="1986"/>
      <c r="K26" s="1986"/>
      <c r="L26" s="1986"/>
      <c r="M26" s="1986"/>
      <c r="N26" s="1986"/>
      <c r="O26" s="1987"/>
      <c r="P26" s="1981"/>
    </row>
    <row r="27" spans="1:16" ht="16.5">
      <c r="A27" s="1993" t="s">
        <v>658</v>
      </c>
      <c r="B27" s="1992" t="s">
        <v>5219</v>
      </c>
      <c r="C27" s="1988"/>
      <c r="D27" s="1988"/>
      <c r="E27" s="1988"/>
      <c r="F27" s="1988"/>
      <c r="G27" s="1986"/>
      <c r="H27" s="1986"/>
      <c r="I27" s="1986"/>
      <c r="J27" s="1986"/>
      <c r="K27" s="1986"/>
      <c r="L27" s="1986"/>
      <c r="M27" s="1986"/>
      <c r="N27" s="1986"/>
      <c r="O27" s="1987"/>
      <c r="P27" s="1981"/>
    </row>
    <row r="28" spans="1:16" ht="16.5">
      <c r="A28" s="1993" t="s">
        <v>659</v>
      </c>
      <c r="B28" s="1992" t="s">
        <v>5220</v>
      </c>
      <c r="C28" s="1988"/>
      <c r="D28" s="1988"/>
      <c r="E28" s="1988"/>
      <c r="F28" s="1988"/>
      <c r="G28" s="1986"/>
      <c r="H28" s="1986"/>
      <c r="I28" s="1986"/>
      <c r="J28" s="1986"/>
      <c r="K28" s="1986"/>
      <c r="L28" s="1986"/>
      <c r="M28" s="1986"/>
      <c r="N28" s="1986"/>
      <c r="O28" s="1987"/>
      <c r="P28" s="1981"/>
    </row>
    <row r="29" spans="1:16" ht="16.5">
      <c r="A29" s="1993" t="s">
        <v>660</v>
      </c>
      <c r="B29" s="1992" t="s">
        <v>5221</v>
      </c>
      <c r="C29" s="1988"/>
      <c r="D29" s="1988"/>
      <c r="E29" s="1988"/>
      <c r="F29" s="1988"/>
      <c r="G29" s="1986"/>
      <c r="H29" s="1986"/>
      <c r="I29" s="1986"/>
      <c r="J29" s="1986"/>
      <c r="K29" s="1986"/>
      <c r="L29" s="1986"/>
      <c r="M29" s="1986"/>
      <c r="N29" s="1986"/>
      <c r="O29" s="1987"/>
      <c r="P29" s="1981"/>
    </row>
    <row r="30" spans="1:16" ht="16.5">
      <c r="A30" s="1244">
        <v>20</v>
      </c>
      <c r="B30" s="1992" t="s">
        <v>5222</v>
      </c>
      <c r="C30" s="1988"/>
      <c r="D30" s="1988"/>
      <c r="E30" s="1988"/>
      <c r="F30" s="1988"/>
      <c r="G30" s="1986"/>
      <c r="H30" s="1986"/>
      <c r="I30" s="1986"/>
      <c r="J30" s="1986"/>
      <c r="K30" s="1986"/>
      <c r="L30" s="1986"/>
      <c r="M30" s="1986"/>
      <c r="N30" s="1986"/>
      <c r="O30" s="1987"/>
      <c r="P30" s="1981"/>
    </row>
    <row r="31" spans="1:16" ht="16.5">
      <c r="A31" s="1244">
        <f t="shared" si="0"/>
        <v>21</v>
      </c>
      <c r="B31" s="1992" t="s">
        <v>5223</v>
      </c>
      <c r="C31" s="1988"/>
      <c r="D31" s="1988"/>
      <c r="E31" s="1988"/>
      <c r="F31" s="1988"/>
      <c r="G31" s="1986"/>
      <c r="H31" s="1986"/>
      <c r="I31" s="1986"/>
      <c r="J31" s="1986"/>
      <c r="K31" s="1986"/>
      <c r="L31" s="1986"/>
      <c r="M31" s="1986"/>
      <c r="N31" s="1986"/>
      <c r="O31" s="1987"/>
      <c r="P31" s="1981"/>
    </row>
    <row r="32" spans="1:16" ht="16.5">
      <c r="A32" s="1244">
        <f t="shared" si="0"/>
        <v>22</v>
      </c>
      <c r="B32" s="1992" t="s">
        <v>5224</v>
      </c>
      <c r="C32" s="1986"/>
      <c r="D32" s="1986"/>
      <c r="E32" s="1986"/>
      <c r="F32" s="1986"/>
      <c r="G32" s="1986"/>
      <c r="H32" s="1986"/>
      <c r="I32" s="1986"/>
      <c r="J32" s="1986"/>
      <c r="K32" s="1986"/>
      <c r="L32" s="1986"/>
      <c r="M32" s="1986"/>
      <c r="N32" s="1986"/>
      <c r="O32" s="1987"/>
      <c r="P32" s="1981"/>
    </row>
    <row r="33" spans="1:16" ht="16.5">
      <c r="A33" s="1244">
        <f t="shared" si="0"/>
        <v>23</v>
      </c>
      <c r="B33" s="1371" t="s">
        <v>5225</v>
      </c>
      <c r="C33" s="1986"/>
      <c r="D33" s="1986"/>
      <c r="E33" s="1986"/>
      <c r="F33" s="1986"/>
      <c r="G33" s="1986"/>
      <c r="H33" s="1986"/>
      <c r="I33" s="1986"/>
      <c r="J33" s="1986"/>
      <c r="K33" s="1986"/>
      <c r="L33" s="1986"/>
      <c r="M33" s="1986"/>
      <c r="N33" s="1986"/>
      <c r="O33" s="1987"/>
      <c r="P33" s="1981"/>
    </row>
    <row r="34" spans="1:16">
      <c r="A34" s="1994"/>
      <c r="B34" s="1239"/>
      <c r="C34" s="1239"/>
      <c r="D34" s="1239"/>
      <c r="E34" s="1239"/>
      <c r="F34" s="1239"/>
      <c r="G34" s="1239"/>
      <c r="H34" s="1239"/>
      <c r="I34" s="1239"/>
      <c r="J34" s="1239"/>
      <c r="K34" s="1239"/>
      <c r="L34" s="1239"/>
      <c r="M34" s="1239"/>
      <c r="N34" s="1239"/>
      <c r="O34" s="1239"/>
      <c r="P34" s="1981"/>
    </row>
    <row r="35" spans="1:16" ht="49.5">
      <c r="A35" s="3211" t="s">
        <v>4258</v>
      </c>
      <c r="B35" s="1886" t="s">
        <v>5195</v>
      </c>
      <c r="C35" s="1886" t="s">
        <v>3872</v>
      </c>
      <c r="D35" s="1886" t="s">
        <v>5198</v>
      </c>
      <c r="E35" s="1886" t="s">
        <v>4198</v>
      </c>
      <c r="F35" s="1886" t="s">
        <v>4199</v>
      </c>
      <c r="G35" s="1886" t="s">
        <v>5226</v>
      </c>
      <c r="H35" s="1239"/>
      <c r="I35" s="1239"/>
      <c r="J35" s="1239"/>
      <c r="K35" s="1239"/>
      <c r="L35" s="1239"/>
      <c r="M35" s="1239"/>
      <c r="N35" s="1239"/>
      <c r="O35" s="1239"/>
      <c r="P35" s="1981"/>
    </row>
    <row r="36" spans="1:16">
      <c r="A36" s="3211"/>
      <c r="B36" s="1243" t="s">
        <v>661</v>
      </c>
      <c r="C36" s="1243" t="s">
        <v>662</v>
      </c>
      <c r="D36" s="1243" t="s">
        <v>420</v>
      </c>
      <c r="E36" s="1243" t="s">
        <v>424</v>
      </c>
      <c r="F36" s="1243" t="s">
        <v>425</v>
      </c>
      <c r="G36" s="1243" t="s">
        <v>663</v>
      </c>
      <c r="H36" s="1981"/>
      <c r="I36" s="1981"/>
      <c r="J36" s="1981"/>
      <c r="K36" s="1981"/>
      <c r="L36" s="1981"/>
      <c r="M36" s="1981"/>
      <c r="N36" s="1981"/>
      <c r="O36" s="1981"/>
      <c r="P36" s="1981"/>
    </row>
    <row r="37" spans="1:16" ht="16.5">
      <c r="A37" s="1244">
        <v>24</v>
      </c>
      <c r="B37" s="1371" t="s">
        <v>5227</v>
      </c>
      <c r="C37" s="1986"/>
      <c r="D37" s="1986"/>
      <c r="E37" s="1986"/>
      <c r="F37" s="1986"/>
      <c r="G37" s="1986"/>
    </row>
    <row r="38" spans="1:16" ht="16.5">
      <c r="A38" s="1244">
        <v>25</v>
      </c>
      <c r="B38" s="1995" t="s">
        <v>5228</v>
      </c>
      <c r="C38" s="1986"/>
      <c r="D38" s="1986"/>
      <c r="E38" s="1986"/>
      <c r="F38" s="1986"/>
      <c r="G38" s="1986"/>
    </row>
    <row r="39" spans="1:16" ht="16.5">
      <c r="A39" s="1244">
        <v>26</v>
      </c>
      <c r="B39" s="1996" t="s">
        <v>5229</v>
      </c>
      <c r="C39" s="1986"/>
      <c r="D39" s="1986"/>
      <c r="E39" s="1986"/>
      <c r="F39" s="1986"/>
      <c r="G39" s="1986"/>
    </row>
    <row r="40" spans="1:16" ht="16.5">
      <c r="A40" s="1244">
        <v>27</v>
      </c>
      <c r="B40" s="1996" t="s">
        <v>5230</v>
      </c>
      <c r="C40" s="1986"/>
      <c r="D40" s="1986"/>
      <c r="E40" s="1986"/>
      <c r="F40" s="1986"/>
      <c r="G40" s="1988"/>
    </row>
    <row r="41" spans="1:16" ht="16.5">
      <c r="A41" s="1244">
        <v>28</v>
      </c>
      <c r="B41" s="1996" t="s">
        <v>5210</v>
      </c>
      <c r="C41" s="1986"/>
      <c r="D41" s="1986"/>
      <c r="E41" s="1986"/>
      <c r="F41" s="1986"/>
      <c r="G41" s="1986"/>
    </row>
    <row r="42" spans="1:16" ht="16.5">
      <c r="A42" s="1244">
        <v>29</v>
      </c>
      <c r="B42" s="1996" t="s">
        <v>5231</v>
      </c>
      <c r="C42" s="1986"/>
      <c r="D42" s="1986"/>
      <c r="E42" s="1986"/>
      <c r="F42" s="1986"/>
      <c r="G42" s="1988"/>
    </row>
    <row r="43" spans="1:16" ht="16.5">
      <c r="A43" s="1244">
        <v>30</v>
      </c>
      <c r="B43" s="1996" t="s">
        <v>5232</v>
      </c>
      <c r="C43" s="1986"/>
      <c r="D43" s="1986"/>
      <c r="E43" s="1986"/>
      <c r="F43" s="1986"/>
      <c r="G43" s="1988"/>
    </row>
    <row r="44" spans="1:16" ht="16.5">
      <c r="A44" s="1244">
        <v>31</v>
      </c>
      <c r="B44" s="1996" t="s">
        <v>5233</v>
      </c>
      <c r="C44" s="1986"/>
      <c r="D44" s="1986"/>
      <c r="E44" s="1986"/>
      <c r="F44" s="1986"/>
      <c r="G44" s="1988"/>
    </row>
    <row r="45" spans="1:16" ht="16.5">
      <c r="A45" s="1244">
        <v>32</v>
      </c>
      <c r="B45" s="1996" t="s">
        <v>5234</v>
      </c>
      <c r="C45" s="1986"/>
      <c r="D45" s="1986"/>
      <c r="E45" s="1986"/>
      <c r="F45" s="1986"/>
      <c r="G45" s="1988"/>
    </row>
    <row r="46" spans="1:16" ht="16.5">
      <c r="A46" s="1244">
        <v>33</v>
      </c>
      <c r="B46" s="1995" t="s">
        <v>5235</v>
      </c>
      <c r="C46" s="1986"/>
      <c r="D46" s="1986"/>
      <c r="E46" s="1986"/>
      <c r="F46" s="1986"/>
      <c r="G46" s="1986"/>
    </row>
    <row r="47" spans="1:16" ht="16.5">
      <c r="A47" s="1244">
        <v>34</v>
      </c>
      <c r="B47" s="1996" t="s">
        <v>5208</v>
      </c>
      <c r="C47" s="1986"/>
      <c r="D47" s="1986"/>
      <c r="E47" s="1986"/>
      <c r="F47" s="1986"/>
      <c r="G47" s="1986"/>
    </row>
    <row r="48" spans="1:16" ht="16.5">
      <c r="A48" s="1244">
        <v>35</v>
      </c>
      <c r="B48" s="1996" t="s">
        <v>5230</v>
      </c>
      <c r="C48" s="1986"/>
      <c r="D48" s="1986"/>
      <c r="E48" s="1986"/>
      <c r="F48" s="1986"/>
      <c r="G48" s="1988"/>
    </row>
    <row r="49" spans="1:7" ht="16.5">
      <c r="A49" s="1244">
        <v>36</v>
      </c>
      <c r="B49" s="1996" t="s">
        <v>5210</v>
      </c>
      <c r="C49" s="1986"/>
      <c r="D49" s="1986"/>
      <c r="E49" s="1986"/>
      <c r="F49" s="1986"/>
      <c r="G49" s="1986"/>
    </row>
    <row r="50" spans="1:7" ht="16.5">
      <c r="A50" s="1244">
        <v>37</v>
      </c>
      <c r="B50" s="1996" t="s">
        <v>5231</v>
      </c>
      <c r="C50" s="1986"/>
      <c r="D50" s="1986"/>
      <c r="E50" s="1986"/>
      <c r="F50" s="1986"/>
      <c r="G50" s="1988"/>
    </row>
    <row r="51" spans="1:7" ht="16.5">
      <c r="A51" s="1244">
        <v>38</v>
      </c>
      <c r="B51" s="1996" t="s">
        <v>5232</v>
      </c>
      <c r="C51" s="1986"/>
      <c r="D51" s="1986"/>
      <c r="E51" s="1986"/>
      <c r="F51" s="1986"/>
      <c r="G51" s="1988"/>
    </row>
    <row r="52" spans="1:7" ht="16.5">
      <c r="A52" s="1244">
        <v>39</v>
      </c>
      <c r="B52" s="1996" t="s">
        <v>5233</v>
      </c>
      <c r="C52" s="1986"/>
      <c r="D52" s="1986"/>
      <c r="E52" s="1986"/>
      <c r="F52" s="1986"/>
      <c r="G52" s="1988"/>
    </row>
    <row r="53" spans="1:7" ht="16.5">
      <c r="A53" s="1244">
        <v>40</v>
      </c>
      <c r="B53" s="1996" t="s">
        <v>5234</v>
      </c>
      <c r="C53" s="1986"/>
      <c r="D53" s="1986"/>
      <c r="E53" s="1986"/>
      <c r="F53" s="1986"/>
      <c r="G53" s="1988"/>
    </row>
    <row r="54" spans="1:7" ht="16.5">
      <c r="A54" s="1244">
        <v>41</v>
      </c>
      <c r="B54" s="1371" t="s">
        <v>5236</v>
      </c>
      <c r="C54" s="1986"/>
      <c r="D54" s="1986"/>
      <c r="E54" s="1986"/>
      <c r="F54" s="1986"/>
      <c r="G54" s="1986"/>
    </row>
    <row r="55" spans="1:7" ht="16.5">
      <c r="A55" s="1244">
        <v>42</v>
      </c>
      <c r="B55" s="1995" t="s">
        <v>5237</v>
      </c>
      <c r="C55" s="1986"/>
      <c r="D55" s="1986"/>
      <c r="E55" s="1986"/>
      <c r="F55" s="1986"/>
      <c r="G55" s="1986"/>
    </row>
    <row r="56" spans="1:7" ht="16.5">
      <c r="A56" s="1244">
        <v>43</v>
      </c>
      <c r="B56" s="1996" t="s">
        <v>5229</v>
      </c>
      <c r="C56" s="1986"/>
      <c r="D56" s="1986"/>
      <c r="E56" s="1986"/>
      <c r="F56" s="1986"/>
      <c r="G56" s="1986"/>
    </row>
    <row r="57" spans="1:7" ht="16.5">
      <c r="A57" s="1244">
        <v>44</v>
      </c>
      <c r="B57" s="1996" t="s">
        <v>5230</v>
      </c>
      <c r="C57" s="1986"/>
      <c r="D57" s="1986"/>
      <c r="E57" s="1986"/>
      <c r="F57" s="1986"/>
      <c r="G57" s="1988"/>
    </row>
    <row r="58" spans="1:7" ht="16.5">
      <c r="A58" s="1244">
        <v>45</v>
      </c>
      <c r="B58" s="1996" t="s">
        <v>5210</v>
      </c>
      <c r="C58" s="1986"/>
      <c r="D58" s="1986"/>
      <c r="E58" s="1986"/>
      <c r="F58" s="1986"/>
      <c r="G58" s="1986"/>
    </row>
    <row r="59" spans="1:7" ht="16.5">
      <c r="A59" s="1244">
        <v>46</v>
      </c>
      <c r="B59" s="1996" t="s">
        <v>5231</v>
      </c>
      <c r="C59" s="1992"/>
      <c r="D59" s="1992"/>
      <c r="E59" s="1992"/>
      <c r="F59" s="1992"/>
      <c r="G59" s="1988"/>
    </row>
    <row r="60" spans="1:7" ht="16.5">
      <c r="A60" s="1244">
        <v>47</v>
      </c>
      <c r="B60" s="1996" t="s">
        <v>5232</v>
      </c>
      <c r="C60" s="1986"/>
      <c r="D60" s="1986"/>
      <c r="E60" s="1986"/>
      <c r="F60" s="1986"/>
      <c r="G60" s="1988"/>
    </row>
    <row r="61" spans="1:7" ht="16.5">
      <c r="A61" s="1244">
        <v>48</v>
      </c>
      <c r="B61" s="1996" t="s">
        <v>5233</v>
      </c>
      <c r="C61" s="1986"/>
      <c r="D61" s="1986"/>
      <c r="E61" s="1986"/>
      <c r="F61" s="1986"/>
      <c r="G61" s="1988"/>
    </row>
    <row r="62" spans="1:7" ht="16.5">
      <c r="A62" s="1244">
        <v>49</v>
      </c>
      <c r="B62" s="1996" t="s">
        <v>5234</v>
      </c>
      <c r="C62" s="1986"/>
      <c r="D62" s="1986"/>
      <c r="E62" s="1986"/>
      <c r="F62" s="1986"/>
      <c r="G62" s="1988"/>
    </row>
    <row r="63" spans="1:7" ht="16.5">
      <c r="A63" s="1244">
        <v>50</v>
      </c>
      <c r="B63" s="1995" t="s">
        <v>5238</v>
      </c>
      <c r="C63" s="1997"/>
      <c r="D63" s="1997"/>
      <c r="E63" s="1997"/>
      <c r="F63" s="1997"/>
      <c r="G63" s="1997"/>
    </row>
    <row r="64" spans="1:7" ht="16.5">
      <c r="A64" s="1244">
        <v>51</v>
      </c>
      <c r="B64" s="1996" t="s">
        <v>5229</v>
      </c>
      <c r="C64" s="1998"/>
      <c r="D64" s="1998"/>
      <c r="E64" s="1998"/>
      <c r="F64" s="1998"/>
      <c r="G64" s="1986"/>
    </row>
    <row r="65" spans="1:7" ht="16.5">
      <c r="A65" s="1244">
        <v>52</v>
      </c>
      <c r="B65" s="1996" t="s">
        <v>5230</v>
      </c>
      <c r="C65" s="1998"/>
      <c r="D65" s="1998"/>
      <c r="E65" s="1998"/>
      <c r="F65" s="1998"/>
      <c r="G65" s="1988"/>
    </row>
    <row r="66" spans="1:7" ht="16.5">
      <c r="A66" s="1244">
        <v>53</v>
      </c>
      <c r="B66" s="1996" t="s">
        <v>5210</v>
      </c>
      <c r="C66" s="1998"/>
      <c r="D66" s="1998"/>
      <c r="E66" s="1998"/>
      <c r="F66" s="1998"/>
      <c r="G66" s="1986"/>
    </row>
    <row r="67" spans="1:7" ht="16.5">
      <c r="A67" s="1244">
        <v>54</v>
      </c>
      <c r="B67" s="1996" t="s">
        <v>5231</v>
      </c>
      <c r="C67" s="1998"/>
      <c r="D67" s="1998"/>
      <c r="E67" s="1998"/>
      <c r="F67" s="1998"/>
      <c r="G67" s="1988"/>
    </row>
    <row r="68" spans="1:7" ht="16.5">
      <c r="A68" s="1244">
        <v>55</v>
      </c>
      <c r="B68" s="1996" t="s">
        <v>5232</v>
      </c>
      <c r="C68" s="1986"/>
      <c r="D68" s="1986"/>
      <c r="E68" s="1986"/>
      <c r="F68" s="1986"/>
      <c r="G68" s="1988"/>
    </row>
    <row r="69" spans="1:7" ht="16.5">
      <c r="A69" s="1244">
        <v>56</v>
      </c>
      <c r="B69" s="1996" t="s">
        <v>5233</v>
      </c>
      <c r="C69" s="1986"/>
      <c r="D69" s="1986"/>
      <c r="E69" s="1986"/>
      <c r="F69" s="1986"/>
      <c r="G69" s="1988"/>
    </row>
    <row r="70" spans="1:7" ht="16.5">
      <c r="A70" s="1244">
        <v>57</v>
      </c>
      <c r="B70" s="1996" t="s">
        <v>5234</v>
      </c>
      <c r="C70" s="1986"/>
      <c r="D70" s="1986"/>
      <c r="E70" s="1986"/>
      <c r="F70" s="1986"/>
      <c r="G70" s="1988"/>
    </row>
    <row r="71" spans="1:7">
      <c r="A71" s="1376"/>
      <c r="B71" s="1376"/>
      <c r="C71" s="1376"/>
      <c r="D71" s="1376"/>
      <c r="E71" s="1376"/>
      <c r="F71" s="1376"/>
      <c r="G71" s="1376"/>
    </row>
    <row r="72" spans="1:7" ht="16.5">
      <c r="A72" s="1375" t="s">
        <v>5239</v>
      </c>
      <c r="B72" s="1376"/>
      <c r="C72" s="1376"/>
      <c r="D72" s="1376"/>
      <c r="E72" s="1376"/>
      <c r="F72" s="1376"/>
      <c r="G72" s="1376"/>
    </row>
    <row r="73" spans="1:7" ht="16.5">
      <c r="A73" s="1999" t="s">
        <v>709</v>
      </c>
      <c r="B73" s="1231" t="s">
        <v>5240</v>
      </c>
      <c r="C73" s="1376"/>
      <c r="D73" s="1376"/>
      <c r="E73" s="1376"/>
      <c r="F73" s="1376"/>
      <c r="G73" s="1376"/>
    </row>
    <row r="74" spans="1:7" ht="16.5">
      <c r="A74" s="1999" t="s">
        <v>297</v>
      </c>
      <c r="B74" s="1231" t="s">
        <v>5241</v>
      </c>
      <c r="C74" s="1376"/>
      <c r="D74" s="1376"/>
      <c r="E74" s="1376"/>
      <c r="F74" s="1376"/>
      <c r="G74" s="1376"/>
    </row>
    <row r="75" spans="1:7" ht="16.5">
      <c r="A75" s="1999" t="s">
        <v>298</v>
      </c>
      <c r="B75" s="1195" t="s">
        <v>5242</v>
      </c>
      <c r="C75" s="1376"/>
      <c r="D75" s="1376"/>
      <c r="E75" s="1376"/>
      <c r="F75" s="1376"/>
      <c r="G75" s="1376"/>
    </row>
    <row r="76" spans="1:7" ht="16.5">
      <c r="A76" s="1999" t="s">
        <v>299</v>
      </c>
      <c r="B76" s="1195" t="s">
        <v>5243</v>
      </c>
      <c r="C76" s="1376"/>
      <c r="D76" s="1376"/>
      <c r="E76" s="1376"/>
      <c r="F76" s="1376"/>
      <c r="G76" s="1376"/>
    </row>
    <row r="77" spans="1:7" ht="16.5">
      <c r="A77" s="1999" t="s">
        <v>221</v>
      </c>
      <c r="B77" s="1195" t="s">
        <v>5244</v>
      </c>
      <c r="C77" s="1376"/>
      <c r="D77" s="1376"/>
      <c r="E77" s="1376"/>
      <c r="F77" s="1376"/>
      <c r="G77" s="1376"/>
    </row>
    <row r="78" spans="1:7" ht="16.5">
      <c r="A78" s="1999" t="s">
        <v>222</v>
      </c>
      <c r="B78" s="1195" t="s">
        <v>5245</v>
      </c>
      <c r="C78" s="1376"/>
      <c r="D78" s="1376"/>
      <c r="E78" s="1376"/>
      <c r="F78" s="1376"/>
      <c r="G78" s="1376"/>
    </row>
    <row r="79" spans="1:7" ht="16.5">
      <c r="A79" s="1999">
        <v>7</v>
      </c>
      <c r="B79" s="1195" t="s">
        <v>5246</v>
      </c>
      <c r="C79" s="1376"/>
      <c r="D79" s="1376"/>
      <c r="E79" s="1376"/>
      <c r="F79" s="1376"/>
      <c r="G79" s="1376"/>
    </row>
    <row r="80" spans="1:7" ht="16.5">
      <c r="A80" s="1999">
        <v>8</v>
      </c>
      <c r="B80" s="1195" t="s">
        <v>5247</v>
      </c>
      <c r="C80" s="1376"/>
      <c r="D80" s="1376"/>
      <c r="E80" s="1376"/>
      <c r="F80" s="1376"/>
      <c r="G80" s="1376"/>
    </row>
    <row r="81" spans="1:7" ht="16.5">
      <c r="A81" s="1999">
        <v>9</v>
      </c>
      <c r="B81" s="1195" t="s">
        <v>5248</v>
      </c>
      <c r="C81" s="1376"/>
      <c r="D81" s="1376"/>
      <c r="E81" s="1376"/>
      <c r="F81" s="1376"/>
      <c r="G81" s="1376"/>
    </row>
    <row r="82" spans="1:7" ht="16.5">
      <c r="A82" s="1999">
        <v>10</v>
      </c>
      <c r="B82" s="1195" t="s">
        <v>5249</v>
      </c>
      <c r="C82" s="1376"/>
      <c r="D82" s="1376"/>
      <c r="E82" s="1376"/>
      <c r="F82" s="1376"/>
      <c r="G82" s="1376"/>
    </row>
    <row r="83" spans="1:7" ht="16.5">
      <c r="A83" s="1999">
        <v>11</v>
      </c>
      <c r="B83" s="2000" t="s">
        <v>5250</v>
      </c>
    </row>
  </sheetData>
  <mergeCells count="4">
    <mergeCell ref="O3:O4"/>
    <mergeCell ref="A35:A36"/>
    <mergeCell ref="A3:A5"/>
    <mergeCell ref="B3:B4"/>
  </mergeCells>
  <phoneticPr fontId="9"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9">
    <pageSetUpPr fitToPage="1"/>
  </sheetPr>
  <dimension ref="A1:AJ133"/>
  <sheetViews>
    <sheetView showGridLines="0" zoomScale="110" zoomScaleNormal="110" workbookViewId="0"/>
  </sheetViews>
  <sheetFormatPr defaultRowHeight="0" customHeight="1" zeroHeight="1"/>
  <cols>
    <col min="1" max="1" width="6" style="1951" customWidth="1"/>
    <col min="2" max="2" width="4.5" style="1951" customWidth="1"/>
    <col min="3" max="3" width="28.875" style="1951" customWidth="1"/>
    <col min="4" max="4" width="5.375" style="1951" customWidth="1"/>
    <col min="5" max="5" width="10.625" style="1951" customWidth="1"/>
    <col min="6" max="7" width="4.875" style="1951" customWidth="1"/>
    <col min="8" max="8" width="11.5" style="1951" customWidth="1"/>
    <col min="9" max="10" width="10.625" style="1951" customWidth="1"/>
    <col min="11" max="11" width="6.75" style="1951" customWidth="1"/>
    <col min="12" max="12" width="5.625" style="1951" customWidth="1"/>
    <col min="13" max="19" width="12.625" style="1951" customWidth="1"/>
    <col min="20" max="20" width="10.5" style="1951" customWidth="1"/>
    <col min="21" max="21" width="12.75" style="1951" customWidth="1"/>
    <col min="22" max="22" width="12.625" style="1951" customWidth="1"/>
    <col min="23" max="25" width="14.125" style="1951" customWidth="1"/>
    <col min="26" max="27" width="10.5" style="1950" customWidth="1"/>
    <col min="28" max="28" width="12.75" style="1950" customWidth="1"/>
    <col min="29" max="33" width="12.625" style="1950" customWidth="1"/>
    <col min="34" max="34" width="13.625" style="1950" customWidth="1"/>
    <col min="35" max="35" width="10.75" style="1951" customWidth="1"/>
    <col min="36" max="16384" width="9" style="1951"/>
  </cols>
  <sheetData>
    <row r="1" spans="1:3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row>
    <row r="2" spans="1:36" ht="14.25">
      <c r="A2" s="1931" t="s">
        <v>5141</v>
      </c>
      <c r="B2" s="1931"/>
      <c r="C2" s="1931"/>
      <c r="D2" s="1931"/>
      <c r="E2" s="1931"/>
      <c r="F2" s="1931"/>
      <c r="G2" s="1931"/>
      <c r="H2" s="1931"/>
      <c r="I2" s="1931"/>
      <c r="J2" s="1931"/>
      <c r="K2" s="1931"/>
      <c r="L2" s="1931"/>
      <c r="M2" s="1931"/>
      <c r="N2" s="1931"/>
      <c r="O2" s="1931"/>
      <c r="P2" s="1931"/>
      <c r="Q2" s="1931"/>
      <c r="R2" s="1931"/>
      <c r="S2" s="1931"/>
      <c r="T2" s="1931" t="s">
        <v>5106</v>
      </c>
      <c r="U2" s="1931"/>
      <c r="V2" s="1931"/>
      <c r="W2" s="1931"/>
      <c r="X2" s="1931"/>
      <c r="Y2" s="1931"/>
      <c r="Z2" s="1931"/>
      <c r="AA2" s="1931"/>
      <c r="AB2" s="1931"/>
      <c r="AE2" s="1931"/>
      <c r="AF2" s="1931"/>
      <c r="AG2" s="1931"/>
      <c r="AH2" s="1931"/>
    </row>
    <row r="3" spans="1:36" ht="13.9" customHeight="1">
      <c r="A3" s="3252" t="s">
        <v>5107</v>
      </c>
      <c r="B3" s="3244" t="s">
        <v>5142</v>
      </c>
      <c r="C3" s="3253" t="s">
        <v>5143</v>
      </c>
      <c r="D3" s="3245" t="s">
        <v>5144</v>
      </c>
      <c r="E3" s="3252" t="s">
        <v>5145</v>
      </c>
      <c r="F3" s="3244" t="s">
        <v>5146</v>
      </c>
      <c r="G3" s="3244" t="s">
        <v>5147</v>
      </c>
      <c r="H3" s="3244" t="s">
        <v>5148</v>
      </c>
      <c r="I3" s="3244" t="s">
        <v>5149</v>
      </c>
      <c r="J3" s="3244"/>
      <c r="K3" s="3244"/>
      <c r="L3" s="3244" t="s">
        <v>5150</v>
      </c>
      <c r="M3" s="3244" t="s">
        <v>5151</v>
      </c>
      <c r="N3" s="3244" t="s">
        <v>5152</v>
      </c>
      <c r="O3" s="3245" t="s">
        <v>5153</v>
      </c>
      <c r="P3" s="3245" t="s">
        <v>5154</v>
      </c>
      <c r="Q3" s="3244" t="s">
        <v>5155</v>
      </c>
      <c r="R3" s="3246" t="s">
        <v>5156</v>
      </c>
      <c r="S3" s="3248"/>
      <c r="T3" s="3244" t="s">
        <v>5157</v>
      </c>
      <c r="U3" s="3245" t="s">
        <v>5158</v>
      </c>
      <c r="V3" s="3245" t="s">
        <v>5159</v>
      </c>
      <c r="W3" s="3246" t="s">
        <v>5160</v>
      </c>
      <c r="X3" s="3247"/>
      <c r="Y3" s="3248"/>
      <c r="Z3" s="3246" t="s">
        <v>5161</v>
      </c>
      <c r="AA3" s="3247"/>
      <c r="AB3" s="3248"/>
      <c r="AC3" s="3251" t="s">
        <v>5162</v>
      </c>
      <c r="AD3" s="3246" t="s">
        <v>5163</v>
      </c>
      <c r="AE3" s="3247"/>
      <c r="AF3" s="3248"/>
      <c r="AG3" s="3251" t="s">
        <v>5164</v>
      </c>
      <c r="AH3" s="3251" t="s">
        <v>5165</v>
      </c>
      <c r="AI3" s="3249" t="s">
        <v>1952</v>
      </c>
      <c r="AJ3" s="3244" t="s">
        <v>5113</v>
      </c>
    </row>
    <row r="4" spans="1:36" ht="39.75" customHeight="1">
      <c r="A4" s="3252"/>
      <c r="B4" s="3245"/>
      <c r="C4" s="3254"/>
      <c r="D4" s="3255"/>
      <c r="E4" s="3251"/>
      <c r="F4" s="3245"/>
      <c r="G4" s="3245"/>
      <c r="H4" s="3245" t="s">
        <v>5166</v>
      </c>
      <c r="I4" s="1952" t="s">
        <v>5167</v>
      </c>
      <c r="J4" s="1952" t="s">
        <v>5168</v>
      </c>
      <c r="K4" s="1952" t="s">
        <v>5169</v>
      </c>
      <c r="L4" s="3245"/>
      <c r="M4" s="3245"/>
      <c r="N4" s="3245"/>
      <c r="O4" s="3255"/>
      <c r="P4" s="3255"/>
      <c r="Q4" s="3245"/>
      <c r="R4" s="1952" t="s">
        <v>5170</v>
      </c>
      <c r="S4" s="1952" t="s">
        <v>5171</v>
      </c>
      <c r="T4" s="3245"/>
      <c r="U4" s="3255"/>
      <c r="V4" s="3255"/>
      <c r="W4" s="1954" t="s">
        <v>5167</v>
      </c>
      <c r="X4" s="1953" t="s">
        <v>5168</v>
      </c>
      <c r="Y4" s="1953" t="s">
        <v>5172</v>
      </c>
      <c r="Z4" s="1954" t="s">
        <v>5167</v>
      </c>
      <c r="AA4" s="1953" t="s">
        <v>5168</v>
      </c>
      <c r="AB4" s="1953" t="s">
        <v>5172</v>
      </c>
      <c r="AC4" s="3250"/>
      <c r="AD4" s="1954" t="s">
        <v>5167</v>
      </c>
      <c r="AE4" s="1953" t="s">
        <v>5168</v>
      </c>
      <c r="AF4" s="1953" t="s">
        <v>5172</v>
      </c>
      <c r="AG4" s="3256"/>
      <c r="AH4" s="3250"/>
      <c r="AI4" s="3250"/>
      <c r="AJ4" s="3245"/>
    </row>
    <row r="5" spans="1:36" ht="27">
      <c r="A5" s="3252"/>
      <c r="B5" s="1955" t="s">
        <v>422</v>
      </c>
      <c r="C5" s="1955" t="s">
        <v>423</v>
      </c>
      <c r="D5" s="1955" t="s">
        <v>171</v>
      </c>
      <c r="E5" s="1955" t="s">
        <v>172</v>
      </c>
      <c r="F5" s="1955" t="s">
        <v>173</v>
      </c>
      <c r="G5" s="1955" t="s">
        <v>174</v>
      </c>
      <c r="H5" s="1955" t="s">
        <v>175</v>
      </c>
      <c r="I5" s="1955" t="s">
        <v>176</v>
      </c>
      <c r="J5" s="1955" t="s">
        <v>177</v>
      </c>
      <c r="K5" s="1955" t="s">
        <v>178</v>
      </c>
      <c r="L5" s="1955" t="s">
        <v>179</v>
      </c>
      <c r="M5" s="1955" t="s">
        <v>180</v>
      </c>
      <c r="N5" s="1955" t="s">
        <v>416</v>
      </c>
      <c r="O5" s="1955" t="s">
        <v>417</v>
      </c>
      <c r="P5" s="1955" t="s">
        <v>418</v>
      </c>
      <c r="Q5" s="1955" t="s">
        <v>419</v>
      </c>
      <c r="R5" s="1955" t="s">
        <v>420</v>
      </c>
      <c r="S5" s="1955" t="s">
        <v>79</v>
      </c>
      <c r="T5" s="1955" t="s">
        <v>80</v>
      </c>
      <c r="U5" s="1955" t="s">
        <v>81</v>
      </c>
      <c r="V5" s="1955" t="s">
        <v>82</v>
      </c>
      <c r="W5" s="1955" t="s">
        <v>83</v>
      </c>
      <c r="X5" s="1955" t="s">
        <v>84</v>
      </c>
      <c r="Y5" s="1955" t="s">
        <v>144</v>
      </c>
      <c r="Z5" s="1955" t="s">
        <v>300</v>
      </c>
      <c r="AA5" s="1955" t="s">
        <v>301</v>
      </c>
      <c r="AB5" s="1955" t="s">
        <v>302</v>
      </c>
      <c r="AC5" s="1955" t="s">
        <v>303</v>
      </c>
      <c r="AD5" s="1955" t="s">
        <v>304</v>
      </c>
      <c r="AE5" s="1955" t="s">
        <v>236</v>
      </c>
      <c r="AF5" s="1955" t="s">
        <v>85</v>
      </c>
      <c r="AG5" s="1955" t="s">
        <v>86</v>
      </c>
      <c r="AH5" s="1955" t="s">
        <v>2</v>
      </c>
      <c r="AI5" s="1955" t="s">
        <v>87</v>
      </c>
      <c r="AJ5" s="1955" t="s">
        <v>88</v>
      </c>
    </row>
    <row r="6" spans="1:36" ht="13.5">
      <c r="A6" s="1956" t="s">
        <v>235</v>
      </c>
      <c r="B6" s="1957"/>
      <c r="C6" s="1958"/>
      <c r="D6" s="1958"/>
      <c r="E6" s="1957"/>
      <c r="F6" s="1957"/>
      <c r="G6" s="1959"/>
      <c r="H6" s="1957"/>
      <c r="I6" s="1960"/>
      <c r="J6" s="1957"/>
      <c r="K6" s="1957"/>
      <c r="L6" s="1957"/>
      <c r="M6" s="1961">
        <v>200</v>
      </c>
      <c r="N6" s="1961"/>
      <c r="O6" s="1961"/>
      <c r="P6" s="1961">
        <v>30</v>
      </c>
      <c r="Q6" s="1961">
        <v>230</v>
      </c>
      <c r="R6" s="1957">
        <v>50</v>
      </c>
      <c r="S6" s="1957">
        <v>6</v>
      </c>
      <c r="T6" s="1961">
        <f>Q6-R6-S6</f>
        <v>174</v>
      </c>
      <c r="U6" s="1961">
        <f>P6-S6</f>
        <v>24</v>
      </c>
      <c r="V6" s="1961">
        <f>T6-U6</f>
        <v>150</v>
      </c>
      <c r="W6" s="1960"/>
      <c r="X6" s="1957"/>
      <c r="Y6" s="1961"/>
      <c r="Z6" s="1961"/>
      <c r="AA6" s="1961"/>
      <c r="AB6" s="1961"/>
      <c r="AC6" s="1960"/>
      <c r="AD6" s="1960"/>
      <c r="AE6" s="1957"/>
      <c r="AF6" s="1961"/>
      <c r="AG6" s="1961">
        <v>0</v>
      </c>
      <c r="AH6" s="1962"/>
      <c r="AI6" s="1957"/>
      <c r="AJ6" s="1957"/>
    </row>
    <row r="7" spans="1:36" ht="13.5">
      <c r="A7" s="1956" t="s">
        <v>297</v>
      </c>
      <c r="B7" s="1957"/>
      <c r="C7" s="1958"/>
      <c r="D7" s="1958"/>
      <c r="E7" s="1957"/>
      <c r="F7" s="1957"/>
      <c r="G7" s="1957"/>
      <c r="H7" s="1957"/>
      <c r="I7" s="1960"/>
      <c r="J7" s="1957"/>
      <c r="K7" s="1957"/>
      <c r="L7" s="1957"/>
      <c r="M7" s="1961"/>
      <c r="N7" s="1961"/>
      <c r="O7" s="1961"/>
      <c r="P7" s="1961"/>
      <c r="Q7" s="1961"/>
      <c r="R7" s="1957"/>
      <c r="S7" s="1957"/>
      <c r="T7" s="1961"/>
      <c r="U7" s="1961"/>
      <c r="V7" s="1961"/>
      <c r="W7" s="1960"/>
      <c r="X7" s="1957"/>
      <c r="Y7" s="1961"/>
      <c r="Z7" s="1961"/>
      <c r="AA7" s="1961"/>
      <c r="AB7" s="1961"/>
      <c r="AC7" s="1960"/>
      <c r="AD7" s="1960"/>
      <c r="AE7" s="1957"/>
      <c r="AF7" s="1961"/>
      <c r="AG7" s="1961"/>
      <c r="AH7" s="1962"/>
      <c r="AI7" s="1957"/>
      <c r="AJ7" s="1957"/>
    </row>
    <row r="8" spans="1:36" ht="13.5">
      <c r="A8" s="1956" t="s">
        <v>298</v>
      </c>
      <c r="B8" s="1957"/>
      <c r="C8" s="1958"/>
      <c r="D8" s="1958"/>
      <c r="E8" s="1957"/>
      <c r="F8" s="1957"/>
      <c r="G8" s="1957"/>
      <c r="H8" s="1957"/>
      <c r="I8" s="1960"/>
      <c r="J8" s="1957"/>
      <c r="K8" s="1957"/>
      <c r="L8" s="1957"/>
      <c r="M8" s="1961"/>
      <c r="N8" s="1961"/>
      <c r="O8" s="1961"/>
      <c r="P8" s="1961"/>
      <c r="Q8" s="1961"/>
      <c r="R8" s="1957"/>
      <c r="S8" s="1957"/>
      <c r="T8" s="1961"/>
      <c r="U8" s="1961"/>
      <c r="V8" s="1961"/>
      <c r="W8" s="1960"/>
      <c r="X8" s="1957"/>
      <c r="Y8" s="1961"/>
      <c r="Z8" s="1961"/>
      <c r="AA8" s="1961"/>
      <c r="AB8" s="1961"/>
      <c r="AC8" s="1960"/>
      <c r="AD8" s="1960"/>
      <c r="AE8" s="1957"/>
      <c r="AF8" s="1961"/>
      <c r="AG8" s="1961"/>
      <c r="AH8" s="1962"/>
      <c r="AI8" s="1957"/>
      <c r="AJ8" s="1957"/>
    </row>
    <row r="9" spans="1:36" ht="13.5">
      <c r="A9" s="1956" t="s">
        <v>299</v>
      </c>
      <c r="B9" s="1957"/>
      <c r="C9" s="1958"/>
      <c r="D9" s="1958"/>
      <c r="E9" s="1957"/>
      <c r="F9" s="1957"/>
      <c r="G9" s="1957"/>
      <c r="H9" s="1957"/>
      <c r="I9" s="1960"/>
      <c r="J9" s="1957"/>
      <c r="K9" s="1957"/>
      <c r="L9" s="1957"/>
      <c r="M9" s="1961"/>
      <c r="N9" s="1961"/>
      <c r="O9" s="1961"/>
      <c r="P9" s="1961"/>
      <c r="Q9" s="1961"/>
      <c r="R9" s="1957"/>
      <c r="S9" s="1957"/>
      <c r="T9" s="1961"/>
      <c r="U9" s="1961"/>
      <c r="V9" s="1961"/>
      <c r="W9" s="1960"/>
      <c r="X9" s="1957"/>
      <c r="Y9" s="1961"/>
      <c r="Z9" s="1961"/>
      <c r="AA9" s="1961"/>
      <c r="AB9" s="1961"/>
      <c r="AC9" s="1960"/>
      <c r="AD9" s="1960"/>
      <c r="AE9" s="1957"/>
      <c r="AF9" s="1961"/>
      <c r="AG9" s="1961"/>
      <c r="AH9" s="1962"/>
      <c r="AI9" s="1957"/>
      <c r="AJ9" s="1957"/>
    </row>
    <row r="10" spans="1:36" ht="13.5">
      <c r="A10" s="1956" t="s">
        <v>221</v>
      </c>
      <c r="B10" s="1957"/>
      <c r="C10" s="1958"/>
      <c r="D10" s="1958"/>
      <c r="E10" s="1957"/>
      <c r="F10" s="1957"/>
      <c r="G10" s="1957"/>
      <c r="H10" s="1957"/>
      <c r="I10" s="1960"/>
      <c r="J10" s="1957"/>
      <c r="K10" s="1957"/>
      <c r="L10" s="1957"/>
      <c r="M10" s="1961"/>
      <c r="N10" s="1961"/>
      <c r="O10" s="1961"/>
      <c r="P10" s="1961"/>
      <c r="Q10" s="1961"/>
      <c r="R10" s="1957"/>
      <c r="S10" s="1957"/>
      <c r="T10" s="1961"/>
      <c r="U10" s="1961"/>
      <c r="V10" s="1961"/>
      <c r="W10" s="1960"/>
      <c r="X10" s="1957"/>
      <c r="Y10" s="1961"/>
      <c r="Z10" s="1961"/>
      <c r="AA10" s="1961"/>
      <c r="AB10" s="1961"/>
      <c r="AC10" s="1960"/>
      <c r="AD10" s="1960"/>
      <c r="AE10" s="1957"/>
      <c r="AF10" s="1961"/>
      <c r="AG10" s="1961"/>
      <c r="AH10" s="1962"/>
      <c r="AI10" s="1957"/>
      <c r="AJ10" s="1957"/>
    </row>
    <row r="11" spans="1:36" ht="13.5">
      <c r="A11" s="1956" t="s">
        <v>222</v>
      </c>
      <c r="B11" s="1957"/>
      <c r="C11" s="1958"/>
      <c r="D11" s="1958"/>
      <c r="E11" s="1957"/>
      <c r="F11" s="1957"/>
      <c r="G11" s="1957"/>
      <c r="H11" s="1957"/>
      <c r="I11" s="1960"/>
      <c r="J11" s="1957"/>
      <c r="K11" s="1957"/>
      <c r="L11" s="1957"/>
      <c r="M11" s="1961"/>
      <c r="N11" s="1961"/>
      <c r="O11" s="1961"/>
      <c r="P11" s="1961"/>
      <c r="Q11" s="1961"/>
      <c r="R11" s="1957"/>
      <c r="S11" s="1957"/>
      <c r="T11" s="1961"/>
      <c r="U11" s="1961"/>
      <c r="V11" s="1961"/>
      <c r="W11" s="1960"/>
      <c r="X11" s="1957"/>
      <c r="Y11" s="1961"/>
      <c r="Z11" s="1961"/>
      <c r="AA11" s="1961"/>
      <c r="AB11" s="1961"/>
      <c r="AC11" s="1960"/>
      <c r="AD11" s="1960"/>
      <c r="AE11" s="1957"/>
      <c r="AF11" s="1961"/>
      <c r="AG11" s="1961"/>
      <c r="AH11" s="1962"/>
      <c r="AI11" s="1957"/>
      <c r="AJ11" s="1957"/>
    </row>
    <row r="12" spans="1:36" ht="13.5">
      <c r="A12" s="1956" t="s">
        <v>223</v>
      </c>
      <c r="B12" s="1963"/>
      <c r="C12" s="1964"/>
      <c r="D12" s="1965"/>
      <c r="E12" s="1966"/>
      <c r="F12" s="1966"/>
      <c r="G12" s="1966"/>
      <c r="H12" s="1966"/>
      <c r="I12" s="1967"/>
      <c r="J12" s="1966"/>
      <c r="K12" s="1966"/>
      <c r="L12" s="1966"/>
      <c r="M12" s="1968"/>
      <c r="N12" s="1968"/>
      <c r="O12" s="1968"/>
      <c r="P12" s="1968"/>
      <c r="Q12" s="1968"/>
      <c r="R12" s="1966"/>
      <c r="S12" s="1966"/>
      <c r="T12" s="1968"/>
      <c r="U12" s="1968"/>
      <c r="V12" s="1968"/>
      <c r="W12" s="1967"/>
      <c r="X12" s="1966"/>
      <c r="Y12" s="1968"/>
      <c r="Z12" s="1968"/>
      <c r="AA12" s="1968"/>
      <c r="AB12" s="1968"/>
      <c r="AC12" s="1967"/>
      <c r="AD12" s="1967"/>
      <c r="AE12" s="1966"/>
      <c r="AF12" s="1968"/>
      <c r="AG12" s="1968"/>
      <c r="AH12" s="1962"/>
      <c r="AI12" s="1966"/>
      <c r="AJ12" s="1966"/>
    </row>
    <row r="13" spans="1:36" ht="13.5">
      <c r="A13" s="1956" t="s">
        <v>224</v>
      </c>
      <c r="B13" s="1969"/>
      <c r="C13" s="1969"/>
      <c r="D13" s="1969"/>
      <c r="E13" s="1969"/>
      <c r="F13" s="1969"/>
      <c r="G13" s="1969"/>
      <c r="H13" s="1969"/>
      <c r="I13" s="1970"/>
      <c r="J13" s="1971"/>
      <c r="K13" s="1971"/>
      <c r="L13" s="1971"/>
      <c r="M13" s="1972"/>
      <c r="N13" s="1972"/>
      <c r="O13" s="1972"/>
      <c r="P13" s="1972"/>
      <c r="Q13" s="1972"/>
      <c r="R13" s="1971"/>
      <c r="S13" s="1971"/>
      <c r="T13" s="1972"/>
      <c r="U13" s="1972"/>
      <c r="V13" s="1972"/>
      <c r="W13" s="1970"/>
      <c r="X13" s="1971"/>
      <c r="Y13" s="1972"/>
      <c r="Z13" s="1972"/>
      <c r="AA13" s="1972"/>
      <c r="AB13" s="1972"/>
      <c r="AC13" s="1970"/>
      <c r="AD13" s="1970"/>
      <c r="AE13" s="1971"/>
      <c r="AF13" s="1972"/>
      <c r="AG13" s="1972"/>
      <c r="AH13" s="1962"/>
      <c r="AI13" s="1971"/>
      <c r="AJ13" s="1971"/>
    </row>
    <row r="14" spans="1:36" ht="13.5">
      <c r="A14" s="1956" t="s">
        <v>225</v>
      </c>
      <c r="B14" s="1969"/>
      <c r="C14" s="1969"/>
      <c r="D14" s="1969"/>
      <c r="E14" s="1969"/>
      <c r="F14" s="1969"/>
      <c r="G14" s="1969"/>
      <c r="H14" s="1969"/>
      <c r="I14" s="1970"/>
      <c r="J14" s="1971"/>
      <c r="K14" s="1971"/>
      <c r="L14" s="1971"/>
      <c r="M14" s="1972"/>
      <c r="N14" s="1972"/>
      <c r="O14" s="1972"/>
      <c r="P14" s="1972"/>
      <c r="Q14" s="1972"/>
      <c r="R14" s="1971"/>
      <c r="S14" s="1971"/>
      <c r="T14" s="1972"/>
      <c r="U14" s="1972"/>
      <c r="V14" s="1972"/>
      <c r="W14" s="1970"/>
      <c r="X14" s="1971"/>
      <c r="Y14" s="1972"/>
      <c r="Z14" s="1972"/>
      <c r="AA14" s="1972"/>
      <c r="AB14" s="1972"/>
      <c r="AC14" s="1970"/>
      <c r="AD14" s="1970"/>
      <c r="AE14" s="1971"/>
      <c r="AF14" s="1972"/>
      <c r="AG14" s="1972"/>
      <c r="AH14" s="1962"/>
      <c r="AI14" s="1971"/>
      <c r="AJ14" s="1971"/>
    </row>
    <row r="15" spans="1:36" ht="13.5">
      <c r="A15" s="1956" t="s">
        <v>226</v>
      </c>
      <c r="B15" s="1969"/>
      <c r="C15" s="1969"/>
      <c r="D15" s="1969"/>
      <c r="E15" s="1969"/>
      <c r="F15" s="1969"/>
      <c r="G15" s="1969"/>
      <c r="H15" s="1969"/>
      <c r="I15" s="1970"/>
      <c r="J15" s="1971"/>
      <c r="K15" s="1971"/>
      <c r="L15" s="1971"/>
      <c r="M15" s="1972"/>
      <c r="N15" s="1972"/>
      <c r="O15" s="1972"/>
      <c r="P15" s="1972"/>
      <c r="Q15" s="1972"/>
      <c r="R15" s="1971"/>
      <c r="S15" s="1971"/>
      <c r="T15" s="1972"/>
      <c r="U15" s="1972"/>
      <c r="V15" s="1972"/>
      <c r="W15" s="1970"/>
      <c r="X15" s="1971"/>
      <c r="Y15" s="1972"/>
      <c r="Z15" s="1972"/>
      <c r="AA15" s="1972"/>
      <c r="AB15" s="1972"/>
      <c r="AC15" s="1970"/>
      <c r="AD15" s="1970"/>
      <c r="AE15" s="1971"/>
      <c r="AF15" s="1972"/>
      <c r="AG15" s="1972"/>
      <c r="AH15" s="1962"/>
      <c r="AI15" s="1971"/>
      <c r="AJ15" s="1971"/>
    </row>
    <row r="16" spans="1:36" ht="13.5">
      <c r="A16" s="1956" t="s">
        <v>227</v>
      </c>
      <c r="B16" s="1969"/>
      <c r="C16" s="1969"/>
      <c r="D16" s="1969"/>
      <c r="E16" s="1969"/>
      <c r="F16" s="1969"/>
      <c r="G16" s="1969"/>
      <c r="H16" s="1969"/>
      <c r="I16" s="1970"/>
      <c r="J16" s="1971"/>
      <c r="K16" s="1971"/>
      <c r="L16" s="1971"/>
      <c r="M16" s="1972"/>
      <c r="N16" s="1972"/>
      <c r="O16" s="1972"/>
      <c r="P16" s="1972"/>
      <c r="Q16" s="1972"/>
      <c r="R16" s="1971"/>
      <c r="S16" s="1971"/>
      <c r="T16" s="1972"/>
      <c r="U16" s="1972"/>
      <c r="V16" s="1972"/>
      <c r="W16" s="1970"/>
      <c r="X16" s="1971"/>
      <c r="Y16" s="1972"/>
      <c r="Z16" s="1972"/>
      <c r="AA16" s="1972"/>
      <c r="AB16" s="1972"/>
      <c r="AC16" s="1970"/>
      <c r="AD16" s="1970"/>
      <c r="AE16" s="1971"/>
      <c r="AF16" s="1972"/>
      <c r="AG16" s="1972"/>
      <c r="AH16" s="1962"/>
      <c r="AI16" s="1971"/>
      <c r="AJ16" s="1971"/>
    </row>
    <row r="17" spans="1:36" ht="13.5">
      <c r="A17" s="1956" t="s">
        <v>228</v>
      </c>
      <c r="B17" s="1969"/>
      <c r="C17" s="1969"/>
      <c r="D17" s="1971"/>
      <c r="E17" s="1969"/>
      <c r="F17" s="1969"/>
      <c r="G17" s="1969"/>
      <c r="H17" s="1969"/>
      <c r="I17" s="1970"/>
      <c r="J17" s="1971"/>
      <c r="K17" s="1971"/>
      <c r="L17" s="1971"/>
      <c r="M17" s="1972"/>
      <c r="N17" s="1972"/>
      <c r="O17" s="1972"/>
      <c r="P17" s="1972"/>
      <c r="Q17" s="1972"/>
      <c r="R17" s="1971"/>
      <c r="S17" s="1971"/>
      <c r="T17" s="1972"/>
      <c r="U17" s="1972"/>
      <c r="V17" s="1972"/>
      <c r="W17" s="1970"/>
      <c r="X17" s="1971"/>
      <c r="Y17" s="1972"/>
      <c r="Z17" s="1972"/>
      <c r="AA17" s="1972"/>
      <c r="AB17" s="1972"/>
      <c r="AC17" s="1970"/>
      <c r="AD17" s="1970"/>
      <c r="AE17" s="1971"/>
      <c r="AF17" s="1972"/>
      <c r="AG17" s="1972"/>
      <c r="AH17" s="1962"/>
      <c r="AI17" s="1971"/>
      <c r="AJ17" s="1971"/>
    </row>
    <row r="18" spans="1:36" ht="13.5">
      <c r="A18" s="1956" t="s">
        <v>229</v>
      </c>
      <c r="B18" s="1969"/>
      <c r="C18" s="1969"/>
      <c r="D18" s="1971"/>
      <c r="E18" s="1969"/>
      <c r="F18" s="1969"/>
      <c r="G18" s="1969"/>
      <c r="H18" s="1969"/>
      <c r="I18" s="1970"/>
      <c r="J18" s="1971"/>
      <c r="K18" s="1971"/>
      <c r="L18" s="1971"/>
      <c r="M18" s="1972"/>
      <c r="N18" s="1972"/>
      <c r="O18" s="1972"/>
      <c r="P18" s="1972"/>
      <c r="Q18" s="1972"/>
      <c r="R18" s="1971"/>
      <c r="S18" s="1971"/>
      <c r="T18" s="1972"/>
      <c r="U18" s="1972"/>
      <c r="V18" s="1972"/>
      <c r="W18" s="1970"/>
      <c r="X18" s="1971"/>
      <c r="Y18" s="1972"/>
      <c r="Z18" s="1972"/>
      <c r="AA18" s="1972"/>
      <c r="AB18" s="1972"/>
      <c r="AC18" s="1970"/>
      <c r="AD18" s="1970"/>
      <c r="AE18" s="1971"/>
      <c r="AF18" s="1972"/>
      <c r="AG18" s="1972"/>
      <c r="AH18" s="1962"/>
      <c r="AI18" s="1971"/>
      <c r="AJ18" s="1971"/>
    </row>
    <row r="19" spans="1:36" ht="13.5">
      <c r="A19" s="1956" t="s">
        <v>230</v>
      </c>
      <c r="B19" s="1969"/>
      <c r="C19" s="1969"/>
      <c r="D19" s="1969"/>
      <c r="E19" s="1969"/>
      <c r="F19" s="1969"/>
      <c r="G19" s="1969"/>
      <c r="H19" s="1969"/>
      <c r="I19" s="1970"/>
      <c r="J19" s="1971"/>
      <c r="K19" s="1971"/>
      <c r="L19" s="1971"/>
      <c r="M19" s="1972"/>
      <c r="N19" s="1972"/>
      <c r="O19" s="1972"/>
      <c r="P19" s="1972"/>
      <c r="Q19" s="1972"/>
      <c r="R19" s="1971"/>
      <c r="S19" s="1971"/>
      <c r="T19" s="1972"/>
      <c r="U19" s="1972"/>
      <c r="V19" s="1972"/>
      <c r="W19" s="1970"/>
      <c r="X19" s="1971"/>
      <c r="Y19" s="1972"/>
      <c r="Z19" s="1972"/>
      <c r="AA19" s="1972"/>
      <c r="AB19" s="1972"/>
      <c r="AC19" s="1970"/>
      <c r="AD19" s="1970"/>
      <c r="AE19" s="1971"/>
      <c r="AF19" s="1972"/>
      <c r="AG19" s="1972"/>
      <c r="AH19" s="1962"/>
      <c r="AI19" s="1971"/>
      <c r="AJ19" s="1971"/>
    </row>
    <row r="20" spans="1:36" ht="13.5">
      <c r="A20" s="1956" t="s">
        <v>231</v>
      </c>
      <c r="B20" s="1969"/>
      <c r="C20" s="1969"/>
      <c r="D20" s="1969"/>
      <c r="E20" s="1969"/>
      <c r="F20" s="1969"/>
      <c r="G20" s="1969"/>
      <c r="H20" s="1969"/>
      <c r="I20" s="1970"/>
      <c r="J20" s="1971"/>
      <c r="K20" s="1971"/>
      <c r="L20" s="1971"/>
      <c r="M20" s="1972"/>
      <c r="N20" s="1972"/>
      <c r="O20" s="1972"/>
      <c r="P20" s="1972"/>
      <c r="Q20" s="1972"/>
      <c r="R20" s="1971"/>
      <c r="S20" s="1971"/>
      <c r="T20" s="1972"/>
      <c r="U20" s="1972"/>
      <c r="V20" s="1972"/>
      <c r="W20" s="1970"/>
      <c r="X20" s="1971"/>
      <c r="Y20" s="1972"/>
      <c r="Z20" s="1972"/>
      <c r="AA20" s="1972"/>
      <c r="AB20" s="1972"/>
      <c r="AC20" s="1970"/>
      <c r="AD20" s="1970"/>
      <c r="AE20" s="1971"/>
      <c r="AF20" s="1972"/>
      <c r="AG20" s="1972"/>
      <c r="AH20" s="1962"/>
      <c r="AI20" s="1971"/>
      <c r="AJ20" s="1971"/>
    </row>
    <row r="21" spans="1:36" ht="14.25">
      <c r="A21" s="1956" t="s">
        <v>5173</v>
      </c>
      <c r="B21" s="1973"/>
      <c r="C21" s="1973"/>
      <c r="D21" s="1973"/>
      <c r="E21" s="1973"/>
      <c r="F21" s="1973"/>
      <c r="G21" s="1973"/>
      <c r="H21" s="1973"/>
      <c r="I21" s="1974"/>
      <c r="J21" s="1975"/>
      <c r="K21" s="1975"/>
      <c r="L21" s="1975"/>
      <c r="M21" s="1972"/>
      <c r="N21" s="1972"/>
      <c r="O21" s="1972"/>
      <c r="P21" s="1972"/>
      <c r="Q21" s="1972"/>
      <c r="R21" s="1971"/>
      <c r="S21" s="1971"/>
      <c r="T21" s="1972"/>
      <c r="U21" s="1972"/>
      <c r="V21" s="1972"/>
      <c r="W21" s="1975"/>
      <c r="X21" s="1975"/>
      <c r="Y21" s="1972"/>
      <c r="Z21" s="1975"/>
      <c r="AA21" s="1975"/>
      <c r="AB21" s="1972"/>
      <c r="AC21" s="1975"/>
      <c r="AD21" s="1975"/>
      <c r="AE21" s="1975"/>
      <c r="AF21" s="1972"/>
      <c r="AG21" s="1972"/>
      <c r="AH21" s="1962"/>
      <c r="AI21" s="1971"/>
      <c r="AJ21" s="1971"/>
    </row>
    <row r="22" spans="1:36" ht="14.25">
      <c r="A22" s="1976" t="s">
        <v>5174</v>
      </c>
      <c r="B22" s="1976"/>
      <c r="C22" s="1976"/>
      <c r="D22" s="1976"/>
      <c r="E22" s="1976"/>
      <c r="F22" s="1976"/>
      <c r="G22" s="1976"/>
      <c r="H22" s="1976"/>
      <c r="I22" s="1976"/>
      <c r="J22" s="1976"/>
      <c r="K22" s="1976"/>
      <c r="L22" s="1976"/>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row>
    <row r="23" spans="1:36" ht="14.25">
      <c r="A23" s="1935">
        <v>1</v>
      </c>
      <c r="B23" s="1976" t="s">
        <v>5175</v>
      </c>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row>
    <row r="24" spans="1:36" ht="14.25">
      <c r="A24" s="1935">
        <v>2</v>
      </c>
      <c r="B24" s="1976" t="s">
        <v>5176</v>
      </c>
      <c r="C24" s="1976"/>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row>
    <row r="25" spans="1:36" ht="14.25">
      <c r="A25" s="1935">
        <v>3</v>
      </c>
      <c r="B25" s="1977" t="s">
        <v>5177</v>
      </c>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row>
    <row r="26" spans="1:36" ht="14.25">
      <c r="A26" s="1935">
        <v>4</v>
      </c>
      <c r="B26" s="1977" t="s">
        <v>5178</v>
      </c>
      <c r="C26" s="1977"/>
      <c r="D26" s="1977"/>
      <c r="E26" s="1977"/>
      <c r="F26" s="1977"/>
      <c r="G26" s="1977"/>
      <c r="H26" s="1977"/>
      <c r="I26" s="1977"/>
      <c r="J26" s="1977"/>
      <c r="K26" s="1977"/>
      <c r="L26" s="197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row>
    <row r="27" spans="1:36" ht="15.75">
      <c r="A27" s="1935">
        <v>5</v>
      </c>
      <c r="B27" s="1977" t="s">
        <v>5179</v>
      </c>
      <c r="C27" s="1977"/>
      <c r="D27" s="1977"/>
      <c r="E27" s="1977"/>
      <c r="F27" s="1977"/>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1977"/>
      <c r="AC27" s="1978"/>
      <c r="AD27" s="1977"/>
      <c r="AE27" s="1977"/>
      <c r="AF27" s="1977"/>
      <c r="AG27" s="1977"/>
      <c r="AH27" s="1977"/>
    </row>
    <row r="28" spans="1:36" ht="13.9" customHeight="1">
      <c r="A28" s="1935">
        <v>6</v>
      </c>
      <c r="B28" s="3257" t="s">
        <v>5180</v>
      </c>
      <c r="C28" s="3257"/>
      <c r="D28" s="3257"/>
      <c r="E28" s="3257"/>
      <c r="F28" s="3257"/>
      <c r="G28" s="3257"/>
      <c r="H28" s="3257"/>
      <c r="I28" s="3257"/>
      <c r="J28" s="3257"/>
      <c r="K28" s="3257"/>
      <c r="L28" s="3257"/>
      <c r="M28" s="3257"/>
      <c r="N28" s="3257"/>
      <c r="O28" s="3257"/>
      <c r="P28" s="3257"/>
      <c r="Q28" s="3257"/>
      <c r="R28" s="3257"/>
      <c r="S28" s="3257"/>
      <c r="T28" s="3257"/>
      <c r="U28" s="3257"/>
      <c r="V28" s="3257"/>
      <c r="W28" s="3257"/>
      <c r="X28" s="3257"/>
      <c r="Y28" s="3257"/>
      <c r="Z28" s="3257"/>
      <c r="AA28" s="3257"/>
      <c r="AB28" s="3257"/>
      <c r="AC28" s="3257"/>
      <c r="AD28" s="3257"/>
      <c r="AE28" s="3257"/>
      <c r="AF28" s="3257"/>
      <c r="AG28" s="3257"/>
      <c r="AH28" s="1979"/>
    </row>
    <row r="29" spans="1:36" ht="14.25">
      <c r="A29" s="1935">
        <v>7</v>
      </c>
      <c r="B29" s="1977" t="s">
        <v>5181</v>
      </c>
      <c r="C29" s="1977"/>
      <c r="D29" s="1977"/>
      <c r="E29" s="1977"/>
      <c r="F29" s="1977"/>
      <c r="G29" s="1977"/>
      <c r="H29" s="1977"/>
      <c r="I29" s="1977"/>
      <c r="J29" s="1977"/>
      <c r="K29" s="1977"/>
      <c r="L29" s="1977"/>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row>
    <row r="30" spans="1:36" ht="14.25">
      <c r="A30" s="1935">
        <v>8</v>
      </c>
      <c r="B30" s="1933" t="s">
        <v>5182</v>
      </c>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row>
    <row r="31" spans="1:36" ht="14.25">
      <c r="A31" s="1935">
        <v>9</v>
      </c>
      <c r="B31" s="1931" t="s">
        <v>5183</v>
      </c>
      <c r="C31" s="1931"/>
      <c r="D31" s="1931"/>
      <c r="E31" s="1931"/>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row>
    <row r="32" spans="1:36" ht="14.25">
      <c r="A32" s="1935">
        <v>10</v>
      </c>
      <c r="B32" s="1977" t="s">
        <v>5184</v>
      </c>
      <c r="C32" s="1977"/>
      <c r="D32" s="1977"/>
      <c r="E32" s="1977"/>
      <c r="F32" s="1977"/>
      <c r="G32" s="1977"/>
      <c r="H32" s="1977"/>
      <c r="I32" s="1977"/>
      <c r="J32" s="1977"/>
      <c r="K32" s="1977"/>
      <c r="L32" s="1977"/>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row>
    <row r="33" spans="1:34" ht="14.25">
      <c r="A33" s="1935">
        <v>11</v>
      </c>
      <c r="B33" s="1933" t="s">
        <v>5185</v>
      </c>
      <c r="C33" s="1977"/>
      <c r="D33" s="1977"/>
      <c r="E33" s="1977"/>
      <c r="F33" s="1977"/>
      <c r="G33" s="1977"/>
      <c r="H33" s="1977"/>
      <c r="I33" s="1977"/>
      <c r="J33" s="1977"/>
      <c r="K33" s="1977"/>
      <c r="L33" s="1977"/>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row>
    <row r="34" spans="1:34" ht="14.25">
      <c r="A34" s="1935">
        <v>12</v>
      </c>
      <c r="B34" s="1933" t="s">
        <v>5186</v>
      </c>
      <c r="C34" s="1977"/>
      <c r="D34" s="1977"/>
      <c r="E34" s="1977"/>
      <c r="F34" s="1977"/>
      <c r="G34" s="1977"/>
      <c r="H34" s="1977"/>
      <c r="I34" s="1977"/>
      <c r="J34" s="1977"/>
      <c r="K34" s="1977"/>
      <c r="L34" s="1977"/>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row>
    <row r="35" spans="1:34" ht="14.25">
      <c r="A35" s="1935">
        <v>13</v>
      </c>
      <c r="B35" s="1977" t="s">
        <v>5187</v>
      </c>
      <c r="C35" s="1977"/>
      <c r="D35" s="1977"/>
      <c r="E35" s="1977"/>
      <c r="F35" s="1977"/>
      <c r="G35" s="1977"/>
      <c r="H35" s="1977"/>
      <c r="I35" s="1977"/>
      <c r="J35" s="1977"/>
      <c r="K35" s="1977"/>
      <c r="L35" s="197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row>
    <row r="36" spans="1:34" ht="14.25">
      <c r="A36" s="1935">
        <v>14</v>
      </c>
      <c r="B36" s="1977" t="s">
        <v>5188</v>
      </c>
      <c r="C36" s="1977"/>
      <c r="D36" s="1977"/>
      <c r="E36" s="1977"/>
      <c r="F36" s="1977"/>
      <c r="G36" s="1977"/>
      <c r="H36" s="1977"/>
      <c r="I36" s="1977"/>
      <c r="J36" s="1977"/>
      <c r="K36" s="1977"/>
      <c r="L36" s="1977"/>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row>
    <row r="37" spans="1:34" s="1950" customFormat="1" ht="14.25">
      <c r="A37" s="1935" t="s">
        <v>181</v>
      </c>
      <c r="B37" s="1977" t="s">
        <v>5189</v>
      </c>
    </row>
    <row r="38" spans="1:34" s="1950" customFormat="1" ht="14.25">
      <c r="A38" s="1935"/>
      <c r="B38" s="1977" t="s">
        <v>5190</v>
      </c>
    </row>
    <row r="39" spans="1:34" s="1950" customFormat="1" ht="15">
      <c r="A39" s="1935">
        <v>16</v>
      </c>
      <c r="B39" s="1950" t="s">
        <v>5191</v>
      </c>
    </row>
    <row r="40" spans="1:34" s="1950" customFormat="1" ht="15" customHeight="1">
      <c r="A40" s="1935">
        <v>17</v>
      </c>
      <c r="B40" s="1980" t="s">
        <v>3351</v>
      </c>
    </row>
    <row r="41" spans="1:34" s="1950" customFormat="1" ht="15" customHeight="1">
      <c r="A41" s="1935" t="s">
        <v>534</v>
      </c>
      <c r="B41" s="1980" t="s">
        <v>3186</v>
      </c>
    </row>
    <row r="42" spans="1:34" s="1950" customFormat="1" ht="15" customHeight="1">
      <c r="A42" s="1935" t="s">
        <v>4877</v>
      </c>
      <c r="B42" s="1936" t="s">
        <v>5192</v>
      </c>
    </row>
    <row r="43" spans="1:34" ht="14.25" hidden="1" customHeight="1">
      <c r="A43" s="1935">
        <v>17</v>
      </c>
      <c r="B43" s="1950" t="s">
        <v>5193</v>
      </c>
    </row>
    <row r="44" spans="1:34" ht="14.25" hidden="1" customHeight="1"/>
    <row r="45" spans="1:34" ht="14.25" hidden="1" customHeight="1"/>
    <row r="46" spans="1:34" ht="14.25" hidden="1" customHeight="1"/>
    <row r="47" spans="1:34" ht="14.25" hidden="1" customHeight="1"/>
    <row r="48" spans="1:34"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sheetData>
  <mergeCells count="28">
    <mergeCell ref="B28:AG28"/>
    <mergeCell ref="R3:S3"/>
    <mergeCell ref="T3:T4"/>
    <mergeCell ref="U3:U4"/>
    <mergeCell ref="V3:V4"/>
    <mergeCell ref="O3:O4"/>
    <mergeCell ref="P3:P4"/>
    <mergeCell ref="Q3:Q4"/>
    <mergeCell ref="N3:N4"/>
    <mergeCell ref="E3:E4"/>
    <mergeCell ref="F3:F4"/>
    <mergeCell ref="G3:G4"/>
    <mergeCell ref="H3:H4"/>
    <mergeCell ref="A3:A5"/>
    <mergeCell ref="B3:B4"/>
    <mergeCell ref="C3:C4"/>
    <mergeCell ref="D3:D4"/>
    <mergeCell ref="AG3:AG4"/>
    <mergeCell ref="AJ3:AJ4"/>
    <mergeCell ref="W3:Y3"/>
    <mergeCell ref="I3:K3"/>
    <mergeCell ref="L3:L4"/>
    <mergeCell ref="M3:M4"/>
    <mergeCell ref="AI3:AI4"/>
    <mergeCell ref="Z3:AB3"/>
    <mergeCell ref="AC3:AC4"/>
    <mergeCell ref="AD3:AF3"/>
    <mergeCell ref="AH3:AH4"/>
  </mergeCells>
  <phoneticPr fontId="9" type="noConversion"/>
  <pageMargins left="0.51181102362204722" right="0.35433070866141736" top="0.39370078740157483" bottom="0.27559055118110237" header="0.15748031496062992" footer="0.23622047244094491"/>
  <pageSetup paperSize="9" scale="33" fitToHeight="2" orientation="landscape" r:id="rId1"/>
  <headerFooter alignWithMargins="0">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0"/>
  <sheetViews>
    <sheetView showGridLines="0" zoomScaleNormal="75" workbookViewId="0">
      <pane xSplit="4" topLeftCell="E1" activePane="topRight" state="frozen"/>
      <selection activeCell="G28" sqref="G28"/>
      <selection pane="topRight"/>
    </sheetView>
  </sheetViews>
  <sheetFormatPr defaultRowHeight="15.75"/>
  <cols>
    <col min="1" max="1" width="4.875" style="1833" customWidth="1"/>
    <col min="2" max="2" width="7" style="1833" customWidth="1"/>
    <col min="3" max="3" width="5.125" style="1833" customWidth="1"/>
    <col min="4" max="4" width="11.375" style="1833" customWidth="1"/>
    <col min="5" max="5" width="19.25" style="1833" customWidth="1"/>
    <col min="6" max="20" width="12.625" style="1833" customWidth="1"/>
    <col min="21" max="22" width="8.625" style="1833" customWidth="1"/>
    <col min="23" max="23" width="12.125" style="1833" customWidth="1"/>
    <col min="24" max="24" width="11.75" style="1833" customWidth="1"/>
    <col min="25" max="25" width="14.375" style="1833" customWidth="1"/>
    <col min="26" max="26" width="12.625" style="1833" customWidth="1"/>
    <col min="27" max="27" width="2.625" style="1833" customWidth="1"/>
    <col min="28" max="16384" width="9" style="1937"/>
  </cols>
  <sheetData>
    <row r="1" spans="1:2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row>
    <row r="2" spans="1:26">
      <c r="A2" s="1796" t="s">
        <v>5105</v>
      </c>
      <c r="B2" s="1796"/>
      <c r="C2" s="1796"/>
      <c r="D2" s="1796"/>
      <c r="E2" s="1931"/>
      <c r="F2" s="1931"/>
      <c r="G2" s="1931"/>
      <c r="H2" s="1931"/>
      <c r="I2" s="1931"/>
      <c r="J2" s="1931"/>
      <c r="K2" s="1931"/>
      <c r="L2" s="1931"/>
      <c r="M2" s="1931"/>
      <c r="N2" s="1931"/>
      <c r="O2" s="1931"/>
      <c r="P2" s="1931"/>
      <c r="Q2" s="1931"/>
      <c r="R2" s="1931"/>
      <c r="S2" s="1931" t="s">
        <v>5106</v>
      </c>
      <c r="T2" s="1931"/>
      <c r="U2" s="1931"/>
      <c r="V2" s="1931"/>
      <c r="W2" s="1931"/>
      <c r="X2" s="1931"/>
      <c r="Y2" s="1931"/>
      <c r="Z2" s="1931"/>
    </row>
    <row r="3" spans="1:26" ht="15.75" customHeight="1">
      <c r="A3" s="3270" t="s">
        <v>5107</v>
      </c>
      <c r="B3" s="3273" t="s">
        <v>5108</v>
      </c>
      <c r="C3" s="3274"/>
      <c r="D3" s="3274"/>
      <c r="E3" s="3275"/>
      <c r="F3" s="3246" t="s">
        <v>5109</v>
      </c>
      <c r="G3" s="3247"/>
      <c r="H3" s="3247"/>
      <c r="I3" s="3247"/>
      <c r="J3" s="3248"/>
      <c r="K3" s="3246" t="s">
        <v>5110</v>
      </c>
      <c r="L3" s="3247"/>
      <c r="M3" s="3247"/>
      <c r="N3" s="3247"/>
      <c r="O3" s="3248"/>
      <c r="P3" s="3252" t="s">
        <v>5111</v>
      </c>
      <c r="Q3" s="3252"/>
      <c r="R3" s="3252"/>
      <c r="S3" s="3252"/>
      <c r="T3" s="3252"/>
      <c r="U3" s="3252"/>
      <c r="V3" s="3252"/>
      <c r="W3" s="3246" t="s">
        <v>5112</v>
      </c>
      <c r="X3" s="3247"/>
      <c r="Y3" s="3248"/>
      <c r="Z3" s="3251" t="s">
        <v>5113</v>
      </c>
    </row>
    <row r="4" spans="1:26" ht="28.5">
      <c r="A4" s="3271"/>
      <c r="B4" s="3276"/>
      <c r="C4" s="3277"/>
      <c r="D4" s="3277"/>
      <c r="E4" s="3278"/>
      <c r="F4" s="1940" t="s">
        <v>5114</v>
      </c>
      <c r="G4" s="1940" t="s">
        <v>5115</v>
      </c>
      <c r="H4" s="1940" t="s">
        <v>5116</v>
      </c>
      <c r="I4" s="1940" t="s">
        <v>5117</v>
      </c>
      <c r="J4" s="1940" t="s">
        <v>5118</v>
      </c>
      <c r="K4" s="1940" t="s">
        <v>5114</v>
      </c>
      <c r="L4" s="1940" t="s">
        <v>5115</v>
      </c>
      <c r="M4" s="1940" t="s">
        <v>5116</v>
      </c>
      <c r="N4" s="1940" t="s">
        <v>5117</v>
      </c>
      <c r="O4" s="1940" t="s">
        <v>5118</v>
      </c>
      <c r="P4" s="1940" t="s">
        <v>5114</v>
      </c>
      <c r="Q4" s="1940" t="s">
        <v>5115</v>
      </c>
      <c r="R4" s="1940" t="s">
        <v>5116</v>
      </c>
      <c r="S4" s="1940" t="s">
        <v>5117</v>
      </c>
      <c r="T4" s="1940" t="s">
        <v>5118</v>
      </c>
      <c r="U4" s="1940" t="s">
        <v>5119</v>
      </c>
      <c r="V4" s="1940" t="s">
        <v>5120</v>
      </c>
      <c r="W4" s="1940" t="s">
        <v>5121</v>
      </c>
      <c r="X4" s="1940" t="s">
        <v>5122</v>
      </c>
      <c r="Y4" s="1940" t="s">
        <v>5123</v>
      </c>
      <c r="Z4" s="3266"/>
    </row>
    <row r="5" spans="1:26">
      <c r="A5" s="3272"/>
      <c r="B5" s="3267" t="s">
        <v>422</v>
      </c>
      <c r="C5" s="3268"/>
      <c r="D5" s="3268"/>
      <c r="E5" s="3269"/>
      <c r="F5" s="1941" t="s">
        <v>423</v>
      </c>
      <c r="G5" s="1941" t="s">
        <v>171</v>
      </c>
      <c r="H5" s="1941" t="s">
        <v>172</v>
      </c>
      <c r="I5" s="1941" t="s">
        <v>173</v>
      </c>
      <c r="J5" s="1941" t="s">
        <v>174</v>
      </c>
      <c r="K5" s="1941" t="s">
        <v>175</v>
      </c>
      <c r="L5" s="1941" t="s">
        <v>176</v>
      </c>
      <c r="M5" s="1941" t="s">
        <v>177</v>
      </c>
      <c r="N5" s="1941" t="s">
        <v>178</v>
      </c>
      <c r="O5" s="1941" t="s">
        <v>179</v>
      </c>
      <c r="P5" s="1941" t="s">
        <v>180</v>
      </c>
      <c r="Q5" s="1941" t="s">
        <v>416</v>
      </c>
      <c r="R5" s="1941" t="s">
        <v>417</v>
      </c>
      <c r="S5" s="1941" t="s">
        <v>418</v>
      </c>
      <c r="T5" s="1941" t="s">
        <v>419</v>
      </c>
      <c r="U5" s="1941" t="s">
        <v>420</v>
      </c>
      <c r="V5" s="1941" t="s">
        <v>424</v>
      </c>
      <c r="W5" s="1941" t="s">
        <v>425</v>
      </c>
      <c r="X5" s="1941" t="s">
        <v>426</v>
      </c>
      <c r="Y5" s="1941" t="s">
        <v>427</v>
      </c>
      <c r="Z5" s="1941" t="s">
        <v>433</v>
      </c>
    </row>
    <row r="6" spans="1:26">
      <c r="A6" s="1942">
        <v>1</v>
      </c>
      <c r="B6" s="3251" t="s">
        <v>5124</v>
      </c>
      <c r="C6" s="1938" t="s">
        <v>5125</v>
      </c>
      <c r="D6" s="3246" t="s">
        <v>5126</v>
      </c>
      <c r="E6" s="3248"/>
      <c r="F6" s="1943"/>
      <c r="G6" s="1943"/>
      <c r="H6" s="1943"/>
      <c r="I6" s="1943"/>
      <c r="J6" s="1943"/>
      <c r="K6" s="1944"/>
      <c r="L6" s="1944"/>
      <c r="M6" s="1944"/>
      <c r="N6" s="1944"/>
      <c r="O6" s="1944"/>
      <c r="P6" s="1943"/>
      <c r="Q6" s="1943"/>
      <c r="R6" s="1943"/>
      <c r="S6" s="1943"/>
      <c r="T6" s="1943"/>
      <c r="U6" s="1945"/>
      <c r="V6" s="1945"/>
      <c r="W6" s="1944"/>
      <c r="X6" s="1944"/>
      <c r="Y6" s="1944"/>
      <c r="Z6" s="1946"/>
    </row>
    <row r="7" spans="1:26">
      <c r="A7" s="1942">
        <v>2</v>
      </c>
      <c r="B7" s="3256"/>
      <c r="C7" s="3251" t="s">
        <v>5127</v>
      </c>
      <c r="D7" s="3251" t="s">
        <v>5128</v>
      </c>
      <c r="E7" s="1947" t="s">
        <v>5129</v>
      </c>
      <c r="F7" s="1943"/>
      <c r="G7" s="1943"/>
      <c r="H7" s="1943"/>
      <c r="I7" s="1943"/>
      <c r="J7" s="1943"/>
      <c r="K7" s="1944"/>
      <c r="L7" s="1944"/>
      <c r="M7" s="1944"/>
      <c r="N7" s="1944"/>
      <c r="O7" s="1944"/>
      <c r="P7" s="1943"/>
      <c r="Q7" s="1943"/>
      <c r="R7" s="1943"/>
      <c r="S7" s="1943"/>
      <c r="T7" s="1943"/>
      <c r="U7" s="1945"/>
      <c r="V7" s="1945"/>
      <c r="W7" s="1945"/>
      <c r="X7" s="1944"/>
      <c r="Y7" s="1948"/>
      <c r="Z7" s="1946"/>
    </row>
    <row r="8" spans="1:26">
      <c r="A8" s="1942">
        <v>3</v>
      </c>
      <c r="B8" s="3256"/>
      <c r="C8" s="3256"/>
      <c r="D8" s="3264"/>
      <c r="E8" s="1947" t="s">
        <v>5130</v>
      </c>
      <c r="F8" s="1943"/>
      <c r="G8" s="1943"/>
      <c r="H8" s="1943"/>
      <c r="I8" s="1943"/>
      <c r="J8" s="1943"/>
      <c r="K8" s="1944"/>
      <c r="L8" s="1944"/>
      <c r="M8" s="1944"/>
      <c r="N8" s="1944"/>
      <c r="O8" s="1944"/>
      <c r="P8" s="1943"/>
      <c r="Q8" s="1943"/>
      <c r="R8" s="1943"/>
      <c r="S8" s="1943"/>
      <c r="T8" s="1943"/>
      <c r="U8" s="1945"/>
      <c r="V8" s="1945"/>
      <c r="W8" s="1945"/>
      <c r="X8" s="1944"/>
      <c r="Y8" s="1948"/>
      <c r="Z8" s="1946"/>
    </row>
    <row r="9" spans="1:26">
      <c r="A9" s="1942">
        <v>4</v>
      </c>
      <c r="B9" s="3256"/>
      <c r="C9" s="3256"/>
      <c r="D9" s="3251" t="s">
        <v>5131</v>
      </c>
      <c r="E9" s="1947" t="s">
        <v>5132</v>
      </c>
      <c r="F9" s="1943"/>
      <c r="G9" s="1943"/>
      <c r="H9" s="1943"/>
      <c r="I9" s="1943"/>
      <c r="J9" s="1943"/>
      <c r="K9" s="1944"/>
      <c r="L9" s="1944"/>
      <c r="M9" s="1944"/>
      <c r="N9" s="1944"/>
      <c r="O9" s="1944"/>
      <c r="P9" s="1943"/>
      <c r="Q9" s="1943"/>
      <c r="R9" s="1943"/>
      <c r="S9" s="1943"/>
      <c r="T9" s="1943"/>
      <c r="U9" s="1945"/>
      <c r="V9" s="1945"/>
      <c r="W9" s="1945"/>
      <c r="X9" s="1944"/>
      <c r="Y9" s="1948"/>
      <c r="Z9" s="1946"/>
    </row>
    <row r="10" spans="1:26" ht="28.5">
      <c r="A10" s="1942">
        <v>5</v>
      </c>
      <c r="B10" s="3256"/>
      <c r="C10" s="3256"/>
      <c r="D10" s="3264"/>
      <c r="E10" s="1947" t="s">
        <v>5133</v>
      </c>
      <c r="F10" s="1943"/>
      <c r="G10" s="1943"/>
      <c r="H10" s="1943"/>
      <c r="I10" s="1943"/>
      <c r="J10" s="1943"/>
      <c r="K10" s="1944"/>
      <c r="L10" s="1944"/>
      <c r="M10" s="1944"/>
      <c r="N10" s="1944"/>
      <c r="O10" s="1944"/>
      <c r="P10" s="1943"/>
      <c r="Q10" s="1943"/>
      <c r="R10" s="1943"/>
      <c r="S10" s="1943"/>
      <c r="T10" s="1943"/>
      <c r="U10" s="1945"/>
      <c r="V10" s="1945"/>
      <c r="W10" s="1945"/>
      <c r="X10" s="1944"/>
      <c r="Y10" s="1948"/>
      <c r="Z10" s="1946"/>
    </row>
    <row r="11" spans="1:26">
      <c r="A11" s="1942">
        <v>6</v>
      </c>
      <c r="B11" s="3256"/>
      <c r="C11" s="3264"/>
      <c r="D11" s="3246" t="s">
        <v>4959</v>
      </c>
      <c r="E11" s="3248"/>
      <c r="F11" s="1943"/>
      <c r="G11" s="1943"/>
      <c r="H11" s="1943"/>
      <c r="I11" s="1943"/>
      <c r="J11" s="1943"/>
      <c r="K11" s="1944"/>
      <c r="L11" s="1944"/>
      <c r="M11" s="1944"/>
      <c r="N11" s="1944"/>
      <c r="O11" s="1944"/>
      <c r="P11" s="1943"/>
      <c r="Q11" s="1943"/>
      <c r="R11" s="1943"/>
      <c r="S11" s="1943"/>
      <c r="T11" s="1943"/>
      <c r="U11" s="1945"/>
      <c r="V11" s="1945"/>
      <c r="W11" s="1945"/>
      <c r="X11" s="1944"/>
      <c r="Y11" s="1945"/>
      <c r="Z11" s="1946"/>
    </row>
    <row r="12" spans="1:26">
      <c r="A12" s="1942">
        <v>7</v>
      </c>
      <c r="B12" s="3264"/>
      <c r="C12" s="3246" t="s">
        <v>5118</v>
      </c>
      <c r="D12" s="3247"/>
      <c r="E12" s="3248"/>
      <c r="F12" s="1943"/>
      <c r="G12" s="1943"/>
      <c r="H12" s="1943"/>
      <c r="I12" s="1943"/>
      <c r="J12" s="1943"/>
      <c r="K12" s="1944"/>
      <c r="L12" s="1944"/>
      <c r="M12" s="1944"/>
      <c r="N12" s="1944"/>
      <c r="O12" s="1944"/>
      <c r="P12" s="1943"/>
      <c r="Q12" s="1943"/>
      <c r="R12" s="1943"/>
      <c r="S12" s="1943"/>
      <c r="T12" s="1943"/>
      <c r="U12" s="1945"/>
      <c r="V12" s="1945"/>
      <c r="W12" s="1945"/>
      <c r="X12" s="1944"/>
      <c r="Y12" s="1945"/>
      <c r="Z12" s="1946"/>
    </row>
    <row r="13" spans="1:26" ht="15.75" customHeight="1">
      <c r="A13" s="1942">
        <v>8</v>
      </c>
      <c r="B13" s="3251" t="s">
        <v>5134</v>
      </c>
      <c r="C13" s="3251" t="s">
        <v>5125</v>
      </c>
      <c r="D13" s="3246" t="s">
        <v>5135</v>
      </c>
      <c r="E13" s="3265"/>
      <c r="F13" s="1944"/>
      <c r="G13" s="1944"/>
      <c r="H13" s="1944"/>
      <c r="I13" s="1944"/>
      <c r="J13" s="1944"/>
      <c r="K13" s="1943"/>
      <c r="L13" s="1943"/>
      <c r="M13" s="1943"/>
      <c r="N13" s="1943"/>
      <c r="O13" s="1943"/>
      <c r="P13" s="1943"/>
      <c r="Q13" s="1943"/>
      <c r="R13" s="1943"/>
      <c r="S13" s="1943"/>
      <c r="T13" s="1943"/>
      <c r="U13" s="1945"/>
      <c r="V13" s="1945"/>
      <c r="W13" s="1944"/>
      <c r="X13" s="1944"/>
      <c r="Y13" s="1944"/>
      <c r="Z13" s="1946"/>
    </row>
    <row r="14" spans="1:26" ht="15.75" customHeight="1">
      <c r="A14" s="1942">
        <v>9</v>
      </c>
      <c r="B14" s="3256"/>
      <c r="C14" s="3256"/>
      <c r="D14" s="3246" t="s">
        <v>5136</v>
      </c>
      <c r="E14" s="3248"/>
      <c r="F14" s="1944"/>
      <c r="G14" s="1944"/>
      <c r="H14" s="1944"/>
      <c r="I14" s="1944"/>
      <c r="J14" s="1944"/>
      <c r="K14" s="1943"/>
      <c r="L14" s="1943"/>
      <c r="M14" s="1943"/>
      <c r="N14" s="1943"/>
      <c r="O14" s="1943"/>
      <c r="P14" s="1943"/>
      <c r="Q14" s="1943"/>
      <c r="R14" s="1943"/>
      <c r="S14" s="1943"/>
      <c r="T14" s="1943"/>
      <c r="U14" s="1945"/>
      <c r="V14" s="1945"/>
      <c r="W14" s="1944"/>
      <c r="X14" s="1944"/>
      <c r="Y14" s="1944"/>
      <c r="Z14" s="1946"/>
    </row>
    <row r="15" spans="1:26">
      <c r="A15" s="1942">
        <v>10</v>
      </c>
      <c r="B15" s="3256"/>
      <c r="C15" s="3264"/>
      <c r="D15" s="3246" t="s">
        <v>4959</v>
      </c>
      <c r="E15" s="3248"/>
      <c r="F15" s="1944"/>
      <c r="G15" s="1944"/>
      <c r="H15" s="1944"/>
      <c r="I15" s="1944"/>
      <c r="J15" s="1944"/>
      <c r="K15" s="1943"/>
      <c r="L15" s="1943"/>
      <c r="M15" s="1943"/>
      <c r="N15" s="1943"/>
      <c r="O15" s="1943"/>
      <c r="P15" s="1943"/>
      <c r="Q15" s="1943"/>
      <c r="R15" s="1943"/>
      <c r="S15" s="1943"/>
      <c r="T15" s="1943"/>
      <c r="U15" s="1945"/>
      <c r="V15" s="1945"/>
      <c r="W15" s="1944"/>
      <c r="X15" s="1944"/>
      <c r="Y15" s="1944"/>
      <c r="Z15" s="1946"/>
    </row>
    <row r="16" spans="1:26" ht="15.75" customHeight="1">
      <c r="A16" s="1942">
        <v>11</v>
      </c>
      <c r="B16" s="3256"/>
      <c r="C16" s="3251" t="s">
        <v>5127</v>
      </c>
      <c r="D16" s="3247" t="s">
        <v>5135</v>
      </c>
      <c r="E16" s="3248"/>
      <c r="F16" s="1944"/>
      <c r="G16" s="1944"/>
      <c r="H16" s="1944"/>
      <c r="I16" s="1944"/>
      <c r="J16" s="1944"/>
      <c r="K16" s="1943"/>
      <c r="L16" s="1943"/>
      <c r="M16" s="1943"/>
      <c r="N16" s="1943"/>
      <c r="O16" s="1943"/>
      <c r="P16" s="1943"/>
      <c r="Q16" s="1943"/>
      <c r="R16" s="1943"/>
      <c r="S16" s="1943"/>
      <c r="T16" s="1943"/>
      <c r="U16" s="1945"/>
      <c r="V16" s="1945"/>
      <c r="W16" s="1944"/>
      <c r="X16" s="1945"/>
      <c r="Y16" s="1949"/>
      <c r="Z16" s="1946"/>
    </row>
    <row r="17" spans="1:26" ht="15.75" customHeight="1">
      <c r="A17" s="1942">
        <v>12</v>
      </c>
      <c r="B17" s="3256"/>
      <c r="C17" s="3256"/>
      <c r="D17" s="3247" t="s">
        <v>5136</v>
      </c>
      <c r="E17" s="3248"/>
      <c r="F17" s="1944"/>
      <c r="G17" s="1944"/>
      <c r="H17" s="1944"/>
      <c r="I17" s="1944"/>
      <c r="J17" s="1944"/>
      <c r="K17" s="1943"/>
      <c r="L17" s="1943"/>
      <c r="M17" s="1943"/>
      <c r="N17" s="1943"/>
      <c r="O17" s="1943"/>
      <c r="P17" s="1943"/>
      <c r="Q17" s="1943"/>
      <c r="R17" s="1943"/>
      <c r="S17" s="1943"/>
      <c r="T17" s="1943"/>
      <c r="U17" s="1945"/>
      <c r="V17" s="1945"/>
      <c r="W17" s="1944"/>
      <c r="X17" s="1945"/>
      <c r="Y17" s="1949"/>
      <c r="Z17" s="1946"/>
    </row>
    <row r="18" spans="1:26">
      <c r="A18" s="1942">
        <v>13</v>
      </c>
      <c r="B18" s="3256"/>
      <c r="C18" s="3264"/>
      <c r="D18" s="3247" t="s">
        <v>4959</v>
      </c>
      <c r="E18" s="3248"/>
      <c r="F18" s="1944"/>
      <c r="G18" s="1944"/>
      <c r="H18" s="1944"/>
      <c r="I18" s="1944"/>
      <c r="J18" s="1944"/>
      <c r="K18" s="1943"/>
      <c r="L18" s="1943"/>
      <c r="M18" s="1943"/>
      <c r="N18" s="1943"/>
      <c r="O18" s="1943"/>
      <c r="P18" s="1943"/>
      <c r="Q18" s="1943"/>
      <c r="R18" s="1943"/>
      <c r="S18" s="1943"/>
      <c r="T18" s="1943"/>
      <c r="U18" s="1945"/>
      <c r="V18" s="1945"/>
      <c r="W18" s="1944"/>
      <c r="X18" s="1945"/>
      <c r="Y18" s="1945"/>
      <c r="Z18" s="1946"/>
    </row>
    <row r="19" spans="1:26">
      <c r="A19" s="1942">
        <v>14</v>
      </c>
      <c r="B19" s="3264"/>
      <c r="C19" s="3246" t="s">
        <v>5118</v>
      </c>
      <c r="D19" s="3247"/>
      <c r="E19" s="3248"/>
      <c r="F19" s="1944"/>
      <c r="G19" s="1944"/>
      <c r="H19" s="1944"/>
      <c r="I19" s="1944"/>
      <c r="J19" s="1944"/>
      <c r="K19" s="1943"/>
      <c r="L19" s="1943"/>
      <c r="M19" s="1943"/>
      <c r="N19" s="1943"/>
      <c r="O19" s="1943"/>
      <c r="P19" s="1943"/>
      <c r="Q19" s="1943"/>
      <c r="R19" s="1943"/>
      <c r="S19" s="1943"/>
      <c r="T19" s="1943"/>
      <c r="U19" s="1945"/>
      <c r="V19" s="1945"/>
      <c r="W19" s="1944"/>
      <c r="X19" s="1945"/>
      <c r="Y19" s="1945"/>
      <c r="Z19" s="1946"/>
    </row>
    <row r="20" spans="1:26">
      <c r="A20" s="1942">
        <v>15</v>
      </c>
      <c r="B20" s="3258" t="s">
        <v>5137</v>
      </c>
      <c r="C20" s="3261" t="s">
        <v>4962</v>
      </c>
      <c r="D20" s="3262"/>
      <c r="E20" s="3263"/>
      <c r="F20" s="1943"/>
      <c r="G20" s="1943"/>
      <c r="H20" s="1943"/>
      <c r="I20" s="1943"/>
      <c r="J20" s="1943"/>
      <c r="K20" s="1943"/>
      <c r="L20" s="1943"/>
      <c r="M20" s="1943"/>
      <c r="N20" s="1943"/>
      <c r="O20" s="1943"/>
      <c r="P20" s="1943"/>
      <c r="Q20" s="1943"/>
      <c r="R20" s="1943"/>
      <c r="S20" s="1943"/>
      <c r="T20" s="1943"/>
      <c r="U20" s="1945"/>
      <c r="V20" s="1945"/>
      <c r="W20" s="1945"/>
      <c r="X20" s="1945"/>
      <c r="Y20" s="1949"/>
      <c r="Z20" s="1946"/>
    </row>
    <row r="21" spans="1:26">
      <c r="A21" s="1942">
        <v>16</v>
      </c>
      <c r="B21" s="3259"/>
      <c r="C21" s="3261" t="s">
        <v>4963</v>
      </c>
      <c r="D21" s="3262"/>
      <c r="E21" s="3263"/>
      <c r="F21" s="1943"/>
      <c r="G21" s="1943"/>
      <c r="H21" s="1943"/>
      <c r="I21" s="1943"/>
      <c r="J21" s="1943"/>
      <c r="K21" s="1943"/>
      <c r="L21" s="1943"/>
      <c r="M21" s="1943"/>
      <c r="N21" s="1943"/>
      <c r="O21" s="1943"/>
      <c r="P21" s="1943"/>
      <c r="Q21" s="1943"/>
      <c r="R21" s="1943"/>
      <c r="S21" s="1943"/>
      <c r="T21" s="1943"/>
      <c r="U21" s="1945"/>
      <c r="V21" s="1945"/>
      <c r="W21" s="1945"/>
      <c r="X21" s="1945"/>
      <c r="Y21" s="1945"/>
      <c r="Z21" s="1946"/>
    </row>
    <row r="22" spans="1:26">
      <c r="A22" s="1942">
        <v>17</v>
      </c>
      <c r="B22" s="3259"/>
      <c r="C22" s="3261" t="s">
        <v>4964</v>
      </c>
      <c r="D22" s="3262"/>
      <c r="E22" s="3263"/>
      <c r="F22" s="1943"/>
      <c r="G22" s="1943"/>
      <c r="H22" s="1943"/>
      <c r="I22" s="1943"/>
      <c r="J22" s="1943"/>
      <c r="K22" s="1943"/>
      <c r="L22" s="1943"/>
      <c r="M22" s="1943"/>
      <c r="N22" s="1943"/>
      <c r="O22" s="1943"/>
      <c r="P22" s="1943"/>
      <c r="Q22" s="1943"/>
      <c r="R22" s="1943"/>
      <c r="S22" s="1943"/>
      <c r="T22" s="1943"/>
      <c r="U22" s="1945"/>
      <c r="V22" s="1945"/>
      <c r="W22" s="1945"/>
      <c r="X22" s="1945"/>
      <c r="Y22" s="1949"/>
      <c r="Z22" s="1946"/>
    </row>
    <row r="23" spans="1:26">
      <c r="A23" s="1942">
        <v>18</v>
      </c>
      <c r="B23" s="3259"/>
      <c r="C23" s="3261" t="s">
        <v>4965</v>
      </c>
      <c r="D23" s="3262"/>
      <c r="E23" s="3263"/>
      <c r="F23" s="1943"/>
      <c r="G23" s="1943"/>
      <c r="H23" s="1943"/>
      <c r="I23" s="1943"/>
      <c r="J23" s="1943"/>
      <c r="K23" s="1943"/>
      <c r="L23" s="1943"/>
      <c r="M23" s="1943"/>
      <c r="N23" s="1943"/>
      <c r="O23" s="1943"/>
      <c r="P23" s="1943"/>
      <c r="Q23" s="1943"/>
      <c r="R23" s="1943"/>
      <c r="S23" s="1943"/>
      <c r="T23" s="1943"/>
      <c r="U23" s="1945"/>
      <c r="V23" s="1945"/>
      <c r="W23" s="1945"/>
      <c r="X23" s="1945"/>
      <c r="Y23" s="1945"/>
      <c r="Z23" s="1946"/>
    </row>
    <row r="24" spans="1:26">
      <c r="A24" s="1942">
        <v>19</v>
      </c>
      <c r="B24" s="3260"/>
      <c r="C24" s="3246" t="s">
        <v>5118</v>
      </c>
      <c r="D24" s="3247"/>
      <c r="E24" s="3248"/>
      <c r="F24" s="1943"/>
      <c r="G24" s="1943"/>
      <c r="H24" s="1943"/>
      <c r="I24" s="1943"/>
      <c r="J24" s="1943"/>
      <c r="K24" s="1943"/>
      <c r="L24" s="1943"/>
      <c r="M24" s="1943"/>
      <c r="N24" s="1943"/>
      <c r="O24" s="1943"/>
      <c r="P24" s="1943"/>
      <c r="Q24" s="1943"/>
      <c r="R24" s="1943"/>
      <c r="S24" s="1943"/>
      <c r="T24" s="1943"/>
      <c r="U24" s="1945"/>
      <c r="V24" s="1945"/>
      <c r="W24" s="1945"/>
      <c r="X24" s="1945"/>
      <c r="Y24" s="1945"/>
      <c r="Z24" s="1946"/>
    </row>
    <row r="25" spans="1:26">
      <c r="A25" s="1942">
        <v>20</v>
      </c>
      <c r="B25" s="3246" t="s">
        <v>5138</v>
      </c>
      <c r="C25" s="3247"/>
      <c r="D25" s="3247"/>
      <c r="E25" s="3248"/>
      <c r="F25" s="1943"/>
      <c r="G25" s="1943"/>
      <c r="H25" s="1943"/>
      <c r="I25" s="1943"/>
      <c r="J25" s="1943"/>
      <c r="K25" s="1943"/>
      <c r="L25" s="1943"/>
      <c r="M25" s="1943"/>
      <c r="N25" s="1943"/>
      <c r="O25" s="1943"/>
      <c r="P25" s="1943"/>
      <c r="Q25" s="1943"/>
      <c r="R25" s="1943"/>
      <c r="S25" s="1943"/>
      <c r="T25" s="1943"/>
      <c r="U25" s="1945"/>
      <c r="V25" s="1945"/>
      <c r="W25" s="1944"/>
      <c r="X25" s="1944"/>
      <c r="Y25" s="1944"/>
      <c r="Z25" s="1946"/>
    </row>
    <row r="26" spans="1:26">
      <c r="A26" s="1942">
        <v>21</v>
      </c>
      <c r="B26" s="3246" t="s">
        <v>4967</v>
      </c>
      <c r="C26" s="3247"/>
      <c r="D26" s="3247"/>
      <c r="E26" s="3248"/>
      <c r="F26" s="1943"/>
      <c r="G26" s="1943"/>
      <c r="H26" s="1943"/>
      <c r="I26" s="1943"/>
      <c r="J26" s="1943"/>
      <c r="K26" s="1943"/>
      <c r="L26" s="1943"/>
      <c r="M26" s="1943"/>
      <c r="N26" s="1943"/>
      <c r="O26" s="1943"/>
      <c r="P26" s="1943"/>
      <c r="Q26" s="1943"/>
      <c r="R26" s="1943"/>
      <c r="S26" s="1943"/>
      <c r="T26" s="1943"/>
      <c r="U26" s="1945"/>
      <c r="V26" s="1945"/>
      <c r="W26" s="1945"/>
      <c r="X26" s="1945"/>
      <c r="Y26" s="1945"/>
      <c r="Z26" s="1946"/>
    </row>
    <row r="27" spans="1:26">
      <c r="A27" s="1942">
        <v>22</v>
      </c>
      <c r="B27" s="3246" t="s">
        <v>5139</v>
      </c>
      <c r="C27" s="3247"/>
      <c r="D27" s="3247"/>
      <c r="E27" s="3248"/>
      <c r="F27" s="1943"/>
      <c r="G27" s="1943"/>
      <c r="H27" s="1943"/>
      <c r="I27" s="1943"/>
      <c r="J27" s="1943"/>
      <c r="K27" s="1943"/>
      <c r="L27" s="1943"/>
      <c r="M27" s="1943"/>
      <c r="N27" s="1943"/>
      <c r="O27" s="1943"/>
      <c r="P27" s="1943"/>
      <c r="Q27" s="1943"/>
      <c r="R27" s="1943"/>
      <c r="S27" s="1943"/>
      <c r="T27" s="1943"/>
      <c r="U27" s="1945"/>
      <c r="V27" s="1945"/>
      <c r="W27" s="1944"/>
      <c r="X27" s="1944"/>
      <c r="Y27" s="1944"/>
      <c r="Z27" s="1946"/>
    </row>
    <row r="28" spans="1:26">
      <c r="A28" s="1833" t="s">
        <v>4860</v>
      </c>
    </row>
    <row r="29" spans="1:26">
      <c r="A29" s="1833">
        <v>1</v>
      </c>
      <c r="B29" s="1950" t="s">
        <v>5140</v>
      </c>
    </row>
    <row r="30" spans="1:26">
      <c r="A30" s="1832">
        <v>2</v>
      </c>
      <c r="B30" s="1936" t="s">
        <v>5104</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9" type="noConversion"/>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20">
    <pageSetUpPr fitToPage="1"/>
  </sheetPr>
  <dimension ref="A1:W32"/>
  <sheetViews>
    <sheetView showGridLines="0" view="pageBreakPreview" zoomScale="60" zoomScaleNormal="110" workbookViewId="0">
      <pane xSplit="1" ySplit="5" topLeftCell="B15" activePane="bottomRight" state="frozen"/>
      <selection activeCell="G28" sqref="G28"/>
      <selection pane="topRight" activeCell="G28" sqref="G28"/>
      <selection pane="bottomLeft" activeCell="G28" sqref="G28"/>
      <selection pane="bottomRight" activeCell="A2" sqref="A2"/>
    </sheetView>
  </sheetViews>
  <sheetFormatPr defaultRowHeight="13.5"/>
  <cols>
    <col min="1" max="1" width="9" style="1903"/>
    <col min="2" max="2" width="5.25" style="1903" customWidth="1"/>
    <col min="3" max="3" width="11.75" style="1903" customWidth="1"/>
    <col min="4" max="4" width="16.125" style="1903" customWidth="1"/>
    <col min="5" max="5" width="5.75" style="1903" customWidth="1"/>
    <col min="6" max="6" width="12.375" style="1903" customWidth="1"/>
    <col min="7" max="7" width="5" style="1903" customWidth="1"/>
    <col min="8" max="8" width="8.5" style="1903" customWidth="1"/>
    <col min="9" max="9" width="11" style="1903" customWidth="1"/>
    <col min="10" max="13" width="11.25" style="1903" customWidth="1"/>
    <col min="14" max="14" width="11.5" style="1903" bestFit="1" customWidth="1"/>
    <col min="15" max="15" width="9.125" style="1903" bestFit="1" customWidth="1"/>
    <col min="16" max="16" width="12.25" style="1903" bestFit="1" customWidth="1"/>
    <col min="17" max="18" width="16.75" style="1903" bestFit="1" customWidth="1"/>
    <col min="19" max="19" width="8" style="1903" bestFit="1" customWidth="1"/>
    <col min="20" max="20" width="11.625" style="1903" bestFit="1" customWidth="1"/>
    <col min="21" max="21" width="9.75" style="1903" bestFit="1" customWidth="1"/>
    <col min="22" max="22" width="12.25" style="1903" bestFit="1" customWidth="1"/>
    <col min="23" max="23" width="9.75" style="1903" customWidth="1"/>
    <col min="24" max="16384" width="9" style="1903"/>
  </cols>
  <sheetData>
    <row r="1" spans="1:23" ht="21.4" customHeight="1">
      <c r="A1" s="1255" t="str">
        <f>+封面!A3&amp;" "&amp;封面!A2</f>
        <v xml:space="preserve">        保險股份有限公司(○○分公司) 年度(月、季、半年)報表</v>
      </c>
    </row>
    <row r="2" spans="1:23" ht="21.4" customHeight="1">
      <c r="A2" s="1904" t="s">
        <v>5091</v>
      </c>
    </row>
    <row r="3" spans="1:23" s="1907" customFormat="1" ht="14.25" customHeight="1">
      <c r="A3" s="3279" t="s">
        <v>421</v>
      </c>
      <c r="B3" s="3280" t="s">
        <v>552</v>
      </c>
      <c r="C3" s="3280" t="s">
        <v>553</v>
      </c>
      <c r="D3" s="3280" t="s">
        <v>554</v>
      </c>
      <c r="E3" s="3249" t="s">
        <v>555</v>
      </c>
      <c r="F3" s="3279" t="s">
        <v>566</v>
      </c>
      <c r="G3" s="3249" t="s">
        <v>556</v>
      </c>
      <c r="H3" s="3249" t="s">
        <v>557</v>
      </c>
      <c r="I3" s="3249" t="s">
        <v>558</v>
      </c>
      <c r="J3" s="3279" t="s">
        <v>559</v>
      </c>
      <c r="K3" s="3279"/>
      <c r="L3" s="3279"/>
      <c r="M3" s="3279"/>
      <c r="N3" s="3279" t="s">
        <v>560</v>
      </c>
      <c r="O3" s="3279" t="s">
        <v>561</v>
      </c>
      <c r="P3" s="3279"/>
      <c r="Q3" s="3279"/>
      <c r="R3" s="3279"/>
      <c r="S3" s="3279" t="s">
        <v>562</v>
      </c>
      <c r="T3" s="3279"/>
      <c r="U3" s="3279"/>
      <c r="V3" s="3279" t="s">
        <v>563</v>
      </c>
      <c r="W3" s="1906"/>
    </row>
    <row r="4" spans="1:23" ht="48.75" customHeight="1">
      <c r="A4" s="3279"/>
      <c r="B4" s="3280"/>
      <c r="C4" s="3280"/>
      <c r="D4" s="3280"/>
      <c r="E4" s="3281"/>
      <c r="F4" s="3279"/>
      <c r="G4" s="3281"/>
      <c r="H4" s="3281"/>
      <c r="I4" s="3281"/>
      <c r="J4" s="1661" t="s">
        <v>5092</v>
      </c>
      <c r="K4" s="1905" t="s">
        <v>535</v>
      </c>
      <c r="L4" s="1905" t="s">
        <v>536</v>
      </c>
      <c r="M4" s="1905" t="s">
        <v>537</v>
      </c>
      <c r="N4" s="3279"/>
      <c r="O4" s="1905" t="s">
        <v>538</v>
      </c>
      <c r="P4" s="1905" t="s">
        <v>539</v>
      </c>
      <c r="Q4" s="1905" t="s">
        <v>540</v>
      </c>
      <c r="R4" s="1905" t="s">
        <v>541</v>
      </c>
      <c r="S4" s="1905" t="s">
        <v>542</v>
      </c>
      <c r="T4" s="1905" t="s">
        <v>543</v>
      </c>
      <c r="U4" s="1908" t="s">
        <v>544</v>
      </c>
      <c r="V4" s="3279"/>
      <c r="W4" s="1906"/>
    </row>
    <row r="5" spans="1:23" ht="20.25" customHeight="1">
      <c r="A5" s="3279"/>
      <c r="B5" s="1909" t="s">
        <v>422</v>
      </c>
      <c r="C5" s="1909" t="s">
        <v>423</v>
      </c>
      <c r="D5" s="1909" t="s">
        <v>171</v>
      </c>
      <c r="E5" s="1909" t="s">
        <v>172</v>
      </c>
      <c r="F5" s="1909" t="s">
        <v>173</v>
      </c>
      <c r="G5" s="1909" t="s">
        <v>174</v>
      </c>
      <c r="H5" s="1909" t="s">
        <v>175</v>
      </c>
      <c r="I5" s="1909" t="s">
        <v>176</v>
      </c>
      <c r="J5" s="1909" t="s">
        <v>177</v>
      </c>
      <c r="K5" s="1909" t="s">
        <v>178</v>
      </c>
      <c r="L5" s="1909" t="s">
        <v>179</v>
      </c>
      <c r="M5" s="1909" t="s">
        <v>180</v>
      </c>
      <c r="N5" s="1909" t="s">
        <v>416</v>
      </c>
      <c r="O5" s="1909" t="s">
        <v>417</v>
      </c>
      <c r="P5" s="1909" t="s">
        <v>418</v>
      </c>
      <c r="Q5" s="1909" t="s">
        <v>419</v>
      </c>
      <c r="R5" s="1909" t="s">
        <v>420</v>
      </c>
      <c r="S5" s="1909" t="s">
        <v>424</v>
      </c>
      <c r="T5" s="1909" t="s">
        <v>425</v>
      </c>
      <c r="U5" s="1909" t="s">
        <v>426</v>
      </c>
      <c r="V5" s="1909" t="s">
        <v>427</v>
      </c>
      <c r="W5" s="1906"/>
    </row>
    <row r="6" spans="1:23" ht="14.25">
      <c r="A6" s="1910" t="s">
        <v>235</v>
      </c>
      <c r="B6" s="1911"/>
      <c r="C6" s="1912"/>
      <c r="D6" s="1912"/>
      <c r="E6" s="1913"/>
      <c r="F6" s="1913"/>
      <c r="G6" s="1913"/>
      <c r="H6" s="1913"/>
      <c r="I6" s="1913"/>
      <c r="J6" s="1911"/>
      <c r="K6" s="1914"/>
      <c r="L6" s="1915"/>
      <c r="M6" s="1911"/>
      <c r="N6" s="1916"/>
      <c r="O6" s="1917"/>
      <c r="P6" s="1916"/>
      <c r="Q6" s="1917"/>
      <c r="R6" s="1917"/>
      <c r="S6" s="1916"/>
      <c r="T6" s="1916"/>
      <c r="U6" s="1916"/>
      <c r="V6" s="1916"/>
      <c r="W6" s="1906"/>
    </row>
    <row r="7" spans="1:23" ht="14.25">
      <c r="A7" s="1910" t="s">
        <v>297</v>
      </c>
      <c r="B7" s="1911"/>
      <c r="C7" s="1912"/>
      <c r="D7" s="1912"/>
      <c r="E7" s="1913"/>
      <c r="F7" s="1913"/>
      <c r="G7" s="1913"/>
      <c r="H7" s="1913"/>
      <c r="I7" s="1913"/>
      <c r="J7" s="1911"/>
      <c r="K7" s="1911"/>
      <c r="L7" s="1915"/>
      <c r="M7" s="1911"/>
      <c r="N7" s="1916"/>
      <c r="O7" s="1917"/>
      <c r="P7" s="1916"/>
      <c r="Q7" s="1917"/>
      <c r="R7" s="1917"/>
      <c r="S7" s="1916"/>
      <c r="T7" s="1916"/>
      <c r="U7" s="1916"/>
      <c r="V7" s="1916"/>
      <c r="W7" s="1906"/>
    </row>
    <row r="8" spans="1:23" ht="14.25">
      <c r="A8" s="1910" t="s">
        <v>298</v>
      </c>
      <c r="B8" s="1911"/>
      <c r="C8" s="1912"/>
      <c r="D8" s="1912"/>
      <c r="E8" s="1913"/>
      <c r="F8" s="1913"/>
      <c r="G8" s="1913"/>
      <c r="H8" s="1913"/>
      <c r="I8" s="1913"/>
      <c r="J8" s="1911"/>
      <c r="K8" s="1911"/>
      <c r="L8" s="1915"/>
      <c r="M8" s="1911"/>
      <c r="N8" s="1916"/>
      <c r="O8" s="1917"/>
      <c r="P8" s="1916"/>
      <c r="Q8" s="1917"/>
      <c r="R8" s="1917"/>
      <c r="S8" s="1916"/>
      <c r="T8" s="1916"/>
      <c r="U8" s="1916"/>
      <c r="V8" s="1916"/>
      <c r="W8" s="1906"/>
    </row>
    <row r="9" spans="1:23" ht="14.25">
      <c r="A9" s="1910" t="s">
        <v>299</v>
      </c>
      <c r="B9" s="1911"/>
      <c r="C9" s="1912"/>
      <c r="D9" s="1912"/>
      <c r="E9" s="1913"/>
      <c r="F9" s="1913"/>
      <c r="G9" s="1913"/>
      <c r="H9" s="1913"/>
      <c r="I9" s="1913"/>
      <c r="J9" s="1911"/>
      <c r="K9" s="1911"/>
      <c r="L9" s="1915"/>
      <c r="M9" s="1911"/>
      <c r="N9" s="1916"/>
      <c r="O9" s="1917"/>
      <c r="P9" s="1916"/>
      <c r="Q9" s="1917"/>
      <c r="R9" s="1917"/>
      <c r="S9" s="1916"/>
      <c r="T9" s="1916"/>
      <c r="U9" s="1916"/>
      <c r="V9" s="1916"/>
      <c r="W9" s="1906"/>
    </row>
    <row r="10" spans="1:23" ht="14.25">
      <c r="A10" s="1910" t="s">
        <v>221</v>
      </c>
      <c r="B10" s="1911"/>
      <c r="C10" s="1912"/>
      <c r="D10" s="1912"/>
      <c r="E10" s="1913"/>
      <c r="F10" s="1913"/>
      <c r="G10" s="1913"/>
      <c r="H10" s="1913"/>
      <c r="I10" s="1913"/>
      <c r="J10" s="1911"/>
      <c r="K10" s="1911"/>
      <c r="L10" s="1915"/>
      <c r="M10" s="1911"/>
      <c r="N10" s="1916"/>
      <c r="O10" s="1917"/>
      <c r="P10" s="1916"/>
      <c r="Q10" s="1917"/>
      <c r="R10" s="1917"/>
      <c r="S10" s="1916"/>
      <c r="T10" s="1916"/>
      <c r="U10" s="1916"/>
      <c r="V10" s="1916"/>
      <c r="W10" s="1906"/>
    </row>
    <row r="11" spans="1:23" ht="14.25">
      <c r="A11" s="1910" t="s">
        <v>222</v>
      </c>
      <c r="B11" s="1911"/>
      <c r="C11" s="1912"/>
      <c r="D11" s="1912"/>
      <c r="E11" s="1913"/>
      <c r="F11" s="1913"/>
      <c r="G11" s="1913"/>
      <c r="H11" s="1913"/>
      <c r="I11" s="1913"/>
      <c r="J11" s="1911"/>
      <c r="K11" s="1911"/>
      <c r="L11" s="1915"/>
      <c r="M11" s="1911"/>
      <c r="N11" s="1916"/>
      <c r="O11" s="1917"/>
      <c r="P11" s="1916"/>
      <c r="Q11" s="1917"/>
      <c r="R11" s="1917"/>
      <c r="S11" s="1916"/>
      <c r="T11" s="1916"/>
      <c r="U11" s="1916"/>
      <c r="V11" s="1916"/>
      <c r="W11" s="1906"/>
    </row>
    <row r="12" spans="1:23" ht="14.25">
      <c r="A12" s="1910" t="s">
        <v>223</v>
      </c>
      <c r="B12" s="1918"/>
      <c r="C12" s="1919"/>
      <c r="D12" s="1912"/>
      <c r="E12" s="1913"/>
      <c r="F12" s="1913"/>
      <c r="G12" s="1913"/>
      <c r="H12" s="1913"/>
      <c r="I12" s="1913"/>
      <c r="J12" s="1911"/>
      <c r="K12" s="1911"/>
      <c r="L12" s="1915"/>
      <c r="M12" s="1911"/>
      <c r="N12" s="1916"/>
      <c r="O12" s="1917"/>
      <c r="P12" s="1916"/>
      <c r="Q12" s="1917"/>
      <c r="R12" s="1917"/>
      <c r="S12" s="1916"/>
      <c r="T12" s="1916"/>
      <c r="U12" s="1916"/>
      <c r="V12" s="1916"/>
      <c r="W12" s="1906"/>
    </row>
    <row r="13" spans="1:23" ht="14.25">
      <c r="A13" s="1910" t="s">
        <v>224</v>
      </c>
      <c r="B13" s="1920"/>
      <c r="C13" s="1920"/>
      <c r="D13" s="1920"/>
      <c r="E13" s="1921"/>
      <c r="F13" s="1921"/>
      <c r="G13" s="1921"/>
      <c r="H13" s="1921"/>
      <c r="I13" s="1921"/>
      <c r="J13" s="1920"/>
      <c r="K13" s="1920"/>
      <c r="L13" s="1922"/>
      <c r="M13" s="1923"/>
      <c r="N13" s="1916"/>
      <c r="O13" s="1917"/>
      <c r="P13" s="1916"/>
      <c r="Q13" s="1917"/>
      <c r="R13" s="1917"/>
      <c r="S13" s="1924"/>
      <c r="T13" s="1924"/>
      <c r="U13" s="1924"/>
      <c r="V13" s="1924"/>
      <c r="W13" s="1906"/>
    </row>
    <row r="14" spans="1:23" ht="14.25">
      <c r="A14" s="1910" t="s">
        <v>225</v>
      </c>
      <c r="B14" s="1920"/>
      <c r="C14" s="1920"/>
      <c r="D14" s="1920"/>
      <c r="E14" s="1921"/>
      <c r="F14" s="1921"/>
      <c r="G14" s="1921"/>
      <c r="H14" s="1921"/>
      <c r="I14" s="1921"/>
      <c r="J14" s="1920"/>
      <c r="K14" s="1920"/>
      <c r="L14" s="1922"/>
      <c r="M14" s="1923"/>
      <c r="N14" s="1916"/>
      <c r="O14" s="1917"/>
      <c r="P14" s="1916"/>
      <c r="Q14" s="1917"/>
      <c r="R14" s="1917"/>
      <c r="S14" s="1924"/>
      <c r="T14" s="1924"/>
      <c r="U14" s="1924"/>
      <c r="V14" s="1924"/>
      <c r="W14" s="1906"/>
    </row>
    <row r="15" spans="1:23" ht="14.25">
      <c r="A15" s="1910" t="s">
        <v>226</v>
      </c>
      <c r="B15" s="1920"/>
      <c r="C15" s="1920"/>
      <c r="D15" s="1920"/>
      <c r="E15" s="1921"/>
      <c r="F15" s="1921"/>
      <c r="G15" s="1921"/>
      <c r="H15" s="1921"/>
      <c r="I15" s="1921"/>
      <c r="J15" s="1920"/>
      <c r="K15" s="1920"/>
      <c r="L15" s="1922"/>
      <c r="M15" s="1923"/>
      <c r="N15" s="1916"/>
      <c r="O15" s="1917"/>
      <c r="P15" s="1916"/>
      <c r="Q15" s="1917"/>
      <c r="R15" s="1917"/>
      <c r="S15" s="1924"/>
      <c r="T15" s="1924"/>
      <c r="U15" s="1924"/>
      <c r="V15" s="1924"/>
      <c r="W15" s="1906"/>
    </row>
    <row r="16" spans="1:23" ht="14.25">
      <c r="A16" s="1910" t="s">
        <v>227</v>
      </c>
      <c r="B16" s="1920"/>
      <c r="C16" s="1920"/>
      <c r="D16" s="1920"/>
      <c r="E16" s="1921"/>
      <c r="F16" s="1921"/>
      <c r="G16" s="1921"/>
      <c r="H16" s="1921"/>
      <c r="I16" s="1921"/>
      <c r="J16" s="1920"/>
      <c r="K16" s="1920"/>
      <c r="L16" s="1922"/>
      <c r="M16" s="1923"/>
      <c r="N16" s="1916"/>
      <c r="O16" s="1917"/>
      <c r="P16" s="1916"/>
      <c r="Q16" s="1917"/>
      <c r="R16" s="1917"/>
      <c r="S16" s="1924"/>
      <c r="T16" s="1924"/>
      <c r="U16" s="1924"/>
      <c r="V16" s="1924"/>
      <c r="W16" s="1906"/>
    </row>
    <row r="17" spans="1:23" ht="14.25">
      <c r="A17" s="1910" t="s">
        <v>228</v>
      </c>
      <c r="B17" s="1920"/>
      <c r="C17" s="1920"/>
      <c r="D17" s="1923"/>
      <c r="E17" s="1921"/>
      <c r="F17" s="1921"/>
      <c r="G17" s="1921"/>
      <c r="H17" s="1921"/>
      <c r="I17" s="1921"/>
      <c r="J17" s="1920"/>
      <c r="K17" s="1920"/>
      <c r="L17" s="1922"/>
      <c r="M17" s="1923"/>
      <c r="N17" s="1916"/>
      <c r="O17" s="1917"/>
      <c r="P17" s="1916"/>
      <c r="Q17" s="1917"/>
      <c r="R17" s="1917"/>
      <c r="S17" s="1924"/>
      <c r="T17" s="1924"/>
      <c r="U17" s="1924"/>
      <c r="V17" s="1924"/>
      <c r="W17" s="1906"/>
    </row>
    <row r="18" spans="1:23" ht="14.25">
      <c r="A18" s="1910" t="s">
        <v>229</v>
      </c>
      <c r="B18" s="1920"/>
      <c r="C18" s="1920"/>
      <c r="D18" s="1923"/>
      <c r="E18" s="1921"/>
      <c r="F18" s="1921"/>
      <c r="G18" s="1921"/>
      <c r="H18" s="1921"/>
      <c r="I18" s="1921"/>
      <c r="J18" s="1920"/>
      <c r="K18" s="1920"/>
      <c r="L18" s="1922"/>
      <c r="M18" s="1923"/>
      <c r="N18" s="1916"/>
      <c r="O18" s="1917"/>
      <c r="P18" s="1916"/>
      <c r="Q18" s="1917"/>
      <c r="R18" s="1917"/>
      <c r="S18" s="1924"/>
      <c r="T18" s="1924"/>
      <c r="U18" s="1924"/>
      <c r="V18" s="1924"/>
      <c r="W18" s="1906"/>
    </row>
    <row r="19" spans="1:23" ht="21.75" customHeight="1">
      <c r="A19" s="1910" t="s">
        <v>230</v>
      </c>
      <c r="B19" s="3282" t="s">
        <v>5093</v>
      </c>
      <c r="C19" s="1925" t="s">
        <v>5094</v>
      </c>
      <c r="D19" s="1926"/>
      <c r="E19" s="1926"/>
      <c r="F19" s="1926"/>
      <c r="G19" s="1926"/>
      <c r="H19" s="1926"/>
      <c r="I19" s="1927"/>
      <c r="J19" s="1927"/>
      <c r="K19" s="1927"/>
      <c r="L19" s="1927"/>
      <c r="M19" s="1927"/>
      <c r="N19" s="1926"/>
      <c r="O19" s="1926"/>
      <c r="P19" s="1926"/>
      <c r="Q19" s="1926"/>
      <c r="R19" s="1926"/>
      <c r="S19" s="1926"/>
      <c r="T19" s="1926"/>
      <c r="U19" s="1926"/>
      <c r="V19" s="1926"/>
      <c r="W19" s="1906"/>
    </row>
    <row r="20" spans="1:23" ht="21.4" customHeight="1">
      <c r="A20" s="1910">
        <v>15</v>
      </c>
      <c r="B20" s="3283"/>
      <c r="C20" s="1925" t="s">
        <v>5095</v>
      </c>
      <c r="D20" s="1928"/>
      <c r="E20" s="1928"/>
      <c r="F20" s="1928"/>
      <c r="G20" s="1928"/>
      <c r="H20" s="1928"/>
      <c r="I20" s="1927"/>
      <c r="J20" s="1927"/>
      <c r="K20" s="1927"/>
      <c r="L20" s="1927"/>
      <c r="M20" s="1927"/>
      <c r="N20" s="1928"/>
      <c r="O20" s="1928"/>
      <c r="P20" s="1928"/>
      <c r="Q20" s="1928"/>
      <c r="R20" s="1928"/>
      <c r="S20" s="1928"/>
      <c r="T20" s="1928"/>
      <c r="U20" s="1928"/>
      <c r="V20" s="1928"/>
      <c r="W20" s="1906"/>
    </row>
    <row r="21" spans="1:23" ht="14.25">
      <c r="A21" s="1910" t="s">
        <v>564</v>
      </c>
      <c r="B21" s="3284" t="s">
        <v>4859</v>
      </c>
      <c r="C21" s="3285"/>
      <c r="D21" s="1928"/>
      <c r="E21" s="1928"/>
      <c r="F21" s="1928"/>
      <c r="G21" s="1928"/>
      <c r="H21" s="1928"/>
      <c r="I21" s="1927"/>
      <c r="J21" s="1927"/>
      <c r="K21" s="1927"/>
      <c r="L21" s="1927"/>
      <c r="M21" s="1927"/>
      <c r="N21" s="1928"/>
      <c r="O21" s="1928"/>
      <c r="P21" s="1928"/>
      <c r="Q21" s="1928"/>
      <c r="R21" s="1928"/>
      <c r="S21" s="1928"/>
      <c r="T21" s="1928"/>
      <c r="U21" s="1928"/>
      <c r="V21" s="1928"/>
      <c r="W21" s="1906"/>
    </row>
    <row r="22" spans="1:23" ht="14.25">
      <c r="A22" s="1929" t="s">
        <v>3</v>
      </c>
      <c r="B22" s="1929"/>
      <c r="C22" s="1929"/>
      <c r="D22" s="1929"/>
      <c r="E22" s="1929"/>
      <c r="F22" s="1929"/>
      <c r="G22" s="1929"/>
      <c r="H22" s="1929"/>
      <c r="I22" s="1929"/>
      <c r="J22" s="1929"/>
      <c r="K22" s="1929"/>
      <c r="L22" s="1929"/>
      <c r="M22" s="1929"/>
      <c r="N22" s="1929"/>
      <c r="O22" s="1929"/>
      <c r="P22" s="1929"/>
      <c r="Q22" s="1929"/>
      <c r="R22" s="1929"/>
      <c r="S22" s="1929"/>
      <c r="T22" s="1929"/>
      <c r="U22" s="1929"/>
      <c r="V22" s="1929"/>
      <c r="W22" s="1906"/>
    </row>
    <row r="23" spans="1:23" ht="14.25">
      <c r="A23" s="1930">
        <v>1</v>
      </c>
      <c r="B23" s="1931" t="s">
        <v>5096</v>
      </c>
      <c r="C23" s="1931"/>
      <c r="D23" s="1931"/>
      <c r="E23" s="1931"/>
      <c r="F23" s="1931"/>
      <c r="G23" s="1931"/>
      <c r="H23" s="1931"/>
      <c r="I23" s="1931"/>
      <c r="J23" s="1931"/>
      <c r="K23" s="1931"/>
      <c r="L23" s="1931"/>
      <c r="M23" s="1931"/>
      <c r="N23" s="1931"/>
      <c r="O23" s="1931"/>
      <c r="P23" s="1931"/>
      <c r="Q23" s="1931"/>
      <c r="R23" s="1931"/>
      <c r="S23" s="1931"/>
      <c r="T23" s="1931"/>
      <c r="U23" s="1931"/>
      <c r="V23" s="1931"/>
      <c r="W23" s="1906"/>
    </row>
    <row r="24" spans="1:23" ht="14.25">
      <c r="A24" s="1930">
        <v>2</v>
      </c>
      <c r="B24" s="1653" t="s">
        <v>5097</v>
      </c>
      <c r="C24" s="1931"/>
      <c r="D24" s="1931"/>
      <c r="E24" s="1931"/>
      <c r="F24" s="1931"/>
      <c r="G24" s="1931"/>
      <c r="H24" s="1931"/>
      <c r="I24" s="1931"/>
      <c r="J24" s="1931"/>
      <c r="K24" s="1931"/>
      <c r="L24" s="1931"/>
      <c r="M24" s="1931"/>
      <c r="N24" s="1931"/>
      <c r="O24" s="1931"/>
      <c r="P24" s="1931"/>
      <c r="Q24" s="1931"/>
      <c r="R24" s="1931"/>
      <c r="S24" s="1931"/>
      <c r="T24" s="1931"/>
      <c r="U24" s="1931"/>
      <c r="V24" s="1931"/>
      <c r="W24" s="1906"/>
    </row>
    <row r="25" spans="1:23" ht="14.25">
      <c r="A25" s="1930">
        <v>3</v>
      </c>
      <c r="B25" s="1931" t="s">
        <v>5098</v>
      </c>
      <c r="C25" s="1931"/>
      <c r="D25" s="1931"/>
      <c r="E25" s="1931"/>
      <c r="F25" s="1931"/>
      <c r="G25" s="1931"/>
      <c r="H25" s="1931"/>
      <c r="I25" s="1931"/>
      <c r="J25" s="1931"/>
      <c r="K25" s="1931"/>
      <c r="L25" s="1931"/>
      <c r="M25" s="1931"/>
      <c r="N25" s="1931"/>
      <c r="O25" s="1931"/>
      <c r="P25" s="1931"/>
      <c r="Q25" s="1931"/>
      <c r="R25" s="1931"/>
      <c r="S25" s="1931"/>
      <c r="T25" s="1931"/>
      <c r="U25" s="1931"/>
      <c r="V25" s="1931"/>
      <c r="W25" s="1906"/>
    </row>
    <row r="26" spans="1:23" ht="17.649999999999999" customHeight="1">
      <c r="A26" s="1930">
        <v>4</v>
      </c>
      <c r="B26" s="1625" t="s">
        <v>5099</v>
      </c>
      <c r="C26" s="1931"/>
      <c r="D26" s="1931"/>
      <c r="E26" s="1931"/>
      <c r="F26" s="1931"/>
      <c r="G26" s="1931"/>
      <c r="H26" s="1931"/>
      <c r="I26" s="1931"/>
      <c r="J26" s="1931"/>
      <c r="K26" s="1931"/>
      <c r="L26" s="1931"/>
      <c r="M26" s="1931"/>
      <c r="N26" s="1931"/>
      <c r="O26" s="1931"/>
      <c r="P26" s="1931"/>
      <c r="Q26" s="1931"/>
      <c r="R26" s="1931"/>
      <c r="S26" s="1931"/>
      <c r="T26" s="1931"/>
      <c r="U26" s="1931"/>
      <c r="V26" s="1931"/>
      <c r="W26" s="1906"/>
    </row>
    <row r="27" spans="1:23" ht="14.25">
      <c r="A27" s="1930">
        <v>5</v>
      </c>
      <c r="B27" s="1903" t="s">
        <v>5100</v>
      </c>
      <c r="C27" s="1931"/>
      <c r="D27" s="1931"/>
      <c r="E27" s="1931"/>
      <c r="F27" s="1931"/>
      <c r="G27" s="1931"/>
      <c r="H27" s="1931"/>
      <c r="I27" s="1931"/>
      <c r="J27" s="1931"/>
      <c r="K27" s="1931"/>
      <c r="L27" s="1931"/>
      <c r="M27" s="1931"/>
      <c r="N27" s="1931"/>
      <c r="O27" s="1931"/>
      <c r="P27" s="1931"/>
      <c r="Q27" s="1931"/>
      <c r="R27" s="1931"/>
      <c r="S27" s="1931"/>
      <c r="T27" s="1931"/>
      <c r="U27" s="1931"/>
      <c r="V27" s="1931"/>
      <c r="W27" s="1906"/>
    </row>
    <row r="28" spans="1:23" ht="14.25">
      <c r="A28" s="1930">
        <v>6</v>
      </c>
      <c r="B28" s="1932" t="s">
        <v>565</v>
      </c>
      <c r="C28" s="1931"/>
      <c r="D28" s="1931"/>
      <c r="E28" s="1931"/>
      <c r="F28" s="1931"/>
      <c r="G28" s="1931"/>
      <c r="H28" s="1931"/>
      <c r="I28" s="1931"/>
      <c r="J28" s="1931"/>
      <c r="K28" s="1931"/>
      <c r="L28" s="1931"/>
      <c r="M28" s="1931"/>
      <c r="N28" s="1931"/>
      <c r="O28" s="1931"/>
      <c r="P28" s="1931"/>
      <c r="Q28" s="1931"/>
      <c r="R28" s="1931"/>
      <c r="S28" s="1931"/>
      <c r="T28" s="1931"/>
      <c r="U28" s="1931"/>
      <c r="V28" s="1931"/>
      <c r="W28" s="1906"/>
    </row>
    <row r="29" spans="1:23" ht="14.25">
      <c r="A29" s="1930">
        <v>7</v>
      </c>
      <c r="B29" s="1933" t="s">
        <v>5101</v>
      </c>
      <c r="C29" s="1931"/>
      <c r="D29" s="1931"/>
      <c r="E29" s="1931"/>
      <c r="F29" s="1931"/>
      <c r="G29" s="1931"/>
      <c r="H29" s="1931"/>
      <c r="I29" s="1931"/>
      <c r="J29" s="1931"/>
      <c r="K29" s="1931"/>
      <c r="L29" s="1931"/>
      <c r="M29" s="1931"/>
      <c r="N29" s="1931"/>
      <c r="O29" s="1931"/>
      <c r="P29" s="1931"/>
      <c r="Q29" s="1931"/>
      <c r="R29" s="1931"/>
      <c r="S29" s="1931"/>
      <c r="T29" s="1931"/>
      <c r="U29" s="1931"/>
      <c r="V29" s="1931"/>
      <c r="W29" s="1906"/>
    </row>
    <row r="30" spans="1:23" ht="14.25">
      <c r="A30" s="1930">
        <v>8</v>
      </c>
      <c r="B30" s="1625" t="s">
        <v>5102</v>
      </c>
      <c r="C30" s="1934"/>
      <c r="D30" s="1934"/>
      <c r="E30" s="1934"/>
      <c r="F30" s="1934"/>
      <c r="G30" s="1934"/>
      <c r="H30" s="1934"/>
      <c r="I30" s="1934"/>
      <c r="J30" s="1934"/>
      <c r="K30" s="1934"/>
      <c r="L30" s="1934"/>
      <c r="M30" s="1934"/>
      <c r="N30" s="1934"/>
      <c r="O30" s="1934"/>
      <c r="P30" s="1934"/>
      <c r="Q30" s="1934"/>
      <c r="R30" s="1934"/>
      <c r="W30" s="1906"/>
    </row>
    <row r="31" spans="1:23" ht="14.25">
      <c r="A31" s="1930">
        <v>9</v>
      </c>
      <c r="B31" s="1625" t="s">
        <v>5103</v>
      </c>
    </row>
    <row r="32" spans="1:23" ht="14.25">
      <c r="A32" s="1935" t="s">
        <v>4878</v>
      </c>
      <c r="B32" s="1936" t="s">
        <v>5104</v>
      </c>
    </row>
  </sheetData>
  <mergeCells count="16">
    <mergeCell ref="V3:V4"/>
    <mergeCell ref="B19:B20"/>
    <mergeCell ref="B21:C21"/>
    <mergeCell ref="G3:G4"/>
    <mergeCell ref="H3:H4"/>
    <mergeCell ref="I3:I4"/>
    <mergeCell ref="J3:M3"/>
    <mergeCell ref="N3:N4"/>
    <mergeCell ref="O3:R3"/>
    <mergeCell ref="F3:F4"/>
    <mergeCell ref="S3:U3"/>
    <mergeCell ref="A3:A5"/>
    <mergeCell ref="B3:B4"/>
    <mergeCell ref="C3:C4"/>
    <mergeCell ref="D3:D4"/>
    <mergeCell ref="E3:E4"/>
  </mergeCells>
  <phoneticPr fontId="9" type="noConversion"/>
  <dataValidations count="4">
    <dataValidation type="decimal" allowBlank="1" showInputMessage="1" showErrorMessage="1" errorTitle="錯誤" error="輸入資料格式錯誤!!" sqref="Q6:R18 O6:O18" xr:uid="{00000000-0002-0000-1100-000000000000}">
      <formula1>-1000</formula1>
      <formula2>1000</formula2>
    </dataValidation>
    <dataValidation allowBlank="1" showInputMessage="1" showErrorMessage="1" errorTitle="錯誤" error="輸入資料格式錯誤!!" sqref="S6:V21 B6:M21 N19:R21" xr:uid="{00000000-0002-0000-1100-000001000000}"/>
    <dataValidation type="decimal" allowBlank="1" showInputMessage="1" showErrorMessage="1" errorTitle="錯誤" error="輸入資料格式錯誤!!" sqref="N6:N18" xr:uid="{00000000-0002-0000-1100-000002000000}">
      <formula1>-9.99999999999999E+28</formula1>
      <formula2>9.99999999999999E+31</formula2>
    </dataValidation>
    <dataValidation type="whole" allowBlank="1" showInputMessage="1" showErrorMessage="1" errorTitle="錯誤" error="輸入資料格式錯誤!!" sqref="P6:P18" xr:uid="{00000000-0002-0000-1100-000003000000}">
      <formula1>-9.99999999999999E+28</formula1>
      <formula2>9.99999999999999E+31</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Z277"/>
  <sheetViews>
    <sheetView showGridLines="0" zoomScale="80" zoomScaleNormal="80" workbookViewId="0">
      <pane xSplit="4" ySplit="5" topLeftCell="E161"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5" width="14.625" style="514" customWidth="1"/>
    <col min="16" max="16" width="16.875" style="514" customWidth="1"/>
    <col min="17" max="17" width="18.125" style="514" customWidth="1"/>
    <col min="18" max="18" width="11.5" style="514" customWidth="1"/>
    <col min="19" max="19" width="19.75" style="514" customWidth="1"/>
    <col min="20" max="20" width="16" style="514" customWidth="1"/>
    <col min="21" max="21" width="13.625" style="514" customWidth="1"/>
    <col min="22" max="22" width="13" style="514" customWidth="1"/>
    <col min="23" max="23" width="13.125" style="514" customWidth="1"/>
    <col min="24" max="24" width="12" style="514" customWidth="1"/>
    <col min="25" max="16384" width="9" style="514"/>
  </cols>
  <sheetData>
    <row r="1" spans="1:26"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1"/>
      <c r="W1" s="651"/>
      <c r="X1" s="651"/>
      <c r="Y1" s="653" t="s">
        <v>3078</v>
      </c>
      <c r="Z1" s="654"/>
    </row>
    <row r="2" spans="1:26" ht="17.25" thickBot="1">
      <c r="A2" s="653" t="s">
        <v>3183</v>
      </c>
      <c r="B2" s="653"/>
      <c r="C2" s="651"/>
      <c r="D2" s="651"/>
      <c r="E2" s="651"/>
      <c r="F2" s="652"/>
      <c r="G2" s="651"/>
      <c r="H2" s="651"/>
      <c r="I2" s="651"/>
      <c r="J2" s="651"/>
      <c r="K2" s="651"/>
      <c r="L2" s="651"/>
      <c r="M2" s="651"/>
      <c r="N2" s="651"/>
      <c r="O2" s="651"/>
      <c r="P2" s="651"/>
      <c r="Q2" s="651"/>
      <c r="R2" s="651"/>
      <c r="S2" s="651"/>
      <c r="T2" s="651"/>
      <c r="U2" s="651"/>
      <c r="V2" s="651"/>
      <c r="W2" s="651"/>
      <c r="X2" s="651"/>
      <c r="Y2" s="651"/>
      <c r="Z2" s="654"/>
    </row>
    <row r="3" spans="1:26" ht="16.5" customHeight="1">
      <c r="A3" s="3293" t="s">
        <v>3080</v>
      </c>
      <c r="B3" s="3296" t="s">
        <v>3081</v>
      </c>
      <c r="C3" s="3298" t="s">
        <v>3082</v>
      </c>
      <c r="D3" s="3299"/>
      <c r="E3" s="3296" t="s">
        <v>3083</v>
      </c>
      <c r="F3" s="3296"/>
      <c r="G3" s="3296"/>
      <c r="H3" s="3296"/>
      <c r="I3" s="3296"/>
      <c r="J3" s="3313" t="s">
        <v>3084</v>
      </c>
      <c r="K3" s="3296" t="s">
        <v>3085</v>
      </c>
      <c r="L3" s="3330" t="s">
        <v>3086</v>
      </c>
      <c r="M3" s="3330" t="s">
        <v>3087</v>
      </c>
      <c r="N3" s="3332" t="s">
        <v>3088</v>
      </c>
      <c r="O3" s="3332" t="s">
        <v>3089</v>
      </c>
      <c r="P3" s="3296" t="s">
        <v>3090</v>
      </c>
      <c r="Q3" s="3296" t="s">
        <v>3091</v>
      </c>
      <c r="R3" s="3298" t="s">
        <v>3092</v>
      </c>
      <c r="S3" s="3296" t="s">
        <v>3093</v>
      </c>
      <c r="T3" s="3311" t="s">
        <v>664</v>
      </c>
      <c r="U3" s="3296" t="s">
        <v>3151</v>
      </c>
      <c r="V3" s="3296" t="s">
        <v>3152</v>
      </c>
      <c r="W3" s="3296" t="s">
        <v>3153</v>
      </c>
      <c r="X3" s="3296" t="s">
        <v>3094</v>
      </c>
      <c r="Y3" s="3296" t="s">
        <v>3095</v>
      </c>
      <c r="Z3" s="3305" t="s">
        <v>3096</v>
      </c>
    </row>
    <row r="4" spans="1:26" ht="31.5">
      <c r="A4" s="3294"/>
      <c r="B4" s="3297"/>
      <c r="C4" s="3300"/>
      <c r="D4" s="3300"/>
      <c r="E4" s="656" t="s">
        <v>3097</v>
      </c>
      <c r="F4" s="656" t="s">
        <v>3098</v>
      </c>
      <c r="G4" s="658" t="s">
        <v>3099</v>
      </c>
      <c r="H4" s="658" t="s">
        <v>3100</v>
      </c>
      <c r="I4" s="658" t="s">
        <v>3101</v>
      </c>
      <c r="J4" s="3314"/>
      <c r="K4" s="3297"/>
      <c r="L4" s="3314"/>
      <c r="M4" s="3314"/>
      <c r="N4" s="3333"/>
      <c r="O4" s="3300"/>
      <c r="P4" s="3297"/>
      <c r="Q4" s="3297"/>
      <c r="R4" s="3309"/>
      <c r="S4" s="3297"/>
      <c r="T4" s="3312"/>
      <c r="U4" s="3297"/>
      <c r="V4" s="3297"/>
      <c r="W4" s="3297"/>
      <c r="X4" s="3297"/>
      <c r="Y4" s="3297"/>
      <c r="Z4" s="3306"/>
    </row>
    <row r="5" spans="1:26" ht="17.25" thickBot="1">
      <c r="A5" s="3295"/>
      <c r="B5" s="660" t="s">
        <v>422</v>
      </c>
      <c r="C5" s="3301" t="s">
        <v>423</v>
      </c>
      <c r="D5" s="330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799" t="s">
        <v>71</v>
      </c>
      <c r="V5" s="799" t="s">
        <v>72</v>
      </c>
      <c r="W5" s="799" t="s">
        <v>73</v>
      </c>
      <c r="X5" s="861" t="s">
        <v>89</v>
      </c>
      <c r="Y5" s="862" t="s">
        <v>90</v>
      </c>
      <c r="Z5" s="863" t="s">
        <v>435</v>
      </c>
    </row>
    <row r="6" spans="1:26" ht="16.5" customHeight="1">
      <c r="A6" s="662">
        <v>1</v>
      </c>
      <c r="B6" s="3302" t="s">
        <v>3102</v>
      </c>
      <c r="C6" s="3286" t="s">
        <v>3103</v>
      </c>
      <c r="D6" s="3310" t="s">
        <v>3104</v>
      </c>
      <c r="E6" s="663"/>
      <c r="F6" s="663"/>
      <c r="G6" s="664"/>
      <c r="H6" s="664"/>
      <c r="I6" s="664"/>
      <c r="J6" s="664"/>
      <c r="K6" s="665"/>
      <c r="L6" s="665"/>
      <c r="M6" s="665"/>
      <c r="N6" s="665"/>
      <c r="O6" s="665"/>
      <c r="P6" s="667"/>
      <c r="Q6" s="665"/>
      <c r="R6" s="665"/>
      <c r="S6" s="665"/>
      <c r="T6" s="667"/>
      <c r="U6" s="802"/>
      <c r="V6" s="802"/>
      <c r="W6" s="802"/>
      <c r="X6" s="668"/>
      <c r="Y6" s="665"/>
      <c r="Z6" s="669"/>
    </row>
    <row r="7" spans="1:26" ht="16.5">
      <c r="A7" s="670">
        <v>2</v>
      </c>
      <c r="B7" s="3303"/>
      <c r="C7" s="3287"/>
      <c r="D7" s="3307"/>
      <c r="E7" s="672"/>
      <c r="F7" s="672"/>
      <c r="G7" s="673"/>
      <c r="H7" s="673"/>
      <c r="I7" s="673"/>
      <c r="J7" s="673"/>
      <c r="K7" s="674"/>
      <c r="L7" s="674"/>
      <c r="M7" s="674"/>
      <c r="N7" s="674"/>
      <c r="O7" s="674"/>
      <c r="P7" s="676"/>
      <c r="Q7" s="674"/>
      <c r="R7" s="674"/>
      <c r="S7" s="674"/>
      <c r="T7" s="676"/>
      <c r="U7" s="683"/>
      <c r="V7" s="683"/>
      <c r="W7" s="683"/>
      <c r="X7" s="677"/>
      <c r="Y7" s="674"/>
      <c r="Z7" s="678"/>
    </row>
    <row r="8" spans="1:26" ht="16.5">
      <c r="A8" s="670">
        <v>3</v>
      </c>
      <c r="B8" s="3303"/>
      <c r="C8" s="3287"/>
      <c r="D8" s="3307"/>
      <c r="E8" s="672"/>
      <c r="F8" s="672"/>
      <c r="G8" s="673"/>
      <c r="H8" s="673"/>
      <c r="I8" s="673"/>
      <c r="J8" s="673"/>
      <c r="K8" s="674"/>
      <c r="L8" s="674"/>
      <c r="M8" s="674"/>
      <c r="N8" s="674"/>
      <c r="O8" s="674"/>
      <c r="P8" s="676"/>
      <c r="Q8" s="674"/>
      <c r="R8" s="674"/>
      <c r="S8" s="674"/>
      <c r="T8" s="676"/>
      <c r="U8" s="683"/>
      <c r="V8" s="683"/>
      <c r="W8" s="683"/>
      <c r="X8" s="677"/>
      <c r="Y8" s="674"/>
      <c r="Z8" s="678"/>
    </row>
    <row r="9" spans="1:26" ht="16.5">
      <c r="A9" s="670">
        <v>4</v>
      </c>
      <c r="B9" s="3303"/>
      <c r="C9" s="3287"/>
      <c r="D9" s="3307"/>
      <c r="E9" s="672"/>
      <c r="F9" s="672"/>
      <c r="G9" s="673"/>
      <c r="H9" s="673"/>
      <c r="I9" s="673"/>
      <c r="J9" s="673"/>
      <c r="K9" s="674"/>
      <c r="L9" s="674"/>
      <c r="M9" s="674"/>
      <c r="N9" s="674"/>
      <c r="O9" s="674"/>
      <c r="P9" s="676"/>
      <c r="Q9" s="674"/>
      <c r="R9" s="674"/>
      <c r="S9" s="674"/>
      <c r="T9" s="676"/>
      <c r="U9" s="683"/>
      <c r="V9" s="683"/>
      <c r="W9" s="683"/>
      <c r="X9" s="677"/>
      <c r="Y9" s="674"/>
      <c r="Z9" s="678"/>
    </row>
    <row r="10" spans="1:26" ht="16.5">
      <c r="A10" s="670">
        <v>5</v>
      </c>
      <c r="B10" s="3303"/>
      <c r="C10" s="3287"/>
      <c r="D10" s="3307"/>
      <c r="E10" s="672"/>
      <c r="F10" s="672"/>
      <c r="G10" s="673"/>
      <c r="H10" s="673"/>
      <c r="I10" s="673"/>
      <c r="J10" s="673"/>
      <c r="K10" s="674"/>
      <c r="L10" s="674"/>
      <c r="M10" s="674"/>
      <c r="N10" s="674"/>
      <c r="O10" s="674"/>
      <c r="P10" s="676"/>
      <c r="Q10" s="674"/>
      <c r="R10" s="674"/>
      <c r="S10" s="674"/>
      <c r="T10" s="676"/>
      <c r="U10" s="683"/>
      <c r="V10" s="683"/>
      <c r="W10" s="683"/>
      <c r="X10" s="677"/>
      <c r="Y10" s="674"/>
      <c r="Z10" s="678"/>
    </row>
    <row r="11" spans="1:26" ht="16.5">
      <c r="A11" s="670">
        <v>6</v>
      </c>
      <c r="B11" s="3303"/>
      <c r="C11" s="3287"/>
      <c r="D11" s="3307"/>
      <c r="E11" s="672"/>
      <c r="F11" s="672"/>
      <c r="G11" s="673"/>
      <c r="H11" s="673"/>
      <c r="I11" s="673"/>
      <c r="J11" s="673"/>
      <c r="K11" s="674"/>
      <c r="L11" s="674"/>
      <c r="M11" s="674"/>
      <c r="N11" s="674"/>
      <c r="O11" s="674"/>
      <c r="P11" s="676"/>
      <c r="Q11" s="674"/>
      <c r="R11" s="674"/>
      <c r="S11" s="674"/>
      <c r="T11" s="676"/>
      <c r="U11" s="683"/>
      <c r="V11" s="683"/>
      <c r="W11" s="683"/>
      <c r="X11" s="677"/>
      <c r="Y11" s="674"/>
      <c r="Z11" s="678"/>
    </row>
    <row r="12" spans="1:26" ht="16.5">
      <c r="A12" s="670">
        <v>7</v>
      </c>
      <c r="B12" s="3303"/>
      <c r="C12" s="3287"/>
      <c r="D12" s="3307"/>
      <c r="E12" s="672"/>
      <c r="F12" s="672"/>
      <c r="G12" s="673"/>
      <c r="H12" s="673"/>
      <c r="I12" s="673"/>
      <c r="J12" s="673"/>
      <c r="K12" s="674"/>
      <c r="L12" s="674"/>
      <c r="M12" s="674"/>
      <c r="N12" s="674"/>
      <c r="O12" s="674"/>
      <c r="P12" s="676"/>
      <c r="Q12" s="674"/>
      <c r="R12" s="674"/>
      <c r="S12" s="674"/>
      <c r="T12" s="676"/>
      <c r="U12" s="683"/>
      <c r="V12" s="683"/>
      <c r="W12" s="683"/>
      <c r="X12" s="677"/>
      <c r="Y12" s="674"/>
      <c r="Z12" s="678"/>
    </row>
    <row r="13" spans="1:26" ht="16.5">
      <c r="A13" s="670">
        <v>8</v>
      </c>
      <c r="B13" s="3303"/>
      <c r="C13" s="3287"/>
      <c r="D13" s="3307"/>
      <c r="E13" s="672"/>
      <c r="F13" s="672"/>
      <c r="G13" s="673"/>
      <c r="H13" s="673"/>
      <c r="I13" s="673"/>
      <c r="J13" s="673"/>
      <c r="K13" s="674"/>
      <c r="L13" s="674"/>
      <c r="M13" s="674"/>
      <c r="N13" s="674"/>
      <c r="O13" s="674"/>
      <c r="P13" s="676"/>
      <c r="Q13" s="674"/>
      <c r="R13" s="674"/>
      <c r="S13" s="674"/>
      <c r="T13" s="676"/>
      <c r="U13" s="683"/>
      <c r="V13" s="683"/>
      <c r="W13" s="683"/>
      <c r="X13" s="677"/>
      <c r="Y13" s="674"/>
      <c r="Z13" s="678"/>
    </row>
    <row r="14" spans="1:26" ht="16.5">
      <c r="A14" s="670">
        <v>9</v>
      </c>
      <c r="B14" s="3303"/>
      <c r="C14" s="3287"/>
      <c r="D14" s="3307"/>
      <c r="E14" s="672"/>
      <c r="F14" s="672"/>
      <c r="G14" s="673"/>
      <c r="H14" s="673"/>
      <c r="I14" s="673"/>
      <c r="J14" s="673"/>
      <c r="K14" s="674"/>
      <c r="L14" s="674"/>
      <c r="M14" s="674"/>
      <c r="N14" s="674"/>
      <c r="O14" s="674"/>
      <c r="P14" s="676"/>
      <c r="Q14" s="674"/>
      <c r="R14" s="674"/>
      <c r="S14" s="674"/>
      <c r="T14" s="676"/>
      <c r="U14" s="683"/>
      <c r="V14" s="683"/>
      <c r="W14" s="683"/>
      <c r="X14" s="677"/>
      <c r="Y14" s="674"/>
      <c r="Z14" s="678"/>
    </row>
    <row r="15" spans="1:26" ht="16.5">
      <c r="A15" s="670">
        <v>10</v>
      </c>
      <c r="B15" s="3303"/>
      <c r="C15" s="3287"/>
      <c r="D15" s="3307"/>
      <c r="E15" s="672"/>
      <c r="F15" s="672"/>
      <c r="G15" s="673"/>
      <c r="H15" s="673"/>
      <c r="I15" s="673"/>
      <c r="J15" s="673"/>
      <c r="K15" s="674"/>
      <c r="L15" s="674"/>
      <c r="M15" s="674"/>
      <c r="N15" s="674"/>
      <c r="O15" s="674"/>
      <c r="P15" s="676"/>
      <c r="Q15" s="674"/>
      <c r="R15" s="674"/>
      <c r="S15" s="674"/>
      <c r="T15" s="676"/>
      <c r="U15" s="683"/>
      <c r="V15" s="683"/>
      <c r="W15" s="683"/>
      <c r="X15" s="677"/>
      <c r="Y15" s="674"/>
      <c r="Z15" s="678"/>
    </row>
    <row r="16" spans="1:26" ht="16.5">
      <c r="A16" s="670">
        <v>11</v>
      </c>
      <c r="B16" s="3303"/>
      <c r="C16" s="3287"/>
      <c r="D16" s="3307"/>
      <c r="E16" s="672"/>
      <c r="F16" s="672"/>
      <c r="G16" s="673"/>
      <c r="H16" s="673"/>
      <c r="I16" s="673"/>
      <c r="J16" s="673"/>
      <c r="K16" s="674"/>
      <c r="L16" s="674"/>
      <c r="M16" s="674"/>
      <c r="N16" s="674"/>
      <c r="O16" s="674"/>
      <c r="P16" s="676"/>
      <c r="Q16" s="674"/>
      <c r="R16" s="674"/>
      <c r="S16" s="674"/>
      <c r="T16" s="676"/>
      <c r="U16" s="683"/>
      <c r="V16" s="683"/>
      <c r="W16" s="683"/>
      <c r="X16" s="677"/>
      <c r="Y16" s="674"/>
      <c r="Z16" s="678"/>
    </row>
    <row r="17" spans="1:26" ht="16.5">
      <c r="A17" s="670">
        <v>12</v>
      </c>
      <c r="B17" s="3303"/>
      <c r="C17" s="3287"/>
      <c r="D17" s="3307"/>
      <c r="E17" s="672"/>
      <c r="F17" s="672"/>
      <c r="G17" s="673"/>
      <c r="H17" s="673"/>
      <c r="I17" s="673"/>
      <c r="J17" s="673"/>
      <c r="K17" s="674"/>
      <c r="L17" s="674"/>
      <c r="M17" s="674"/>
      <c r="N17" s="674"/>
      <c r="O17" s="674"/>
      <c r="P17" s="676"/>
      <c r="Q17" s="674"/>
      <c r="R17" s="674"/>
      <c r="S17" s="674"/>
      <c r="T17" s="676"/>
      <c r="U17" s="683"/>
      <c r="V17" s="683"/>
      <c r="W17" s="683"/>
      <c r="X17" s="677"/>
      <c r="Y17" s="674"/>
      <c r="Z17" s="678"/>
    </row>
    <row r="18" spans="1:26" ht="16.5">
      <c r="A18" s="670">
        <v>13</v>
      </c>
      <c r="B18" s="3303"/>
      <c r="C18" s="3287"/>
      <c r="D18" s="657"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3"/>
      <c r="V18" s="683"/>
      <c r="W18" s="683"/>
      <c r="X18" s="684"/>
      <c r="Y18" s="682"/>
      <c r="Z18" s="848"/>
    </row>
    <row r="19" spans="1:26" ht="16.5" customHeight="1">
      <c r="A19" s="670">
        <v>14</v>
      </c>
      <c r="B19" s="3303"/>
      <c r="C19" s="3287"/>
      <c r="D19" s="3334" t="s">
        <v>3106</v>
      </c>
      <c r="E19" s="672"/>
      <c r="F19" s="672"/>
      <c r="G19" s="673"/>
      <c r="H19" s="673"/>
      <c r="I19" s="673"/>
      <c r="J19" s="673"/>
      <c r="K19" s="674"/>
      <c r="L19" s="674"/>
      <c r="M19" s="674"/>
      <c r="N19" s="674"/>
      <c r="O19" s="674"/>
      <c r="P19" s="676"/>
      <c r="Q19" s="674"/>
      <c r="R19" s="674"/>
      <c r="S19" s="674"/>
      <c r="T19" s="676"/>
      <c r="U19" s="683"/>
      <c r="V19" s="683"/>
      <c r="W19" s="683"/>
      <c r="X19" s="677"/>
      <c r="Y19" s="674"/>
      <c r="Z19" s="678"/>
    </row>
    <row r="20" spans="1:26" ht="16.5">
      <c r="A20" s="670">
        <v>15</v>
      </c>
      <c r="B20" s="3303"/>
      <c r="C20" s="3287"/>
      <c r="D20" s="3307"/>
      <c r="E20" s="672"/>
      <c r="F20" s="672"/>
      <c r="G20" s="673"/>
      <c r="H20" s="673"/>
      <c r="I20" s="673"/>
      <c r="J20" s="673"/>
      <c r="K20" s="674"/>
      <c r="L20" s="674"/>
      <c r="M20" s="674"/>
      <c r="N20" s="674"/>
      <c r="O20" s="674"/>
      <c r="P20" s="676"/>
      <c r="Q20" s="674"/>
      <c r="R20" s="674"/>
      <c r="S20" s="674"/>
      <c r="T20" s="676"/>
      <c r="U20" s="683"/>
      <c r="V20" s="683"/>
      <c r="W20" s="683"/>
      <c r="X20" s="677"/>
      <c r="Y20" s="674"/>
      <c r="Z20" s="678"/>
    </row>
    <row r="21" spans="1:26" ht="16.5">
      <c r="A21" s="670">
        <v>16</v>
      </c>
      <c r="B21" s="3303"/>
      <c r="C21" s="3287"/>
      <c r="D21" s="3307"/>
      <c r="E21" s="672"/>
      <c r="F21" s="672"/>
      <c r="G21" s="673"/>
      <c r="H21" s="673"/>
      <c r="I21" s="673"/>
      <c r="J21" s="673"/>
      <c r="K21" s="674"/>
      <c r="L21" s="674"/>
      <c r="M21" s="674"/>
      <c r="N21" s="674"/>
      <c r="O21" s="674"/>
      <c r="P21" s="676"/>
      <c r="Q21" s="674"/>
      <c r="R21" s="674"/>
      <c r="S21" s="674"/>
      <c r="T21" s="676"/>
      <c r="U21" s="683"/>
      <c r="V21" s="683"/>
      <c r="W21" s="683"/>
      <c r="X21" s="677"/>
      <c r="Y21" s="674"/>
      <c r="Z21" s="678"/>
    </row>
    <row r="22" spans="1:26" ht="16.5">
      <c r="A22" s="670">
        <v>17</v>
      </c>
      <c r="B22" s="3303"/>
      <c r="C22" s="3287"/>
      <c r="D22" s="3307"/>
      <c r="E22" s="672"/>
      <c r="F22" s="672"/>
      <c r="G22" s="673"/>
      <c r="H22" s="673"/>
      <c r="I22" s="673"/>
      <c r="J22" s="673"/>
      <c r="K22" s="674"/>
      <c r="L22" s="674"/>
      <c r="M22" s="674"/>
      <c r="N22" s="674"/>
      <c r="O22" s="674"/>
      <c r="P22" s="676"/>
      <c r="Q22" s="674"/>
      <c r="R22" s="674"/>
      <c r="S22" s="674"/>
      <c r="T22" s="676"/>
      <c r="U22" s="683"/>
      <c r="V22" s="683"/>
      <c r="W22" s="683"/>
      <c r="X22" s="677"/>
      <c r="Y22" s="674"/>
      <c r="Z22" s="678"/>
    </row>
    <row r="23" spans="1:26" ht="16.5">
      <c r="A23" s="670">
        <v>18</v>
      </c>
      <c r="B23" s="3303"/>
      <c r="C23" s="3287"/>
      <c r="D23" s="3307"/>
      <c r="E23" s="672"/>
      <c r="F23" s="672"/>
      <c r="G23" s="673"/>
      <c r="H23" s="673"/>
      <c r="I23" s="673"/>
      <c r="J23" s="673"/>
      <c r="K23" s="674"/>
      <c r="L23" s="674"/>
      <c r="M23" s="674"/>
      <c r="N23" s="674"/>
      <c r="O23" s="674"/>
      <c r="P23" s="676"/>
      <c r="Q23" s="674"/>
      <c r="R23" s="674"/>
      <c r="S23" s="674"/>
      <c r="T23" s="676"/>
      <c r="U23" s="683"/>
      <c r="V23" s="683"/>
      <c r="W23" s="683"/>
      <c r="X23" s="677"/>
      <c r="Y23" s="674"/>
      <c r="Z23" s="678"/>
    </row>
    <row r="24" spans="1:26" ht="16.5">
      <c r="A24" s="670">
        <v>19</v>
      </c>
      <c r="B24" s="3303"/>
      <c r="C24" s="3287"/>
      <c r="D24" s="3307"/>
      <c r="E24" s="672"/>
      <c r="F24" s="672"/>
      <c r="G24" s="673"/>
      <c r="H24" s="673"/>
      <c r="I24" s="673"/>
      <c r="J24" s="673"/>
      <c r="K24" s="674"/>
      <c r="L24" s="674"/>
      <c r="M24" s="674"/>
      <c r="N24" s="674"/>
      <c r="O24" s="674"/>
      <c r="P24" s="676"/>
      <c r="Q24" s="674"/>
      <c r="R24" s="674"/>
      <c r="S24" s="674"/>
      <c r="T24" s="676"/>
      <c r="U24" s="683"/>
      <c r="V24" s="683"/>
      <c r="W24" s="683"/>
      <c r="X24" s="677"/>
      <c r="Y24" s="674"/>
      <c r="Z24" s="678"/>
    </row>
    <row r="25" spans="1:26" ht="16.5">
      <c r="A25" s="670">
        <v>20</v>
      </c>
      <c r="B25" s="3303"/>
      <c r="C25" s="3287"/>
      <c r="D25" s="3307"/>
      <c r="E25" s="672"/>
      <c r="F25" s="672"/>
      <c r="G25" s="673"/>
      <c r="H25" s="673"/>
      <c r="I25" s="673"/>
      <c r="J25" s="673"/>
      <c r="K25" s="674"/>
      <c r="L25" s="674"/>
      <c r="M25" s="674"/>
      <c r="N25" s="674"/>
      <c r="O25" s="674"/>
      <c r="P25" s="676"/>
      <c r="Q25" s="674"/>
      <c r="R25" s="674"/>
      <c r="S25" s="674"/>
      <c r="T25" s="676"/>
      <c r="U25" s="683"/>
      <c r="V25" s="683"/>
      <c r="W25" s="683"/>
      <c r="X25" s="677"/>
      <c r="Y25" s="674"/>
      <c r="Z25" s="678"/>
    </row>
    <row r="26" spans="1:26" ht="16.5">
      <c r="A26" s="670">
        <v>21</v>
      </c>
      <c r="B26" s="3303"/>
      <c r="C26" s="3287"/>
      <c r="D26" s="3307"/>
      <c r="E26" s="672"/>
      <c r="F26" s="672"/>
      <c r="G26" s="673"/>
      <c r="H26" s="673"/>
      <c r="I26" s="673"/>
      <c r="J26" s="673"/>
      <c r="K26" s="674"/>
      <c r="L26" s="674"/>
      <c r="M26" s="674"/>
      <c r="N26" s="674"/>
      <c r="O26" s="674"/>
      <c r="P26" s="676"/>
      <c r="Q26" s="674"/>
      <c r="R26" s="674"/>
      <c r="S26" s="674"/>
      <c r="T26" s="676"/>
      <c r="U26" s="683"/>
      <c r="V26" s="683"/>
      <c r="W26" s="683"/>
      <c r="X26" s="677"/>
      <c r="Y26" s="674"/>
      <c r="Z26" s="678"/>
    </row>
    <row r="27" spans="1:26" ht="16.5">
      <c r="A27" s="670">
        <v>22</v>
      </c>
      <c r="B27" s="3303"/>
      <c r="C27" s="3287"/>
      <c r="D27" s="3307"/>
      <c r="E27" s="672"/>
      <c r="F27" s="672"/>
      <c r="G27" s="673"/>
      <c r="H27" s="673"/>
      <c r="I27" s="673"/>
      <c r="J27" s="673"/>
      <c r="K27" s="674"/>
      <c r="L27" s="674"/>
      <c r="M27" s="674"/>
      <c r="N27" s="674"/>
      <c r="O27" s="674"/>
      <c r="P27" s="676"/>
      <c r="Q27" s="674"/>
      <c r="R27" s="674"/>
      <c r="S27" s="674"/>
      <c r="T27" s="676"/>
      <c r="U27" s="683"/>
      <c r="V27" s="683"/>
      <c r="W27" s="683"/>
      <c r="X27" s="677"/>
      <c r="Y27" s="674"/>
      <c r="Z27" s="678"/>
    </row>
    <row r="28" spans="1:26" ht="16.5">
      <c r="A28" s="670">
        <v>23</v>
      </c>
      <c r="B28" s="3303"/>
      <c r="C28" s="3287"/>
      <c r="D28" s="3307"/>
      <c r="E28" s="672"/>
      <c r="F28" s="672"/>
      <c r="G28" s="673"/>
      <c r="H28" s="673"/>
      <c r="I28" s="673"/>
      <c r="J28" s="673"/>
      <c r="K28" s="674"/>
      <c r="L28" s="674"/>
      <c r="M28" s="674"/>
      <c r="N28" s="674"/>
      <c r="O28" s="674"/>
      <c r="P28" s="676"/>
      <c r="Q28" s="674"/>
      <c r="R28" s="674"/>
      <c r="S28" s="674"/>
      <c r="T28" s="676"/>
      <c r="U28" s="683"/>
      <c r="V28" s="683"/>
      <c r="W28" s="683"/>
      <c r="X28" s="677"/>
      <c r="Y28" s="674"/>
      <c r="Z28" s="678"/>
    </row>
    <row r="29" spans="1:26" ht="16.5">
      <c r="A29" s="670">
        <v>24</v>
      </c>
      <c r="B29" s="3303"/>
      <c r="C29" s="3287"/>
      <c r="D29" s="3307"/>
      <c r="E29" s="672"/>
      <c r="F29" s="672"/>
      <c r="G29" s="673"/>
      <c r="H29" s="673"/>
      <c r="I29" s="673"/>
      <c r="J29" s="673"/>
      <c r="K29" s="674"/>
      <c r="L29" s="674"/>
      <c r="M29" s="674"/>
      <c r="N29" s="674"/>
      <c r="O29" s="674"/>
      <c r="P29" s="676"/>
      <c r="Q29" s="674"/>
      <c r="R29" s="674"/>
      <c r="S29" s="674"/>
      <c r="T29" s="676"/>
      <c r="U29" s="683"/>
      <c r="V29" s="683"/>
      <c r="W29" s="683"/>
      <c r="X29" s="677"/>
      <c r="Y29" s="674"/>
      <c r="Z29" s="678"/>
    </row>
    <row r="30" spans="1:26" ht="16.5">
      <c r="A30" s="670">
        <v>25</v>
      </c>
      <c r="B30" s="3303"/>
      <c r="C30" s="3287"/>
      <c r="D30" s="3307"/>
      <c r="E30" s="672"/>
      <c r="F30" s="672"/>
      <c r="G30" s="673"/>
      <c r="H30" s="673"/>
      <c r="I30" s="673"/>
      <c r="J30" s="673"/>
      <c r="K30" s="674"/>
      <c r="L30" s="674"/>
      <c r="M30" s="674"/>
      <c r="N30" s="674"/>
      <c r="O30" s="674"/>
      <c r="P30" s="676"/>
      <c r="Q30" s="674"/>
      <c r="R30" s="674"/>
      <c r="S30" s="674"/>
      <c r="T30" s="676"/>
      <c r="U30" s="683"/>
      <c r="V30" s="683"/>
      <c r="W30" s="683"/>
      <c r="X30" s="677"/>
      <c r="Y30" s="674"/>
      <c r="Z30" s="678"/>
    </row>
    <row r="31" spans="1:26" ht="17.25" thickBot="1">
      <c r="A31" s="670">
        <v>26</v>
      </c>
      <c r="B31" s="3303"/>
      <c r="C31" s="3288"/>
      <c r="D31" s="686" t="s">
        <v>3105</v>
      </c>
      <c r="E31" s="687"/>
      <c r="F31" s="687"/>
      <c r="G31" s="687"/>
      <c r="H31" s="687"/>
      <c r="I31" s="687"/>
      <c r="J31" s="687"/>
      <c r="K31" s="687"/>
      <c r="L31" s="687"/>
      <c r="M31" s="687"/>
      <c r="N31" s="688">
        <f>SUM(N19:N30)</f>
        <v>0</v>
      </c>
      <c r="O31" s="688">
        <f>SUM(O19:O30)</f>
        <v>0</v>
      </c>
      <c r="P31" s="688">
        <f>SUM(P19:P30)</f>
        <v>0</v>
      </c>
      <c r="Q31" s="689"/>
      <c r="R31" s="688">
        <f>SUM(R19:R30)</f>
        <v>0</v>
      </c>
      <c r="S31" s="689"/>
      <c r="T31" s="689"/>
      <c r="U31" s="689"/>
      <c r="V31" s="689"/>
      <c r="W31" s="689"/>
      <c r="X31" s="689"/>
      <c r="Y31" s="689"/>
      <c r="Z31" s="849"/>
    </row>
    <row r="32" spans="1:26" ht="16.5" customHeight="1">
      <c r="A32" s="670">
        <v>27</v>
      </c>
      <c r="B32" s="3303"/>
      <c r="C32" s="3292" t="s">
        <v>3107</v>
      </c>
      <c r="D32" s="3289" t="s">
        <v>3108</v>
      </c>
      <c r="E32" s="663"/>
      <c r="F32" s="663"/>
      <c r="G32" s="664"/>
      <c r="H32" s="664"/>
      <c r="I32" s="664"/>
      <c r="J32" s="664"/>
      <c r="K32" s="665"/>
      <c r="L32" s="665"/>
      <c r="M32" s="665"/>
      <c r="N32" s="665"/>
      <c r="O32" s="665"/>
      <c r="P32" s="667"/>
      <c r="Q32" s="665"/>
      <c r="R32" s="665"/>
      <c r="S32" s="665"/>
      <c r="T32" s="667"/>
      <c r="U32" s="683"/>
      <c r="V32" s="683"/>
      <c r="W32" s="683"/>
      <c r="X32" s="668"/>
      <c r="Y32" s="665"/>
      <c r="Z32" s="669"/>
    </row>
    <row r="33" spans="1:26" ht="16.5">
      <c r="A33" s="670">
        <v>28</v>
      </c>
      <c r="B33" s="3303"/>
      <c r="C33" s="3287"/>
      <c r="D33" s="3290"/>
      <c r="E33" s="672"/>
      <c r="F33" s="672"/>
      <c r="G33" s="673"/>
      <c r="H33" s="673"/>
      <c r="I33" s="673"/>
      <c r="J33" s="673"/>
      <c r="K33" s="674"/>
      <c r="L33" s="674"/>
      <c r="M33" s="674"/>
      <c r="N33" s="674"/>
      <c r="O33" s="674"/>
      <c r="P33" s="676"/>
      <c r="Q33" s="674"/>
      <c r="R33" s="674"/>
      <c r="S33" s="674"/>
      <c r="T33" s="676"/>
      <c r="U33" s="683"/>
      <c r="V33" s="683"/>
      <c r="W33" s="683"/>
      <c r="X33" s="677"/>
      <c r="Y33" s="674"/>
      <c r="Z33" s="678"/>
    </row>
    <row r="34" spans="1:26" ht="16.5">
      <c r="A34" s="670">
        <v>29</v>
      </c>
      <c r="B34" s="3303"/>
      <c r="C34" s="3287"/>
      <c r="D34" s="3290"/>
      <c r="E34" s="672"/>
      <c r="F34" s="672"/>
      <c r="G34" s="673"/>
      <c r="H34" s="673"/>
      <c r="I34" s="673"/>
      <c r="J34" s="673"/>
      <c r="K34" s="674"/>
      <c r="L34" s="674"/>
      <c r="M34" s="674"/>
      <c r="N34" s="674"/>
      <c r="O34" s="674"/>
      <c r="P34" s="676"/>
      <c r="Q34" s="674"/>
      <c r="R34" s="674"/>
      <c r="S34" s="674"/>
      <c r="T34" s="676"/>
      <c r="U34" s="683"/>
      <c r="V34" s="683"/>
      <c r="W34" s="683"/>
      <c r="X34" s="677"/>
      <c r="Y34" s="674"/>
      <c r="Z34" s="678"/>
    </row>
    <row r="35" spans="1:26" ht="16.5">
      <c r="A35" s="670">
        <v>30</v>
      </c>
      <c r="B35" s="3303"/>
      <c r="C35" s="3287"/>
      <c r="D35" s="3290"/>
      <c r="E35" s="672"/>
      <c r="F35" s="672"/>
      <c r="G35" s="673"/>
      <c r="H35" s="673"/>
      <c r="I35" s="673"/>
      <c r="J35" s="673"/>
      <c r="K35" s="674"/>
      <c r="L35" s="674"/>
      <c r="M35" s="674"/>
      <c r="N35" s="674"/>
      <c r="O35" s="674"/>
      <c r="P35" s="676"/>
      <c r="Q35" s="674"/>
      <c r="R35" s="674"/>
      <c r="S35" s="674"/>
      <c r="T35" s="676"/>
      <c r="U35" s="683"/>
      <c r="V35" s="683"/>
      <c r="W35" s="683"/>
      <c r="X35" s="677"/>
      <c r="Y35" s="674"/>
      <c r="Z35" s="678"/>
    </row>
    <row r="36" spans="1:26" ht="16.5">
      <c r="A36" s="670">
        <v>31</v>
      </c>
      <c r="B36" s="3303"/>
      <c r="C36" s="3287"/>
      <c r="D36" s="3290"/>
      <c r="E36" s="672"/>
      <c r="F36" s="672"/>
      <c r="G36" s="673"/>
      <c r="H36" s="673"/>
      <c r="I36" s="673"/>
      <c r="J36" s="673"/>
      <c r="K36" s="674"/>
      <c r="L36" s="674"/>
      <c r="M36" s="674"/>
      <c r="N36" s="674"/>
      <c r="O36" s="674"/>
      <c r="P36" s="676"/>
      <c r="Q36" s="674"/>
      <c r="R36" s="674"/>
      <c r="S36" s="674"/>
      <c r="T36" s="676"/>
      <c r="U36" s="683"/>
      <c r="V36" s="683"/>
      <c r="W36" s="683"/>
      <c r="X36" s="677"/>
      <c r="Y36" s="674"/>
      <c r="Z36" s="678"/>
    </row>
    <row r="37" spans="1:26" ht="16.5">
      <c r="A37" s="670">
        <v>32</v>
      </c>
      <c r="B37" s="3303"/>
      <c r="C37" s="3287"/>
      <c r="D37" s="3290"/>
      <c r="E37" s="672"/>
      <c r="F37" s="672"/>
      <c r="G37" s="673"/>
      <c r="H37" s="673"/>
      <c r="I37" s="673"/>
      <c r="J37" s="673"/>
      <c r="K37" s="674"/>
      <c r="L37" s="674"/>
      <c r="M37" s="674"/>
      <c r="N37" s="674"/>
      <c r="O37" s="674"/>
      <c r="P37" s="676"/>
      <c r="Q37" s="674"/>
      <c r="R37" s="674"/>
      <c r="S37" s="674"/>
      <c r="T37" s="676"/>
      <c r="U37" s="683"/>
      <c r="V37" s="683"/>
      <c r="W37" s="683"/>
      <c r="X37" s="677"/>
      <c r="Y37" s="674"/>
      <c r="Z37" s="678"/>
    </row>
    <row r="38" spans="1:26" ht="16.5">
      <c r="A38" s="670">
        <v>33</v>
      </c>
      <c r="B38" s="3303"/>
      <c r="C38" s="3287"/>
      <c r="D38" s="3290"/>
      <c r="E38" s="672"/>
      <c r="F38" s="672"/>
      <c r="G38" s="673"/>
      <c r="H38" s="673"/>
      <c r="I38" s="673"/>
      <c r="J38" s="673"/>
      <c r="K38" s="674"/>
      <c r="L38" s="674"/>
      <c r="M38" s="674"/>
      <c r="N38" s="674"/>
      <c r="O38" s="674"/>
      <c r="P38" s="676"/>
      <c r="Q38" s="674"/>
      <c r="R38" s="674"/>
      <c r="S38" s="674"/>
      <c r="T38" s="676"/>
      <c r="U38" s="683"/>
      <c r="V38" s="683"/>
      <c r="W38" s="683"/>
      <c r="X38" s="677"/>
      <c r="Y38" s="674"/>
      <c r="Z38" s="678"/>
    </row>
    <row r="39" spans="1:26" ht="16.5">
      <c r="A39" s="670">
        <v>34</v>
      </c>
      <c r="B39" s="3303"/>
      <c r="C39" s="3287"/>
      <c r="D39" s="3290"/>
      <c r="E39" s="672"/>
      <c r="F39" s="672"/>
      <c r="G39" s="673"/>
      <c r="H39" s="673"/>
      <c r="I39" s="673"/>
      <c r="J39" s="673"/>
      <c r="K39" s="674"/>
      <c r="L39" s="674"/>
      <c r="M39" s="674"/>
      <c r="N39" s="674"/>
      <c r="O39" s="674"/>
      <c r="P39" s="676"/>
      <c r="Q39" s="674"/>
      <c r="R39" s="674"/>
      <c r="S39" s="674"/>
      <c r="T39" s="676"/>
      <c r="U39" s="683"/>
      <c r="V39" s="683"/>
      <c r="W39" s="683"/>
      <c r="X39" s="677"/>
      <c r="Y39" s="674"/>
      <c r="Z39" s="678"/>
    </row>
    <row r="40" spans="1:26" ht="16.5">
      <c r="A40" s="670">
        <v>35</v>
      </c>
      <c r="B40" s="3303"/>
      <c r="C40" s="3287"/>
      <c r="D40" s="3290"/>
      <c r="E40" s="672"/>
      <c r="F40" s="672"/>
      <c r="G40" s="673"/>
      <c r="H40" s="673"/>
      <c r="I40" s="673"/>
      <c r="J40" s="673"/>
      <c r="K40" s="674"/>
      <c r="L40" s="674"/>
      <c r="M40" s="674"/>
      <c r="N40" s="674"/>
      <c r="O40" s="674"/>
      <c r="P40" s="676"/>
      <c r="Q40" s="674"/>
      <c r="R40" s="674"/>
      <c r="S40" s="674"/>
      <c r="T40" s="676"/>
      <c r="U40" s="683"/>
      <c r="V40" s="683"/>
      <c r="W40" s="683"/>
      <c r="X40" s="677"/>
      <c r="Y40" s="674"/>
      <c r="Z40" s="678"/>
    </row>
    <row r="41" spans="1:26" ht="16.5">
      <c r="A41" s="670">
        <v>36</v>
      </c>
      <c r="B41" s="3303"/>
      <c r="C41" s="3287"/>
      <c r="D41" s="3291"/>
      <c r="E41" s="672"/>
      <c r="F41" s="672"/>
      <c r="G41" s="673"/>
      <c r="H41" s="673"/>
      <c r="I41" s="673"/>
      <c r="J41" s="673"/>
      <c r="K41" s="674"/>
      <c r="L41" s="674"/>
      <c r="M41" s="674"/>
      <c r="N41" s="674"/>
      <c r="O41" s="674"/>
      <c r="P41" s="676"/>
      <c r="Q41" s="674"/>
      <c r="R41" s="674"/>
      <c r="S41" s="674"/>
      <c r="T41" s="676"/>
      <c r="U41" s="683"/>
      <c r="V41" s="683"/>
      <c r="W41" s="683"/>
      <c r="X41" s="677"/>
      <c r="Y41" s="674"/>
      <c r="Z41" s="678"/>
    </row>
    <row r="42" spans="1:26" ht="16.5">
      <c r="A42" s="670">
        <v>37</v>
      </c>
      <c r="B42" s="3303"/>
      <c r="C42" s="3287"/>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3"/>
      <c r="V42" s="683"/>
      <c r="W42" s="683"/>
      <c r="X42" s="684"/>
      <c r="Y42" s="682"/>
      <c r="Z42" s="848"/>
    </row>
    <row r="43" spans="1:26" ht="16.5" customHeight="1">
      <c r="A43" s="670">
        <v>38</v>
      </c>
      <c r="B43" s="3303"/>
      <c r="C43" s="3287"/>
      <c r="D43" s="3308" t="s">
        <v>3109</v>
      </c>
      <c r="E43" s="672"/>
      <c r="F43" s="672"/>
      <c r="G43" s="673"/>
      <c r="H43" s="673"/>
      <c r="I43" s="673"/>
      <c r="J43" s="673"/>
      <c r="K43" s="674"/>
      <c r="L43" s="674"/>
      <c r="M43" s="674"/>
      <c r="N43" s="674"/>
      <c r="O43" s="674"/>
      <c r="P43" s="676"/>
      <c r="Q43" s="674"/>
      <c r="R43" s="674"/>
      <c r="S43" s="674"/>
      <c r="T43" s="676"/>
      <c r="U43" s="683"/>
      <c r="V43" s="683"/>
      <c r="W43" s="683"/>
      <c r="X43" s="677"/>
      <c r="Y43" s="674"/>
      <c r="Z43" s="678"/>
    </row>
    <row r="44" spans="1:26" ht="16.5">
      <c r="A44" s="670">
        <v>39</v>
      </c>
      <c r="B44" s="3303"/>
      <c r="C44" s="3287"/>
      <c r="D44" s="3290"/>
      <c r="E44" s="672"/>
      <c r="F44" s="672"/>
      <c r="G44" s="673"/>
      <c r="H44" s="673"/>
      <c r="I44" s="673"/>
      <c r="J44" s="673"/>
      <c r="K44" s="674"/>
      <c r="L44" s="674"/>
      <c r="M44" s="674"/>
      <c r="N44" s="674"/>
      <c r="O44" s="674"/>
      <c r="P44" s="676"/>
      <c r="Q44" s="674"/>
      <c r="R44" s="674"/>
      <c r="S44" s="674"/>
      <c r="T44" s="676"/>
      <c r="U44" s="683"/>
      <c r="V44" s="683"/>
      <c r="W44" s="683"/>
      <c r="X44" s="677"/>
      <c r="Y44" s="674"/>
      <c r="Z44" s="678"/>
    </row>
    <row r="45" spans="1:26" ht="16.5">
      <c r="A45" s="670">
        <v>40</v>
      </c>
      <c r="B45" s="3303"/>
      <c r="C45" s="3287"/>
      <c r="D45" s="3290"/>
      <c r="E45" s="672"/>
      <c r="F45" s="672"/>
      <c r="G45" s="673"/>
      <c r="H45" s="673"/>
      <c r="I45" s="673"/>
      <c r="J45" s="673"/>
      <c r="K45" s="674"/>
      <c r="L45" s="674"/>
      <c r="M45" s="674"/>
      <c r="N45" s="674"/>
      <c r="O45" s="674"/>
      <c r="P45" s="676"/>
      <c r="Q45" s="674"/>
      <c r="R45" s="674"/>
      <c r="S45" s="674"/>
      <c r="T45" s="676"/>
      <c r="U45" s="683"/>
      <c r="V45" s="683"/>
      <c r="W45" s="683"/>
      <c r="X45" s="677"/>
      <c r="Y45" s="674"/>
      <c r="Z45" s="678"/>
    </row>
    <row r="46" spans="1:26" ht="16.5">
      <c r="A46" s="670">
        <v>41</v>
      </c>
      <c r="B46" s="3303"/>
      <c r="C46" s="3287"/>
      <c r="D46" s="3290"/>
      <c r="E46" s="672"/>
      <c r="F46" s="672"/>
      <c r="G46" s="673"/>
      <c r="H46" s="673"/>
      <c r="I46" s="673"/>
      <c r="J46" s="673"/>
      <c r="K46" s="674"/>
      <c r="L46" s="674"/>
      <c r="M46" s="674"/>
      <c r="N46" s="674"/>
      <c r="O46" s="674"/>
      <c r="P46" s="676"/>
      <c r="Q46" s="674"/>
      <c r="R46" s="674"/>
      <c r="S46" s="674"/>
      <c r="T46" s="676"/>
      <c r="U46" s="683"/>
      <c r="V46" s="683"/>
      <c r="W46" s="683"/>
      <c r="X46" s="677"/>
      <c r="Y46" s="674"/>
      <c r="Z46" s="678"/>
    </row>
    <row r="47" spans="1:26" ht="16.5">
      <c r="A47" s="670">
        <v>42</v>
      </c>
      <c r="B47" s="3303"/>
      <c r="C47" s="3287"/>
      <c r="D47" s="3290"/>
      <c r="E47" s="672"/>
      <c r="F47" s="672"/>
      <c r="G47" s="673"/>
      <c r="H47" s="673"/>
      <c r="I47" s="673"/>
      <c r="J47" s="673"/>
      <c r="K47" s="674"/>
      <c r="L47" s="674"/>
      <c r="M47" s="674"/>
      <c r="N47" s="674"/>
      <c r="O47" s="674"/>
      <c r="P47" s="676"/>
      <c r="Q47" s="674"/>
      <c r="R47" s="674"/>
      <c r="S47" s="674"/>
      <c r="T47" s="676"/>
      <c r="U47" s="683"/>
      <c r="V47" s="683"/>
      <c r="W47" s="683"/>
      <c r="X47" s="677"/>
      <c r="Y47" s="674"/>
      <c r="Z47" s="678"/>
    </row>
    <row r="48" spans="1:26" ht="16.5">
      <c r="A48" s="670">
        <v>43</v>
      </c>
      <c r="B48" s="3303"/>
      <c r="C48" s="3287"/>
      <c r="D48" s="3290"/>
      <c r="E48" s="672"/>
      <c r="F48" s="672"/>
      <c r="G48" s="673"/>
      <c r="H48" s="673"/>
      <c r="I48" s="673"/>
      <c r="J48" s="673"/>
      <c r="K48" s="674"/>
      <c r="L48" s="674"/>
      <c r="M48" s="674"/>
      <c r="N48" s="674"/>
      <c r="O48" s="674"/>
      <c r="P48" s="676"/>
      <c r="Q48" s="674"/>
      <c r="R48" s="674"/>
      <c r="S48" s="674"/>
      <c r="T48" s="676"/>
      <c r="U48" s="683"/>
      <c r="V48" s="683"/>
      <c r="W48" s="683"/>
      <c r="X48" s="677"/>
      <c r="Y48" s="674"/>
      <c r="Z48" s="678"/>
    </row>
    <row r="49" spans="1:26" ht="16.5">
      <c r="A49" s="670">
        <v>44</v>
      </c>
      <c r="B49" s="3303"/>
      <c r="C49" s="3287"/>
      <c r="D49" s="3290"/>
      <c r="E49" s="672"/>
      <c r="F49" s="672"/>
      <c r="G49" s="673"/>
      <c r="H49" s="673"/>
      <c r="I49" s="673"/>
      <c r="J49" s="673"/>
      <c r="K49" s="674"/>
      <c r="L49" s="674"/>
      <c r="M49" s="674"/>
      <c r="N49" s="674"/>
      <c r="O49" s="674"/>
      <c r="P49" s="676"/>
      <c r="Q49" s="674"/>
      <c r="R49" s="674"/>
      <c r="S49" s="674"/>
      <c r="T49" s="676"/>
      <c r="U49" s="683"/>
      <c r="V49" s="683"/>
      <c r="W49" s="683"/>
      <c r="X49" s="677"/>
      <c r="Y49" s="674"/>
      <c r="Z49" s="678"/>
    </row>
    <row r="50" spans="1:26" ht="16.5">
      <c r="A50" s="670">
        <v>45</v>
      </c>
      <c r="B50" s="3303"/>
      <c r="C50" s="3287"/>
      <c r="D50" s="3290"/>
      <c r="E50" s="672"/>
      <c r="F50" s="672"/>
      <c r="G50" s="673"/>
      <c r="H50" s="673"/>
      <c r="I50" s="673"/>
      <c r="J50" s="673"/>
      <c r="K50" s="674"/>
      <c r="L50" s="674"/>
      <c r="M50" s="674"/>
      <c r="N50" s="674"/>
      <c r="O50" s="674"/>
      <c r="P50" s="676"/>
      <c r="Q50" s="674"/>
      <c r="R50" s="674"/>
      <c r="S50" s="674"/>
      <c r="T50" s="676"/>
      <c r="U50" s="683"/>
      <c r="V50" s="683"/>
      <c r="W50" s="683"/>
      <c r="X50" s="677"/>
      <c r="Y50" s="674"/>
      <c r="Z50" s="678"/>
    </row>
    <row r="51" spans="1:26" ht="16.5">
      <c r="A51" s="670">
        <v>46</v>
      </c>
      <c r="B51" s="3303"/>
      <c r="C51" s="3287"/>
      <c r="D51" s="3290"/>
      <c r="E51" s="672"/>
      <c r="F51" s="672"/>
      <c r="G51" s="673"/>
      <c r="H51" s="673"/>
      <c r="I51" s="673"/>
      <c r="J51" s="673"/>
      <c r="K51" s="674"/>
      <c r="L51" s="674"/>
      <c r="M51" s="674"/>
      <c r="N51" s="674"/>
      <c r="O51" s="674"/>
      <c r="P51" s="676"/>
      <c r="Q51" s="674"/>
      <c r="R51" s="674"/>
      <c r="S51" s="674"/>
      <c r="T51" s="676"/>
      <c r="U51" s="683"/>
      <c r="V51" s="683"/>
      <c r="W51" s="683"/>
      <c r="X51" s="677"/>
      <c r="Y51" s="674"/>
      <c r="Z51" s="678"/>
    </row>
    <row r="52" spans="1:26" ht="16.5">
      <c r="A52" s="670">
        <v>47</v>
      </c>
      <c r="B52" s="3303"/>
      <c r="C52" s="3287"/>
      <c r="D52" s="3291"/>
      <c r="E52" s="672"/>
      <c r="F52" s="672"/>
      <c r="G52" s="673"/>
      <c r="H52" s="673"/>
      <c r="I52" s="673"/>
      <c r="J52" s="673"/>
      <c r="K52" s="674"/>
      <c r="L52" s="674"/>
      <c r="M52" s="674"/>
      <c r="N52" s="674"/>
      <c r="O52" s="674"/>
      <c r="P52" s="676"/>
      <c r="Q52" s="674"/>
      <c r="R52" s="674"/>
      <c r="S52" s="674"/>
      <c r="T52" s="676"/>
      <c r="U52" s="683"/>
      <c r="V52" s="683"/>
      <c r="W52" s="683"/>
      <c r="X52" s="677"/>
      <c r="Y52" s="674"/>
      <c r="Z52" s="678"/>
    </row>
    <row r="53" spans="1:26" ht="17.25" thickBot="1">
      <c r="A53" s="670">
        <v>48</v>
      </c>
      <c r="B53" s="3303"/>
      <c r="C53" s="3288"/>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89"/>
      <c r="X53" s="689"/>
      <c r="Y53" s="689"/>
      <c r="Z53" s="849"/>
    </row>
    <row r="54" spans="1:26" ht="16.5" customHeight="1">
      <c r="A54" s="670">
        <v>49</v>
      </c>
      <c r="B54" s="3303"/>
      <c r="C54" s="3338" t="s">
        <v>3154</v>
      </c>
      <c r="D54" s="3315" t="s">
        <v>3155</v>
      </c>
      <c r="E54" s="864"/>
      <c r="F54" s="864"/>
      <c r="G54" s="864"/>
      <c r="H54" s="864"/>
      <c r="I54" s="864"/>
      <c r="J54" s="865" t="s">
        <v>3184</v>
      </c>
      <c r="K54" s="864"/>
      <c r="L54" s="864"/>
      <c r="M54" s="864"/>
      <c r="N54" s="864"/>
      <c r="O54" s="864"/>
      <c r="P54" s="864"/>
      <c r="Q54" s="806" t="s">
        <v>3157</v>
      </c>
      <c r="R54" s="864"/>
      <c r="S54" s="806" t="s">
        <v>3158</v>
      </c>
      <c r="T54" s="864"/>
      <c r="U54" s="864"/>
      <c r="V54" s="864"/>
      <c r="W54" s="864"/>
      <c r="X54" s="864"/>
      <c r="Y54" s="864"/>
      <c r="Z54" s="669"/>
    </row>
    <row r="55" spans="1:26" ht="16.5">
      <c r="A55" s="670">
        <v>50</v>
      </c>
      <c r="B55" s="3303"/>
      <c r="C55" s="3339"/>
      <c r="D55" s="3316"/>
      <c r="E55" s="674"/>
      <c r="F55" s="674"/>
      <c r="G55" s="674"/>
      <c r="H55" s="674"/>
      <c r="I55" s="674"/>
      <c r="J55" s="866" t="s">
        <v>3184</v>
      </c>
      <c r="K55" s="674"/>
      <c r="L55" s="674"/>
      <c r="M55" s="674"/>
      <c r="N55" s="674"/>
      <c r="O55" s="674"/>
      <c r="P55" s="674"/>
      <c r="Q55" s="809" t="s">
        <v>3157</v>
      </c>
      <c r="R55" s="674"/>
      <c r="S55" s="809" t="s">
        <v>3158</v>
      </c>
      <c r="T55" s="674"/>
      <c r="U55" s="674"/>
      <c r="V55" s="674"/>
      <c r="W55" s="674"/>
      <c r="X55" s="674"/>
      <c r="Y55" s="674"/>
      <c r="Z55" s="867"/>
    </row>
    <row r="56" spans="1:26" ht="16.5">
      <c r="A56" s="670">
        <v>51</v>
      </c>
      <c r="B56" s="3303"/>
      <c r="C56" s="3339"/>
      <c r="D56" s="3316"/>
      <c r="E56" s="674"/>
      <c r="F56" s="674"/>
      <c r="G56" s="674"/>
      <c r="H56" s="674"/>
      <c r="I56" s="674"/>
      <c r="J56" s="866" t="s">
        <v>3184</v>
      </c>
      <c r="K56" s="674"/>
      <c r="L56" s="674"/>
      <c r="M56" s="674"/>
      <c r="N56" s="674"/>
      <c r="O56" s="674"/>
      <c r="P56" s="674"/>
      <c r="Q56" s="809" t="s">
        <v>3157</v>
      </c>
      <c r="R56" s="674"/>
      <c r="S56" s="809" t="s">
        <v>3158</v>
      </c>
      <c r="T56" s="674"/>
      <c r="U56" s="674"/>
      <c r="V56" s="674"/>
      <c r="W56" s="674"/>
      <c r="X56" s="674"/>
      <c r="Y56" s="674"/>
      <c r="Z56" s="700"/>
    </row>
    <row r="57" spans="1:26" ht="16.5">
      <c r="A57" s="670">
        <v>52</v>
      </c>
      <c r="B57" s="3303"/>
      <c r="C57" s="3339"/>
      <c r="D57" s="3316"/>
      <c r="E57" s="674"/>
      <c r="F57" s="674"/>
      <c r="G57" s="674"/>
      <c r="H57" s="674"/>
      <c r="I57" s="674"/>
      <c r="J57" s="866" t="s">
        <v>3184</v>
      </c>
      <c r="K57" s="674"/>
      <c r="L57" s="674"/>
      <c r="M57" s="674"/>
      <c r="N57" s="674"/>
      <c r="O57" s="674"/>
      <c r="P57" s="674"/>
      <c r="Q57" s="809" t="s">
        <v>3157</v>
      </c>
      <c r="R57" s="674"/>
      <c r="S57" s="809" t="s">
        <v>3158</v>
      </c>
      <c r="T57" s="674"/>
      <c r="U57" s="674"/>
      <c r="V57" s="674"/>
      <c r="W57" s="674"/>
      <c r="X57" s="674"/>
      <c r="Y57" s="674"/>
      <c r="Z57" s="700"/>
    </row>
    <row r="58" spans="1:26" ht="16.5">
      <c r="A58" s="670">
        <v>53</v>
      </c>
      <c r="B58" s="3303"/>
      <c r="C58" s="3339"/>
      <c r="D58" s="3316"/>
      <c r="E58" s="674"/>
      <c r="F58" s="674"/>
      <c r="G58" s="674"/>
      <c r="H58" s="674"/>
      <c r="I58" s="674"/>
      <c r="J58" s="866" t="s">
        <v>3184</v>
      </c>
      <c r="K58" s="674"/>
      <c r="L58" s="674"/>
      <c r="M58" s="674"/>
      <c r="N58" s="674"/>
      <c r="O58" s="674"/>
      <c r="P58" s="674"/>
      <c r="Q58" s="809" t="s">
        <v>3157</v>
      </c>
      <c r="R58" s="674"/>
      <c r="S58" s="809" t="s">
        <v>3158</v>
      </c>
      <c r="T58" s="674"/>
      <c r="U58" s="674"/>
      <c r="V58" s="674"/>
      <c r="W58" s="674"/>
      <c r="X58" s="674"/>
      <c r="Y58" s="674"/>
      <c r="Z58" s="700"/>
    </row>
    <row r="59" spans="1:26" ht="16.5">
      <c r="A59" s="670">
        <v>54</v>
      </c>
      <c r="B59" s="3303"/>
      <c r="C59" s="3339"/>
      <c r="D59" s="3316"/>
      <c r="E59" s="674"/>
      <c r="F59" s="674"/>
      <c r="G59" s="674"/>
      <c r="H59" s="674"/>
      <c r="I59" s="674"/>
      <c r="J59" s="866" t="s">
        <v>3184</v>
      </c>
      <c r="K59" s="674"/>
      <c r="L59" s="674"/>
      <c r="M59" s="674"/>
      <c r="N59" s="674"/>
      <c r="O59" s="674"/>
      <c r="P59" s="674"/>
      <c r="Q59" s="809" t="s">
        <v>3157</v>
      </c>
      <c r="R59" s="674"/>
      <c r="S59" s="809" t="s">
        <v>3158</v>
      </c>
      <c r="T59" s="674"/>
      <c r="U59" s="674"/>
      <c r="V59" s="674"/>
      <c r="W59" s="674"/>
      <c r="X59" s="674"/>
      <c r="Y59" s="674"/>
      <c r="Z59" s="700"/>
    </row>
    <row r="60" spans="1:26" ht="16.5">
      <c r="A60" s="670">
        <v>55</v>
      </c>
      <c r="B60" s="3303"/>
      <c r="C60" s="3339"/>
      <c r="D60" s="3316"/>
      <c r="E60" s="674"/>
      <c r="F60" s="674"/>
      <c r="G60" s="674"/>
      <c r="H60" s="674"/>
      <c r="I60" s="674"/>
      <c r="J60" s="866" t="s">
        <v>3184</v>
      </c>
      <c r="K60" s="674"/>
      <c r="L60" s="674"/>
      <c r="M60" s="674"/>
      <c r="N60" s="674"/>
      <c r="O60" s="674"/>
      <c r="P60" s="674"/>
      <c r="Q60" s="809" t="s">
        <v>3157</v>
      </c>
      <c r="R60" s="674"/>
      <c r="S60" s="809" t="s">
        <v>3158</v>
      </c>
      <c r="T60" s="674"/>
      <c r="U60" s="674"/>
      <c r="V60" s="674"/>
      <c r="W60" s="674"/>
      <c r="X60" s="674"/>
      <c r="Y60" s="674"/>
      <c r="Z60" s="678"/>
    </row>
    <row r="61" spans="1:26" ht="16.5">
      <c r="A61" s="670">
        <v>56</v>
      </c>
      <c r="B61" s="3303"/>
      <c r="C61" s="3339"/>
      <c r="D61" s="3316"/>
      <c r="E61" s="674"/>
      <c r="F61" s="674"/>
      <c r="G61" s="674"/>
      <c r="H61" s="674"/>
      <c r="I61" s="674"/>
      <c r="J61" s="866" t="s">
        <v>3184</v>
      </c>
      <c r="K61" s="674"/>
      <c r="L61" s="674"/>
      <c r="M61" s="674"/>
      <c r="N61" s="674"/>
      <c r="O61" s="674"/>
      <c r="P61" s="674"/>
      <c r="Q61" s="809" t="s">
        <v>3157</v>
      </c>
      <c r="R61" s="674"/>
      <c r="S61" s="809" t="s">
        <v>3158</v>
      </c>
      <c r="T61" s="674"/>
      <c r="U61" s="674"/>
      <c r="V61" s="674"/>
      <c r="W61" s="674"/>
      <c r="X61" s="674"/>
      <c r="Y61" s="674"/>
      <c r="Z61" s="867"/>
    </row>
    <row r="62" spans="1:26" ht="16.5">
      <c r="A62" s="670">
        <v>57</v>
      </c>
      <c r="B62" s="3303"/>
      <c r="C62" s="3339"/>
      <c r="D62" s="3316"/>
      <c r="E62" s="674"/>
      <c r="F62" s="674"/>
      <c r="G62" s="674"/>
      <c r="H62" s="674"/>
      <c r="I62" s="674"/>
      <c r="J62" s="866" t="s">
        <v>3184</v>
      </c>
      <c r="K62" s="674"/>
      <c r="L62" s="674"/>
      <c r="M62" s="674"/>
      <c r="N62" s="674"/>
      <c r="O62" s="674"/>
      <c r="P62" s="674"/>
      <c r="Q62" s="809" t="s">
        <v>3157</v>
      </c>
      <c r="R62" s="674"/>
      <c r="S62" s="809" t="s">
        <v>3158</v>
      </c>
      <c r="T62" s="674"/>
      <c r="U62" s="674"/>
      <c r="V62" s="674"/>
      <c r="W62" s="674"/>
      <c r="X62" s="674"/>
      <c r="Y62" s="674"/>
      <c r="Z62" s="700"/>
    </row>
    <row r="63" spans="1:26" ht="16.5">
      <c r="A63" s="670">
        <v>58</v>
      </c>
      <c r="B63" s="3303"/>
      <c r="C63" s="3339"/>
      <c r="D63" s="3317"/>
      <c r="E63" s="864"/>
      <c r="F63" s="864"/>
      <c r="G63" s="864"/>
      <c r="H63" s="864"/>
      <c r="I63" s="864"/>
      <c r="J63" s="866" t="s">
        <v>3184</v>
      </c>
      <c r="K63" s="864"/>
      <c r="L63" s="864"/>
      <c r="M63" s="864"/>
      <c r="N63" s="864"/>
      <c r="O63" s="864"/>
      <c r="P63" s="864"/>
      <c r="Q63" s="809" t="s">
        <v>3157</v>
      </c>
      <c r="R63" s="864"/>
      <c r="S63" s="809" t="s">
        <v>3158</v>
      </c>
      <c r="T63" s="864"/>
      <c r="U63" s="864"/>
      <c r="V63" s="864"/>
      <c r="W63" s="864"/>
      <c r="X63" s="864"/>
      <c r="Y63" s="864"/>
      <c r="Z63" s="678"/>
    </row>
    <row r="64" spans="1:26" ht="17.25" thickBot="1">
      <c r="A64" s="670">
        <v>59</v>
      </c>
      <c r="B64" s="3303"/>
      <c r="C64" s="3339"/>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9"/>
      <c r="V64" s="689"/>
      <c r="W64" s="689"/>
      <c r="X64" s="682"/>
      <c r="Y64" s="682"/>
      <c r="Z64" s="848"/>
    </row>
    <row r="65" spans="1:26" ht="16.5" customHeight="1">
      <c r="A65" s="670">
        <v>60</v>
      </c>
      <c r="B65" s="3303"/>
      <c r="C65" s="3339"/>
      <c r="D65" s="3315" t="s">
        <v>3160</v>
      </c>
      <c r="E65" s="663"/>
      <c r="F65" s="663"/>
      <c r="G65" s="664"/>
      <c r="H65" s="664"/>
      <c r="I65" s="664"/>
      <c r="J65" s="865" t="s">
        <v>3184</v>
      </c>
      <c r="K65" s="665"/>
      <c r="L65" s="665"/>
      <c r="M65" s="665"/>
      <c r="N65" s="665"/>
      <c r="O65" s="665"/>
      <c r="P65" s="667"/>
      <c r="Q65" s="806" t="s">
        <v>3157</v>
      </c>
      <c r="R65" s="665"/>
      <c r="S65" s="806" t="s">
        <v>3158</v>
      </c>
      <c r="T65" s="667"/>
      <c r="U65" s="667"/>
      <c r="V65" s="667"/>
      <c r="W65" s="667"/>
      <c r="X65" s="668"/>
      <c r="Y65" s="665"/>
      <c r="Z65" s="669"/>
    </row>
    <row r="66" spans="1:26" ht="16.5">
      <c r="A66" s="670">
        <v>61</v>
      </c>
      <c r="B66" s="3303"/>
      <c r="C66" s="3339"/>
      <c r="D66" s="3316"/>
      <c r="E66" s="672"/>
      <c r="F66" s="672"/>
      <c r="G66" s="673"/>
      <c r="H66" s="673"/>
      <c r="I66" s="673"/>
      <c r="J66" s="866" t="s">
        <v>3184</v>
      </c>
      <c r="K66" s="674"/>
      <c r="L66" s="674"/>
      <c r="M66" s="674"/>
      <c r="N66" s="674"/>
      <c r="O66" s="674"/>
      <c r="P66" s="676"/>
      <c r="Q66" s="809" t="s">
        <v>3157</v>
      </c>
      <c r="R66" s="674"/>
      <c r="S66" s="809" t="s">
        <v>3158</v>
      </c>
      <c r="T66" s="676"/>
      <c r="U66" s="676"/>
      <c r="V66" s="676"/>
      <c r="W66" s="676"/>
      <c r="X66" s="677"/>
      <c r="Y66" s="674"/>
      <c r="Z66" s="678"/>
    </row>
    <row r="67" spans="1:26" ht="16.5">
      <c r="A67" s="670">
        <v>62</v>
      </c>
      <c r="B67" s="3303"/>
      <c r="C67" s="3339"/>
      <c r="D67" s="3316"/>
      <c r="E67" s="672"/>
      <c r="F67" s="672"/>
      <c r="G67" s="673"/>
      <c r="H67" s="673"/>
      <c r="I67" s="673"/>
      <c r="J67" s="866" t="s">
        <v>3184</v>
      </c>
      <c r="K67" s="674"/>
      <c r="L67" s="674"/>
      <c r="M67" s="674"/>
      <c r="N67" s="674"/>
      <c r="O67" s="674"/>
      <c r="P67" s="676"/>
      <c r="Q67" s="809" t="s">
        <v>3157</v>
      </c>
      <c r="R67" s="674"/>
      <c r="S67" s="809" t="s">
        <v>3158</v>
      </c>
      <c r="T67" s="676"/>
      <c r="U67" s="676"/>
      <c r="V67" s="676"/>
      <c r="W67" s="676"/>
      <c r="X67" s="677"/>
      <c r="Y67" s="674"/>
      <c r="Z67" s="678"/>
    </row>
    <row r="68" spans="1:26" ht="16.5">
      <c r="A68" s="670">
        <v>63</v>
      </c>
      <c r="B68" s="3303"/>
      <c r="C68" s="3339"/>
      <c r="D68" s="3316"/>
      <c r="E68" s="672"/>
      <c r="F68" s="672"/>
      <c r="G68" s="673"/>
      <c r="H68" s="673"/>
      <c r="I68" s="673"/>
      <c r="J68" s="866" t="s">
        <v>3184</v>
      </c>
      <c r="K68" s="674"/>
      <c r="L68" s="674"/>
      <c r="M68" s="674"/>
      <c r="N68" s="674"/>
      <c r="O68" s="674"/>
      <c r="P68" s="676"/>
      <c r="Q68" s="809" t="s">
        <v>3157</v>
      </c>
      <c r="R68" s="674"/>
      <c r="S68" s="809" t="s">
        <v>3158</v>
      </c>
      <c r="T68" s="676"/>
      <c r="U68" s="676"/>
      <c r="V68" s="676"/>
      <c r="W68" s="676"/>
      <c r="X68" s="677"/>
      <c r="Y68" s="674"/>
      <c r="Z68" s="678"/>
    </row>
    <row r="69" spans="1:26" ht="16.5">
      <c r="A69" s="670">
        <v>64</v>
      </c>
      <c r="B69" s="3303"/>
      <c r="C69" s="3339"/>
      <c r="D69" s="3316"/>
      <c r="E69" s="672"/>
      <c r="F69" s="672"/>
      <c r="G69" s="673"/>
      <c r="H69" s="673"/>
      <c r="I69" s="673"/>
      <c r="J69" s="866" t="s">
        <v>3184</v>
      </c>
      <c r="K69" s="674"/>
      <c r="L69" s="674"/>
      <c r="M69" s="674"/>
      <c r="N69" s="674"/>
      <c r="O69" s="674"/>
      <c r="P69" s="676"/>
      <c r="Q69" s="809" t="s">
        <v>3157</v>
      </c>
      <c r="R69" s="674"/>
      <c r="S69" s="809" t="s">
        <v>3158</v>
      </c>
      <c r="T69" s="676"/>
      <c r="U69" s="676"/>
      <c r="V69" s="676"/>
      <c r="W69" s="676"/>
      <c r="X69" s="677"/>
      <c r="Y69" s="674"/>
      <c r="Z69" s="678"/>
    </row>
    <row r="70" spans="1:26" ht="16.5">
      <c r="A70" s="670">
        <v>65</v>
      </c>
      <c r="B70" s="3303"/>
      <c r="C70" s="3339"/>
      <c r="D70" s="3316"/>
      <c r="E70" s="672"/>
      <c r="F70" s="672"/>
      <c r="G70" s="673"/>
      <c r="H70" s="673"/>
      <c r="I70" s="673"/>
      <c r="J70" s="866" t="s">
        <v>3184</v>
      </c>
      <c r="K70" s="674"/>
      <c r="L70" s="674"/>
      <c r="M70" s="674"/>
      <c r="N70" s="674"/>
      <c r="O70" s="674"/>
      <c r="P70" s="676"/>
      <c r="Q70" s="809" t="s">
        <v>3157</v>
      </c>
      <c r="R70" s="674"/>
      <c r="S70" s="809" t="s">
        <v>3158</v>
      </c>
      <c r="T70" s="676"/>
      <c r="U70" s="676"/>
      <c r="V70" s="676"/>
      <c r="W70" s="676"/>
      <c r="X70" s="677"/>
      <c r="Y70" s="674"/>
      <c r="Z70" s="678"/>
    </row>
    <row r="71" spans="1:26" ht="16.5">
      <c r="A71" s="670">
        <v>66</v>
      </c>
      <c r="B71" s="3303"/>
      <c r="C71" s="3339"/>
      <c r="D71" s="3316"/>
      <c r="E71" s="672"/>
      <c r="F71" s="672"/>
      <c r="G71" s="673"/>
      <c r="H71" s="673"/>
      <c r="I71" s="673"/>
      <c r="J71" s="866" t="s">
        <v>3184</v>
      </c>
      <c r="K71" s="674"/>
      <c r="L71" s="674"/>
      <c r="M71" s="674"/>
      <c r="N71" s="674"/>
      <c r="O71" s="674"/>
      <c r="P71" s="676"/>
      <c r="Q71" s="809" t="s">
        <v>3157</v>
      </c>
      <c r="R71" s="674"/>
      <c r="S71" s="809" t="s">
        <v>3158</v>
      </c>
      <c r="T71" s="676"/>
      <c r="U71" s="676"/>
      <c r="V71" s="676"/>
      <c r="W71" s="676"/>
      <c r="X71" s="677"/>
      <c r="Y71" s="674"/>
      <c r="Z71" s="678"/>
    </row>
    <row r="72" spans="1:26" ht="16.5">
      <c r="A72" s="670">
        <v>67</v>
      </c>
      <c r="B72" s="3303"/>
      <c r="C72" s="3339"/>
      <c r="D72" s="3316"/>
      <c r="E72" s="672"/>
      <c r="F72" s="672"/>
      <c r="G72" s="673"/>
      <c r="H72" s="673"/>
      <c r="I72" s="673"/>
      <c r="J72" s="866" t="s">
        <v>3184</v>
      </c>
      <c r="K72" s="674"/>
      <c r="L72" s="674"/>
      <c r="M72" s="674"/>
      <c r="N72" s="674"/>
      <c r="O72" s="674"/>
      <c r="P72" s="676"/>
      <c r="Q72" s="809" t="s">
        <v>3157</v>
      </c>
      <c r="R72" s="674"/>
      <c r="S72" s="809" t="s">
        <v>3158</v>
      </c>
      <c r="T72" s="676"/>
      <c r="U72" s="676"/>
      <c r="V72" s="676"/>
      <c r="W72" s="676"/>
      <c r="X72" s="677"/>
      <c r="Y72" s="674"/>
      <c r="Z72" s="678"/>
    </row>
    <row r="73" spans="1:26" ht="16.5">
      <c r="A73" s="670">
        <v>68</v>
      </c>
      <c r="B73" s="3303"/>
      <c r="C73" s="3339"/>
      <c r="D73" s="3316"/>
      <c r="E73" s="672"/>
      <c r="F73" s="672"/>
      <c r="G73" s="673"/>
      <c r="H73" s="673"/>
      <c r="I73" s="673"/>
      <c r="J73" s="866" t="s">
        <v>3184</v>
      </c>
      <c r="K73" s="674"/>
      <c r="L73" s="674"/>
      <c r="M73" s="674"/>
      <c r="N73" s="674"/>
      <c r="O73" s="674"/>
      <c r="P73" s="676"/>
      <c r="Q73" s="809" t="s">
        <v>3157</v>
      </c>
      <c r="R73" s="674"/>
      <c r="S73" s="809" t="s">
        <v>3158</v>
      </c>
      <c r="T73" s="676"/>
      <c r="U73" s="676"/>
      <c r="V73" s="676"/>
      <c r="W73" s="676"/>
      <c r="X73" s="677"/>
      <c r="Y73" s="674"/>
      <c r="Z73" s="678"/>
    </row>
    <row r="74" spans="1:26" ht="16.5">
      <c r="A74" s="670">
        <v>69</v>
      </c>
      <c r="B74" s="3303"/>
      <c r="C74" s="3339"/>
      <c r="D74" s="3317"/>
      <c r="E74" s="672"/>
      <c r="F74" s="672"/>
      <c r="G74" s="673"/>
      <c r="H74" s="673"/>
      <c r="I74" s="673"/>
      <c r="J74" s="866" t="s">
        <v>3184</v>
      </c>
      <c r="K74" s="674"/>
      <c r="L74" s="674"/>
      <c r="M74" s="674"/>
      <c r="N74" s="674"/>
      <c r="O74" s="674"/>
      <c r="P74" s="676"/>
      <c r="Q74" s="809" t="s">
        <v>3157</v>
      </c>
      <c r="R74" s="674"/>
      <c r="S74" s="809" t="s">
        <v>3158</v>
      </c>
      <c r="T74" s="676"/>
      <c r="U74" s="676"/>
      <c r="V74" s="676"/>
      <c r="W74" s="676"/>
      <c r="X74" s="677"/>
      <c r="Y74" s="674"/>
      <c r="Z74" s="678"/>
    </row>
    <row r="75" spans="1:26" ht="17.25" thickBot="1">
      <c r="A75" s="670">
        <v>70</v>
      </c>
      <c r="B75" s="3303"/>
      <c r="C75" s="3340"/>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9"/>
      <c r="V75" s="689"/>
      <c r="W75" s="689"/>
      <c r="X75" s="682"/>
      <c r="Y75" s="682"/>
      <c r="Z75" s="848"/>
    </row>
    <row r="76" spans="1:26" ht="16.5" customHeight="1">
      <c r="A76" s="670">
        <v>71</v>
      </c>
      <c r="B76" s="3303"/>
      <c r="C76" s="3326" t="s">
        <v>3161</v>
      </c>
      <c r="D76" s="3298" t="s">
        <v>3111</v>
      </c>
      <c r="E76" s="663"/>
      <c r="F76" s="663"/>
      <c r="G76" s="664"/>
      <c r="H76" s="664"/>
      <c r="I76" s="664"/>
      <c r="J76" s="664"/>
      <c r="K76" s="665"/>
      <c r="L76" s="665"/>
      <c r="M76" s="665"/>
      <c r="N76" s="665"/>
      <c r="O76" s="665"/>
      <c r="P76" s="667"/>
      <c r="Q76" s="665"/>
      <c r="R76" s="665"/>
      <c r="S76" s="665"/>
      <c r="T76" s="667"/>
      <c r="U76" s="802"/>
      <c r="V76" s="802"/>
      <c r="W76" s="802"/>
      <c r="X76" s="668"/>
      <c r="Y76" s="665"/>
      <c r="Z76" s="669"/>
    </row>
    <row r="77" spans="1:26" ht="16.5">
      <c r="A77" s="670">
        <v>72</v>
      </c>
      <c r="B77" s="3303"/>
      <c r="C77" s="3335"/>
      <c r="D77" s="3300"/>
      <c r="E77" s="672"/>
      <c r="F77" s="672"/>
      <c r="G77" s="673"/>
      <c r="H77" s="673"/>
      <c r="I77" s="673"/>
      <c r="J77" s="673"/>
      <c r="K77" s="674"/>
      <c r="L77" s="674"/>
      <c r="M77" s="674"/>
      <c r="N77" s="674"/>
      <c r="O77" s="674"/>
      <c r="P77" s="676"/>
      <c r="Q77" s="674"/>
      <c r="R77" s="674"/>
      <c r="S77" s="674"/>
      <c r="T77" s="676"/>
      <c r="U77" s="683"/>
      <c r="V77" s="683"/>
      <c r="W77" s="683"/>
      <c r="X77" s="677"/>
      <c r="Y77" s="674"/>
      <c r="Z77" s="678"/>
    </row>
    <row r="78" spans="1:26" ht="16.5">
      <c r="A78" s="670">
        <v>73</v>
      </c>
      <c r="B78" s="3303"/>
      <c r="C78" s="3335"/>
      <c r="D78" s="3300"/>
      <c r="E78" s="672"/>
      <c r="F78" s="672"/>
      <c r="G78" s="673"/>
      <c r="H78" s="673"/>
      <c r="I78" s="673"/>
      <c r="J78" s="673"/>
      <c r="K78" s="674"/>
      <c r="L78" s="674"/>
      <c r="M78" s="674"/>
      <c r="N78" s="674"/>
      <c r="O78" s="674"/>
      <c r="P78" s="676"/>
      <c r="Q78" s="674"/>
      <c r="R78" s="674"/>
      <c r="S78" s="674"/>
      <c r="T78" s="676"/>
      <c r="U78" s="683"/>
      <c r="V78" s="683"/>
      <c r="W78" s="683"/>
      <c r="X78" s="677"/>
      <c r="Y78" s="674"/>
      <c r="Z78" s="678"/>
    </row>
    <row r="79" spans="1:26" ht="16.5">
      <c r="A79" s="670">
        <v>74</v>
      </c>
      <c r="B79" s="3303"/>
      <c r="C79" s="3335"/>
      <c r="D79" s="3300"/>
      <c r="E79" s="672"/>
      <c r="F79" s="672"/>
      <c r="G79" s="673"/>
      <c r="H79" s="673"/>
      <c r="I79" s="673"/>
      <c r="J79" s="673"/>
      <c r="K79" s="674"/>
      <c r="L79" s="674"/>
      <c r="M79" s="674"/>
      <c r="N79" s="674"/>
      <c r="O79" s="674"/>
      <c r="P79" s="676"/>
      <c r="Q79" s="674"/>
      <c r="R79" s="674"/>
      <c r="S79" s="674"/>
      <c r="T79" s="676"/>
      <c r="U79" s="683"/>
      <c r="V79" s="683"/>
      <c r="W79" s="683"/>
      <c r="X79" s="677"/>
      <c r="Y79" s="674"/>
      <c r="Z79" s="678"/>
    </row>
    <row r="80" spans="1:26" ht="16.5">
      <c r="A80" s="670">
        <v>75</v>
      </c>
      <c r="B80" s="3303"/>
      <c r="C80" s="3335"/>
      <c r="D80" s="3300"/>
      <c r="E80" s="672"/>
      <c r="F80" s="672"/>
      <c r="G80" s="673"/>
      <c r="H80" s="673"/>
      <c r="I80" s="673"/>
      <c r="J80" s="673"/>
      <c r="K80" s="674"/>
      <c r="L80" s="674"/>
      <c r="M80" s="674"/>
      <c r="N80" s="674"/>
      <c r="O80" s="674"/>
      <c r="P80" s="676"/>
      <c r="Q80" s="674"/>
      <c r="R80" s="674"/>
      <c r="S80" s="674"/>
      <c r="T80" s="676"/>
      <c r="U80" s="683"/>
      <c r="V80" s="683"/>
      <c r="W80" s="683"/>
      <c r="X80" s="677"/>
      <c r="Y80" s="674"/>
      <c r="Z80" s="678"/>
    </row>
    <row r="81" spans="1:26" ht="16.5">
      <c r="A81" s="670">
        <v>76</v>
      </c>
      <c r="B81" s="3303"/>
      <c r="C81" s="3335"/>
      <c r="D81" s="3300"/>
      <c r="E81" s="672"/>
      <c r="F81" s="672"/>
      <c r="G81" s="673"/>
      <c r="H81" s="673"/>
      <c r="I81" s="673"/>
      <c r="J81" s="673"/>
      <c r="K81" s="674"/>
      <c r="L81" s="674"/>
      <c r="M81" s="674"/>
      <c r="N81" s="674"/>
      <c r="O81" s="674"/>
      <c r="P81" s="676"/>
      <c r="Q81" s="674"/>
      <c r="R81" s="674"/>
      <c r="S81" s="674"/>
      <c r="T81" s="676"/>
      <c r="U81" s="683"/>
      <c r="V81" s="683"/>
      <c r="W81" s="683"/>
      <c r="X81" s="677"/>
      <c r="Y81" s="674"/>
      <c r="Z81" s="678"/>
    </row>
    <row r="82" spans="1:26" ht="16.5">
      <c r="A82" s="670">
        <v>77</v>
      </c>
      <c r="B82" s="3303"/>
      <c r="C82" s="3335"/>
      <c r="D82" s="3300"/>
      <c r="E82" s="672"/>
      <c r="F82" s="672"/>
      <c r="G82" s="673"/>
      <c r="H82" s="673"/>
      <c r="I82" s="673"/>
      <c r="J82" s="673"/>
      <c r="K82" s="674"/>
      <c r="L82" s="674"/>
      <c r="M82" s="674"/>
      <c r="N82" s="674"/>
      <c r="O82" s="674"/>
      <c r="P82" s="676"/>
      <c r="Q82" s="674"/>
      <c r="R82" s="674"/>
      <c r="S82" s="674"/>
      <c r="T82" s="676"/>
      <c r="U82" s="683"/>
      <c r="V82" s="683"/>
      <c r="W82" s="683"/>
      <c r="X82" s="677"/>
      <c r="Y82" s="674"/>
      <c r="Z82" s="678"/>
    </row>
    <row r="83" spans="1:26" ht="16.5">
      <c r="A83" s="670">
        <v>78</v>
      </c>
      <c r="B83" s="3303"/>
      <c r="C83" s="3335"/>
      <c r="D83" s="3300"/>
      <c r="E83" s="672"/>
      <c r="F83" s="672"/>
      <c r="G83" s="673"/>
      <c r="H83" s="673"/>
      <c r="I83" s="673"/>
      <c r="J83" s="673"/>
      <c r="K83" s="674"/>
      <c r="L83" s="674"/>
      <c r="M83" s="674"/>
      <c r="N83" s="674"/>
      <c r="O83" s="674"/>
      <c r="P83" s="676"/>
      <c r="Q83" s="674"/>
      <c r="R83" s="674"/>
      <c r="S83" s="674"/>
      <c r="T83" s="676"/>
      <c r="U83" s="683"/>
      <c r="V83" s="683"/>
      <c r="W83" s="683"/>
      <c r="X83" s="677"/>
      <c r="Y83" s="674"/>
      <c r="Z83" s="678"/>
    </row>
    <row r="84" spans="1:26" ht="16.5">
      <c r="A84" s="670">
        <v>79</v>
      </c>
      <c r="B84" s="3303"/>
      <c r="C84" s="3335"/>
      <c r="D84" s="3300"/>
      <c r="E84" s="672"/>
      <c r="F84" s="672"/>
      <c r="G84" s="673"/>
      <c r="H84" s="673"/>
      <c r="I84" s="673"/>
      <c r="J84" s="673"/>
      <c r="K84" s="674"/>
      <c r="L84" s="674"/>
      <c r="M84" s="674"/>
      <c r="N84" s="674"/>
      <c r="O84" s="674"/>
      <c r="P84" s="676"/>
      <c r="Q84" s="674"/>
      <c r="R84" s="674"/>
      <c r="S84" s="674"/>
      <c r="T84" s="676"/>
      <c r="U84" s="683"/>
      <c r="V84" s="683"/>
      <c r="W84" s="683"/>
      <c r="X84" s="677"/>
      <c r="Y84" s="674"/>
      <c r="Z84" s="678"/>
    </row>
    <row r="85" spans="1:26" ht="16.5">
      <c r="A85" s="670">
        <v>80</v>
      </c>
      <c r="B85" s="3303"/>
      <c r="C85" s="3335"/>
      <c r="D85" s="3300"/>
      <c r="E85" s="672"/>
      <c r="F85" s="672"/>
      <c r="G85" s="673"/>
      <c r="H85" s="673"/>
      <c r="I85" s="673"/>
      <c r="J85" s="673"/>
      <c r="K85" s="674"/>
      <c r="L85" s="674"/>
      <c r="M85" s="674"/>
      <c r="N85" s="674"/>
      <c r="O85" s="674"/>
      <c r="P85" s="676"/>
      <c r="Q85" s="674"/>
      <c r="R85" s="674"/>
      <c r="S85" s="674"/>
      <c r="T85" s="676"/>
      <c r="U85" s="683"/>
      <c r="V85" s="683"/>
      <c r="W85" s="683"/>
      <c r="X85" s="677"/>
      <c r="Y85" s="674"/>
      <c r="Z85" s="678"/>
    </row>
    <row r="86" spans="1:26" ht="16.5">
      <c r="A86" s="670">
        <v>81</v>
      </c>
      <c r="B86" s="3303"/>
      <c r="C86" s="3335"/>
      <c r="D86" s="657" t="s">
        <v>3105</v>
      </c>
      <c r="E86" s="682"/>
      <c r="F86" s="682"/>
      <c r="G86" s="682"/>
      <c r="H86" s="682"/>
      <c r="I86" s="682"/>
      <c r="J86" s="682"/>
      <c r="K86" s="682"/>
      <c r="L86" s="682"/>
      <c r="M86" s="682"/>
      <c r="N86" s="674">
        <f>SUM(N76:N85)</f>
        <v>0</v>
      </c>
      <c r="O86" s="674">
        <f>SUM(O76:O85)</f>
        <v>0</v>
      </c>
      <c r="P86" s="674">
        <f>SUM(P76:P85)</f>
        <v>0</v>
      </c>
      <c r="Q86" s="682"/>
      <c r="R86" s="674">
        <f>SUM(R76:R85)</f>
        <v>0</v>
      </c>
      <c r="S86" s="682"/>
      <c r="T86" s="682"/>
      <c r="U86" s="682"/>
      <c r="V86" s="682"/>
      <c r="W86" s="682"/>
      <c r="X86" s="682"/>
      <c r="Y86" s="682"/>
      <c r="Z86" s="848"/>
    </row>
    <row r="87" spans="1:26" ht="16.5" customHeight="1">
      <c r="A87" s="670">
        <v>82</v>
      </c>
      <c r="B87" s="3303"/>
      <c r="C87" s="3335"/>
      <c r="D87" s="3309" t="s">
        <v>3112</v>
      </c>
      <c r="E87" s="672"/>
      <c r="F87" s="672"/>
      <c r="G87" s="673"/>
      <c r="H87" s="673"/>
      <c r="I87" s="673"/>
      <c r="J87" s="673"/>
      <c r="K87" s="674"/>
      <c r="L87" s="674"/>
      <c r="M87" s="674"/>
      <c r="N87" s="674"/>
      <c r="O87" s="674"/>
      <c r="P87" s="676"/>
      <c r="Q87" s="674"/>
      <c r="R87" s="674"/>
      <c r="S87" s="674"/>
      <c r="T87" s="676"/>
      <c r="U87" s="683"/>
      <c r="V87" s="683"/>
      <c r="W87" s="683"/>
      <c r="X87" s="677"/>
      <c r="Y87" s="674"/>
      <c r="Z87" s="678"/>
    </row>
    <row r="88" spans="1:26" ht="16.5">
      <c r="A88" s="670">
        <v>83</v>
      </c>
      <c r="B88" s="3303"/>
      <c r="C88" s="3335"/>
      <c r="D88" s="3300"/>
      <c r="E88" s="672"/>
      <c r="F88" s="672"/>
      <c r="G88" s="673"/>
      <c r="H88" s="673"/>
      <c r="I88" s="673"/>
      <c r="J88" s="673"/>
      <c r="K88" s="674"/>
      <c r="L88" s="674"/>
      <c r="M88" s="674"/>
      <c r="N88" s="674"/>
      <c r="O88" s="674"/>
      <c r="P88" s="676"/>
      <c r="Q88" s="676"/>
      <c r="R88" s="674"/>
      <c r="S88" s="674"/>
      <c r="T88" s="693"/>
      <c r="U88" s="683"/>
      <c r="V88" s="683"/>
      <c r="W88" s="683"/>
      <c r="X88" s="677"/>
      <c r="Y88" s="674"/>
      <c r="Z88" s="678"/>
    </row>
    <row r="89" spans="1:26" ht="16.5">
      <c r="A89" s="670">
        <v>84</v>
      </c>
      <c r="B89" s="3303"/>
      <c r="C89" s="3335"/>
      <c r="D89" s="3300"/>
      <c r="E89" s="672"/>
      <c r="F89" s="672"/>
      <c r="G89" s="673"/>
      <c r="H89" s="673"/>
      <c r="I89" s="673"/>
      <c r="J89" s="673"/>
      <c r="K89" s="674"/>
      <c r="L89" s="674"/>
      <c r="M89" s="674"/>
      <c r="N89" s="674"/>
      <c r="O89" s="674"/>
      <c r="P89" s="676"/>
      <c r="Q89" s="676"/>
      <c r="R89" s="674"/>
      <c r="S89" s="674"/>
      <c r="T89" s="693"/>
      <c r="U89" s="683"/>
      <c r="V89" s="683"/>
      <c r="W89" s="683"/>
      <c r="X89" s="677"/>
      <c r="Y89" s="674"/>
      <c r="Z89" s="678"/>
    </row>
    <row r="90" spans="1:26" ht="16.5">
      <c r="A90" s="670">
        <v>85</v>
      </c>
      <c r="B90" s="3303"/>
      <c r="C90" s="3335"/>
      <c r="D90" s="3300"/>
      <c r="E90" s="672"/>
      <c r="F90" s="672"/>
      <c r="G90" s="673"/>
      <c r="H90" s="673"/>
      <c r="I90" s="673"/>
      <c r="J90" s="673"/>
      <c r="K90" s="674"/>
      <c r="L90" s="674"/>
      <c r="M90" s="674"/>
      <c r="N90" s="674"/>
      <c r="O90" s="674"/>
      <c r="P90" s="676"/>
      <c r="Q90" s="676"/>
      <c r="R90" s="674"/>
      <c r="S90" s="674"/>
      <c r="T90" s="693"/>
      <c r="U90" s="683"/>
      <c r="V90" s="683"/>
      <c r="W90" s="683"/>
      <c r="X90" s="677"/>
      <c r="Y90" s="674"/>
      <c r="Z90" s="678"/>
    </row>
    <row r="91" spans="1:26" ht="16.5">
      <c r="A91" s="670">
        <v>86</v>
      </c>
      <c r="B91" s="3303"/>
      <c r="C91" s="3335"/>
      <c r="D91" s="3300"/>
      <c r="E91" s="672"/>
      <c r="F91" s="672"/>
      <c r="G91" s="673"/>
      <c r="H91" s="673"/>
      <c r="I91" s="673"/>
      <c r="J91" s="673"/>
      <c r="K91" s="674"/>
      <c r="L91" s="674"/>
      <c r="M91" s="674"/>
      <c r="N91" s="674"/>
      <c r="O91" s="674"/>
      <c r="P91" s="676"/>
      <c r="Q91" s="676"/>
      <c r="R91" s="674"/>
      <c r="S91" s="674"/>
      <c r="T91" s="693"/>
      <c r="U91" s="683"/>
      <c r="V91" s="683"/>
      <c r="W91" s="683"/>
      <c r="X91" s="677"/>
      <c r="Y91" s="674"/>
      <c r="Z91" s="678"/>
    </row>
    <row r="92" spans="1:26" ht="16.5">
      <c r="A92" s="670">
        <v>87</v>
      </c>
      <c r="B92" s="3303"/>
      <c r="C92" s="3335"/>
      <c r="D92" s="3300"/>
      <c r="E92" s="672"/>
      <c r="F92" s="672"/>
      <c r="G92" s="673"/>
      <c r="H92" s="673"/>
      <c r="I92" s="673"/>
      <c r="J92" s="673"/>
      <c r="K92" s="674"/>
      <c r="L92" s="674"/>
      <c r="M92" s="674"/>
      <c r="N92" s="674"/>
      <c r="O92" s="674"/>
      <c r="P92" s="676"/>
      <c r="Q92" s="676"/>
      <c r="R92" s="674"/>
      <c r="S92" s="674"/>
      <c r="T92" s="693"/>
      <c r="U92" s="683"/>
      <c r="V92" s="683"/>
      <c r="W92" s="683"/>
      <c r="X92" s="677"/>
      <c r="Y92" s="674"/>
      <c r="Z92" s="678"/>
    </row>
    <row r="93" spans="1:26" ht="16.5">
      <c r="A93" s="670">
        <v>88</v>
      </c>
      <c r="B93" s="3303"/>
      <c r="C93" s="3335"/>
      <c r="D93" s="3300"/>
      <c r="E93" s="672"/>
      <c r="F93" s="672"/>
      <c r="G93" s="673"/>
      <c r="H93" s="673"/>
      <c r="I93" s="673"/>
      <c r="J93" s="673"/>
      <c r="K93" s="674"/>
      <c r="L93" s="674"/>
      <c r="M93" s="674"/>
      <c r="N93" s="674"/>
      <c r="O93" s="674"/>
      <c r="P93" s="676"/>
      <c r="Q93" s="676"/>
      <c r="R93" s="674"/>
      <c r="S93" s="674"/>
      <c r="T93" s="693"/>
      <c r="U93" s="683"/>
      <c r="V93" s="683"/>
      <c r="W93" s="683"/>
      <c r="X93" s="677"/>
      <c r="Y93" s="674"/>
      <c r="Z93" s="678"/>
    </row>
    <row r="94" spans="1:26" ht="16.5">
      <c r="A94" s="670">
        <v>89</v>
      </c>
      <c r="B94" s="3303"/>
      <c r="C94" s="3335"/>
      <c r="D94" s="3300"/>
      <c r="E94" s="672"/>
      <c r="F94" s="672"/>
      <c r="G94" s="673"/>
      <c r="H94" s="673"/>
      <c r="I94" s="673"/>
      <c r="J94" s="673"/>
      <c r="K94" s="674"/>
      <c r="L94" s="674"/>
      <c r="M94" s="674"/>
      <c r="N94" s="674"/>
      <c r="O94" s="674"/>
      <c r="P94" s="676"/>
      <c r="Q94" s="676"/>
      <c r="R94" s="674"/>
      <c r="S94" s="674"/>
      <c r="T94" s="693"/>
      <c r="U94" s="683"/>
      <c r="V94" s="683"/>
      <c r="W94" s="683"/>
      <c r="X94" s="677"/>
      <c r="Y94" s="674"/>
      <c r="Z94" s="678"/>
    </row>
    <row r="95" spans="1:26" ht="16.5">
      <c r="A95" s="670">
        <v>90</v>
      </c>
      <c r="B95" s="3303"/>
      <c r="C95" s="3335"/>
      <c r="D95" s="3300"/>
      <c r="E95" s="672"/>
      <c r="F95" s="672"/>
      <c r="G95" s="673"/>
      <c r="H95" s="673"/>
      <c r="I95" s="673"/>
      <c r="J95" s="673"/>
      <c r="K95" s="674"/>
      <c r="L95" s="674"/>
      <c r="M95" s="674"/>
      <c r="N95" s="674"/>
      <c r="O95" s="674"/>
      <c r="P95" s="676"/>
      <c r="Q95" s="676"/>
      <c r="R95" s="674"/>
      <c r="S95" s="674"/>
      <c r="T95" s="693"/>
      <c r="U95" s="683"/>
      <c r="V95" s="683"/>
      <c r="W95" s="683"/>
      <c r="X95" s="677"/>
      <c r="Y95" s="674"/>
      <c r="Z95" s="678"/>
    </row>
    <row r="96" spans="1:26" ht="16.5">
      <c r="A96" s="670">
        <v>91</v>
      </c>
      <c r="B96" s="3303"/>
      <c r="C96" s="3335"/>
      <c r="D96" s="3300"/>
      <c r="E96" s="672"/>
      <c r="F96" s="672"/>
      <c r="G96" s="673"/>
      <c r="H96" s="673"/>
      <c r="I96" s="673"/>
      <c r="J96" s="673"/>
      <c r="K96" s="674"/>
      <c r="L96" s="674"/>
      <c r="M96" s="674"/>
      <c r="N96" s="674"/>
      <c r="O96" s="674"/>
      <c r="P96" s="676"/>
      <c r="Q96" s="676"/>
      <c r="R96" s="674"/>
      <c r="S96" s="674"/>
      <c r="T96" s="693"/>
      <c r="U96" s="683"/>
      <c r="V96" s="683"/>
      <c r="W96" s="683"/>
      <c r="X96" s="677"/>
      <c r="Y96" s="674"/>
      <c r="Z96" s="678"/>
    </row>
    <row r="97" spans="1:26" ht="16.5">
      <c r="A97" s="670">
        <v>92</v>
      </c>
      <c r="B97" s="3303"/>
      <c r="C97" s="3335"/>
      <c r="D97" s="657" t="s">
        <v>3105</v>
      </c>
      <c r="E97" s="682"/>
      <c r="F97" s="682"/>
      <c r="G97" s="682"/>
      <c r="H97" s="682"/>
      <c r="I97" s="682"/>
      <c r="J97" s="682"/>
      <c r="K97" s="682"/>
      <c r="L97" s="682"/>
      <c r="M97" s="682"/>
      <c r="N97" s="674">
        <f>SUM(N87:N96)</f>
        <v>0</v>
      </c>
      <c r="O97" s="674">
        <f>SUM(O87:O96)</f>
        <v>0</v>
      </c>
      <c r="P97" s="674">
        <f>SUM(P87:P96)</f>
        <v>0</v>
      </c>
      <c r="Q97" s="682"/>
      <c r="R97" s="674">
        <f>SUM(R87:R96)</f>
        <v>0</v>
      </c>
      <c r="S97" s="682"/>
      <c r="T97" s="682"/>
      <c r="U97" s="683"/>
      <c r="V97" s="683"/>
      <c r="W97" s="683"/>
      <c r="X97" s="682"/>
      <c r="Y97" s="682"/>
      <c r="Z97" s="848"/>
    </row>
    <row r="98" spans="1:26" ht="16.5" customHeight="1">
      <c r="A98" s="670">
        <v>93</v>
      </c>
      <c r="B98" s="3303"/>
      <c r="C98" s="3335"/>
      <c r="D98" s="3307" t="s">
        <v>3109</v>
      </c>
      <c r="E98" s="672"/>
      <c r="F98" s="672"/>
      <c r="G98" s="673"/>
      <c r="H98" s="673"/>
      <c r="I98" s="673"/>
      <c r="J98" s="673"/>
      <c r="K98" s="674"/>
      <c r="L98" s="674"/>
      <c r="M98" s="674"/>
      <c r="N98" s="674"/>
      <c r="O98" s="674"/>
      <c r="P98" s="676"/>
      <c r="Q98" s="676"/>
      <c r="R98" s="674"/>
      <c r="S98" s="674"/>
      <c r="T98" s="693"/>
      <c r="U98" s="683"/>
      <c r="V98" s="683"/>
      <c r="W98" s="683"/>
      <c r="X98" s="677"/>
      <c r="Y98" s="674"/>
      <c r="Z98" s="678"/>
    </row>
    <row r="99" spans="1:26" ht="16.5">
      <c r="A99" s="670">
        <v>94</v>
      </c>
      <c r="B99" s="3303"/>
      <c r="C99" s="3335"/>
      <c r="D99" s="3307"/>
      <c r="E99" s="672"/>
      <c r="F99" s="672"/>
      <c r="G99" s="673"/>
      <c r="H99" s="673"/>
      <c r="I99" s="673"/>
      <c r="J99" s="673"/>
      <c r="K99" s="674"/>
      <c r="L99" s="674"/>
      <c r="M99" s="674"/>
      <c r="N99" s="674"/>
      <c r="O99" s="674"/>
      <c r="P99" s="676"/>
      <c r="Q99" s="676"/>
      <c r="R99" s="674"/>
      <c r="S99" s="674"/>
      <c r="T99" s="693"/>
      <c r="U99" s="683"/>
      <c r="V99" s="683"/>
      <c r="W99" s="683"/>
      <c r="X99" s="677"/>
      <c r="Y99" s="674"/>
      <c r="Z99" s="678"/>
    </row>
    <row r="100" spans="1:26" ht="16.5">
      <c r="A100" s="670">
        <v>95</v>
      </c>
      <c r="B100" s="3303"/>
      <c r="C100" s="3335"/>
      <c r="D100" s="3307"/>
      <c r="E100" s="672"/>
      <c r="F100" s="672"/>
      <c r="G100" s="673"/>
      <c r="H100" s="673"/>
      <c r="I100" s="673"/>
      <c r="J100" s="673"/>
      <c r="K100" s="674"/>
      <c r="L100" s="674"/>
      <c r="M100" s="674"/>
      <c r="N100" s="674"/>
      <c r="O100" s="674"/>
      <c r="P100" s="676"/>
      <c r="Q100" s="676"/>
      <c r="R100" s="674"/>
      <c r="S100" s="674"/>
      <c r="T100" s="693"/>
      <c r="U100" s="683"/>
      <c r="V100" s="683"/>
      <c r="W100" s="683"/>
      <c r="X100" s="677"/>
      <c r="Y100" s="674"/>
      <c r="Z100" s="678"/>
    </row>
    <row r="101" spans="1:26" ht="16.5">
      <c r="A101" s="670">
        <v>96</v>
      </c>
      <c r="B101" s="3303"/>
      <c r="C101" s="3335"/>
      <c r="D101" s="3307"/>
      <c r="E101" s="672"/>
      <c r="F101" s="672"/>
      <c r="G101" s="673"/>
      <c r="H101" s="673"/>
      <c r="I101" s="673"/>
      <c r="J101" s="673"/>
      <c r="K101" s="674"/>
      <c r="L101" s="674"/>
      <c r="M101" s="674"/>
      <c r="N101" s="674"/>
      <c r="O101" s="674"/>
      <c r="P101" s="676"/>
      <c r="Q101" s="676"/>
      <c r="R101" s="674"/>
      <c r="S101" s="674"/>
      <c r="T101" s="693"/>
      <c r="U101" s="683"/>
      <c r="V101" s="683"/>
      <c r="W101" s="683"/>
      <c r="X101" s="677"/>
      <c r="Y101" s="674"/>
      <c r="Z101" s="678"/>
    </row>
    <row r="102" spans="1:26" ht="16.5">
      <c r="A102" s="670">
        <v>97</v>
      </c>
      <c r="B102" s="3303"/>
      <c r="C102" s="3335"/>
      <c r="D102" s="3307"/>
      <c r="E102" s="672"/>
      <c r="F102" s="672"/>
      <c r="G102" s="673"/>
      <c r="H102" s="673"/>
      <c r="I102" s="673"/>
      <c r="J102" s="673"/>
      <c r="K102" s="674"/>
      <c r="L102" s="674"/>
      <c r="M102" s="674"/>
      <c r="N102" s="674"/>
      <c r="O102" s="674"/>
      <c r="P102" s="676"/>
      <c r="Q102" s="676"/>
      <c r="R102" s="674"/>
      <c r="S102" s="674"/>
      <c r="T102" s="693"/>
      <c r="U102" s="683"/>
      <c r="V102" s="683"/>
      <c r="W102" s="683"/>
      <c r="X102" s="677"/>
      <c r="Y102" s="674"/>
      <c r="Z102" s="678"/>
    </row>
    <row r="103" spans="1:26" ht="16.5">
      <c r="A103" s="670">
        <v>98</v>
      </c>
      <c r="B103" s="3303"/>
      <c r="C103" s="3335"/>
      <c r="D103" s="3307"/>
      <c r="E103" s="672"/>
      <c r="F103" s="672"/>
      <c r="G103" s="673"/>
      <c r="H103" s="673"/>
      <c r="I103" s="673"/>
      <c r="J103" s="673"/>
      <c r="K103" s="674"/>
      <c r="L103" s="674"/>
      <c r="M103" s="674"/>
      <c r="N103" s="674"/>
      <c r="O103" s="674"/>
      <c r="P103" s="676"/>
      <c r="Q103" s="676"/>
      <c r="R103" s="674"/>
      <c r="S103" s="674"/>
      <c r="T103" s="693"/>
      <c r="U103" s="683"/>
      <c r="V103" s="683"/>
      <c r="W103" s="683"/>
      <c r="X103" s="677"/>
      <c r="Y103" s="674"/>
      <c r="Z103" s="678"/>
    </row>
    <row r="104" spans="1:26" ht="16.5">
      <c r="A104" s="670">
        <v>99</v>
      </c>
      <c r="B104" s="3303"/>
      <c r="C104" s="3335"/>
      <c r="D104" s="3307"/>
      <c r="E104" s="672"/>
      <c r="F104" s="672"/>
      <c r="G104" s="673"/>
      <c r="H104" s="673"/>
      <c r="I104" s="673"/>
      <c r="J104" s="673"/>
      <c r="K104" s="674"/>
      <c r="L104" s="674"/>
      <c r="M104" s="674"/>
      <c r="N104" s="674"/>
      <c r="O104" s="674"/>
      <c r="P104" s="676"/>
      <c r="Q104" s="674"/>
      <c r="R104" s="674"/>
      <c r="S104" s="674"/>
      <c r="T104" s="676"/>
      <c r="U104" s="683"/>
      <c r="V104" s="683"/>
      <c r="W104" s="683"/>
      <c r="X104" s="677"/>
      <c r="Y104" s="674"/>
      <c r="Z104" s="678"/>
    </row>
    <row r="105" spans="1:26" ht="16.5">
      <c r="A105" s="670">
        <v>100</v>
      </c>
      <c r="B105" s="3303"/>
      <c r="C105" s="3335"/>
      <c r="D105" s="3307"/>
      <c r="E105" s="672"/>
      <c r="F105" s="672"/>
      <c r="G105" s="673"/>
      <c r="H105" s="673"/>
      <c r="I105" s="673"/>
      <c r="J105" s="673"/>
      <c r="K105" s="674"/>
      <c r="L105" s="674"/>
      <c r="M105" s="674"/>
      <c r="N105" s="674"/>
      <c r="O105" s="674"/>
      <c r="P105" s="676"/>
      <c r="Q105" s="674"/>
      <c r="R105" s="674"/>
      <c r="S105" s="674"/>
      <c r="T105" s="676"/>
      <c r="U105" s="683"/>
      <c r="V105" s="683"/>
      <c r="W105" s="683"/>
      <c r="X105" s="677"/>
      <c r="Y105" s="674"/>
      <c r="Z105" s="678"/>
    </row>
    <row r="106" spans="1:26" ht="16.5">
      <c r="A106" s="670">
        <v>101</v>
      </c>
      <c r="B106" s="3303"/>
      <c r="C106" s="3335"/>
      <c r="D106" s="3307"/>
      <c r="E106" s="672"/>
      <c r="F106" s="672"/>
      <c r="G106" s="673"/>
      <c r="H106" s="673"/>
      <c r="I106" s="673"/>
      <c r="J106" s="673"/>
      <c r="K106" s="674"/>
      <c r="L106" s="674"/>
      <c r="M106" s="674"/>
      <c r="N106" s="674"/>
      <c r="O106" s="674"/>
      <c r="P106" s="676"/>
      <c r="Q106" s="674"/>
      <c r="R106" s="674"/>
      <c r="S106" s="674"/>
      <c r="T106" s="676"/>
      <c r="U106" s="683"/>
      <c r="V106" s="683"/>
      <c r="W106" s="683"/>
      <c r="X106" s="677"/>
      <c r="Y106" s="674"/>
      <c r="Z106" s="678"/>
    </row>
    <row r="107" spans="1:26" ht="16.5">
      <c r="A107" s="670">
        <v>102</v>
      </c>
      <c r="B107" s="3303"/>
      <c r="C107" s="3335"/>
      <c r="D107" s="3307"/>
      <c r="E107" s="672"/>
      <c r="F107" s="672"/>
      <c r="G107" s="673"/>
      <c r="H107" s="673"/>
      <c r="I107" s="673"/>
      <c r="J107" s="673"/>
      <c r="K107" s="674"/>
      <c r="L107" s="674"/>
      <c r="M107" s="674"/>
      <c r="N107" s="674"/>
      <c r="O107" s="674"/>
      <c r="P107" s="676"/>
      <c r="Q107" s="674"/>
      <c r="R107" s="674"/>
      <c r="S107" s="674"/>
      <c r="T107" s="676"/>
      <c r="U107" s="683"/>
      <c r="V107" s="683"/>
      <c r="W107" s="683"/>
      <c r="X107" s="677"/>
      <c r="Y107" s="674"/>
      <c r="Z107" s="678"/>
    </row>
    <row r="108" spans="1:26" ht="17.25" thickBot="1">
      <c r="A108" s="670">
        <v>103</v>
      </c>
      <c r="B108" s="3303"/>
      <c r="C108" s="3336"/>
      <c r="D108" s="686" t="s">
        <v>3105</v>
      </c>
      <c r="E108" s="689"/>
      <c r="F108" s="689"/>
      <c r="G108" s="689"/>
      <c r="H108" s="689"/>
      <c r="I108" s="689"/>
      <c r="J108" s="689"/>
      <c r="K108" s="689"/>
      <c r="L108" s="689"/>
      <c r="M108" s="689"/>
      <c r="N108" s="688">
        <f>SUM(N98:N107)</f>
        <v>0</v>
      </c>
      <c r="O108" s="688">
        <f>SUM(O98:O107)</f>
        <v>0</v>
      </c>
      <c r="P108" s="688">
        <f>SUM(P98:P107)</f>
        <v>0</v>
      </c>
      <c r="Q108" s="689"/>
      <c r="R108" s="688">
        <f>SUM(R98:R107)</f>
        <v>0</v>
      </c>
      <c r="S108" s="689"/>
      <c r="T108" s="689"/>
      <c r="U108" s="689"/>
      <c r="V108" s="689"/>
      <c r="W108" s="689"/>
      <c r="X108" s="689"/>
      <c r="Y108" s="689"/>
      <c r="Z108" s="849"/>
    </row>
    <row r="109" spans="1:26" ht="16.5" customHeight="1">
      <c r="A109" s="670">
        <v>104</v>
      </c>
      <c r="B109" s="3303"/>
      <c r="C109" s="3286" t="s">
        <v>3113</v>
      </c>
      <c r="D109" s="3310" t="s">
        <v>3114</v>
      </c>
      <c r="E109" s="663"/>
      <c r="F109" s="663"/>
      <c r="G109" s="664"/>
      <c r="H109" s="664"/>
      <c r="I109" s="664"/>
      <c r="J109" s="664"/>
      <c r="K109" s="665"/>
      <c r="L109" s="665"/>
      <c r="M109" s="665"/>
      <c r="N109" s="665"/>
      <c r="O109" s="665"/>
      <c r="P109" s="667"/>
      <c r="Q109" s="665"/>
      <c r="R109" s="665"/>
      <c r="S109" s="694"/>
      <c r="T109" s="667"/>
      <c r="U109" s="709"/>
      <c r="V109" s="709"/>
      <c r="W109" s="710"/>
      <c r="X109" s="668"/>
      <c r="Y109" s="665"/>
      <c r="Z109" s="669"/>
    </row>
    <row r="110" spans="1:26" ht="16.5">
      <c r="A110" s="670">
        <v>105</v>
      </c>
      <c r="B110" s="3303"/>
      <c r="C110" s="3287"/>
      <c r="D110" s="3307"/>
      <c r="E110" s="672"/>
      <c r="F110" s="672"/>
      <c r="G110" s="673"/>
      <c r="H110" s="673"/>
      <c r="I110" s="673"/>
      <c r="J110" s="673"/>
      <c r="K110" s="674"/>
      <c r="L110" s="674"/>
      <c r="M110" s="674"/>
      <c r="N110" s="674"/>
      <c r="O110" s="674"/>
      <c r="P110" s="676"/>
      <c r="Q110" s="674"/>
      <c r="R110" s="674"/>
      <c r="S110" s="693"/>
      <c r="T110" s="676"/>
      <c r="U110" s="683"/>
      <c r="V110" s="683"/>
      <c r="W110" s="683"/>
      <c r="X110" s="677"/>
      <c r="Y110" s="674"/>
      <c r="Z110" s="678"/>
    </row>
    <row r="111" spans="1:26" ht="16.5">
      <c r="A111" s="670">
        <v>106</v>
      </c>
      <c r="B111" s="3303"/>
      <c r="C111" s="3287"/>
      <c r="D111" s="3307"/>
      <c r="E111" s="672"/>
      <c r="F111" s="672"/>
      <c r="G111" s="673"/>
      <c r="H111" s="673"/>
      <c r="I111" s="673"/>
      <c r="J111" s="673"/>
      <c r="K111" s="674"/>
      <c r="L111" s="674"/>
      <c r="M111" s="674"/>
      <c r="N111" s="674"/>
      <c r="O111" s="674"/>
      <c r="P111" s="676"/>
      <c r="Q111" s="674"/>
      <c r="R111" s="674"/>
      <c r="S111" s="693"/>
      <c r="T111" s="676"/>
      <c r="U111" s="683"/>
      <c r="V111" s="683"/>
      <c r="W111" s="683"/>
      <c r="X111" s="677"/>
      <c r="Y111" s="674"/>
      <c r="Z111" s="678"/>
    </row>
    <row r="112" spans="1:26" ht="16.5">
      <c r="A112" s="670">
        <v>107</v>
      </c>
      <c r="B112" s="3303"/>
      <c r="C112" s="3287"/>
      <c r="D112" s="3307"/>
      <c r="E112" s="672"/>
      <c r="F112" s="672"/>
      <c r="G112" s="673"/>
      <c r="H112" s="673"/>
      <c r="I112" s="673"/>
      <c r="J112" s="673"/>
      <c r="K112" s="674"/>
      <c r="L112" s="674"/>
      <c r="M112" s="674"/>
      <c r="N112" s="674"/>
      <c r="O112" s="674"/>
      <c r="P112" s="676"/>
      <c r="Q112" s="674"/>
      <c r="R112" s="674"/>
      <c r="S112" s="693"/>
      <c r="T112" s="676"/>
      <c r="U112" s="683"/>
      <c r="V112" s="683"/>
      <c r="W112" s="683"/>
      <c r="X112" s="677"/>
      <c r="Y112" s="674"/>
      <c r="Z112" s="678"/>
    </row>
    <row r="113" spans="1:26" ht="16.5">
      <c r="A113" s="670">
        <v>108</v>
      </c>
      <c r="B113" s="3303"/>
      <c r="C113" s="3287"/>
      <c r="D113" s="3307"/>
      <c r="E113" s="672"/>
      <c r="F113" s="672"/>
      <c r="G113" s="673"/>
      <c r="H113" s="673"/>
      <c r="I113" s="673"/>
      <c r="J113" s="673"/>
      <c r="K113" s="674"/>
      <c r="L113" s="674"/>
      <c r="M113" s="674"/>
      <c r="N113" s="674"/>
      <c r="O113" s="674"/>
      <c r="P113" s="676"/>
      <c r="Q113" s="674"/>
      <c r="R113" s="674"/>
      <c r="S113" s="693"/>
      <c r="T113" s="676"/>
      <c r="U113" s="683"/>
      <c r="V113" s="683"/>
      <c r="W113" s="683"/>
      <c r="X113" s="677"/>
      <c r="Y113" s="674"/>
      <c r="Z113" s="678"/>
    </row>
    <row r="114" spans="1:26" ht="16.5">
      <c r="A114" s="670">
        <v>109</v>
      </c>
      <c r="B114" s="3303"/>
      <c r="C114" s="3287"/>
      <c r="D114" s="3307"/>
      <c r="E114" s="672"/>
      <c r="F114" s="672"/>
      <c r="G114" s="673"/>
      <c r="H114" s="673"/>
      <c r="I114" s="673"/>
      <c r="J114" s="673"/>
      <c r="K114" s="674"/>
      <c r="L114" s="674"/>
      <c r="M114" s="674"/>
      <c r="N114" s="674"/>
      <c r="O114" s="674"/>
      <c r="P114" s="676"/>
      <c r="Q114" s="674"/>
      <c r="R114" s="674"/>
      <c r="S114" s="693"/>
      <c r="T114" s="676"/>
      <c r="U114" s="683"/>
      <c r="V114" s="683"/>
      <c r="W114" s="683"/>
      <c r="X114" s="677"/>
      <c r="Y114" s="674"/>
      <c r="Z114" s="678"/>
    </row>
    <row r="115" spans="1:26" ht="16.5">
      <c r="A115" s="670">
        <v>110</v>
      </c>
      <c r="B115" s="3303"/>
      <c r="C115" s="3287"/>
      <c r="D115" s="657"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2"/>
      <c r="U115" s="683"/>
      <c r="V115" s="683"/>
      <c r="W115" s="683"/>
      <c r="X115" s="682"/>
      <c r="Y115" s="682"/>
      <c r="Z115" s="848"/>
    </row>
    <row r="116" spans="1:26" ht="16.5" customHeight="1">
      <c r="A116" s="670">
        <v>111</v>
      </c>
      <c r="B116" s="3303"/>
      <c r="C116" s="3287"/>
      <c r="D116" s="3307" t="s">
        <v>3108</v>
      </c>
      <c r="E116" s="672"/>
      <c r="F116" s="672"/>
      <c r="G116" s="673"/>
      <c r="H116" s="673"/>
      <c r="I116" s="673"/>
      <c r="J116" s="673"/>
      <c r="K116" s="674"/>
      <c r="L116" s="674"/>
      <c r="M116" s="674"/>
      <c r="N116" s="674"/>
      <c r="O116" s="674"/>
      <c r="P116" s="676"/>
      <c r="Q116" s="674"/>
      <c r="R116" s="674"/>
      <c r="S116" s="693"/>
      <c r="T116" s="676"/>
      <c r="U116" s="683"/>
      <c r="V116" s="683"/>
      <c r="W116" s="683"/>
      <c r="X116" s="677"/>
      <c r="Y116" s="674"/>
      <c r="Z116" s="678"/>
    </row>
    <row r="117" spans="1:26" ht="16.5">
      <c r="A117" s="670">
        <v>112</v>
      </c>
      <c r="B117" s="3303"/>
      <c r="C117" s="3287"/>
      <c r="D117" s="3307"/>
      <c r="E117" s="672"/>
      <c r="F117" s="672"/>
      <c r="G117" s="673"/>
      <c r="H117" s="673"/>
      <c r="I117" s="673"/>
      <c r="J117" s="673"/>
      <c r="K117" s="674"/>
      <c r="L117" s="674"/>
      <c r="M117" s="674"/>
      <c r="N117" s="674"/>
      <c r="O117" s="674"/>
      <c r="P117" s="676"/>
      <c r="Q117" s="674"/>
      <c r="R117" s="674"/>
      <c r="S117" s="693"/>
      <c r="T117" s="676"/>
      <c r="U117" s="683"/>
      <c r="V117" s="683"/>
      <c r="W117" s="683"/>
      <c r="X117" s="677"/>
      <c r="Y117" s="674"/>
      <c r="Z117" s="678"/>
    </row>
    <row r="118" spans="1:26" ht="16.5">
      <c r="A118" s="670">
        <v>113</v>
      </c>
      <c r="B118" s="3303"/>
      <c r="C118" s="3287"/>
      <c r="D118" s="3307"/>
      <c r="E118" s="672"/>
      <c r="F118" s="672"/>
      <c r="G118" s="673"/>
      <c r="H118" s="673"/>
      <c r="I118" s="673"/>
      <c r="J118" s="673"/>
      <c r="K118" s="674"/>
      <c r="L118" s="674"/>
      <c r="M118" s="674"/>
      <c r="N118" s="674"/>
      <c r="O118" s="674"/>
      <c r="P118" s="676"/>
      <c r="Q118" s="674"/>
      <c r="R118" s="674"/>
      <c r="S118" s="693"/>
      <c r="T118" s="676"/>
      <c r="U118" s="683"/>
      <c r="V118" s="683"/>
      <c r="W118" s="683"/>
      <c r="X118" s="677"/>
      <c r="Y118" s="674"/>
      <c r="Z118" s="678"/>
    </row>
    <row r="119" spans="1:26" ht="16.5">
      <c r="A119" s="670">
        <v>114</v>
      </c>
      <c r="B119" s="3303"/>
      <c r="C119" s="3287"/>
      <c r="D119" s="3307"/>
      <c r="E119" s="672"/>
      <c r="F119" s="672"/>
      <c r="G119" s="673"/>
      <c r="H119" s="673"/>
      <c r="I119" s="673"/>
      <c r="J119" s="673"/>
      <c r="K119" s="674"/>
      <c r="L119" s="674"/>
      <c r="M119" s="674"/>
      <c r="N119" s="674"/>
      <c r="O119" s="674"/>
      <c r="P119" s="676"/>
      <c r="Q119" s="674"/>
      <c r="R119" s="674"/>
      <c r="S119" s="693"/>
      <c r="T119" s="676"/>
      <c r="U119" s="683"/>
      <c r="V119" s="683"/>
      <c r="W119" s="683"/>
      <c r="X119" s="677"/>
      <c r="Y119" s="674"/>
      <c r="Z119" s="678"/>
    </row>
    <row r="120" spans="1:26" ht="16.5" customHeight="1">
      <c r="A120" s="670">
        <v>115</v>
      </c>
      <c r="B120" s="3303"/>
      <c r="C120" s="3287"/>
      <c r="D120" s="3307"/>
      <c r="E120" s="672"/>
      <c r="F120" s="672"/>
      <c r="G120" s="673"/>
      <c r="H120" s="673"/>
      <c r="I120" s="673"/>
      <c r="J120" s="673"/>
      <c r="K120" s="674"/>
      <c r="L120" s="674"/>
      <c r="M120" s="674"/>
      <c r="N120" s="674"/>
      <c r="O120" s="674"/>
      <c r="P120" s="676"/>
      <c r="Q120" s="674"/>
      <c r="R120" s="674"/>
      <c r="S120" s="693"/>
      <c r="T120" s="676"/>
      <c r="U120" s="683"/>
      <c r="V120" s="683"/>
      <c r="W120" s="683"/>
      <c r="X120" s="677"/>
      <c r="Y120" s="674"/>
      <c r="Z120" s="678"/>
    </row>
    <row r="121" spans="1:26" ht="16.5" customHeight="1">
      <c r="A121" s="670">
        <v>116</v>
      </c>
      <c r="B121" s="3303"/>
      <c r="C121" s="3287"/>
      <c r="D121" s="3307"/>
      <c r="E121" s="672"/>
      <c r="F121" s="672"/>
      <c r="G121" s="673"/>
      <c r="H121" s="673"/>
      <c r="I121" s="673"/>
      <c r="J121" s="673"/>
      <c r="K121" s="674"/>
      <c r="L121" s="674"/>
      <c r="M121" s="674"/>
      <c r="N121" s="674"/>
      <c r="O121" s="674"/>
      <c r="P121" s="676"/>
      <c r="Q121" s="674"/>
      <c r="R121" s="674"/>
      <c r="S121" s="693"/>
      <c r="T121" s="676"/>
      <c r="U121" s="683"/>
      <c r="V121" s="683"/>
      <c r="W121" s="683"/>
      <c r="X121" s="677"/>
      <c r="Y121" s="674"/>
      <c r="Z121" s="678"/>
    </row>
    <row r="122" spans="1:26" ht="16.5">
      <c r="A122" s="670">
        <v>117</v>
      </c>
      <c r="B122" s="3303"/>
      <c r="C122" s="3287"/>
      <c r="D122" s="657" t="s">
        <v>3105</v>
      </c>
      <c r="E122" s="682"/>
      <c r="F122" s="682"/>
      <c r="G122" s="682"/>
      <c r="H122" s="682"/>
      <c r="I122" s="682"/>
      <c r="J122" s="682"/>
      <c r="K122" s="682"/>
      <c r="L122" s="682"/>
      <c r="M122" s="682"/>
      <c r="N122" s="674">
        <f>SUM(N116:N121)</f>
        <v>0</v>
      </c>
      <c r="O122" s="674">
        <f>SUM(O116:O121)</f>
        <v>0</v>
      </c>
      <c r="P122" s="674">
        <f>SUM(P116:P121)</f>
        <v>0</v>
      </c>
      <c r="Q122" s="682"/>
      <c r="R122" s="674">
        <f>SUM(R116:R121)</f>
        <v>0</v>
      </c>
      <c r="S122" s="682"/>
      <c r="T122" s="682"/>
      <c r="U122" s="682"/>
      <c r="V122" s="682"/>
      <c r="W122" s="682"/>
      <c r="X122" s="682"/>
      <c r="Y122" s="682"/>
      <c r="Z122" s="848"/>
    </row>
    <row r="123" spans="1:26" ht="16.5" customHeight="1">
      <c r="A123" s="670">
        <v>118</v>
      </c>
      <c r="B123" s="3303"/>
      <c r="C123" s="3287"/>
      <c r="D123" s="3307" t="s">
        <v>3109</v>
      </c>
      <c r="E123" s="672"/>
      <c r="F123" s="672"/>
      <c r="G123" s="673"/>
      <c r="H123" s="673"/>
      <c r="I123" s="673"/>
      <c r="J123" s="673"/>
      <c r="K123" s="674"/>
      <c r="L123" s="674"/>
      <c r="M123" s="674"/>
      <c r="N123" s="674"/>
      <c r="O123" s="674"/>
      <c r="P123" s="676"/>
      <c r="Q123" s="674"/>
      <c r="R123" s="674"/>
      <c r="S123" s="693"/>
      <c r="T123" s="676"/>
      <c r="U123" s="683"/>
      <c r="V123" s="683"/>
      <c r="W123" s="683"/>
      <c r="X123" s="677"/>
      <c r="Y123" s="674"/>
      <c r="Z123" s="678"/>
    </row>
    <row r="124" spans="1:26" ht="16.5">
      <c r="A124" s="670">
        <v>119</v>
      </c>
      <c r="B124" s="3303"/>
      <c r="C124" s="3287"/>
      <c r="D124" s="3307"/>
      <c r="E124" s="672"/>
      <c r="F124" s="672"/>
      <c r="G124" s="673"/>
      <c r="H124" s="673"/>
      <c r="I124" s="673"/>
      <c r="J124" s="673"/>
      <c r="K124" s="674"/>
      <c r="L124" s="674"/>
      <c r="M124" s="674"/>
      <c r="N124" s="674"/>
      <c r="O124" s="674"/>
      <c r="P124" s="676"/>
      <c r="Q124" s="674"/>
      <c r="R124" s="674"/>
      <c r="S124" s="693"/>
      <c r="T124" s="676"/>
      <c r="U124" s="683"/>
      <c r="V124" s="683"/>
      <c r="W124" s="683"/>
      <c r="X124" s="677"/>
      <c r="Y124" s="674"/>
      <c r="Z124" s="678"/>
    </row>
    <row r="125" spans="1:26" ht="16.5">
      <c r="A125" s="670">
        <v>120</v>
      </c>
      <c r="B125" s="3303"/>
      <c r="C125" s="3287"/>
      <c r="D125" s="3307"/>
      <c r="E125" s="672"/>
      <c r="F125" s="672"/>
      <c r="G125" s="673"/>
      <c r="H125" s="673"/>
      <c r="I125" s="673"/>
      <c r="J125" s="673"/>
      <c r="K125" s="674"/>
      <c r="L125" s="674"/>
      <c r="M125" s="674"/>
      <c r="N125" s="674"/>
      <c r="O125" s="674"/>
      <c r="P125" s="676"/>
      <c r="Q125" s="674"/>
      <c r="R125" s="674"/>
      <c r="S125" s="693"/>
      <c r="T125" s="676"/>
      <c r="U125" s="683"/>
      <c r="V125" s="683"/>
      <c r="W125" s="683"/>
      <c r="X125" s="677"/>
      <c r="Y125" s="674"/>
      <c r="Z125" s="678"/>
    </row>
    <row r="126" spans="1:26" ht="16.5">
      <c r="A126" s="670">
        <v>121</v>
      </c>
      <c r="B126" s="3303"/>
      <c r="C126" s="3287"/>
      <c r="D126" s="3307"/>
      <c r="E126" s="672"/>
      <c r="F126" s="672"/>
      <c r="G126" s="673"/>
      <c r="H126" s="673"/>
      <c r="I126" s="673"/>
      <c r="J126" s="673"/>
      <c r="K126" s="674"/>
      <c r="L126" s="674"/>
      <c r="M126" s="674"/>
      <c r="N126" s="674"/>
      <c r="O126" s="674"/>
      <c r="P126" s="676"/>
      <c r="Q126" s="674"/>
      <c r="R126" s="674"/>
      <c r="S126" s="693"/>
      <c r="T126" s="676"/>
      <c r="U126" s="683"/>
      <c r="V126" s="683"/>
      <c r="W126" s="683"/>
      <c r="X126" s="677"/>
      <c r="Y126" s="674"/>
      <c r="Z126" s="678"/>
    </row>
    <row r="127" spans="1:26" ht="16.5">
      <c r="A127" s="670">
        <v>122</v>
      </c>
      <c r="B127" s="3303"/>
      <c r="C127" s="3287"/>
      <c r="D127" s="3307"/>
      <c r="E127" s="672"/>
      <c r="F127" s="672"/>
      <c r="G127" s="673"/>
      <c r="H127" s="673"/>
      <c r="I127" s="673"/>
      <c r="J127" s="673"/>
      <c r="K127" s="674"/>
      <c r="L127" s="674"/>
      <c r="M127" s="674"/>
      <c r="N127" s="674"/>
      <c r="O127" s="674"/>
      <c r="P127" s="676"/>
      <c r="Q127" s="674"/>
      <c r="R127" s="674"/>
      <c r="S127" s="693"/>
      <c r="T127" s="676"/>
      <c r="U127" s="683"/>
      <c r="V127" s="683"/>
      <c r="W127" s="683"/>
      <c r="X127" s="677"/>
      <c r="Y127" s="674"/>
      <c r="Z127" s="678"/>
    </row>
    <row r="128" spans="1:26" ht="16.5">
      <c r="A128" s="670">
        <v>123</v>
      </c>
      <c r="B128" s="3303"/>
      <c r="C128" s="3287"/>
      <c r="D128" s="3307"/>
      <c r="E128" s="672"/>
      <c r="F128" s="672"/>
      <c r="G128" s="673"/>
      <c r="H128" s="673"/>
      <c r="I128" s="673"/>
      <c r="J128" s="673"/>
      <c r="K128" s="674"/>
      <c r="L128" s="674"/>
      <c r="M128" s="674"/>
      <c r="N128" s="674"/>
      <c r="O128" s="674"/>
      <c r="P128" s="676"/>
      <c r="Q128" s="674"/>
      <c r="R128" s="674"/>
      <c r="S128" s="693"/>
      <c r="T128" s="676"/>
      <c r="U128" s="683"/>
      <c r="V128" s="683"/>
      <c r="W128" s="683"/>
      <c r="X128" s="677"/>
      <c r="Y128" s="674"/>
      <c r="Z128" s="678"/>
    </row>
    <row r="129" spans="1:26" ht="17.25" thickBot="1">
      <c r="A129" s="695">
        <v>124</v>
      </c>
      <c r="B129" s="3304"/>
      <c r="C129" s="3337"/>
      <c r="D129" s="679" t="s">
        <v>3105</v>
      </c>
      <c r="E129" s="696"/>
      <c r="F129" s="696"/>
      <c r="G129" s="697"/>
      <c r="H129" s="697"/>
      <c r="I129" s="697"/>
      <c r="J129" s="697"/>
      <c r="K129" s="698"/>
      <c r="L129" s="698"/>
      <c r="M129" s="698"/>
      <c r="N129" s="699">
        <f>SUM(N123:N128)</f>
        <v>0</v>
      </c>
      <c r="O129" s="699">
        <f>SUM(O123:O128)</f>
        <v>0</v>
      </c>
      <c r="P129" s="699">
        <f>SUM(P123:P128)</f>
        <v>0</v>
      </c>
      <c r="Q129" s="698"/>
      <c r="R129" s="699">
        <f>SUM(R123:R128)</f>
        <v>0</v>
      </c>
      <c r="S129" s="698"/>
      <c r="T129" s="698"/>
      <c r="U129" s="682"/>
      <c r="V129" s="682"/>
      <c r="W129" s="682"/>
      <c r="X129" s="698"/>
      <c r="Y129" s="698"/>
      <c r="Z129" s="868"/>
    </row>
    <row r="130" spans="1:26" ht="17.25" thickBot="1">
      <c r="A130" s="822">
        <v>125</v>
      </c>
      <c r="B130" s="3322" t="s">
        <v>3115</v>
      </c>
      <c r="C130" s="3323"/>
      <c r="D130" s="3323"/>
      <c r="E130" s="702"/>
      <c r="F130" s="702"/>
      <c r="G130" s="703"/>
      <c r="H130" s="703"/>
      <c r="I130" s="703"/>
      <c r="J130" s="703"/>
      <c r="K130" s="704"/>
      <c r="L130" s="704"/>
      <c r="M130" s="704"/>
      <c r="N130" s="705">
        <f>N129+N122+N115+N108+N97+N86+N75+N64+N53+N42+N31+N18</f>
        <v>0</v>
      </c>
      <c r="O130" s="705">
        <f>O129+O122+O115+O108+O97+O86+O75+O64+O53+O42+O31+O18</f>
        <v>0</v>
      </c>
      <c r="P130" s="705">
        <f>P129+P122+P115+P108+P97+P86+P75+P64+P53+P42+P31+P18</f>
        <v>0</v>
      </c>
      <c r="Q130" s="704"/>
      <c r="R130" s="705">
        <f>R129+R122+R115+R108+R97+R86+R75+R64+R53+R42+R31+R18</f>
        <v>0</v>
      </c>
      <c r="S130" s="704"/>
      <c r="T130" s="706"/>
      <c r="U130" s="706"/>
      <c r="V130" s="706"/>
      <c r="W130" s="706"/>
      <c r="X130" s="707"/>
      <c r="Y130" s="704"/>
      <c r="Z130" s="869"/>
    </row>
    <row r="131" spans="1:26" ht="16.5" customHeight="1">
      <c r="A131" s="662">
        <v>126</v>
      </c>
      <c r="B131" s="3302" t="s">
        <v>3116</v>
      </c>
      <c r="C131" s="3286" t="s">
        <v>3117</v>
      </c>
      <c r="D131" s="3331" t="s">
        <v>3118</v>
      </c>
      <c r="E131" s="663"/>
      <c r="F131" s="663"/>
      <c r="G131" s="664"/>
      <c r="H131" s="664"/>
      <c r="I131" s="664"/>
      <c r="J131" s="664"/>
      <c r="K131" s="665"/>
      <c r="L131" s="665"/>
      <c r="M131" s="665"/>
      <c r="N131" s="665"/>
      <c r="O131" s="665"/>
      <c r="P131" s="667"/>
      <c r="Q131" s="665"/>
      <c r="R131" s="665"/>
      <c r="S131" s="709"/>
      <c r="T131" s="710"/>
      <c r="U131" s="709"/>
      <c r="V131" s="709"/>
      <c r="W131" s="710"/>
      <c r="X131" s="668"/>
      <c r="Y131" s="665"/>
      <c r="Z131" s="669"/>
    </row>
    <row r="132" spans="1:26" ht="16.5" customHeight="1">
      <c r="A132" s="670">
        <v>127</v>
      </c>
      <c r="B132" s="3324"/>
      <c r="C132" s="3287"/>
      <c r="D132" s="3307"/>
      <c r="E132" s="672"/>
      <c r="F132" s="672"/>
      <c r="G132" s="673"/>
      <c r="H132" s="673"/>
      <c r="I132" s="673"/>
      <c r="J132" s="673"/>
      <c r="K132" s="674"/>
      <c r="L132" s="674"/>
      <c r="M132" s="674"/>
      <c r="N132" s="674"/>
      <c r="O132" s="674"/>
      <c r="P132" s="676"/>
      <c r="Q132" s="674"/>
      <c r="R132" s="674"/>
      <c r="S132" s="682"/>
      <c r="T132" s="683"/>
      <c r="U132" s="682"/>
      <c r="V132" s="682"/>
      <c r="W132" s="683"/>
      <c r="X132" s="677"/>
      <c r="Y132" s="674"/>
      <c r="Z132" s="678"/>
    </row>
    <row r="133" spans="1:26" ht="16.5" customHeight="1">
      <c r="A133" s="670">
        <v>128</v>
      </c>
      <c r="B133" s="3324"/>
      <c r="C133" s="3287"/>
      <c r="D133" s="3307"/>
      <c r="E133" s="672"/>
      <c r="F133" s="672"/>
      <c r="G133" s="673"/>
      <c r="H133" s="673"/>
      <c r="I133" s="673"/>
      <c r="J133" s="673"/>
      <c r="K133" s="674"/>
      <c r="L133" s="674"/>
      <c r="M133" s="674"/>
      <c r="N133" s="674"/>
      <c r="O133" s="674"/>
      <c r="P133" s="676"/>
      <c r="Q133" s="674"/>
      <c r="R133" s="674"/>
      <c r="S133" s="682"/>
      <c r="T133" s="683"/>
      <c r="U133" s="682"/>
      <c r="V133" s="682"/>
      <c r="W133" s="683"/>
      <c r="X133" s="677"/>
      <c r="Y133" s="674"/>
      <c r="Z133" s="678"/>
    </row>
    <row r="134" spans="1:26" ht="16.5" customHeight="1">
      <c r="A134" s="670">
        <v>129</v>
      </c>
      <c r="B134" s="3324"/>
      <c r="C134" s="3287"/>
      <c r="D134" s="3307"/>
      <c r="E134" s="672"/>
      <c r="F134" s="672"/>
      <c r="G134" s="673"/>
      <c r="H134" s="673"/>
      <c r="I134" s="673"/>
      <c r="J134" s="673"/>
      <c r="K134" s="674"/>
      <c r="L134" s="674"/>
      <c r="M134" s="674"/>
      <c r="N134" s="674"/>
      <c r="O134" s="674"/>
      <c r="P134" s="676"/>
      <c r="Q134" s="674"/>
      <c r="R134" s="674"/>
      <c r="S134" s="682"/>
      <c r="T134" s="683"/>
      <c r="U134" s="682"/>
      <c r="V134" s="682"/>
      <c r="W134" s="683"/>
      <c r="X134" s="677"/>
      <c r="Y134" s="674"/>
      <c r="Z134" s="678"/>
    </row>
    <row r="135" spans="1:26" ht="16.5" customHeight="1">
      <c r="A135" s="670">
        <v>130</v>
      </c>
      <c r="B135" s="3324"/>
      <c r="C135" s="3287"/>
      <c r="D135" s="3307"/>
      <c r="E135" s="672"/>
      <c r="F135" s="672"/>
      <c r="G135" s="673"/>
      <c r="H135" s="673"/>
      <c r="I135" s="673"/>
      <c r="J135" s="673"/>
      <c r="K135" s="674"/>
      <c r="L135" s="674"/>
      <c r="M135" s="674"/>
      <c r="N135" s="674"/>
      <c r="O135" s="674"/>
      <c r="P135" s="676"/>
      <c r="Q135" s="674"/>
      <c r="R135" s="674"/>
      <c r="S135" s="682"/>
      <c r="T135" s="683"/>
      <c r="U135" s="682"/>
      <c r="V135" s="682"/>
      <c r="W135" s="683"/>
      <c r="X135" s="677"/>
      <c r="Y135" s="674"/>
      <c r="Z135" s="678"/>
    </row>
    <row r="136" spans="1:26" ht="16.5" customHeight="1">
      <c r="A136" s="670">
        <v>131</v>
      </c>
      <c r="B136" s="3324"/>
      <c r="C136" s="3287"/>
      <c r="D136" s="3307"/>
      <c r="E136" s="672"/>
      <c r="F136" s="672"/>
      <c r="G136" s="673"/>
      <c r="H136" s="673"/>
      <c r="I136" s="673"/>
      <c r="J136" s="673"/>
      <c r="K136" s="674"/>
      <c r="L136" s="674"/>
      <c r="M136" s="674"/>
      <c r="N136" s="674"/>
      <c r="O136" s="674"/>
      <c r="P136" s="676"/>
      <c r="Q136" s="674"/>
      <c r="R136" s="674"/>
      <c r="S136" s="682"/>
      <c r="T136" s="683"/>
      <c r="U136" s="682"/>
      <c r="V136" s="682"/>
      <c r="W136" s="683"/>
      <c r="X136" s="677"/>
      <c r="Y136" s="674"/>
      <c r="Z136" s="678"/>
    </row>
    <row r="137" spans="1:26" ht="16.5" customHeight="1">
      <c r="A137" s="670">
        <v>132</v>
      </c>
      <c r="B137" s="3324"/>
      <c r="C137" s="3287"/>
      <c r="D137" s="711" t="s">
        <v>3105</v>
      </c>
      <c r="E137" s="682"/>
      <c r="F137" s="682"/>
      <c r="G137" s="682"/>
      <c r="H137" s="682"/>
      <c r="I137" s="682"/>
      <c r="J137" s="682"/>
      <c r="K137" s="682"/>
      <c r="L137" s="682"/>
      <c r="M137" s="682"/>
      <c r="N137" s="674">
        <f>SUM(N131:N136)</f>
        <v>0</v>
      </c>
      <c r="O137" s="674">
        <f>SUM(O131:O136)</f>
        <v>0</v>
      </c>
      <c r="P137" s="674">
        <f>SUM(P131:P136)</f>
        <v>0</v>
      </c>
      <c r="Q137" s="682"/>
      <c r="R137" s="674">
        <f>SUM(R131:R136)</f>
        <v>0</v>
      </c>
      <c r="S137" s="682"/>
      <c r="T137" s="683"/>
      <c r="U137" s="682"/>
      <c r="V137" s="682"/>
      <c r="W137" s="683"/>
      <c r="X137" s="684"/>
      <c r="Y137" s="682"/>
      <c r="Z137" s="848"/>
    </row>
    <row r="138" spans="1:26" ht="16.5" customHeight="1">
      <c r="A138" s="670">
        <v>133</v>
      </c>
      <c r="B138" s="3324"/>
      <c r="C138" s="3287"/>
      <c r="D138" s="3307" t="s">
        <v>3119</v>
      </c>
      <c r="E138" s="672"/>
      <c r="F138" s="672"/>
      <c r="G138" s="673"/>
      <c r="H138" s="673"/>
      <c r="I138" s="673"/>
      <c r="J138" s="673"/>
      <c r="K138" s="674"/>
      <c r="L138" s="674"/>
      <c r="M138" s="674"/>
      <c r="N138" s="674"/>
      <c r="O138" s="674"/>
      <c r="P138" s="676"/>
      <c r="Q138" s="674"/>
      <c r="R138" s="674"/>
      <c r="S138" s="682"/>
      <c r="T138" s="683"/>
      <c r="U138" s="682"/>
      <c r="V138" s="682"/>
      <c r="W138" s="683"/>
      <c r="X138" s="677"/>
      <c r="Y138" s="674"/>
      <c r="Z138" s="678"/>
    </row>
    <row r="139" spans="1:26" ht="16.5" customHeight="1">
      <c r="A139" s="670">
        <v>134</v>
      </c>
      <c r="B139" s="3324"/>
      <c r="C139" s="3287"/>
      <c r="D139" s="3307"/>
      <c r="E139" s="672"/>
      <c r="F139" s="672"/>
      <c r="G139" s="673"/>
      <c r="H139" s="673"/>
      <c r="I139" s="673"/>
      <c r="J139" s="673"/>
      <c r="K139" s="674"/>
      <c r="L139" s="674"/>
      <c r="M139" s="674"/>
      <c r="N139" s="674"/>
      <c r="O139" s="674"/>
      <c r="P139" s="676"/>
      <c r="Q139" s="674"/>
      <c r="R139" s="674"/>
      <c r="S139" s="682"/>
      <c r="T139" s="683"/>
      <c r="U139" s="682"/>
      <c r="V139" s="682"/>
      <c r="W139" s="683"/>
      <c r="X139" s="677"/>
      <c r="Y139" s="674"/>
      <c r="Z139" s="678"/>
    </row>
    <row r="140" spans="1:26" ht="16.5" customHeight="1">
      <c r="A140" s="670">
        <v>135</v>
      </c>
      <c r="B140" s="3324"/>
      <c r="C140" s="3287"/>
      <c r="D140" s="3307"/>
      <c r="E140" s="672"/>
      <c r="F140" s="672"/>
      <c r="G140" s="673"/>
      <c r="H140" s="673"/>
      <c r="I140" s="673"/>
      <c r="J140" s="673"/>
      <c r="K140" s="674"/>
      <c r="L140" s="674"/>
      <c r="M140" s="674"/>
      <c r="N140" s="674"/>
      <c r="O140" s="674"/>
      <c r="P140" s="676"/>
      <c r="Q140" s="674"/>
      <c r="R140" s="674"/>
      <c r="S140" s="682"/>
      <c r="T140" s="683"/>
      <c r="U140" s="682"/>
      <c r="V140" s="682"/>
      <c r="W140" s="683"/>
      <c r="X140" s="677"/>
      <c r="Y140" s="674"/>
      <c r="Z140" s="678"/>
    </row>
    <row r="141" spans="1:26" ht="16.5" customHeight="1">
      <c r="A141" s="670">
        <v>136</v>
      </c>
      <c r="B141" s="3324"/>
      <c r="C141" s="3287"/>
      <c r="D141" s="3307"/>
      <c r="E141" s="672"/>
      <c r="F141" s="672"/>
      <c r="G141" s="673"/>
      <c r="H141" s="673"/>
      <c r="I141" s="673"/>
      <c r="J141" s="673"/>
      <c r="K141" s="674"/>
      <c r="L141" s="674"/>
      <c r="M141" s="674"/>
      <c r="N141" s="674"/>
      <c r="O141" s="674"/>
      <c r="P141" s="676"/>
      <c r="Q141" s="674"/>
      <c r="R141" s="674"/>
      <c r="S141" s="682"/>
      <c r="T141" s="683"/>
      <c r="U141" s="682"/>
      <c r="V141" s="682"/>
      <c r="W141" s="683"/>
      <c r="X141" s="677"/>
      <c r="Y141" s="674"/>
      <c r="Z141" s="678"/>
    </row>
    <row r="142" spans="1:26" ht="16.5">
      <c r="A142" s="670">
        <v>137</v>
      </c>
      <c r="B142" s="3324"/>
      <c r="C142" s="3287"/>
      <c r="D142" s="3307"/>
      <c r="E142" s="672"/>
      <c r="F142" s="672"/>
      <c r="G142" s="673"/>
      <c r="H142" s="673"/>
      <c r="I142" s="673"/>
      <c r="J142" s="673"/>
      <c r="K142" s="674"/>
      <c r="L142" s="674"/>
      <c r="M142" s="674"/>
      <c r="N142" s="674"/>
      <c r="O142" s="674"/>
      <c r="P142" s="676"/>
      <c r="Q142" s="674"/>
      <c r="R142" s="674"/>
      <c r="S142" s="682"/>
      <c r="T142" s="683"/>
      <c r="U142" s="682"/>
      <c r="V142" s="682"/>
      <c r="W142" s="683"/>
      <c r="X142" s="677"/>
      <c r="Y142" s="674"/>
      <c r="Z142" s="678"/>
    </row>
    <row r="143" spans="1:26" ht="16.5">
      <c r="A143" s="670">
        <v>138</v>
      </c>
      <c r="B143" s="3324"/>
      <c r="C143" s="3287"/>
      <c r="D143" s="3307"/>
      <c r="E143" s="672"/>
      <c r="F143" s="672"/>
      <c r="G143" s="673"/>
      <c r="H143" s="673"/>
      <c r="I143" s="673"/>
      <c r="J143" s="673"/>
      <c r="K143" s="674"/>
      <c r="L143" s="674"/>
      <c r="M143" s="674"/>
      <c r="N143" s="674"/>
      <c r="O143" s="674"/>
      <c r="P143" s="676"/>
      <c r="Q143" s="674"/>
      <c r="R143" s="674"/>
      <c r="S143" s="682"/>
      <c r="T143" s="683"/>
      <c r="U143" s="682"/>
      <c r="V143" s="682"/>
      <c r="W143" s="683"/>
      <c r="X143" s="677"/>
      <c r="Y143" s="674"/>
      <c r="Z143" s="678"/>
    </row>
    <row r="144" spans="1:26" ht="17.25" thickBot="1">
      <c r="A144" s="670">
        <v>139</v>
      </c>
      <c r="B144" s="3324"/>
      <c r="C144" s="3288"/>
      <c r="D144" s="787" t="s">
        <v>3105</v>
      </c>
      <c r="E144" s="689"/>
      <c r="F144" s="689"/>
      <c r="G144" s="689"/>
      <c r="H144" s="689"/>
      <c r="I144" s="689"/>
      <c r="J144" s="689"/>
      <c r="K144" s="689"/>
      <c r="L144" s="689"/>
      <c r="M144" s="689"/>
      <c r="N144" s="688">
        <f>SUM(N138:N143)</f>
        <v>0</v>
      </c>
      <c r="O144" s="688">
        <f>SUM(O138:O143)</f>
        <v>0</v>
      </c>
      <c r="P144" s="688">
        <f>SUM(P138:P143)</f>
        <v>0</v>
      </c>
      <c r="Q144" s="689"/>
      <c r="R144" s="688">
        <f>SUM(R138:R143)</f>
        <v>0</v>
      </c>
      <c r="S144" s="689"/>
      <c r="T144" s="714"/>
      <c r="U144" s="689"/>
      <c r="V144" s="689"/>
      <c r="W144" s="714"/>
      <c r="X144" s="712"/>
      <c r="Y144" s="689"/>
      <c r="Z144" s="849"/>
    </row>
    <row r="145" spans="1:26" ht="16.5" customHeight="1">
      <c r="A145" s="670">
        <v>140</v>
      </c>
      <c r="B145" s="3324"/>
      <c r="C145" s="3326" t="s">
        <v>3110</v>
      </c>
      <c r="D145" s="3310" t="s">
        <v>3120</v>
      </c>
      <c r="E145" s="663"/>
      <c r="F145" s="663"/>
      <c r="G145" s="664"/>
      <c r="H145" s="664"/>
      <c r="I145" s="664"/>
      <c r="J145" s="664"/>
      <c r="K145" s="665"/>
      <c r="L145" s="665"/>
      <c r="M145" s="665"/>
      <c r="N145" s="665"/>
      <c r="O145" s="665"/>
      <c r="P145" s="667"/>
      <c r="Q145" s="665"/>
      <c r="R145" s="665"/>
      <c r="S145" s="715"/>
      <c r="T145" s="710"/>
      <c r="U145" s="715"/>
      <c r="V145" s="715"/>
      <c r="W145" s="710"/>
      <c r="X145" s="668"/>
      <c r="Y145" s="665"/>
      <c r="Z145" s="669"/>
    </row>
    <row r="146" spans="1:26" ht="16.5">
      <c r="A146" s="670">
        <v>141</v>
      </c>
      <c r="B146" s="3324"/>
      <c r="C146" s="3327"/>
      <c r="D146" s="3329"/>
      <c r="E146" s="672"/>
      <c r="F146" s="672"/>
      <c r="G146" s="673"/>
      <c r="H146" s="673"/>
      <c r="I146" s="673"/>
      <c r="J146" s="673"/>
      <c r="K146" s="674"/>
      <c r="L146" s="674"/>
      <c r="M146" s="674"/>
      <c r="N146" s="674"/>
      <c r="O146" s="674"/>
      <c r="P146" s="676"/>
      <c r="Q146" s="676"/>
      <c r="R146" s="674"/>
      <c r="S146" s="682"/>
      <c r="T146" s="716"/>
      <c r="U146" s="682"/>
      <c r="V146" s="682"/>
      <c r="W146" s="716"/>
      <c r="X146" s="677"/>
      <c r="Y146" s="674"/>
      <c r="Z146" s="678"/>
    </row>
    <row r="147" spans="1:26" ht="16.5">
      <c r="A147" s="670">
        <v>142</v>
      </c>
      <c r="B147" s="3324"/>
      <c r="C147" s="3327"/>
      <c r="D147" s="3329"/>
      <c r="E147" s="672"/>
      <c r="F147" s="672"/>
      <c r="G147" s="673"/>
      <c r="H147" s="673"/>
      <c r="I147" s="673"/>
      <c r="J147" s="673"/>
      <c r="K147" s="674"/>
      <c r="L147" s="674"/>
      <c r="M147" s="674"/>
      <c r="N147" s="674"/>
      <c r="O147" s="674"/>
      <c r="P147" s="676"/>
      <c r="Q147" s="676"/>
      <c r="R147" s="674"/>
      <c r="S147" s="682"/>
      <c r="T147" s="716"/>
      <c r="U147" s="682"/>
      <c r="V147" s="682"/>
      <c r="W147" s="716"/>
      <c r="X147" s="677"/>
      <c r="Y147" s="674"/>
      <c r="Z147" s="678"/>
    </row>
    <row r="148" spans="1:26" ht="16.5">
      <c r="A148" s="670">
        <v>143</v>
      </c>
      <c r="B148" s="3324"/>
      <c r="C148" s="3327"/>
      <c r="D148" s="3329"/>
      <c r="E148" s="672"/>
      <c r="F148" s="672"/>
      <c r="G148" s="673"/>
      <c r="H148" s="673"/>
      <c r="I148" s="673"/>
      <c r="J148" s="673"/>
      <c r="K148" s="674"/>
      <c r="L148" s="674"/>
      <c r="M148" s="674"/>
      <c r="N148" s="674"/>
      <c r="O148" s="674"/>
      <c r="P148" s="676"/>
      <c r="Q148" s="676"/>
      <c r="R148" s="674"/>
      <c r="S148" s="682"/>
      <c r="T148" s="716"/>
      <c r="U148" s="682"/>
      <c r="V148" s="682"/>
      <c r="W148" s="716"/>
      <c r="X148" s="677"/>
      <c r="Y148" s="674"/>
      <c r="Z148" s="678"/>
    </row>
    <row r="149" spans="1:26" ht="16.5">
      <c r="A149" s="670">
        <v>144</v>
      </c>
      <c r="B149" s="3324"/>
      <c r="C149" s="3327"/>
      <c r="D149" s="3329"/>
      <c r="E149" s="672"/>
      <c r="F149" s="672"/>
      <c r="G149" s="673"/>
      <c r="H149" s="673"/>
      <c r="I149" s="673"/>
      <c r="J149" s="673"/>
      <c r="K149" s="674"/>
      <c r="L149" s="674"/>
      <c r="M149" s="674"/>
      <c r="N149" s="674"/>
      <c r="O149" s="674"/>
      <c r="P149" s="676"/>
      <c r="Q149" s="676"/>
      <c r="R149" s="674"/>
      <c r="S149" s="682"/>
      <c r="T149" s="716"/>
      <c r="U149" s="682"/>
      <c r="V149" s="682"/>
      <c r="W149" s="716"/>
      <c r="X149" s="677"/>
      <c r="Y149" s="674"/>
      <c r="Z149" s="678"/>
    </row>
    <row r="150" spans="1:26" ht="16.5">
      <c r="A150" s="670">
        <v>145</v>
      </c>
      <c r="B150" s="3324"/>
      <c r="C150" s="3327"/>
      <c r="D150" s="3329"/>
      <c r="E150" s="672"/>
      <c r="F150" s="672"/>
      <c r="G150" s="673"/>
      <c r="H150" s="673"/>
      <c r="I150" s="673"/>
      <c r="J150" s="673"/>
      <c r="K150" s="674"/>
      <c r="L150" s="674"/>
      <c r="M150" s="674"/>
      <c r="N150" s="674"/>
      <c r="O150" s="674"/>
      <c r="P150" s="676"/>
      <c r="Q150" s="676"/>
      <c r="R150" s="674"/>
      <c r="S150" s="682"/>
      <c r="T150" s="716"/>
      <c r="U150" s="682"/>
      <c r="V150" s="682"/>
      <c r="W150" s="716"/>
      <c r="X150" s="677"/>
      <c r="Y150" s="674"/>
      <c r="Z150" s="678"/>
    </row>
    <row r="151" spans="1:26" ht="16.5">
      <c r="A151" s="670">
        <v>146</v>
      </c>
      <c r="B151" s="3324"/>
      <c r="C151" s="3327"/>
      <c r="D151" s="717" t="s">
        <v>3121</v>
      </c>
      <c r="E151" s="682"/>
      <c r="F151" s="682"/>
      <c r="G151" s="682"/>
      <c r="H151" s="682"/>
      <c r="I151" s="682"/>
      <c r="J151" s="682"/>
      <c r="K151" s="682"/>
      <c r="L151" s="682"/>
      <c r="M151" s="682"/>
      <c r="N151" s="674">
        <f>SUM(N145:N150)</f>
        <v>0</v>
      </c>
      <c r="O151" s="674">
        <f>SUM(O145:O150)</f>
        <v>0</v>
      </c>
      <c r="P151" s="674">
        <f>SUM(P145:P150)</f>
        <v>0</v>
      </c>
      <c r="Q151" s="682"/>
      <c r="R151" s="674">
        <f>SUM(R145:R150)</f>
        <v>0</v>
      </c>
      <c r="S151" s="682"/>
      <c r="T151" s="716"/>
      <c r="U151" s="682"/>
      <c r="V151" s="682"/>
      <c r="W151" s="716"/>
      <c r="X151" s="684"/>
      <c r="Y151" s="682"/>
      <c r="Z151" s="848"/>
    </row>
    <row r="152" spans="1:26" ht="17.649999999999999" customHeight="1">
      <c r="A152" s="670">
        <v>147</v>
      </c>
      <c r="B152" s="3324"/>
      <c r="C152" s="3327"/>
      <c r="D152" s="3300" t="s">
        <v>3118</v>
      </c>
      <c r="E152" s="672"/>
      <c r="F152" s="672"/>
      <c r="G152" s="673"/>
      <c r="H152" s="673"/>
      <c r="I152" s="673"/>
      <c r="J152" s="673"/>
      <c r="K152" s="674"/>
      <c r="L152" s="674"/>
      <c r="M152" s="674"/>
      <c r="N152" s="674"/>
      <c r="O152" s="674"/>
      <c r="P152" s="676"/>
      <c r="Q152" s="676"/>
      <c r="R152" s="674"/>
      <c r="S152" s="682"/>
      <c r="T152" s="716"/>
      <c r="U152" s="682"/>
      <c r="V152" s="682"/>
      <c r="W152" s="716"/>
      <c r="X152" s="677"/>
      <c r="Y152" s="674"/>
      <c r="Z152" s="678"/>
    </row>
    <row r="153" spans="1:26" ht="16.5">
      <c r="A153" s="670">
        <v>148</v>
      </c>
      <c r="B153" s="3324"/>
      <c r="C153" s="3327"/>
      <c r="D153" s="3300"/>
      <c r="E153" s="672"/>
      <c r="F153" s="672"/>
      <c r="G153" s="673"/>
      <c r="H153" s="673"/>
      <c r="I153" s="673"/>
      <c r="J153" s="673"/>
      <c r="K153" s="674"/>
      <c r="L153" s="674"/>
      <c r="M153" s="674"/>
      <c r="N153" s="674"/>
      <c r="O153" s="674"/>
      <c r="P153" s="676"/>
      <c r="Q153" s="676"/>
      <c r="R153" s="674"/>
      <c r="S153" s="682"/>
      <c r="T153" s="716"/>
      <c r="U153" s="682"/>
      <c r="V153" s="682"/>
      <c r="W153" s="716"/>
      <c r="X153" s="677"/>
      <c r="Y153" s="674"/>
      <c r="Z153" s="678"/>
    </row>
    <row r="154" spans="1:26" ht="16.5">
      <c r="A154" s="670">
        <v>149</v>
      </c>
      <c r="B154" s="3324"/>
      <c r="C154" s="3327"/>
      <c r="D154" s="3300"/>
      <c r="E154" s="672"/>
      <c r="F154" s="672"/>
      <c r="G154" s="673"/>
      <c r="H154" s="673"/>
      <c r="I154" s="673"/>
      <c r="J154" s="673"/>
      <c r="K154" s="674"/>
      <c r="L154" s="674"/>
      <c r="M154" s="674"/>
      <c r="N154" s="674"/>
      <c r="O154" s="674"/>
      <c r="P154" s="676"/>
      <c r="Q154" s="676"/>
      <c r="R154" s="674"/>
      <c r="S154" s="682"/>
      <c r="T154" s="716"/>
      <c r="U154" s="682"/>
      <c r="V154" s="682"/>
      <c r="W154" s="716"/>
      <c r="X154" s="677"/>
      <c r="Y154" s="674"/>
      <c r="Z154" s="678"/>
    </row>
    <row r="155" spans="1:26" ht="16.5">
      <c r="A155" s="670">
        <v>150</v>
      </c>
      <c r="B155" s="3324"/>
      <c r="C155" s="3327"/>
      <c r="D155" s="3300"/>
      <c r="E155" s="672"/>
      <c r="F155" s="672"/>
      <c r="G155" s="673"/>
      <c r="H155" s="673"/>
      <c r="I155" s="673"/>
      <c r="J155" s="673"/>
      <c r="K155" s="674"/>
      <c r="L155" s="674"/>
      <c r="M155" s="674"/>
      <c r="N155" s="674"/>
      <c r="O155" s="674"/>
      <c r="P155" s="676"/>
      <c r="Q155" s="676"/>
      <c r="R155" s="674"/>
      <c r="S155" s="682"/>
      <c r="T155" s="716"/>
      <c r="U155" s="682"/>
      <c r="V155" s="682"/>
      <c r="W155" s="716"/>
      <c r="X155" s="677"/>
      <c r="Y155" s="674"/>
      <c r="Z155" s="678"/>
    </row>
    <row r="156" spans="1:26" ht="16.5">
      <c r="A156" s="670">
        <v>151</v>
      </c>
      <c r="B156" s="3324"/>
      <c r="C156" s="3327"/>
      <c r="D156" s="3300"/>
      <c r="E156" s="672"/>
      <c r="F156" s="672"/>
      <c r="G156" s="673"/>
      <c r="H156" s="673"/>
      <c r="I156" s="673"/>
      <c r="J156" s="673"/>
      <c r="K156" s="674"/>
      <c r="L156" s="674"/>
      <c r="M156" s="674"/>
      <c r="N156" s="674"/>
      <c r="O156" s="674"/>
      <c r="P156" s="676"/>
      <c r="Q156" s="676"/>
      <c r="R156" s="674"/>
      <c r="S156" s="682"/>
      <c r="T156" s="716"/>
      <c r="U156" s="682"/>
      <c r="V156" s="682"/>
      <c r="W156" s="716"/>
      <c r="X156" s="677"/>
      <c r="Y156" s="674"/>
      <c r="Z156" s="678"/>
    </row>
    <row r="157" spans="1:26" ht="16.5">
      <c r="A157" s="670">
        <v>152</v>
      </c>
      <c r="B157" s="3324"/>
      <c r="C157" s="3327"/>
      <c r="D157" s="3300"/>
      <c r="E157" s="672"/>
      <c r="F157" s="672"/>
      <c r="G157" s="673"/>
      <c r="H157" s="673"/>
      <c r="I157" s="673"/>
      <c r="J157" s="673"/>
      <c r="K157" s="674"/>
      <c r="L157" s="674"/>
      <c r="M157" s="674"/>
      <c r="N157" s="674"/>
      <c r="O157" s="674"/>
      <c r="P157" s="676"/>
      <c r="Q157" s="676"/>
      <c r="R157" s="674"/>
      <c r="S157" s="682"/>
      <c r="T157" s="716"/>
      <c r="U157" s="682"/>
      <c r="V157" s="682"/>
      <c r="W157" s="716"/>
      <c r="X157" s="677"/>
      <c r="Y157" s="674"/>
      <c r="Z157" s="678"/>
    </row>
    <row r="158" spans="1:26" ht="16.5">
      <c r="A158" s="670">
        <v>153</v>
      </c>
      <c r="B158" s="3324"/>
      <c r="C158" s="3327"/>
      <c r="D158" s="711" t="s">
        <v>3105</v>
      </c>
      <c r="E158" s="682"/>
      <c r="F158" s="682"/>
      <c r="G158" s="682"/>
      <c r="H158" s="682"/>
      <c r="I158" s="682"/>
      <c r="J158" s="682"/>
      <c r="K158" s="682"/>
      <c r="L158" s="682"/>
      <c r="M158" s="682"/>
      <c r="N158" s="674">
        <f>SUM(N152:N157)</f>
        <v>0</v>
      </c>
      <c r="O158" s="674">
        <f>SUM(O152:O157)</f>
        <v>0</v>
      </c>
      <c r="P158" s="674">
        <f>SUM(P152:P157)</f>
        <v>0</v>
      </c>
      <c r="Q158" s="682"/>
      <c r="R158" s="674">
        <f>SUM(R152:R157)</f>
        <v>0</v>
      </c>
      <c r="S158" s="682"/>
      <c r="T158" s="716"/>
      <c r="U158" s="682"/>
      <c r="V158" s="682"/>
      <c r="W158" s="716"/>
      <c r="X158" s="684"/>
      <c r="Y158" s="682"/>
      <c r="Z158" s="848"/>
    </row>
    <row r="159" spans="1:26" ht="16.5" customHeight="1">
      <c r="A159" s="670">
        <v>154</v>
      </c>
      <c r="B159" s="3324"/>
      <c r="C159" s="3327"/>
      <c r="D159" s="3300" t="s">
        <v>3119</v>
      </c>
      <c r="E159" s="672"/>
      <c r="F159" s="672"/>
      <c r="G159" s="673"/>
      <c r="H159" s="673"/>
      <c r="I159" s="673"/>
      <c r="J159" s="673"/>
      <c r="K159" s="674"/>
      <c r="L159" s="674"/>
      <c r="M159" s="674"/>
      <c r="N159" s="674"/>
      <c r="O159" s="674"/>
      <c r="P159" s="676"/>
      <c r="Q159" s="676"/>
      <c r="R159" s="674"/>
      <c r="S159" s="682"/>
      <c r="T159" s="716"/>
      <c r="U159" s="682"/>
      <c r="V159" s="682"/>
      <c r="W159" s="716"/>
      <c r="X159" s="677"/>
      <c r="Y159" s="674"/>
      <c r="Z159" s="678"/>
    </row>
    <row r="160" spans="1:26" ht="15.75" customHeight="1">
      <c r="A160" s="670">
        <v>155</v>
      </c>
      <c r="B160" s="3324"/>
      <c r="C160" s="3327"/>
      <c r="D160" s="3300"/>
      <c r="E160" s="672"/>
      <c r="F160" s="672"/>
      <c r="G160" s="673"/>
      <c r="H160" s="673"/>
      <c r="I160" s="673"/>
      <c r="J160" s="673"/>
      <c r="K160" s="674"/>
      <c r="L160" s="674"/>
      <c r="M160" s="674"/>
      <c r="N160" s="674"/>
      <c r="O160" s="674"/>
      <c r="P160" s="676"/>
      <c r="Q160" s="674"/>
      <c r="R160" s="674"/>
      <c r="S160" s="682"/>
      <c r="T160" s="683"/>
      <c r="U160" s="682"/>
      <c r="V160" s="682"/>
      <c r="W160" s="683"/>
      <c r="X160" s="677"/>
      <c r="Y160" s="674"/>
      <c r="Z160" s="678"/>
    </row>
    <row r="161" spans="1:26" ht="15.75" customHeight="1">
      <c r="A161" s="670">
        <v>156</v>
      </c>
      <c r="B161" s="3324"/>
      <c r="C161" s="3327"/>
      <c r="D161" s="3300"/>
      <c r="E161" s="672"/>
      <c r="F161" s="672"/>
      <c r="G161" s="673"/>
      <c r="H161" s="673"/>
      <c r="I161" s="673"/>
      <c r="J161" s="673"/>
      <c r="K161" s="674"/>
      <c r="L161" s="674"/>
      <c r="M161" s="674"/>
      <c r="N161" s="674"/>
      <c r="O161" s="674"/>
      <c r="P161" s="676"/>
      <c r="Q161" s="674"/>
      <c r="R161" s="674"/>
      <c r="S161" s="682"/>
      <c r="T161" s="683"/>
      <c r="U161" s="682"/>
      <c r="V161" s="682"/>
      <c r="W161" s="683"/>
      <c r="X161" s="677"/>
      <c r="Y161" s="674"/>
      <c r="Z161" s="678"/>
    </row>
    <row r="162" spans="1:26" ht="16.5" customHeight="1">
      <c r="A162" s="670">
        <v>157</v>
      </c>
      <c r="B162" s="3324"/>
      <c r="C162" s="3327"/>
      <c r="D162" s="3300"/>
      <c r="E162" s="672"/>
      <c r="F162" s="672"/>
      <c r="G162" s="673"/>
      <c r="H162" s="673"/>
      <c r="I162" s="673"/>
      <c r="J162" s="673"/>
      <c r="K162" s="674"/>
      <c r="L162" s="674"/>
      <c r="M162" s="674"/>
      <c r="N162" s="674"/>
      <c r="O162" s="674"/>
      <c r="P162" s="676"/>
      <c r="Q162" s="674"/>
      <c r="R162" s="674"/>
      <c r="S162" s="682"/>
      <c r="T162" s="683"/>
      <c r="U162" s="682"/>
      <c r="V162" s="682"/>
      <c r="W162" s="683"/>
      <c r="X162" s="677"/>
      <c r="Y162" s="674"/>
      <c r="Z162" s="678"/>
    </row>
    <row r="163" spans="1:26" ht="16.5">
      <c r="A163" s="670">
        <v>158</v>
      </c>
      <c r="B163" s="3324"/>
      <c r="C163" s="3327"/>
      <c r="D163" s="3300"/>
      <c r="E163" s="672"/>
      <c r="F163" s="672"/>
      <c r="G163" s="673"/>
      <c r="H163" s="673"/>
      <c r="I163" s="673"/>
      <c r="J163" s="673"/>
      <c r="K163" s="674"/>
      <c r="L163" s="674"/>
      <c r="M163" s="674"/>
      <c r="N163" s="674"/>
      <c r="O163" s="674"/>
      <c r="P163" s="676"/>
      <c r="Q163" s="674"/>
      <c r="R163" s="674"/>
      <c r="S163" s="682"/>
      <c r="T163" s="683"/>
      <c r="U163" s="682"/>
      <c r="V163" s="682"/>
      <c r="W163" s="683"/>
      <c r="X163" s="677"/>
      <c r="Y163" s="674"/>
      <c r="Z163" s="678"/>
    </row>
    <row r="164" spans="1:26" ht="16.5">
      <c r="A164" s="670">
        <v>159</v>
      </c>
      <c r="B164" s="3324"/>
      <c r="C164" s="3327"/>
      <c r="D164" s="3300"/>
      <c r="E164" s="672"/>
      <c r="F164" s="672"/>
      <c r="G164" s="673"/>
      <c r="H164" s="673"/>
      <c r="I164" s="673"/>
      <c r="J164" s="673"/>
      <c r="K164" s="674"/>
      <c r="L164" s="674"/>
      <c r="M164" s="674"/>
      <c r="N164" s="674"/>
      <c r="O164" s="674"/>
      <c r="P164" s="676"/>
      <c r="Q164" s="674"/>
      <c r="R164" s="674"/>
      <c r="S164" s="682"/>
      <c r="T164" s="683"/>
      <c r="U164" s="682"/>
      <c r="V164" s="682"/>
      <c r="W164" s="683"/>
      <c r="X164" s="677"/>
      <c r="Y164" s="674"/>
      <c r="Z164" s="678"/>
    </row>
    <row r="165" spans="1:26" ht="17.25" thickBot="1">
      <c r="A165" s="670">
        <v>160</v>
      </c>
      <c r="B165" s="3324"/>
      <c r="C165" s="3328"/>
      <c r="D165" s="787" t="s">
        <v>3105</v>
      </c>
      <c r="E165" s="689"/>
      <c r="F165" s="689"/>
      <c r="G165" s="689"/>
      <c r="H165" s="689"/>
      <c r="I165" s="689"/>
      <c r="J165" s="689"/>
      <c r="K165" s="689"/>
      <c r="L165" s="689"/>
      <c r="M165" s="689"/>
      <c r="N165" s="688">
        <f>SUM(N159:N164)</f>
        <v>0</v>
      </c>
      <c r="O165" s="688">
        <f>SUM(O159:O164)</f>
        <v>0</v>
      </c>
      <c r="P165" s="688">
        <f>SUM(P159:P164)</f>
        <v>0</v>
      </c>
      <c r="Q165" s="689"/>
      <c r="R165" s="688">
        <f>SUM(R159:R164)</f>
        <v>0</v>
      </c>
      <c r="S165" s="689"/>
      <c r="T165" s="714"/>
      <c r="U165" s="689"/>
      <c r="V165" s="689"/>
      <c r="W165" s="714"/>
      <c r="X165" s="712"/>
      <c r="Y165" s="689"/>
      <c r="Z165" s="849"/>
    </row>
    <row r="166" spans="1:26" ht="16.5" customHeight="1">
      <c r="A166" s="670">
        <v>161</v>
      </c>
      <c r="B166" s="3324"/>
      <c r="C166" s="3286" t="s">
        <v>3113</v>
      </c>
      <c r="D166" s="3298" t="s">
        <v>3122</v>
      </c>
      <c r="E166" s="663"/>
      <c r="F166" s="663"/>
      <c r="G166" s="664"/>
      <c r="H166" s="664"/>
      <c r="I166" s="664"/>
      <c r="J166" s="664"/>
      <c r="K166" s="665"/>
      <c r="L166" s="665"/>
      <c r="M166" s="665"/>
      <c r="N166" s="665"/>
      <c r="O166" s="665"/>
      <c r="P166" s="667"/>
      <c r="Q166" s="665"/>
      <c r="R166" s="665"/>
      <c r="S166" s="709"/>
      <c r="T166" s="710"/>
      <c r="U166" s="709"/>
      <c r="V166" s="709"/>
      <c r="W166" s="710"/>
      <c r="X166" s="668"/>
      <c r="Y166" s="665"/>
      <c r="Z166" s="669"/>
    </row>
    <row r="167" spans="1:26" ht="16.5">
      <c r="A167" s="670">
        <v>162</v>
      </c>
      <c r="B167" s="3324"/>
      <c r="C167" s="3320"/>
      <c r="D167" s="3309"/>
      <c r="E167" s="672"/>
      <c r="F167" s="672"/>
      <c r="G167" s="673"/>
      <c r="H167" s="673"/>
      <c r="I167" s="673"/>
      <c r="J167" s="673"/>
      <c r="K167" s="674"/>
      <c r="L167" s="674"/>
      <c r="M167" s="674"/>
      <c r="N167" s="674"/>
      <c r="O167" s="674"/>
      <c r="P167" s="676"/>
      <c r="Q167" s="674"/>
      <c r="R167" s="674"/>
      <c r="S167" s="716"/>
      <c r="T167" s="683"/>
      <c r="U167" s="716"/>
      <c r="V167" s="716"/>
      <c r="W167" s="683"/>
      <c r="X167" s="677"/>
      <c r="Y167" s="674"/>
      <c r="Z167" s="678"/>
    </row>
    <row r="168" spans="1:26" ht="16.5">
      <c r="A168" s="670">
        <v>163</v>
      </c>
      <c r="B168" s="3324"/>
      <c r="C168" s="3320"/>
      <c r="D168" s="3309"/>
      <c r="E168" s="672"/>
      <c r="F168" s="672"/>
      <c r="G168" s="673"/>
      <c r="H168" s="673"/>
      <c r="I168" s="673"/>
      <c r="J168" s="673"/>
      <c r="K168" s="674"/>
      <c r="L168" s="674"/>
      <c r="M168" s="674"/>
      <c r="N168" s="674"/>
      <c r="O168" s="674"/>
      <c r="P168" s="676"/>
      <c r="Q168" s="674"/>
      <c r="R168" s="674"/>
      <c r="S168" s="716"/>
      <c r="T168" s="683"/>
      <c r="U168" s="716"/>
      <c r="V168" s="716"/>
      <c r="W168" s="683"/>
      <c r="X168" s="677"/>
      <c r="Y168" s="674"/>
      <c r="Z168" s="678"/>
    </row>
    <row r="169" spans="1:26" ht="16.5">
      <c r="A169" s="670">
        <v>164</v>
      </c>
      <c r="B169" s="3324"/>
      <c r="C169" s="3320"/>
      <c r="D169" s="3309"/>
      <c r="E169" s="672"/>
      <c r="F169" s="672"/>
      <c r="G169" s="673"/>
      <c r="H169" s="673"/>
      <c r="I169" s="673"/>
      <c r="J169" s="673"/>
      <c r="K169" s="674"/>
      <c r="L169" s="674"/>
      <c r="M169" s="674"/>
      <c r="N169" s="674"/>
      <c r="O169" s="674"/>
      <c r="P169" s="676"/>
      <c r="Q169" s="674"/>
      <c r="R169" s="674"/>
      <c r="S169" s="716"/>
      <c r="T169" s="683"/>
      <c r="U169" s="716"/>
      <c r="V169" s="716"/>
      <c r="W169" s="683"/>
      <c r="X169" s="677"/>
      <c r="Y169" s="674"/>
      <c r="Z169" s="678"/>
    </row>
    <row r="170" spans="1:26" ht="16.5">
      <c r="A170" s="670">
        <v>165</v>
      </c>
      <c r="B170" s="3324"/>
      <c r="C170" s="3320"/>
      <c r="D170" s="3309"/>
      <c r="E170" s="672"/>
      <c r="F170" s="672"/>
      <c r="G170" s="673"/>
      <c r="H170" s="673"/>
      <c r="I170" s="673"/>
      <c r="J170" s="673"/>
      <c r="K170" s="674"/>
      <c r="L170" s="674"/>
      <c r="M170" s="674"/>
      <c r="N170" s="674"/>
      <c r="O170" s="674"/>
      <c r="P170" s="676"/>
      <c r="Q170" s="674"/>
      <c r="R170" s="674"/>
      <c r="S170" s="716"/>
      <c r="T170" s="683"/>
      <c r="U170" s="716"/>
      <c r="V170" s="716"/>
      <c r="W170" s="683"/>
      <c r="X170" s="677"/>
      <c r="Y170" s="674"/>
      <c r="Z170" s="678"/>
    </row>
    <row r="171" spans="1:26" ht="16.5">
      <c r="A171" s="670">
        <v>166</v>
      </c>
      <c r="B171" s="3324"/>
      <c r="C171" s="3320"/>
      <c r="D171" s="3309"/>
      <c r="E171" s="672"/>
      <c r="F171" s="672"/>
      <c r="G171" s="673"/>
      <c r="H171" s="673"/>
      <c r="I171" s="673"/>
      <c r="J171" s="673"/>
      <c r="K171" s="674"/>
      <c r="L171" s="674"/>
      <c r="M171" s="674"/>
      <c r="N171" s="674"/>
      <c r="O171" s="674"/>
      <c r="P171" s="676"/>
      <c r="Q171" s="674"/>
      <c r="R171" s="674"/>
      <c r="S171" s="716"/>
      <c r="T171" s="683"/>
      <c r="U171" s="716"/>
      <c r="V171" s="716"/>
      <c r="W171" s="683"/>
      <c r="X171" s="677"/>
      <c r="Y171" s="674"/>
      <c r="Z171" s="678"/>
    </row>
    <row r="172" spans="1:26" ht="16.5">
      <c r="A172" s="670">
        <v>167</v>
      </c>
      <c r="B172" s="3324"/>
      <c r="C172" s="3320"/>
      <c r="D172" s="659" t="s">
        <v>3121</v>
      </c>
      <c r="E172" s="682"/>
      <c r="F172" s="682"/>
      <c r="G172" s="682"/>
      <c r="H172" s="682"/>
      <c r="I172" s="682"/>
      <c r="J172" s="682"/>
      <c r="K172" s="682"/>
      <c r="L172" s="682"/>
      <c r="M172" s="682"/>
      <c r="N172" s="674">
        <f>SUM(N166:N171)</f>
        <v>0</v>
      </c>
      <c r="O172" s="674">
        <f>SUM(O166:O171)</f>
        <v>0</v>
      </c>
      <c r="P172" s="674">
        <f>SUM(P166:P171)</f>
        <v>0</v>
      </c>
      <c r="Q172" s="682"/>
      <c r="R172" s="674">
        <f>SUM(R166:R171)</f>
        <v>0</v>
      </c>
      <c r="S172" s="716"/>
      <c r="T172" s="683"/>
      <c r="U172" s="716"/>
      <c r="V172" s="716"/>
      <c r="W172" s="683"/>
      <c r="X172" s="684"/>
      <c r="Y172" s="682"/>
      <c r="Z172" s="848"/>
    </row>
    <row r="173" spans="1:26" ht="16.5" customHeight="1">
      <c r="A173" s="670">
        <v>168</v>
      </c>
      <c r="B173" s="3324"/>
      <c r="C173" s="3320"/>
      <c r="D173" s="3300" t="s">
        <v>3118</v>
      </c>
      <c r="E173" s="672"/>
      <c r="F173" s="672"/>
      <c r="G173" s="673"/>
      <c r="H173" s="673"/>
      <c r="I173" s="673"/>
      <c r="J173" s="673"/>
      <c r="K173" s="674"/>
      <c r="L173" s="674"/>
      <c r="M173" s="674"/>
      <c r="N173" s="674"/>
      <c r="O173" s="674"/>
      <c r="P173" s="676"/>
      <c r="Q173" s="674"/>
      <c r="R173" s="674"/>
      <c r="S173" s="716"/>
      <c r="T173" s="683"/>
      <c r="U173" s="716"/>
      <c r="V173" s="716"/>
      <c r="W173" s="683"/>
      <c r="X173" s="677"/>
      <c r="Y173" s="674"/>
      <c r="Z173" s="678"/>
    </row>
    <row r="174" spans="1:26" ht="16.5">
      <c r="A174" s="670">
        <v>169</v>
      </c>
      <c r="B174" s="3324"/>
      <c r="C174" s="3320"/>
      <c r="D174" s="3300"/>
      <c r="E174" s="672"/>
      <c r="F174" s="672"/>
      <c r="G174" s="673"/>
      <c r="H174" s="673"/>
      <c r="I174" s="673"/>
      <c r="J174" s="673"/>
      <c r="K174" s="674"/>
      <c r="L174" s="674"/>
      <c r="M174" s="674"/>
      <c r="N174" s="674"/>
      <c r="O174" s="674"/>
      <c r="P174" s="676"/>
      <c r="Q174" s="674"/>
      <c r="R174" s="674"/>
      <c r="S174" s="716"/>
      <c r="T174" s="683"/>
      <c r="U174" s="716"/>
      <c r="V174" s="716"/>
      <c r="W174" s="683"/>
      <c r="X174" s="677"/>
      <c r="Y174" s="674"/>
      <c r="Z174" s="678"/>
    </row>
    <row r="175" spans="1:26" ht="16.5">
      <c r="A175" s="670">
        <v>170</v>
      </c>
      <c r="B175" s="3324"/>
      <c r="C175" s="3320"/>
      <c r="D175" s="3300"/>
      <c r="E175" s="672"/>
      <c r="F175" s="672"/>
      <c r="G175" s="673"/>
      <c r="H175" s="673"/>
      <c r="I175" s="673"/>
      <c r="J175" s="673"/>
      <c r="K175" s="674"/>
      <c r="L175" s="674"/>
      <c r="M175" s="674"/>
      <c r="N175" s="674"/>
      <c r="O175" s="674"/>
      <c r="P175" s="676"/>
      <c r="Q175" s="674"/>
      <c r="R175" s="674"/>
      <c r="S175" s="716"/>
      <c r="T175" s="683"/>
      <c r="U175" s="716"/>
      <c r="V175" s="716"/>
      <c r="W175" s="683"/>
      <c r="X175" s="677"/>
      <c r="Y175" s="674"/>
      <c r="Z175" s="678"/>
    </row>
    <row r="176" spans="1:26" ht="16.5">
      <c r="A176" s="670">
        <v>171</v>
      </c>
      <c r="B176" s="3324"/>
      <c r="C176" s="3320"/>
      <c r="D176" s="3300"/>
      <c r="E176" s="672"/>
      <c r="F176" s="672"/>
      <c r="G176" s="673"/>
      <c r="H176" s="673"/>
      <c r="I176" s="673"/>
      <c r="J176" s="673"/>
      <c r="K176" s="674"/>
      <c r="L176" s="674"/>
      <c r="M176" s="674"/>
      <c r="N176" s="674"/>
      <c r="O176" s="674"/>
      <c r="P176" s="676"/>
      <c r="Q176" s="674"/>
      <c r="R176" s="674"/>
      <c r="S176" s="716"/>
      <c r="T176" s="683"/>
      <c r="U176" s="716"/>
      <c r="V176" s="716"/>
      <c r="W176" s="683"/>
      <c r="X176" s="677"/>
      <c r="Y176" s="674"/>
      <c r="Z176" s="678"/>
    </row>
    <row r="177" spans="1:26" ht="16.5">
      <c r="A177" s="670">
        <v>172</v>
      </c>
      <c r="B177" s="3324"/>
      <c r="C177" s="3320"/>
      <c r="D177" s="3300"/>
      <c r="E177" s="672"/>
      <c r="F177" s="672"/>
      <c r="G177" s="673"/>
      <c r="H177" s="673"/>
      <c r="I177" s="673"/>
      <c r="J177" s="673"/>
      <c r="K177" s="674"/>
      <c r="L177" s="674"/>
      <c r="M177" s="674"/>
      <c r="N177" s="674"/>
      <c r="O177" s="674"/>
      <c r="P177" s="676"/>
      <c r="Q177" s="674"/>
      <c r="R177" s="674"/>
      <c r="S177" s="716"/>
      <c r="T177" s="683"/>
      <c r="U177" s="716"/>
      <c r="V177" s="716"/>
      <c r="W177" s="683"/>
      <c r="X177" s="677"/>
      <c r="Y177" s="674"/>
      <c r="Z177" s="678"/>
    </row>
    <row r="178" spans="1:26" ht="16.5">
      <c r="A178" s="670">
        <v>173</v>
      </c>
      <c r="B178" s="3324"/>
      <c r="C178" s="3320"/>
      <c r="D178" s="3300"/>
      <c r="E178" s="672"/>
      <c r="F178" s="672"/>
      <c r="G178" s="673"/>
      <c r="H178" s="673"/>
      <c r="I178" s="673"/>
      <c r="J178" s="673"/>
      <c r="K178" s="674"/>
      <c r="L178" s="674"/>
      <c r="M178" s="674"/>
      <c r="N178" s="674"/>
      <c r="O178" s="674"/>
      <c r="P178" s="676"/>
      <c r="Q178" s="674"/>
      <c r="R178" s="674"/>
      <c r="S178" s="716"/>
      <c r="T178" s="683"/>
      <c r="U178" s="716"/>
      <c r="V178" s="716"/>
      <c r="W178" s="683"/>
      <c r="X178" s="677"/>
      <c r="Y178" s="674"/>
      <c r="Z178" s="678"/>
    </row>
    <row r="179" spans="1:26" ht="16.5">
      <c r="A179" s="670">
        <v>174</v>
      </c>
      <c r="B179" s="3324"/>
      <c r="C179" s="3320"/>
      <c r="D179" s="711" t="s">
        <v>3105</v>
      </c>
      <c r="E179" s="682"/>
      <c r="F179" s="682"/>
      <c r="G179" s="682"/>
      <c r="H179" s="682"/>
      <c r="I179" s="682"/>
      <c r="J179" s="682"/>
      <c r="K179" s="682"/>
      <c r="L179" s="682"/>
      <c r="M179" s="682"/>
      <c r="N179" s="674">
        <f>SUM(N173:N178)</f>
        <v>0</v>
      </c>
      <c r="O179" s="674">
        <f>SUM(O173:O178)</f>
        <v>0</v>
      </c>
      <c r="P179" s="674">
        <f>SUM(P173:P178)</f>
        <v>0</v>
      </c>
      <c r="Q179" s="682"/>
      <c r="R179" s="674">
        <f>SUM(R173:R178)</f>
        <v>0</v>
      </c>
      <c r="S179" s="716"/>
      <c r="T179" s="683"/>
      <c r="U179" s="716"/>
      <c r="V179" s="716"/>
      <c r="W179" s="683"/>
      <c r="X179" s="684"/>
      <c r="Y179" s="682"/>
      <c r="Z179" s="848"/>
    </row>
    <row r="180" spans="1:26" ht="16.5" customHeight="1">
      <c r="A180" s="670">
        <v>175</v>
      </c>
      <c r="B180" s="3324"/>
      <c r="C180" s="3320"/>
      <c r="D180" s="3300" t="s">
        <v>3119</v>
      </c>
      <c r="E180" s="672"/>
      <c r="F180" s="672"/>
      <c r="G180" s="673"/>
      <c r="H180" s="673"/>
      <c r="I180" s="673"/>
      <c r="J180" s="673"/>
      <c r="K180" s="674"/>
      <c r="L180" s="674"/>
      <c r="M180" s="674"/>
      <c r="N180" s="674"/>
      <c r="O180" s="674"/>
      <c r="P180" s="676"/>
      <c r="Q180" s="674"/>
      <c r="R180" s="674"/>
      <c r="S180" s="716"/>
      <c r="T180" s="683"/>
      <c r="U180" s="716"/>
      <c r="V180" s="716"/>
      <c r="W180" s="683"/>
      <c r="X180" s="677"/>
      <c r="Y180" s="674"/>
      <c r="Z180" s="678"/>
    </row>
    <row r="181" spans="1:26" ht="16.5">
      <c r="A181" s="670">
        <v>176</v>
      </c>
      <c r="B181" s="3324"/>
      <c r="C181" s="3320"/>
      <c r="D181" s="3300"/>
      <c r="E181" s="672"/>
      <c r="F181" s="672"/>
      <c r="G181" s="673"/>
      <c r="H181" s="673"/>
      <c r="I181" s="673"/>
      <c r="J181" s="673"/>
      <c r="K181" s="674"/>
      <c r="L181" s="674"/>
      <c r="M181" s="674"/>
      <c r="N181" s="674"/>
      <c r="O181" s="674"/>
      <c r="P181" s="676"/>
      <c r="Q181" s="674"/>
      <c r="R181" s="674"/>
      <c r="S181" s="716"/>
      <c r="T181" s="683"/>
      <c r="U181" s="716"/>
      <c r="V181" s="716"/>
      <c r="W181" s="683"/>
      <c r="X181" s="677"/>
      <c r="Y181" s="674"/>
      <c r="Z181" s="678"/>
    </row>
    <row r="182" spans="1:26" ht="16.5">
      <c r="A182" s="670">
        <v>177</v>
      </c>
      <c r="B182" s="3324"/>
      <c r="C182" s="3320"/>
      <c r="D182" s="3300"/>
      <c r="E182" s="672"/>
      <c r="F182" s="672"/>
      <c r="G182" s="673"/>
      <c r="H182" s="673"/>
      <c r="I182" s="673"/>
      <c r="J182" s="673"/>
      <c r="K182" s="674"/>
      <c r="L182" s="674"/>
      <c r="M182" s="674"/>
      <c r="N182" s="674"/>
      <c r="O182" s="674"/>
      <c r="P182" s="676"/>
      <c r="Q182" s="674"/>
      <c r="R182" s="674"/>
      <c r="S182" s="716"/>
      <c r="T182" s="683"/>
      <c r="U182" s="716"/>
      <c r="V182" s="716"/>
      <c r="W182" s="683"/>
      <c r="X182" s="677"/>
      <c r="Y182" s="674"/>
      <c r="Z182" s="678"/>
    </row>
    <row r="183" spans="1:26" ht="16.5">
      <c r="A183" s="670">
        <v>178</v>
      </c>
      <c r="B183" s="3324"/>
      <c r="C183" s="3320"/>
      <c r="D183" s="3300"/>
      <c r="E183" s="672"/>
      <c r="F183" s="672"/>
      <c r="G183" s="673"/>
      <c r="H183" s="673"/>
      <c r="I183" s="673"/>
      <c r="J183" s="673"/>
      <c r="K183" s="674"/>
      <c r="L183" s="674"/>
      <c r="M183" s="674"/>
      <c r="N183" s="674"/>
      <c r="O183" s="674"/>
      <c r="P183" s="676"/>
      <c r="Q183" s="674"/>
      <c r="R183" s="674"/>
      <c r="S183" s="716"/>
      <c r="T183" s="683"/>
      <c r="U183" s="716"/>
      <c r="V183" s="716"/>
      <c r="W183" s="683"/>
      <c r="X183" s="677"/>
      <c r="Y183" s="674"/>
      <c r="Z183" s="678"/>
    </row>
    <row r="184" spans="1:26" ht="16.5">
      <c r="A184" s="670">
        <v>179</v>
      </c>
      <c r="B184" s="3324"/>
      <c r="C184" s="3320"/>
      <c r="D184" s="3300"/>
      <c r="E184" s="672"/>
      <c r="F184" s="672"/>
      <c r="G184" s="673"/>
      <c r="H184" s="673"/>
      <c r="I184" s="673"/>
      <c r="J184" s="673"/>
      <c r="K184" s="674"/>
      <c r="L184" s="674"/>
      <c r="M184" s="674"/>
      <c r="N184" s="674"/>
      <c r="O184" s="674"/>
      <c r="P184" s="676"/>
      <c r="Q184" s="674"/>
      <c r="R184" s="674"/>
      <c r="S184" s="716"/>
      <c r="T184" s="683"/>
      <c r="U184" s="716"/>
      <c r="V184" s="716"/>
      <c r="W184" s="683"/>
      <c r="X184" s="677"/>
      <c r="Y184" s="674"/>
      <c r="Z184" s="678"/>
    </row>
    <row r="185" spans="1:26" ht="16.5">
      <c r="A185" s="670">
        <v>180</v>
      </c>
      <c r="B185" s="3324"/>
      <c r="C185" s="3320"/>
      <c r="D185" s="3300"/>
      <c r="E185" s="672"/>
      <c r="F185" s="672"/>
      <c r="G185" s="673"/>
      <c r="H185" s="673"/>
      <c r="I185" s="673"/>
      <c r="J185" s="673"/>
      <c r="K185" s="674"/>
      <c r="L185" s="674"/>
      <c r="M185" s="674"/>
      <c r="N185" s="674"/>
      <c r="O185" s="674"/>
      <c r="P185" s="676"/>
      <c r="Q185" s="674"/>
      <c r="R185" s="674"/>
      <c r="S185" s="716"/>
      <c r="T185" s="683"/>
      <c r="U185" s="716"/>
      <c r="V185" s="716"/>
      <c r="W185" s="683"/>
      <c r="X185" s="677"/>
      <c r="Y185" s="674"/>
      <c r="Z185" s="678"/>
    </row>
    <row r="186" spans="1:26" ht="17.25" thickBot="1">
      <c r="A186" s="695">
        <v>181</v>
      </c>
      <c r="B186" s="3325"/>
      <c r="C186" s="3321"/>
      <c r="D186" s="679" t="s">
        <v>3105</v>
      </c>
      <c r="E186" s="698"/>
      <c r="F186" s="698"/>
      <c r="G186" s="698"/>
      <c r="H186" s="698"/>
      <c r="I186" s="698"/>
      <c r="J186" s="698"/>
      <c r="K186" s="698"/>
      <c r="L186" s="698"/>
      <c r="M186" s="698"/>
      <c r="N186" s="699">
        <f>SUM(N180:N185)</f>
        <v>0</v>
      </c>
      <c r="O186" s="699">
        <f>SUM(O180:O185)</f>
        <v>0</v>
      </c>
      <c r="P186" s="699">
        <f>SUM(P180:P185)</f>
        <v>0</v>
      </c>
      <c r="Q186" s="698"/>
      <c r="R186" s="699">
        <f>SUM(R180:R185)</f>
        <v>0</v>
      </c>
      <c r="S186" s="720"/>
      <c r="T186" s="721"/>
      <c r="U186" s="720"/>
      <c r="V186" s="720"/>
      <c r="W186" s="721"/>
      <c r="X186" s="722"/>
      <c r="Y186" s="698"/>
      <c r="Z186" s="868"/>
    </row>
    <row r="187" spans="1:26" ht="17.25" thickBot="1">
      <c r="A187" s="822">
        <v>182</v>
      </c>
      <c r="B187" s="3322" t="s">
        <v>3123</v>
      </c>
      <c r="C187" s="3323"/>
      <c r="D187" s="3323"/>
      <c r="E187" s="702"/>
      <c r="F187" s="702"/>
      <c r="G187" s="703"/>
      <c r="H187" s="703"/>
      <c r="I187" s="703"/>
      <c r="J187" s="703"/>
      <c r="K187" s="704"/>
      <c r="L187" s="704"/>
      <c r="M187" s="704"/>
      <c r="N187" s="723">
        <f>N137+N144+N151+N158+N165+N172+N179+N186</f>
        <v>0</v>
      </c>
      <c r="O187" s="723">
        <f>O137+O144+O151+O158+O165+O172+O179+O186</f>
        <v>0</v>
      </c>
      <c r="P187" s="723">
        <f>P137+P144+P151+P158+P165+P172+P179+P186</f>
        <v>0</v>
      </c>
      <c r="Q187" s="704"/>
      <c r="R187" s="723">
        <f>R137+R144+R151+R158+R165+R172+R179+R186</f>
        <v>0</v>
      </c>
      <c r="S187" s="724"/>
      <c r="T187" s="706"/>
      <c r="U187" s="724"/>
      <c r="V187" s="724"/>
      <c r="W187" s="706"/>
      <c r="X187" s="707"/>
      <c r="Y187" s="704"/>
      <c r="Z187" s="869"/>
    </row>
    <row r="188" spans="1:26" ht="16.5" customHeight="1">
      <c r="A188" s="662">
        <v>183</v>
      </c>
      <c r="B188" s="3302" t="s">
        <v>3124</v>
      </c>
      <c r="C188" s="3286" t="s">
        <v>3117</v>
      </c>
      <c r="D188" s="3331" t="s">
        <v>3118</v>
      </c>
      <c r="E188" s="663"/>
      <c r="F188" s="663"/>
      <c r="G188" s="664"/>
      <c r="H188" s="664"/>
      <c r="I188" s="664"/>
      <c r="J188" s="664"/>
      <c r="K188" s="665"/>
      <c r="L188" s="665"/>
      <c r="M188" s="665"/>
      <c r="N188" s="665"/>
      <c r="O188" s="665"/>
      <c r="P188" s="667"/>
      <c r="Q188" s="665"/>
      <c r="R188" s="665"/>
      <c r="S188" s="709"/>
      <c r="T188" s="710"/>
      <c r="U188" s="709"/>
      <c r="V188" s="709"/>
      <c r="W188" s="710"/>
      <c r="X188" s="668"/>
      <c r="Y188" s="665"/>
      <c r="Z188" s="669"/>
    </row>
    <row r="189" spans="1:26" ht="16.5" customHeight="1">
      <c r="A189" s="670">
        <v>184</v>
      </c>
      <c r="B189" s="3324"/>
      <c r="C189" s="3287"/>
      <c r="D189" s="3307"/>
      <c r="E189" s="672"/>
      <c r="F189" s="672"/>
      <c r="G189" s="673"/>
      <c r="H189" s="673"/>
      <c r="I189" s="673"/>
      <c r="J189" s="673"/>
      <c r="K189" s="674"/>
      <c r="L189" s="674"/>
      <c r="M189" s="674"/>
      <c r="N189" s="674"/>
      <c r="O189" s="674"/>
      <c r="P189" s="676"/>
      <c r="Q189" s="674"/>
      <c r="R189" s="674"/>
      <c r="S189" s="682"/>
      <c r="T189" s="683"/>
      <c r="U189" s="682"/>
      <c r="V189" s="682"/>
      <c r="W189" s="683"/>
      <c r="X189" s="677"/>
      <c r="Y189" s="674"/>
      <c r="Z189" s="678"/>
    </row>
    <row r="190" spans="1:26" ht="16.5" customHeight="1">
      <c r="A190" s="670">
        <v>185</v>
      </c>
      <c r="B190" s="3324"/>
      <c r="C190" s="3287"/>
      <c r="D190" s="3307"/>
      <c r="E190" s="672"/>
      <c r="F190" s="672"/>
      <c r="G190" s="673"/>
      <c r="H190" s="673"/>
      <c r="I190" s="673"/>
      <c r="J190" s="673"/>
      <c r="K190" s="674"/>
      <c r="L190" s="674"/>
      <c r="M190" s="674"/>
      <c r="N190" s="674"/>
      <c r="O190" s="674"/>
      <c r="P190" s="676"/>
      <c r="Q190" s="674"/>
      <c r="R190" s="674"/>
      <c r="S190" s="682"/>
      <c r="T190" s="683"/>
      <c r="U190" s="682"/>
      <c r="V190" s="682"/>
      <c r="W190" s="683"/>
      <c r="X190" s="677"/>
      <c r="Y190" s="674"/>
      <c r="Z190" s="678"/>
    </row>
    <row r="191" spans="1:26" ht="16.5" customHeight="1">
      <c r="A191" s="670">
        <v>186</v>
      </c>
      <c r="B191" s="3324"/>
      <c r="C191" s="3287"/>
      <c r="D191" s="3307"/>
      <c r="E191" s="672"/>
      <c r="F191" s="672"/>
      <c r="G191" s="673"/>
      <c r="H191" s="673"/>
      <c r="I191" s="673"/>
      <c r="J191" s="673"/>
      <c r="K191" s="674"/>
      <c r="L191" s="674"/>
      <c r="M191" s="674"/>
      <c r="N191" s="674"/>
      <c r="O191" s="674"/>
      <c r="P191" s="676"/>
      <c r="Q191" s="674"/>
      <c r="R191" s="674"/>
      <c r="S191" s="682"/>
      <c r="T191" s="683"/>
      <c r="U191" s="682"/>
      <c r="V191" s="682"/>
      <c r="W191" s="683"/>
      <c r="X191" s="677"/>
      <c r="Y191" s="674"/>
      <c r="Z191" s="678"/>
    </row>
    <row r="192" spans="1:26" ht="16.5" customHeight="1">
      <c r="A192" s="670">
        <v>187</v>
      </c>
      <c r="B192" s="3324"/>
      <c r="C192" s="3287"/>
      <c r="D192" s="3307"/>
      <c r="E192" s="672"/>
      <c r="F192" s="672"/>
      <c r="G192" s="673"/>
      <c r="H192" s="673"/>
      <c r="I192" s="673"/>
      <c r="J192" s="673"/>
      <c r="K192" s="674"/>
      <c r="L192" s="674"/>
      <c r="M192" s="674"/>
      <c r="N192" s="674"/>
      <c r="O192" s="674"/>
      <c r="P192" s="676"/>
      <c r="Q192" s="674"/>
      <c r="R192" s="674"/>
      <c r="S192" s="682"/>
      <c r="T192" s="683"/>
      <c r="U192" s="682"/>
      <c r="V192" s="682"/>
      <c r="W192" s="683"/>
      <c r="X192" s="677"/>
      <c r="Y192" s="674"/>
      <c r="Z192" s="678"/>
    </row>
    <row r="193" spans="1:26" ht="16.5" customHeight="1">
      <c r="A193" s="670">
        <v>188</v>
      </c>
      <c r="B193" s="3324"/>
      <c r="C193" s="3287"/>
      <c r="D193" s="3307"/>
      <c r="E193" s="672"/>
      <c r="F193" s="672"/>
      <c r="G193" s="673"/>
      <c r="H193" s="673"/>
      <c r="I193" s="673"/>
      <c r="J193" s="673"/>
      <c r="K193" s="674"/>
      <c r="L193" s="674"/>
      <c r="M193" s="674"/>
      <c r="N193" s="674"/>
      <c r="O193" s="674"/>
      <c r="P193" s="676"/>
      <c r="Q193" s="674"/>
      <c r="R193" s="674"/>
      <c r="S193" s="682"/>
      <c r="T193" s="683"/>
      <c r="U193" s="682"/>
      <c r="V193" s="682"/>
      <c r="W193" s="683"/>
      <c r="X193" s="677"/>
      <c r="Y193" s="674"/>
      <c r="Z193" s="678"/>
    </row>
    <row r="194" spans="1:26" ht="16.5" customHeight="1">
      <c r="A194" s="670">
        <v>189</v>
      </c>
      <c r="B194" s="3324"/>
      <c r="C194" s="3287"/>
      <c r="D194" s="711" t="s">
        <v>3105</v>
      </c>
      <c r="E194" s="682"/>
      <c r="F194" s="682"/>
      <c r="G194" s="682"/>
      <c r="H194" s="682"/>
      <c r="I194" s="682"/>
      <c r="J194" s="682"/>
      <c r="K194" s="682"/>
      <c r="L194" s="682"/>
      <c r="M194" s="682"/>
      <c r="N194" s="674">
        <f>SUM(N188:N193)</f>
        <v>0</v>
      </c>
      <c r="O194" s="674">
        <f>SUM(O188:O193)</f>
        <v>0</v>
      </c>
      <c r="P194" s="674">
        <f>SUM(P188:P193)</f>
        <v>0</v>
      </c>
      <c r="Q194" s="682"/>
      <c r="R194" s="674">
        <f>SUM(R188:R193)</f>
        <v>0</v>
      </c>
      <c r="S194" s="682"/>
      <c r="T194" s="683"/>
      <c r="U194" s="682"/>
      <c r="V194" s="682"/>
      <c r="W194" s="683"/>
      <c r="X194" s="684"/>
      <c r="Y194" s="682"/>
      <c r="Z194" s="848"/>
    </row>
    <row r="195" spans="1:26" ht="16.5" customHeight="1">
      <c r="A195" s="670">
        <v>190</v>
      </c>
      <c r="B195" s="3324"/>
      <c r="C195" s="3287"/>
      <c r="D195" s="3307" t="s">
        <v>3119</v>
      </c>
      <c r="E195" s="672"/>
      <c r="F195" s="672"/>
      <c r="G195" s="673"/>
      <c r="H195" s="673"/>
      <c r="I195" s="673"/>
      <c r="J195" s="673"/>
      <c r="K195" s="674"/>
      <c r="L195" s="674"/>
      <c r="M195" s="674"/>
      <c r="N195" s="674"/>
      <c r="O195" s="674"/>
      <c r="P195" s="676"/>
      <c r="Q195" s="674"/>
      <c r="R195" s="674"/>
      <c r="S195" s="682"/>
      <c r="T195" s="683"/>
      <c r="U195" s="682"/>
      <c r="V195" s="682"/>
      <c r="W195" s="683"/>
      <c r="X195" s="677"/>
      <c r="Y195" s="674"/>
      <c r="Z195" s="678"/>
    </row>
    <row r="196" spans="1:26" ht="16.5" customHeight="1">
      <c r="A196" s="670">
        <v>191</v>
      </c>
      <c r="B196" s="3324"/>
      <c r="C196" s="3287"/>
      <c r="D196" s="3307"/>
      <c r="E196" s="672"/>
      <c r="F196" s="672"/>
      <c r="G196" s="673"/>
      <c r="H196" s="673"/>
      <c r="I196" s="673"/>
      <c r="J196" s="673"/>
      <c r="K196" s="674"/>
      <c r="L196" s="674"/>
      <c r="M196" s="674"/>
      <c r="N196" s="674"/>
      <c r="O196" s="674"/>
      <c r="P196" s="676"/>
      <c r="Q196" s="674"/>
      <c r="R196" s="674"/>
      <c r="S196" s="682"/>
      <c r="T196" s="683"/>
      <c r="U196" s="682"/>
      <c r="V196" s="682"/>
      <c r="W196" s="683"/>
      <c r="X196" s="677"/>
      <c r="Y196" s="674"/>
      <c r="Z196" s="678"/>
    </row>
    <row r="197" spans="1:26" ht="16.5" customHeight="1">
      <c r="A197" s="670">
        <v>192</v>
      </c>
      <c r="B197" s="3324"/>
      <c r="C197" s="3287"/>
      <c r="D197" s="3307"/>
      <c r="E197" s="672"/>
      <c r="F197" s="672"/>
      <c r="G197" s="673"/>
      <c r="H197" s="673"/>
      <c r="I197" s="673"/>
      <c r="J197" s="673"/>
      <c r="K197" s="674"/>
      <c r="L197" s="674"/>
      <c r="M197" s="674"/>
      <c r="N197" s="674"/>
      <c r="O197" s="674"/>
      <c r="P197" s="676"/>
      <c r="Q197" s="674"/>
      <c r="R197" s="674"/>
      <c r="S197" s="682"/>
      <c r="T197" s="683"/>
      <c r="U197" s="682"/>
      <c r="V197" s="682"/>
      <c r="W197" s="683"/>
      <c r="X197" s="677"/>
      <c r="Y197" s="674"/>
      <c r="Z197" s="678"/>
    </row>
    <row r="198" spans="1:26" ht="16.5" customHeight="1">
      <c r="A198" s="670">
        <v>193</v>
      </c>
      <c r="B198" s="3324"/>
      <c r="C198" s="3287"/>
      <c r="D198" s="3307"/>
      <c r="E198" s="672"/>
      <c r="F198" s="672"/>
      <c r="G198" s="673"/>
      <c r="H198" s="673"/>
      <c r="I198" s="673"/>
      <c r="J198" s="673"/>
      <c r="K198" s="674"/>
      <c r="L198" s="674"/>
      <c r="M198" s="674"/>
      <c r="N198" s="674"/>
      <c r="O198" s="674"/>
      <c r="P198" s="676"/>
      <c r="Q198" s="674"/>
      <c r="R198" s="674"/>
      <c r="S198" s="682"/>
      <c r="T198" s="683"/>
      <c r="U198" s="682"/>
      <c r="V198" s="682"/>
      <c r="W198" s="683"/>
      <c r="X198" s="677"/>
      <c r="Y198" s="674"/>
      <c r="Z198" s="678"/>
    </row>
    <row r="199" spans="1:26" ht="16.5">
      <c r="A199" s="670">
        <v>194</v>
      </c>
      <c r="B199" s="3324"/>
      <c r="C199" s="3287"/>
      <c r="D199" s="3307"/>
      <c r="E199" s="672"/>
      <c r="F199" s="672"/>
      <c r="G199" s="673"/>
      <c r="H199" s="673"/>
      <c r="I199" s="673"/>
      <c r="J199" s="673"/>
      <c r="K199" s="674"/>
      <c r="L199" s="674"/>
      <c r="M199" s="674"/>
      <c r="N199" s="674"/>
      <c r="O199" s="674"/>
      <c r="P199" s="676"/>
      <c r="Q199" s="674"/>
      <c r="R199" s="674"/>
      <c r="S199" s="682"/>
      <c r="T199" s="683"/>
      <c r="U199" s="682"/>
      <c r="V199" s="682"/>
      <c r="W199" s="683"/>
      <c r="X199" s="677"/>
      <c r="Y199" s="674"/>
      <c r="Z199" s="678"/>
    </row>
    <row r="200" spans="1:26" ht="16.5">
      <c r="A200" s="670">
        <v>195</v>
      </c>
      <c r="B200" s="3324"/>
      <c r="C200" s="3287"/>
      <c r="D200" s="3307"/>
      <c r="E200" s="672"/>
      <c r="F200" s="672"/>
      <c r="G200" s="673"/>
      <c r="H200" s="673"/>
      <c r="I200" s="673"/>
      <c r="J200" s="673"/>
      <c r="K200" s="674"/>
      <c r="L200" s="674"/>
      <c r="M200" s="674"/>
      <c r="N200" s="674"/>
      <c r="O200" s="674"/>
      <c r="P200" s="676"/>
      <c r="Q200" s="674"/>
      <c r="R200" s="674"/>
      <c r="S200" s="682"/>
      <c r="T200" s="683"/>
      <c r="U200" s="682"/>
      <c r="V200" s="682"/>
      <c r="W200" s="683"/>
      <c r="X200" s="677"/>
      <c r="Y200" s="674"/>
      <c r="Z200" s="678"/>
    </row>
    <row r="201" spans="1:26" ht="17.25" thickBot="1">
      <c r="A201" s="670">
        <v>196</v>
      </c>
      <c r="B201" s="3324"/>
      <c r="C201" s="3288"/>
      <c r="D201" s="787" t="s">
        <v>3105</v>
      </c>
      <c r="E201" s="689"/>
      <c r="F201" s="689"/>
      <c r="G201" s="689"/>
      <c r="H201" s="689"/>
      <c r="I201" s="689"/>
      <c r="J201" s="689"/>
      <c r="K201" s="689"/>
      <c r="L201" s="689"/>
      <c r="M201" s="689"/>
      <c r="N201" s="688">
        <f>SUM(N195:N200)</f>
        <v>0</v>
      </c>
      <c r="O201" s="688">
        <f>SUM(O195:O200)</f>
        <v>0</v>
      </c>
      <c r="P201" s="688">
        <f>SUM(P195:P200)</f>
        <v>0</v>
      </c>
      <c r="Q201" s="689"/>
      <c r="R201" s="688">
        <f>SUM(R195:R200)</f>
        <v>0</v>
      </c>
      <c r="S201" s="689"/>
      <c r="T201" s="714"/>
      <c r="U201" s="689"/>
      <c r="V201" s="689"/>
      <c r="W201" s="714"/>
      <c r="X201" s="712"/>
      <c r="Y201" s="689"/>
      <c r="Z201" s="849"/>
    </row>
    <row r="202" spans="1:26" ht="16.5" customHeight="1">
      <c r="A202" s="670">
        <v>197</v>
      </c>
      <c r="B202" s="3324"/>
      <c r="C202" s="3326" t="s">
        <v>3110</v>
      </c>
      <c r="D202" s="3310" t="s">
        <v>3120</v>
      </c>
      <c r="E202" s="663"/>
      <c r="F202" s="663"/>
      <c r="G202" s="664"/>
      <c r="H202" s="664"/>
      <c r="I202" s="664"/>
      <c r="J202" s="664"/>
      <c r="K202" s="665"/>
      <c r="L202" s="665"/>
      <c r="M202" s="665"/>
      <c r="N202" s="665"/>
      <c r="O202" s="665"/>
      <c r="P202" s="667"/>
      <c r="Q202" s="665"/>
      <c r="R202" s="665"/>
      <c r="S202" s="715"/>
      <c r="T202" s="710"/>
      <c r="U202" s="715"/>
      <c r="V202" s="715"/>
      <c r="W202" s="710"/>
      <c r="X202" s="668"/>
      <c r="Y202" s="665"/>
      <c r="Z202" s="669"/>
    </row>
    <row r="203" spans="1:26" ht="16.5">
      <c r="A203" s="670">
        <v>198</v>
      </c>
      <c r="B203" s="3324"/>
      <c r="C203" s="3327"/>
      <c r="D203" s="3329"/>
      <c r="E203" s="672"/>
      <c r="F203" s="672"/>
      <c r="G203" s="673"/>
      <c r="H203" s="673"/>
      <c r="I203" s="673"/>
      <c r="J203" s="673"/>
      <c r="K203" s="674"/>
      <c r="L203" s="674"/>
      <c r="M203" s="674"/>
      <c r="N203" s="674"/>
      <c r="O203" s="674"/>
      <c r="P203" s="676"/>
      <c r="Q203" s="676"/>
      <c r="R203" s="674"/>
      <c r="S203" s="682"/>
      <c r="T203" s="716"/>
      <c r="U203" s="682"/>
      <c r="V203" s="682"/>
      <c r="W203" s="716"/>
      <c r="X203" s="677"/>
      <c r="Y203" s="674"/>
      <c r="Z203" s="678"/>
    </row>
    <row r="204" spans="1:26" ht="16.5">
      <c r="A204" s="670">
        <v>199</v>
      </c>
      <c r="B204" s="3324"/>
      <c r="C204" s="3327"/>
      <c r="D204" s="3329"/>
      <c r="E204" s="672"/>
      <c r="F204" s="672"/>
      <c r="G204" s="673"/>
      <c r="H204" s="673"/>
      <c r="I204" s="673"/>
      <c r="J204" s="673"/>
      <c r="K204" s="674"/>
      <c r="L204" s="674"/>
      <c r="M204" s="674"/>
      <c r="N204" s="674"/>
      <c r="O204" s="674"/>
      <c r="P204" s="676"/>
      <c r="Q204" s="676"/>
      <c r="R204" s="674"/>
      <c r="S204" s="682"/>
      <c r="T204" s="716"/>
      <c r="U204" s="682"/>
      <c r="V204" s="682"/>
      <c r="W204" s="716"/>
      <c r="X204" s="677"/>
      <c r="Y204" s="674"/>
      <c r="Z204" s="678"/>
    </row>
    <row r="205" spans="1:26" ht="16.5">
      <c r="A205" s="670">
        <v>200</v>
      </c>
      <c r="B205" s="3324"/>
      <c r="C205" s="3327"/>
      <c r="D205" s="3329"/>
      <c r="E205" s="672"/>
      <c r="F205" s="672"/>
      <c r="G205" s="673"/>
      <c r="H205" s="673"/>
      <c r="I205" s="673"/>
      <c r="J205" s="673"/>
      <c r="K205" s="674"/>
      <c r="L205" s="674"/>
      <c r="M205" s="674"/>
      <c r="N205" s="674"/>
      <c r="O205" s="674"/>
      <c r="P205" s="676"/>
      <c r="Q205" s="676"/>
      <c r="R205" s="674"/>
      <c r="S205" s="682"/>
      <c r="T205" s="716"/>
      <c r="U205" s="682"/>
      <c r="V205" s="682"/>
      <c r="W205" s="716"/>
      <c r="X205" s="677"/>
      <c r="Y205" s="674"/>
      <c r="Z205" s="678"/>
    </row>
    <row r="206" spans="1:26" ht="16.5">
      <c r="A206" s="670">
        <v>201</v>
      </c>
      <c r="B206" s="3324"/>
      <c r="C206" s="3327"/>
      <c r="D206" s="3329"/>
      <c r="E206" s="672"/>
      <c r="F206" s="672"/>
      <c r="G206" s="673"/>
      <c r="H206" s="673"/>
      <c r="I206" s="673"/>
      <c r="J206" s="673"/>
      <c r="K206" s="674"/>
      <c r="L206" s="674"/>
      <c r="M206" s="674"/>
      <c r="N206" s="674"/>
      <c r="O206" s="674"/>
      <c r="P206" s="676"/>
      <c r="Q206" s="676"/>
      <c r="R206" s="674"/>
      <c r="S206" s="682"/>
      <c r="T206" s="716"/>
      <c r="U206" s="682"/>
      <c r="V206" s="682"/>
      <c r="W206" s="716"/>
      <c r="X206" s="677"/>
      <c r="Y206" s="674"/>
      <c r="Z206" s="678"/>
    </row>
    <row r="207" spans="1:26" ht="16.5">
      <c r="A207" s="670">
        <v>202</v>
      </c>
      <c r="B207" s="3324"/>
      <c r="C207" s="3327"/>
      <c r="D207" s="3329"/>
      <c r="E207" s="672"/>
      <c r="F207" s="672"/>
      <c r="G207" s="673"/>
      <c r="H207" s="673"/>
      <c r="I207" s="673"/>
      <c r="J207" s="673"/>
      <c r="K207" s="674"/>
      <c r="L207" s="674"/>
      <c r="M207" s="674"/>
      <c r="N207" s="674"/>
      <c r="O207" s="674"/>
      <c r="P207" s="676"/>
      <c r="Q207" s="676"/>
      <c r="R207" s="674"/>
      <c r="S207" s="682"/>
      <c r="T207" s="716"/>
      <c r="U207" s="682"/>
      <c r="V207" s="682"/>
      <c r="W207" s="716"/>
      <c r="X207" s="677"/>
      <c r="Y207" s="674"/>
      <c r="Z207" s="678"/>
    </row>
    <row r="208" spans="1:26" ht="16.5">
      <c r="A208" s="670">
        <v>203</v>
      </c>
      <c r="B208" s="3324"/>
      <c r="C208" s="3327"/>
      <c r="D208" s="717" t="s">
        <v>3121</v>
      </c>
      <c r="E208" s="682"/>
      <c r="F208" s="682"/>
      <c r="G208" s="682"/>
      <c r="H208" s="682"/>
      <c r="I208" s="682"/>
      <c r="J208" s="682"/>
      <c r="K208" s="682"/>
      <c r="L208" s="682"/>
      <c r="M208" s="682"/>
      <c r="N208" s="674">
        <f>SUM(N202:N207)</f>
        <v>0</v>
      </c>
      <c r="O208" s="674">
        <f>SUM(O202:O207)</f>
        <v>0</v>
      </c>
      <c r="P208" s="674">
        <f>SUM(P202:P207)</f>
        <v>0</v>
      </c>
      <c r="Q208" s="682"/>
      <c r="R208" s="674">
        <f>SUM(R202:R207)</f>
        <v>0</v>
      </c>
      <c r="S208" s="682"/>
      <c r="T208" s="716"/>
      <c r="U208" s="682"/>
      <c r="V208" s="682"/>
      <c r="W208" s="716"/>
      <c r="X208" s="684"/>
      <c r="Y208" s="682"/>
      <c r="Z208" s="848"/>
    </row>
    <row r="209" spans="1:26" ht="17.649999999999999" customHeight="1">
      <c r="A209" s="670">
        <v>204</v>
      </c>
      <c r="B209" s="3324"/>
      <c r="C209" s="3327"/>
      <c r="D209" s="3300" t="s">
        <v>3118</v>
      </c>
      <c r="E209" s="672"/>
      <c r="F209" s="672"/>
      <c r="G209" s="673"/>
      <c r="H209" s="673"/>
      <c r="I209" s="673"/>
      <c r="J209" s="673"/>
      <c r="K209" s="674"/>
      <c r="L209" s="674"/>
      <c r="M209" s="674"/>
      <c r="N209" s="674"/>
      <c r="O209" s="674"/>
      <c r="P209" s="676"/>
      <c r="Q209" s="676"/>
      <c r="R209" s="674"/>
      <c r="S209" s="682"/>
      <c r="T209" s="716"/>
      <c r="U209" s="682"/>
      <c r="V209" s="682"/>
      <c r="W209" s="716"/>
      <c r="X209" s="677"/>
      <c r="Y209" s="674"/>
      <c r="Z209" s="678"/>
    </row>
    <row r="210" spans="1:26" ht="16.5">
      <c r="A210" s="670">
        <v>205</v>
      </c>
      <c r="B210" s="3324"/>
      <c r="C210" s="3327"/>
      <c r="D210" s="3300"/>
      <c r="E210" s="672"/>
      <c r="F210" s="672"/>
      <c r="G210" s="673"/>
      <c r="H210" s="673"/>
      <c r="I210" s="673"/>
      <c r="J210" s="673"/>
      <c r="K210" s="674"/>
      <c r="L210" s="674"/>
      <c r="M210" s="674"/>
      <c r="N210" s="674"/>
      <c r="O210" s="674"/>
      <c r="P210" s="676"/>
      <c r="Q210" s="676"/>
      <c r="R210" s="674"/>
      <c r="S210" s="682"/>
      <c r="T210" s="716"/>
      <c r="U210" s="682"/>
      <c r="V210" s="682"/>
      <c r="W210" s="716"/>
      <c r="X210" s="677"/>
      <c r="Y210" s="674"/>
      <c r="Z210" s="678"/>
    </row>
    <row r="211" spans="1:26" ht="16.5">
      <c r="A211" s="670">
        <v>206</v>
      </c>
      <c r="B211" s="3324"/>
      <c r="C211" s="3327"/>
      <c r="D211" s="3300"/>
      <c r="E211" s="672"/>
      <c r="F211" s="672"/>
      <c r="G211" s="673"/>
      <c r="H211" s="673"/>
      <c r="I211" s="673"/>
      <c r="J211" s="673"/>
      <c r="K211" s="674"/>
      <c r="L211" s="674"/>
      <c r="M211" s="674"/>
      <c r="N211" s="674"/>
      <c r="O211" s="674"/>
      <c r="P211" s="676"/>
      <c r="Q211" s="676"/>
      <c r="R211" s="674"/>
      <c r="S211" s="682"/>
      <c r="T211" s="716"/>
      <c r="U211" s="682"/>
      <c r="V211" s="682"/>
      <c r="W211" s="716"/>
      <c r="X211" s="677"/>
      <c r="Y211" s="674"/>
      <c r="Z211" s="678"/>
    </row>
    <row r="212" spans="1:26" ht="16.5">
      <c r="A212" s="670">
        <v>207</v>
      </c>
      <c r="B212" s="3324"/>
      <c r="C212" s="3327"/>
      <c r="D212" s="3300"/>
      <c r="E212" s="672"/>
      <c r="F212" s="672"/>
      <c r="G212" s="673"/>
      <c r="H212" s="673"/>
      <c r="I212" s="673"/>
      <c r="J212" s="673"/>
      <c r="K212" s="674"/>
      <c r="L212" s="674"/>
      <c r="M212" s="674"/>
      <c r="N212" s="674"/>
      <c r="O212" s="674"/>
      <c r="P212" s="676"/>
      <c r="Q212" s="676"/>
      <c r="R212" s="674"/>
      <c r="S212" s="682"/>
      <c r="T212" s="716"/>
      <c r="U212" s="682"/>
      <c r="V212" s="682"/>
      <c r="W212" s="716"/>
      <c r="X212" s="677"/>
      <c r="Y212" s="674"/>
      <c r="Z212" s="678"/>
    </row>
    <row r="213" spans="1:26" ht="16.5">
      <c r="A213" s="670">
        <v>208</v>
      </c>
      <c r="B213" s="3324"/>
      <c r="C213" s="3327"/>
      <c r="D213" s="3300"/>
      <c r="E213" s="672"/>
      <c r="F213" s="672"/>
      <c r="G213" s="673"/>
      <c r="H213" s="673"/>
      <c r="I213" s="673"/>
      <c r="J213" s="673"/>
      <c r="K213" s="674"/>
      <c r="L213" s="674"/>
      <c r="M213" s="674"/>
      <c r="N213" s="674"/>
      <c r="O213" s="674"/>
      <c r="P213" s="676"/>
      <c r="Q213" s="676"/>
      <c r="R213" s="674"/>
      <c r="S213" s="682"/>
      <c r="T213" s="716"/>
      <c r="U213" s="682"/>
      <c r="V213" s="682"/>
      <c r="W213" s="716"/>
      <c r="X213" s="677"/>
      <c r="Y213" s="674"/>
      <c r="Z213" s="678"/>
    </row>
    <row r="214" spans="1:26" ht="16.5">
      <c r="A214" s="670">
        <v>209</v>
      </c>
      <c r="B214" s="3324"/>
      <c r="C214" s="3327"/>
      <c r="D214" s="3300"/>
      <c r="E214" s="672"/>
      <c r="F214" s="672"/>
      <c r="G214" s="673"/>
      <c r="H214" s="673"/>
      <c r="I214" s="673"/>
      <c r="J214" s="673"/>
      <c r="K214" s="674"/>
      <c r="L214" s="674"/>
      <c r="M214" s="674"/>
      <c r="N214" s="674"/>
      <c r="O214" s="674"/>
      <c r="P214" s="676"/>
      <c r="Q214" s="676"/>
      <c r="R214" s="674"/>
      <c r="S214" s="682"/>
      <c r="T214" s="716"/>
      <c r="U214" s="682"/>
      <c r="V214" s="682"/>
      <c r="W214" s="716"/>
      <c r="X214" s="677"/>
      <c r="Y214" s="674"/>
      <c r="Z214" s="678"/>
    </row>
    <row r="215" spans="1:26" ht="16.5">
      <c r="A215" s="670">
        <v>210</v>
      </c>
      <c r="B215" s="3324"/>
      <c r="C215" s="3327"/>
      <c r="D215" s="711" t="s">
        <v>3105</v>
      </c>
      <c r="E215" s="682"/>
      <c r="F215" s="682"/>
      <c r="G215" s="682"/>
      <c r="H215" s="682"/>
      <c r="I215" s="682"/>
      <c r="J215" s="682"/>
      <c r="K215" s="682"/>
      <c r="L215" s="682"/>
      <c r="M215" s="682"/>
      <c r="N215" s="674">
        <f>SUM(N209:N214)</f>
        <v>0</v>
      </c>
      <c r="O215" s="674">
        <f>SUM(O209:O214)</f>
        <v>0</v>
      </c>
      <c r="P215" s="674">
        <f>SUM(P209:P214)</f>
        <v>0</v>
      </c>
      <c r="Q215" s="682"/>
      <c r="R215" s="674">
        <f>SUM(R209:R214)</f>
        <v>0</v>
      </c>
      <c r="S215" s="682"/>
      <c r="T215" s="716"/>
      <c r="U215" s="682"/>
      <c r="V215" s="682"/>
      <c r="W215" s="716"/>
      <c r="X215" s="684"/>
      <c r="Y215" s="682"/>
      <c r="Z215" s="848"/>
    </row>
    <row r="216" spans="1:26" ht="16.5" customHeight="1">
      <c r="A216" s="670">
        <v>211</v>
      </c>
      <c r="B216" s="3324"/>
      <c r="C216" s="3327"/>
      <c r="D216" s="3300" t="s">
        <v>3119</v>
      </c>
      <c r="E216" s="672"/>
      <c r="F216" s="672"/>
      <c r="G216" s="673"/>
      <c r="H216" s="673"/>
      <c r="I216" s="673"/>
      <c r="J216" s="673"/>
      <c r="K216" s="674"/>
      <c r="L216" s="674"/>
      <c r="M216" s="674"/>
      <c r="N216" s="674"/>
      <c r="O216" s="674"/>
      <c r="P216" s="676"/>
      <c r="Q216" s="676"/>
      <c r="R216" s="674"/>
      <c r="S216" s="682"/>
      <c r="T216" s="716"/>
      <c r="U216" s="682"/>
      <c r="V216" s="682"/>
      <c r="W216" s="716"/>
      <c r="X216" s="677"/>
      <c r="Y216" s="674"/>
      <c r="Z216" s="678"/>
    </row>
    <row r="217" spans="1:26" ht="15.75" customHeight="1">
      <c r="A217" s="670">
        <v>212</v>
      </c>
      <c r="B217" s="3324"/>
      <c r="C217" s="3327"/>
      <c r="D217" s="3300"/>
      <c r="E217" s="672"/>
      <c r="F217" s="672"/>
      <c r="G217" s="673"/>
      <c r="H217" s="673"/>
      <c r="I217" s="673"/>
      <c r="J217" s="673"/>
      <c r="K217" s="674"/>
      <c r="L217" s="674"/>
      <c r="M217" s="674"/>
      <c r="N217" s="674"/>
      <c r="O217" s="674"/>
      <c r="P217" s="676"/>
      <c r="Q217" s="674"/>
      <c r="R217" s="674"/>
      <c r="S217" s="682"/>
      <c r="T217" s="683"/>
      <c r="U217" s="682"/>
      <c r="V217" s="682"/>
      <c r="W217" s="683"/>
      <c r="X217" s="677"/>
      <c r="Y217" s="674"/>
      <c r="Z217" s="678"/>
    </row>
    <row r="218" spans="1:26" ht="15.75" customHeight="1">
      <c r="A218" s="670">
        <v>213</v>
      </c>
      <c r="B218" s="3324"/>
      <c r="C218" s="3327"/>
      <c r="D218" s="3300"/>
      <c r="E218" s="672"/>
      <c r="F218" s="672"/>
      <c r="G218" s="673"/>
      <c r="H218" s="673"/>
      <c r="I218" s="673"/>
      <c r="J218" s="673"/>
      <c r="K218" s="674"/>
      <c r="L218" s="674"/>
      <c r="M218" s="674"/>
      <c r="N218" s="674"/>
      <c r="O218" s="674"/>
      <c r="P218" s="676"/>
      <c r="Q218" s="674"/>
      <c r="R218" s="674"/>
      <c r="S218" s="682"/>
      <c r="T218" s="683"/>
      <c r="U218" s="682"/>
      <c r="V218" s="682"/>
      <c r="W218" s="683"/>
      <c r="X218" s="677"/>
      <c r="Y218" s="674"/>
      <c r="Z218" s="678"/>
    </row>
    <row r="219" spans="1:26" ht="16.5" customHeight="1">
      <c r="A219" s="670">
        <v>214</v>
      </c>
      <c r="B219" s="3324"/>
      <c r="C219" s="3327"/>
      <c r="D219" s="3300"/>
      <c r="E219" s="672"/>
      <c r="F219" s="672"/>
      <c r="G219" s="673"/>
      <c r="H219" s="673"/>
      <c r="I219" s="673"/>
      <c r="J219" s="673"/>
      <c r="K219" s="674"/>
      <c r="L219" s="674"/>
      <c r="M219" s="674"/>
      <c r="N219" s="674"/>
      <c r="O219" s="674"/>
      <c r="P219" s="676"/>
      <c r="Q219" s="674"/>
      <c r="R219" s="674"/>
      <c r="S219" s="682"/>
      <c r="T219" s="683"/>
      <c r="U219" s="682"/>
      <c r="V219" s="682"/>
      <c r="W219" s="683"/>
      <c r="X219" s="677"/>
      <c r="Y219" s="674"/>
      <c r="Z219" s="678"/>
    </row>
    <row r="220" spans="1:26" ht="16.5">
      <c r="A220" s="670">
        <v>215</v>
      </c>
      <c r="B220" s="3324"/>
      <c r="C220" s="3327"/>
      <c r="D220" s="3300"/>
      <c r="E220" s="672"/>
      <c r="F220" s="672"/>
      <c r="G220" s="673"/>
      <c r="H220" s="673"/>
      <c r="I220" s="673"/>
      <c r="J220" s="673"/>
      <c r="K220" s="674"/>
      <c r="L220" s="674"/>
      <c r="M220" s="674"/>
      <c r="N220" s="674"/>
      <c r="O220" s="674"/>
      <c r="P220" s="676"/>
      <c r="Q220" s="674"/>
      <c r="R220" s="674"/>
      <c r="S220" s="682"/>
      <c r="T220" s="683"/>
      <c r="U220" s="682"/>
      <c r="V220" s="682"/>
      <c r="W220" s="683"/>
      <c r="X220" s="677"/>
      <c r="Y220" s="674"/>
      <c r="Z220" s="678"/>
    </row>
    <row r="221" spans="1:26" ht="16.5">
      <c r="A221" s="670">
        <v>216</v>
      </c>
      <c r="B221" s="3324"/>
      <c r="C221" s="3327"/>
      <c r="D221" s="3300"/>
      <c r="E221" s="672"/>
      <c r="F221" s="672"/>
      <c r="G221" s="673"/>
      <c r="H221" s="673"/>
      <c r="I221" s="673"/>
      <c r="J221" s="673"/>
      <c r="K221" s="674"/>
      <c r="L221" s="674"/>
      <c r="M221" s="674"/>
      <c r="N221" s="674"/>
      <c r="O221" s="674"/>
      <c r="P221" s="676"/>
      <c r="Q221" s="674"/>
      <c r="R221" s="674"/>
      <c r="S221" s="682"/>
      <c r="T221" s="683"/>
      <c r="U221" s="682"/>
      <c r="V221" s="682"/>
      <c r="W221" s="683"/>
      <c r="X221" s="677"/>
      <c r="Y221" s="674"/>
      <c r="Z221" s="678"/>
    </row>
    <row r="222" spans="1:26" ht="17.25" thickBot="1">
      <c r="A222" s="670">
        <v>217</v>
      </c>
      <c r="B222" s="3324"/>
      <c r="C222" s="3328"/>
      <c r="D222" s="787" t="s">
        <v>3105</v>
      </c>
      <c r="E222" s="689"/>
      <c r="F222" s="689"/>
      <c r="G222" s="689"/>
      <c r="H222" s="689"/>
      <c r="I222" s="689"/>
      <c r="J222" s="689"/>
      <c r="K222" s="689"/>
      <c r="L222" s="689"/>
      <c r="M222" s="689"/>
      <c r="N222" s="688">
        <f>SUM(N216:N221)</f>
        <v>0</v>
      </c>
      <c r="O222" s="688">
        <f>SUM(O216:O221)</f>
        <v>0</v>
      </c>
      <c r="P222" s="688">
        <f>SUM(P216:P221)</f>
        <v>0</v>
      </c>
      <c r="Q222" s="689"/>
      <c r="R222" s="688">
        <f>SUM(R216:R221)</f>
        <v>0</v>
      </c>
      <c r="S222" s="689"/>
      <c r="T222" s="714"/>
      <c r="U222" s="689"/>
      <c r="V222" s="689"/>
      <c r="W222" s="714"/>
      <c r="X222" s="712"/>
      <c r="Y222" s="689"/>
      <c r="Z222" s="849"/>
    </row>
    <row r="223" spans="1:26" ht="16.5" customHeight="1">
      <c r="A223" s="670">
        <v>218</v>
      </c>
      <c r="B223" s="3324"/>
      <c r="C223" s="3286" t="s">
        <v>3113</v>
      </c>
      <c r="D223" s="3298" t="s">
        <v>3122</v>
      </c>
      <c r="E223" s="663"/>
      <c r="F223" s="663"/>
      <c r="G223" s="664"/>
      <c r="H223" s="664"/>
      <c r="I223" s="664"/>
      <c r="J223" s="664"/>
      <c r="K223" s="665"/>
      <c r="L223" s="665"/>
      <c r="M223" s="665"/>
      <c r="N223" s="665"/>
      <c r="O223" s="665"/>
      <c r="P223" s="667"/>
      <c r="Q223" s="665"/>
      <c r="R223" s="665"/>
      <c r="S223" s="709"/>
      <c r="T223" s="710"/>
      <c r="U223" s="709"/>
      <c r="V223" s="709"/>
      <c r="W223" s="710"/>
      <c r="X223" s="668"/>
      <c r="Y223" s="665"/>
      <c r="Z223" s="669"/>
    </row>
    <row r="224" spans="1:26" ht="16.5">
      <c r="A224" s="670">
        <v>219</v>
      </c>
      <c r="B224" s="3324"/>
      <c r="C224" s="3320"/>
      <c r="D224" s="3309"/>
      <c r="E224" s="672"/>
      <c r="F224" s="672"/>
      <c r="G224" s="673"/>
      <c r="H224" s="673"/>
      <c r="I224" s="673"/>
      <c r="J224" s="673"/>
      <c r="K224" s="674"/>
      <c r="L224" s="674"/>
      <c r="M224" s="674"/>
      <c r="N224" s="674"/>
      <c r="O224" s="674"/>
      <c r="P224" s="676"/>
      <c r="Q224" s="674"/>
      <c r="R224" s="674"/>
      <c r="S224" s="716"/>
      <c r="T224" s="683"/>
      <c r="U224" s="716"/>
      <c r="V224" s="716"/>
      <c r="W224" s="683"/>
      <c r="X224" s="677"/>
      <c r="Y224" s="674"/>
      <c r="Z224" s="678"/>
    </row>
    <row r="225" spans="1:26" ht="16.5">
      <c r="A225" s="670">
        <v>220</v>
      </c>
      <c r="B225" s="3324"/>
      <c r="C225" s="3320"/>
      <c r="D225" s="3309"/>
      <c r="E225" s="672"/>
      <c r="F225" s="672"/>
      <c r="G225" s="673"/>
      <c r="H225" s="673"/>
      <c r="I225" s="673"/>
      <c r="J225" s="673"/>
      <c r="K225" s="674"/>
      <c r="L225" s="674"/>
      <c r="M225" s="674"/>
      <c r="N225" s="674"/>
      <c r="O225" s="674"/>
      <c r="P225" s="676"/>
      <c r="Q225" s="674"/>
      <c r="R225" s="674"/>
      <c r="S225" s="716"/>
      <c r="T225" s="683"/>
      <c r="U225" s="716"/>
      <c r="V225" s="716"/>
      <c r="W225" s="683"/>
      <c r="X225" s="677"/>
      <c r="Y225" s="674"/>
      <c r="Z225" s="678"/>
    </row>
    <row r="226" spans="1:26" ht="16.5">
      <c r="A226" s="670">
        <v>221</v>
      </c>
      <c r="B226" s="3324"/>
      <c r="C226" s="3320"/>
      <c r="D226" s="3309"/>
      <c r="E226" s="672"/>
      <c r="F226" s="672"/>
      <c r="G226" s="673"/>
      <c r="H226" s="673"/>
      <c r="I226" s="673"/>
      <c r="J226" s="673"/>
      <c r="K226" s="674"/>
      <c r="L226" s="674"/>
      <c r="M226" s="674"/>
      <c r="N226" s="674"/>
      <c r="O226" s="674"/>
      <c r="P226" s="676"/>
      <c r="Q226" s="674"/>
      <c r="R226" s="674"/>
      <c r="S226" s="716"/>
      <c r="T226" s="683"/>
      <c r="U226" s="716"/>
      <c r="V226" s="716"/>
      <c r="W226" s="683"/>
      <c r="X226" s="677"/>
      <c r="Y226" s="674"/>
      <c r="Z226" s="678"/>
    </row>
    <row r="227" spans="1:26" ht="16.5">
      <c r="A227" s="670">
        <v>222</v>
      </c>
      <c r="B227" s="3324"/>
      <c r="C227" s="3320"/>
      <c r="D227" s="3309"/>
      <c r="E227" s="672"/>
      <c r="F227" s="672"/>
      <c r="G227" s="673"/>
      <c r="H227" s="673"/>
      <c r="I227" s="673"/>
      <c r="J227" s="673"/>
      <c r="K227" s="674"/>
      <c r="L227" s="674"/>
      <c r="M227" s="674"/>
      <c r="N227" s="674"/>
      <c r="O227" s="674"/>
      <c r="P227" s="676"/>
      <c r="Q227" s="674"/>
      <c r="R227" s="674"/>
      <c r="S227" s="716"/>
      <c r="T227" s="683"/>
      <c r="U227" s="716"/>
      <c r="V227" s="716"/>
      <c r="W227" s="683"/>
      <c r="X227" s="677"/>
      <c r="Y227" s="674"/>
      <c r="Z227" s="678"/>
    </row>
    <row r="228" spans="1:26" ht="16.5">
      <c r="A228" s="670">
        <v>223</v>
      </c>
      <c r="B228" s="3324"/>
      <c r="C228" s="3320"/>
      <c r="D228" s="3309"/>
      <c r="E228" s="672"/>
      <c r="F228" s="672"/>
      <c r="G228" s="673"/>
      <c r="H228" s="673"/>
      <c r="I228" s="673"/>
      <c r="J228" s="673"/>
      <c r="K228" s="674"/>
      <c r="L228" s="674"/>
      <c r="M228" s="674"/>
      <c r="N228" s="674"/>
      <c r="O228" s="674"/>
      <c r="P228" s="676"/>
      <c r="Q228" s="674"/>
      <c r="R228" s="674"/>
      <c r="S228" s="716"/>
      <c r="T228" s="683"/>
      <c r="U228" s="716"/>
      <c r="V228" s="716"/>
      <c r="W228" s="683"/>
      <c r="X228" s="677"/>
      <c r="Y228" s="674"/>
      <c r="Z228" s="678"/>
    </row>
    <row r="229" spans="1:26" ht="16.5">
      <c r="A229" s="670">
        <v>224</v>
      </c>
      <c r="B229" s="3324"/>
      <c r="C229" s="3320"/>
      <c r="D229" s="659" t="s">
        <v>3121</v>
      </c>
      <c r="E229" s="682"/>
      <c r="F229" s="682"/>
      <c r="G229" s="682"/>
      <c r="H229" s="682"/>
      <c r="I229" s="682"/>
      <c r="J229" s="682"/>
      <c r="K229" s="682"/>
      <c r="L229" s="682"/>
      <c r="M229" s="682"/>
      <c r="N229" s="674">
        <f>SUM(N223:N228)</f>
        <v>0</v>
      </c>
      <c r="O229" s="674">
        <f>SUM(O223:O228)</f>
        <v>0</v>
      </c>
      <c r="P229" s="674">
        <f>SUM(P223:P228)</f>
        <v>0</v>
      </c>
      <c r="Q229" s="682"/>
      <c r="R229" s="674">
        <f>SUM(R223:R228)</f>
        <v>0</v>
      </c>
      <c r="S229" s="716"/>
      <c r="T229" s="683"/>
      <c r="U229" s="716"/>
      <c r="V229" s="716"/>
      <c r="W229" s="683"/>
      <c r="X229" s="684"/>
      <c r="Y229" s="682"/>
      <c r="Z229" s="848"/>
    </row>
    <row r="230" spans="1:26" ht="16.5" customHeight="1">
      <c r="A230" s="670">
        <v>225</v>
      </c>
      <c r="B230" s="3324"/>
      <c r="C230" s="3320"/>
      <c r="D230" s="3300" t="s">
        <v>3118</v>
      </c>
      <c r="E230" s="672"/>
      <c r="F230" s="672"/>
      <c r="G230" s="673"/>
      <c r="H230" s="673"/>
      <c r="I230" s="673"/>
      <c r="J230" s="673"/>
      <c r="K230" s="674"/>
      <c r="L230" s="674"/>
      <c r="M230" s="674"/>
      <c r="N230" s="674"/>
      <c r="O230" s="674"/>
      <c r="P230" s="676"/>
      <c r="Q230" s="674"/>
      <c r="R230" s="674"/>
      <c r="S230" s="716"/>
      <c r="T230" s="683"/>
      <c r="U230" s="716"/>
      <c r="V230" s="716"/>
      <c r="W230" s="683"/>
      <c r="X230" s="677"/>
      <c r="Y230" s="674"/>
      <c r="Z230" s="678"/>
    </row>
    <row r="231" spans="1:26" ht="16.5">
      <c r="A231" s="670">
        <v>226</v>
      </c>
      <c r="B231" s="3324"/>
      <c r="C231" s="3320"/>
      <c r="D231" s="3300"/>
      <c r="E231" s="672"/>
      <c r="F231" s="672"/>
      <c r="G231" s="673"/>
      <c r="H231" s="673"/>
      <c r="I231" s="673"/>
      <c r="J231" s="673"/>
      <c r="K231" s="674"/>
      <c r="L231" s="674"/>
      <c r="M231" s="674"/>
      <c r="N231" s="674"/>
      <c r="O231" s="674"/>
      <c r="P231" s="676"/>
      <c r="Q231" s="674"/>
      <c r="R231" s="674"/>
      <c r="S231" s="716"/>
      <c r="T231" s="683"/>
      <c r="U231" s="716"/>
      <c r="V231" s="716"/>
      <c r="W231" s="683"/>
      <c r="X231" s="677"/>
      <c r="Y231" s="674"/>
      <c r="Z231" s="678"/>
    </row>
    <row r="232" spans="1:26" ht="16.5">
      <c r="A232" s="670">
        <v>227</v>
      </c>
      <c r="B232" s="3324"/>
      <c r="C232" s="3320"/>
      <c r="D232" s="3300"/>
      <c r="E232" s="672"/>
      <c r="F232" s="672"/>
      <c r="G232" s="673"/>
      <c r="H232" s="673"/>
      <c r="I232" s="673"/>
      <c r="J232" s="673"/>
      <c r="K232" s="674"/>
      <c r="L232" s="674"/>
      <c r="M232" s="674"/>
      <c r="N232" s="674"/>
      <c r="O232" s="674"/>
      <c r="P232" s="676"/>
      <c r="Q232" s="674"/>
      <c r="R232" s="674"/>
      <c r="S232" s="716"/>
      <c r="T232" s="683"/>
      <c r="U232" s="716"/>
      <c r="V232" s="716"/>
      <c r="W232" s="683"/>
      <c r="X232" s="677"/>
      <c r="Y232" s="674"/>
      <c r="Z232" s="678"/>
    </row>
    <row r="233" spans="1:26" ht="16.5">
      <c r="A233" s="670">
        <v>228</v>
      </c>
      <c r="B233" s="3324"/>
      <c r="C233" s="3320"/>
      <c r="D233" s="3300"/>
      <c r="E233" s="672"/>
      <c r="F233" s="672"/>
      <c r="G233" s="673"/>
      <c r="H233" s="673"/>
      <c r="I233" s="673"/>
      <c r="J233" s="673"/>
      <c r="K233" s="674"/>
      <c r="L233" s="674"/>
      <c r="M233" s="674"/>
      <c r="N233" s="674"/>
      <c r="O233" s="674"/>
      <c r="P233" s="676"/>
      <c r="Q233" s="674"/>
      <c r="R233" s="674"/>
      <c r="S233" s="716"/>
      <c r="T233" s="683"/>
      <c r="U233" s="716"/>
      <c r="V233" s="716"/>
      <c r="W233" s="683"/>
      <c r="X233" s="677"/>
      <c r="Y233" s="674"/>
      <c r="Z233" s="678"/>
    </row>
    <row r="234" spans="1:26" ht="16.5">
      <c r="A234" s="670">
        <v>229</v>
      </c>
      <c r="B234" s="3324"/>
      <c r="C234" s="3320"/>
      <c r="D234" s="3300"/>
      <c r="E234" s="672"/>
      <c r="F234" s="672"/>
      <c r="G234" s="673"/>
      <c r="H234" s="673"/>
      <c r="I234" s="673"/>
      <c r="J234" s="673"/>
      <c r="K234" s="674"/>
      <c r="L234" s="674"/>
      <c r="M234" s="674"/>
      <c r="N234" s="674"/>
      <c r="O234" s="674"/>
      <c r="P234" s="676"/>
      <c r="Q234" s="674"/>
      <c r="R234" s="674"/>
      <c r="S234" s="716"/>
      <c r="T234" s="683"/>
      <c r="U234" s="716"/>
      <c r="V234" s="716"/>
      <c r="W234" s="683"/>
      <c r="X234" s="677"/>
      <c r="Y234" s="674"/>
      <c r="Z234" s="678"/>
    </row>
    <row r="235" spans="1:26" ht="16.5">
      <c r="A235" s="670">
        <v>230</v>
      </c>
      <c r="B235" s="3324"/>
      <c r="C235" s="3320"/>
      <c r="D235" s="3300"/>
      <c r="E235" s="672"/>
      <c r="F235" s="672"/>
      <c r="G235" s="673"/>
      <c r="H235" s="673"/>
      <c r="I235" s="673"/>
      <c r="J235" s="673"/>
      <c r="K235" s="674"/>
      <c r="L235" s="674"/>
      <c r="M235" s="674"/>
      <c r="N235" s="674"/>
      <c r="O235" s="674"/>
      <c r="P235" s="676"/>
      <c r="Q235" s="674"/>
      <c r="R235" s="674"/>
      <c r="S235" s="716"/>
      <c r="T235" s="683"/>
      <c r="U235" s="716"/>
      <c r="V235" s="716"/>
      <c r="W235" s="683"/>
      <c r="X235" s="677"/>
      <c r="Y235" s="674"/>
      <c r="Z235" s="678"/>
    </row>
    <row r="236" spans="1:26" ht="16.5">
      <c r="A236" s="670">
        <v>231</v>
      </c>
      <c r="B236" s="3324"/>
      <c r="C236" s="3320"/>
      <c r="D236" s="711" t="s">
        <v>3105</v>
      </c>
      <c r="E236" s="682"/>
      <c r="F236" s="682"/>
      <c r="G236" s="682"/>
      <c r="H236" s="682"/>
      <c r="I236" s="682"/>
      <c r="J236" s="682"/>
      <c r="K236" s="682"/>
      <c r="L236" s="682"/>
      <c r="M236" s="682"/>
      <c r="N236" s="674">
        <f>SUM(N230:N235)</f>
        <v>0</v>
      </c>
      <c r="O236" s="674">
        <f>SUM(O230:O235)</f>
        <v>0</v>
      </c>
      <c r="P236" s="674">
        <f>SUM(P230:P235)</f>
        <v>0</v>
      </c>
      <c r="Q236" s="682"/>
      <c r="R236" s="674">
        <f>SUM(R230:R235)</f>
        <v>0</v>
      </c>
      <c r="S236" s="716"/>
      <c r="T236" s="683"/>
      <c r="U236" s="716"/>
      <c r="V236" s="716"/>
      <c r="W236" s="683"/>
      <c r="X236" s="684"/>
      <c r="Y236" s="682"/>
      <c r="Z236" s="848"/>
    </row>
    <row r="237" spans="1:26" ht="16.5" customHeight="1">
      <c r="A237" s="670">
        <v>232</v>
      </c>
      <c r="B237" s="3324"/>
      <c r="C237" s="3320"/>
      <c r="D237" s="3300" t="s">
        <v>3119</v>
      </c>
      <c r="E237" s="672"/>
      <c r="F237" s="672"/>
      <c r="G237" s="673"/>
      <c r="H237" s="673"/>
      <c r="I237" s="673"/>
      <c r="J237" s="673"/>
      <c r="K237" s="674"/>
      <c r="L237" s="674"/>
      <c r="M237" s="674"/>
      <c r="N237" s="674"/>
      <c r="O237" s="674"/>
      <c r="P237" s="676"/>
      <c r="Q237" s="674"/>
      <c r="R237" s="674"/>
      <c r="S237" s="716"/>
      <c r="T237" s="683"/>
      <c r="U237" s="716"/>
      <c r="V237" s="716"/>
      <c r="W237" s="683"/>
      <c r="X237" s="677"/>
      <c r="Y237" s="674"/>
      <c r="Z237" s="678"/>
    </row>
    <row r="238" spans="1:26" ht="16.5">
      <c r="A238" s="670">
        <v>233</v>
      </c>
      <c r="B238" s="3324"/>
      <c r="C238" s="3320"/>
      <c r="D238" s="3300"/>
      <c r="E238" s="672"/>
      <c r="F238" s="672"/>
      <c r="G238" s="673"/>
      <c r="H238" s="673"/>
      <c r="I238" s="673"/>
      <c r="J238" s="673"/>
      <c r="K238" s="674"/>
      <c r="L238" s="674"/>
      <c r="M238" s="674"/>
      <c r="N238" s="674"/>
      <c r="O238" s="674"/>
      <c r="P238" s="676"/>
      <c r="Q238" s="674"/>
      <c r="R238" s="674"/>
      <c r="S238" s="716"/>
      <c r="T238" s="683"/>
      <c r="U238" s="716"/>
      <c r="V238" s="716"/>
      <c r="W238" s="683"/>
      <c r="X238" s="677"/>
      <c r="Y238" s="674"/>
      <c r="Z238" s="678"/>
    </row>
    <row r="239" spans="1:26" ht="16.5">
      <c r="A239" s="670">
        <v>234</v>
      </c>
      <c r="B239" s="3324"/>
      <c r="C239" s="3320"/>
      <c r="D239" s="3300"/>
      <c r="E239" s="672"/>
      <c r="F239" s="672"/>
      <c r="G239" s="673"/>
      <c r="H239" s="673"/>
      <c r="I239" s="673"/>
      <c r="J239" s="673"/>
      <c r="K239" s="674"/>
      <c r="L239" s="674"/>
      <c r="M239" s="674"/>
      <c r="N239" s="674"/>
      <c r="O239" s="674"/>
      <c r="P239" s="676"/>
      <c r="Q239" s="674"/>
      <c r="R239" s="674"/>
      <c r="S239" s="716"/>
      <c r="T239" s="683"/>
      <c r="U239" s="716"/>
      <c r="V239" s="716"/>
      <c r="W239" s="683"/>
      <c r="X239" s="677"/>
      <c r="Y239" s="674"/>
      <c r="Z239" s="678"/>
    </row>
    <row r="240" spans="1:26" ht="16.5">
      <c r="A240" s="670">
        <v>235</v>
      </c>
      <c r="B240" s="3324"/>
      <c r="C240" s="3320"/>
      <c r="D240" s="3300"/>
      <c r="E240" s="672"/>
      <c r="F240" s="672"/>
      <c r="G240" s="673"/>
      <c r="H240" s="673"/>
      <c r="I240" s="673"/>
      <c r="J240" s="673"/>
      <c r="K240" s="674"/>
      <c r="L240" s="674"/>
      <c r="M240" s="674"/>
      <c r="N240" s="674"/>
      <c r="O240" s="674"/>
      <c r="P240" s="676"/>
      <c r="Q240" s="674"/>
      <c r="R240" s="674"/>
      <c r="S240" s="716"/>
      <c r="T240" s="683"/>
      <c r="U240" s="716"/>
      <c r="V240" s="716"/>
      <c r="W240" s="683"/>
      <c r="X240" s="677"/>
      <c r="Y240" s="674"/>
      <c r="Z240" s="678"/>
    </row>
    <row r="241" spans="1:26" ht="16.5">
      <c r="A241" s="670">
        <v>236</v>
      </c>
      <c r="B241" s="3324"/>
      <c r="C241" s="3320"/>
      <c r="D241" s="3300"/>
      <c r="E241" s="672"/>
      <c r="F241" s="672"/>
      <c r="G241" s="673"/>
      <c r="H241" s="673"/>
      <c r="I241" s="673"/>
      <c r="J241" s="673"/>
      <c r="K241" s="674"/>
      <c r="L241" s="674"/>
      <c r="M241" s="674"/>
      <c r="N241" s="674"/>
      <c r="O241" s="674"/>
      <c r="P241" s="676"/>
      <c r="Q241" s="674"/>
      <c r="R241" s="674"/>
      <c r="S241" s="716"/>
      <c r="T241" s="683"/>
      <c r="U241" s="716"/>
      <c r="V241" s="716"/>
      <c r="W241" s="683"/>
      <c r="X241" s="677"/>
      <c r="Y241" s="674"/>
      <c r="Z241" s="678"/>
    </row>
    <row r="242" spans="1:26" ht="16.5">
      <c r="A242" s="670">
        <v>237</v>
      </c>
      <c r="B242" s="3324"/>
      <c r="C242" s="3320"/>
      <c r="D242" s="3300"/>
      <c r="E242" s="672"/>
      <c r="F242" s="672"/>
      <c r="G242" s="673"/>
      <c r="H242" s="673"/>
      <c r="I242" s="673"/>
      <c r="J242" s="673"/>
      <c r="K242" s="674"/>
      <c r="L242" s="674"/>
      <c r="M242" s="674"/>
      <c r="N242" s="674"/>
      <c r="O242" s="674"/>
      <c r="P242" s="676"/>
      <c r="Q242" s="674"/>
      <c r="R242" s="674"/>
      <c r="S242" s="716"/>
      <c r="T242" s="683"/>
      <c r="U242" s="716"/>
      <c r="V242" s="716"/>
      <c r="W242" s="683"/>
      <c r="X242" s="677"/>
      <c r="Y242" s="674"/>
      <c r="Z242" s="678"/>
    </row>
    <row r="243" spans="1:26" ht="17.25" thickBot="1">
      <c r="A243" s="773">
        <v>238</v>
      </c>
      <c r="B243" s="3325"/>
      <c r="C243" s="3321"/>
      <c r="D243" s="679" t="s">
        <v>3105</v>
      </c>
      <c r="E243" s="698"/>
      <c r="F243" s="698"/>
      <c r="G243" s="698"/>
      <c r="H243" s="698"/>
      <c r="I243" s="698"/>
      <c r="J243" s="698"/>
      <c r="K243" s="698"/>
      <c r="L243" s="698"/>
      <c r="M243" s="698"/>
      <c r="N243" s="699">
        <f>SUM(N237:N242)</f>
        <v>0</v>
      </c>
      <c r="O243" s="699">
        <f>SUM(O237:O242)</f>
        <v>0</v>
      </c>
      <c r="P243" s="699">
        <f>SUM(P237:P242)</f>
        <v>0</v>
      </c>
      <c r="Q243" s="698"/>
      <c r="R243" s="699">
        <f>SUM(R237:R242)</f>
        <v>0</v>
      </c>
      <c r="S243" s="720"/>
      <c r="T243" s="721"/>
      <c r="U243" s="720"/>
      <c r="V243" s="720"/>
      <c r="W243" s="721"/>
      <c r="X243" s="722"/>
      <c r="Y243" s="698"/>
      <c r="Z243" s="868"/>
    </row>
    <row r="244" spans="1:26" ht="17.25" thickBot="1">
      <c r="A244" s="870">
        <v>239</v>
      </c>
      <c r="B244" s="3322" t="s">
        <v>3125</v>
      </c>
      <c r="C244" s="3323"/>
      <c r="D244" s="3323"/>
      <c r="E244" s="702"/>
      <c r="F244" s="702"/>
      <c r="G244" s="703"/>
      <c r="H244" s="703"/>
      <c r="I244" s="703"/>
      <c r="J244" s="703"/>
      <c r="K244" s="704"/>
      <c r="L244" s="704"/>
      <c r="M244" s="704"/>
      <c r="N244" s="723">
        <f>N194+N201+N208+N215+N222+N229+N236+N243</f>
        <v>0</v>
      </c>
      <c r="O244" s="723">
        <f>O194+O201+O208+O215+O222+O229+O236+O243</f>
        <v>0</v>
      </c>
      <c r="P244" s="723">
        <f>P194+P201+P208+P215+P222+P229+P236+P243</f>
        <v>0</v>
      </c>
      <c r="Q244" s="704"/>
      <c r="R244" s="723">
        <f>R194+R201+R208+R215+R222+R229+R236+R243</f>
        <v>0</v>
      </c>
      <c r="S244" s="724"/>
      <c r="T244" s="706"/>
      <c r="U244" s="724"/>
      <c r="V244" s="724"/>
      <c r="W244" s="706"/>
      <c r="X244" s="707"/>
      <c r="Y244" s="704"/>
      <c r="Z244" s="869"/>
    </row>
    <row r="245" spans="1:26" ht="17.25" thickBot="1">
      <c r="A245" s="701">
        <v>240</v>
      </c>
      <c r="B245" s="3318" t="s">
        <v>3126</v>
      </c>
      <c r="C245" s="3319"/>
      <c r="D245" s="3319"/>
      <c r="E245" s="726"/>
      <c r="F245" s="726"/>
      <c r="G245" s="727"/>
      <c r="H245" s="727"/>
      <c r="I245" s="727"/>
      <c r="J245" s="727"/>
      <c r="K245" s="728"/>
      <c r="L245" s="728"/>
      <c r="M245" s="728"/>
      <c r="N245" s="729">
        <f>N187+N130+N244</f>
        <v>0</v>
      </c>
      <c r="O245" s="729">
        <f>O187+O130+O244</f>
        <v>0</v>
      </c>
      <c r="P245" s="729">
        <f>P187+P130+P244</f>
        <v>0</v>
      </c>
      <c r="Q245" s="728"/>
      <c r="R245" s="729">
        <f>R187+R130+R244</f>
        <v>0</v>
      </c>
      <c r="S245" s="730"/>
      <c r="T245" s="731"/>
      <c r="U245" s="730"/>
      <c r="V245" s="730"/>
      <c r="W245" s="731"/>
      <c r="X245" s="732"/>
      <c r="Y245" s="728"/>
      <c r="Z245" s="852"/>
    </row>
    <row r="246" spans="1:26" ht="16.5">
      <c r="A246" s="844"/>
      <c r="B246" s="734"/>
      <c r="C246" s="735"/>
      <c r="D246" s="735"/>
      <c r="E246" s="736"/>
      <c r="F246" s="736"/>
      <c r="G246" s="736"/>
      <c r="H246" s="736"/>
      <c r="I246" s="736"/>
      <c r="J246" s="736"/>
      <c r="K246" s="736"/>
      <c r="L246" s="736"/>
      <c r="M246" s="736"/>
      <c r="N246" s="736"/>
      <c r="O246" s="736"/>
      <c r="P246" s="736"/>
      <c r="Q246" s="736"/>
      <c r="R246" s="736"/>
      <c r="S246" s="736"/>
      <c r="T246" s="737"/>
      <c r="U246" s="737"/>
      <c r="V246" s="737"/>
      <c r="W246" s="737"/>
      <c r="X246" s="737"/>
      <c r="Y246" s="738"/>
      <c r="Z246" s="654"/>
    </row>
    <row r="247" spans="1:26" ht="16.5">
      <c r="A247" s="557" t="s">
        <v>3044</v>
      </c>
      <c r="B247" s="734"/>
      <c r="C247" s="735"/>
      <c r="D247" s="735"/>
      <c r="E247" s="736"/>
      <c r="F247" s="736"/>
      <c r="G247" s="736"/>
      <c r="H247" s="736"/>
      <c r="I247" s="736"/>
      <c r="J247" s="736"/>
      <c r="K247" s="736"/>
      <c r="L247" s="736"/>
      <c r="M247" s="736"/>
      <c r="N247" s="736"/>
      <c r="O247" s="736"/>
      <c r="P247" s="736"/>
      <c r="Q247" s="736"/>
      <c r="R247" s="736"/>
      <c r="S247" s="736"/>
      <c r="T247" s="737"/>
      <c r="U247" s="737"/>
      <c r="V247" s="737"/>
      <c r="W247" s="737"/>
      <c r="X247" s="737"/>
      <c r="Y247" s="738"/>
      <c r="Z247" s="654"/>
    </row>
    <row r="248" spans="1:26" ht="16.5">
      <c r="A248" s="557">
        <v>1</v>
      </c>
      <c r="B248" s="735" t="s">
        <v>3127</v>
      </c>
      <c r="D248" s="735"/>
      <c r="E248" s="736"/>
      <c r="F248" s="736"/>
      <c r="G248" s="736"/>
      <c r="H248" s="736"/>
      <c r="I248" s="736"/>
      <c r="J248" s="736"/>
      <c r="K248" s="736"/>
      <c r="L248" s="736"/>
      <c r="M248" s="736"/>
      <c r="N248" s="736"/>
      <c r="O248" s="736"/>
      <c r="P248" s="736"/>
      <c r="Q248" s="736"/>
      <c r="R248" s="736"/>
      <c r="S248" s="736"/>
      <c r="T248" s="737"/>
      <c r="U248" s="737"/>
      <c r="V248" s="737"/>
      <c r="W248" s="737"/>
      <c r="X248" s="737"/>
      <c r="Y248" s="738"/>
      <c r="Z248" s="654"/>
    </row>
    <row r="249" spans="1:26" ht="16.5">
      <c r="A249" s="734" t="s">
        <v>202</v>
      </c>
      <c r="B249" s="735" t="s">
        <v>3128</v>
      </c>
      <c r="D249" s="735"/>
      <c r="E249" s="736"/>
      <c r="F249" s="736"/>
      <c r="G249" s="736"/>
      <c r="H249" s="736"/>
      <c r="I249" s="736"/>
      <c r="J249" s="736"/>
      <c r="K249" s="736"/>
      <c r="L249" s="736"/>
      <c r="M249" s="736"/>
      <c r="N249" s="736"/>
      <c r="O249" s="736"/>
      <c r="P249" s="736"/>
      <c r="Q249" s="736"/>
      <c r="R249" s="736"/>
      <c r="S249" s="736"/>
      <c r="T249" s="737"/>
      <c r="U249" s="737"/>
      <c r="V249" s="737"/>
      <c r="W249" s="737"/>
      <c r="X249" s="737"/>
      <c r="Y249" s="738"/>
      <c r="Z249" s="654"/>
    </row>
    <row r="250" spans="1:26" ht="16.5">
      <c r="A250" s="739">
        <v>3</v>
      </c>
      <c r="B250" s="285" t="s">
        <v>3185</v>
      </c>
      <c r="D250" s="735"/>
      <c r="E250" s="736"/>
      <c r="F250" s="736"/>
      <c r="G250" s="736"/>
      <c r="H250" s="736"/>
      <c r="I250" s="736"/>
      <c r="J250" s="736"/>
      <c r="K250" s="736"/>
      <c r="L250" s="736"/>
      <c r="M250" s="736"/>
      <c r="N250" s="736"/>
      <c r="O250" s="736"/>
      <c r="P250" s="736"/>
      <c r="Q250" s="736"/>
      <c r="R250" s="736"/>
      <c r="S250" s="736"/>
      <c r="T250" s="737"/>
      <c r="U250" s="737"/>
      <c r="V250" s="737"/>
      <c r="W250" s="737"/>
      <c r="X250" s="737"/>
      <c r="Y250" s="738"/>
      <c r="Z250" s="654"/>
    </row>
    <row r="251" spans="1:26" ht="16.5">
      <c r="A251" s="557"/>
      <c r="B251" s="285" t="s">
        <v>3164</v>
      </c>
      <c r="D251" s="735"/>
      <c r="E251" s="736"/>
      <c r="F251" s="736"/>
      <c r="G251" s="736"/>
      <c r="H251" s="736"/>
      <c r="I251" s="736"/>
      <c r="J251" s="736"/>
      <c r="K251" s="736"/>
      <c r="L251" s="736"/>
      <c r="M251" s="736"/>
      <c r="N251" s="736"/>
      <c r="O251" s="736"/>
      <c r="P251" s="736"/>
      <c r="Q251" s="736"/>
      <c r="R251" s="736"/>
      <c r="S251" s="736"/>
      <c r="T251" s="737"/>
      <c r="U251" s="737"/>
      <c r="V251" s="737"/>
      <c r="W251" s="737"/>
      <c r="X251" s="737"/>
      <c r="Y251" s="738"/>
      <c r="Z251" s="654"/>
    </row>
    <row r="252" spans="1:26" ht="16.5">
      <c r="A252" s="734"/>
      <c r="B252" s="285" t="s">
        <v>3165</v>
      </c>
      <c r="D252" s="735"/>
      <c r="E252" s="736"/>
      <c r="F252" s="736"/>
      <c r="G252" s="736"/>
      <c r="H252" s="736"/>
      <c r="I252" s="736"/>
      <c r="J252" s="736"/>
      <c r="K252" s="736"/>
      <c r="L252" s="736"/>
      <c r="M252" s="736"/>
      <c r="N252" s="736"/>
      <c r="O252" s="736"/>
      <c r="P252" s="736"/>
      <c r="Q252" s="736"/>
      <c r="R252" s="736"/>
      <c r="S252" s="736"/>
      <c r="T252" s="737"/>
      <c r="U252" s="737"/>
      <c r="V252" s="737"/>
      <c r="W252" s="737"/>
      <c r="X252" s="737"/>
      <c r="Y252" s="738"/>
      <c r="Z252" s="654"/>
    </row>
    <row r="253" spans="1:26" ht="16.5">
      <c r="A253" s="557"/>
      <c r="B253" s="285" t="s">
        <v>3166</v>
      </c>
      <c r="D253" s="735"/>
      <c r="E253" s="736"/>
      <c r="F253" s="736"/>
      <c r="G253" s="736"/>
      <c r="H253" s="736"/>
      <c r="I253" s="736"/>
      <c r="J253" s="736"/>
      <c r="K253" s="736"/>
      <c r="L253" s="736"/>
      <c r="M253" s="736"/>
      <c r="N253" s="736"/>
      <c r="O253" s="736"/>
      <c r="P253" s="736"/>
      <c r="Q253" s="736"/>
      <c r="R253" s="736"/>
      <c r="S253" s="736"/>
      <c r="T253" s="737"/>
      <c r="U253" s="737"/>
      <c r="V253" s="737"/>
      <c r="W253" s="737"/>
      <c r="X253" s="737"/>
      <c r="Y253" s="738"/>
      <c r="Z253" s="654"/>
    </row>
    <row r="254" spans="1:26" ht="16.5">
      <c r="A254" s="291">
        <v>4</v>
      </c>
      <c r="B254" s="252" t="s">
        <v>3129</v>
      </c>
      <c r="D254" s="252"/>
      <c r="E254" s="252"/>
      <c r="F254" s="252"/>
      <c r="G254" s="252"/>
      <c r="H254" s="252"/>
      <c r="I254" s="252"/>
      <c r="J254" s="252"/>
      <c r="K254" s="252"/>
      <c r="L254" s="252"/>
      <c r="M254" s="252"/>
      <c r="N254" s="252"/>
      <c r="U254" s="737"/>
      <c r="V254" s="737"/>
      <c r="W254" s="737"/>
    </row>
    <row r="255" spans="1:26" ht="16.5">
      <c r="A255" s="291">
        <v>5</v>
      </c>
      <c r="B255" s="252" t="s">
        <v>3130</v>
      </c>
      <c r="D255" s="252"/>
      <c r="E255" s="252"/>
      <c r="F255" s="252"/>
      <c r="G255" s="252"/>
      <c r="H255" s="252"/>
      <c r="I255" s="252"/>
      <c r="J255" s="252"/>
      <c r="K255" s="252"/>
      <c r="L255" s="252"/>
      <c r="M255" s="252"/>
      <c r="N255" s="252"/>
      <c r="U255" s="737"/>
      <c r="V255" s="737"/>
      <c r="W255" s="737"/>
    </row>
    <row r="256" spans="1:26" ht="16.5">
      <c r="A256" s="739" t="s">
        <v>7</v>
      </c>
      <c r="B256" s="285" t="s">
        <v>3168</v>
      </c>
      <c r="D256" s="735"/>
      <c r="E256" s="736"/>
      <c r="F256" s="736"/>
      <c r="G256" s="736"/>
      <c r="H256" s="736"/>
      <c r="I256" s="736"/>
      <c r="J256" s="736"/>
      <c r="K256" s="736"/>
      <c r="L256" s="736"/>
      <c r="M256" s="736"/>
      <c r="N256" s="736"/>
      <c r="O256" s="736"/>
      <c r="P256" s="736"/>
      <c r="Q256" s="736"/>
      <c r="R256" s="736"/>
      <c r="S256" s="736"/>
      <c r="T256" s="737"/>
      <c r="U256" s="737"/>
      <c r="V256" s="737"/>
      <c r="W256" s="737"/>
      <c r="X256" s="737"/>
      <c r="Y256" s="738"/>
      <c r="Z256" s="654"/>
    </row>
    <row r="257" spans="1:26" ht="16.5">
      <c r="A257" s="557">
        <v>7</v>
      </c>
      <c r="B257" s="845" t="s">
        <v>3169</v>
      </c>
      <c r="C257" s="735"/>
      <c r="D257" s="735"/>
      <c r="E257" s="736"/>
      <c r="F257" s="736"/>
      <c r="G257" s="736"/>
      <c r="H257" s="736"/>
      <c r="I257" s="736"/>
      <c r="J257" s="736"/>
      <c r="K257" s="736"/>
      <c r="L257" s="736"/>
      <c r="M257" s="736"/>
      <c r="N257" s="736"/>
      <c r="O257" s="736"/>
      <c r="P257" s="736"/>
      <c r="Q257" s="736"/>
      <c r="R257" s="736"/>
      <c r="S257" s="736"/>
      <c r="T257" s="737"/>
      <c r="U257" s="737"/>
      <c r="V257" s="737"/>
      <c r="W257" s="737"/>
      <c r="X257" s="737"/>
      <c r="Y257" s="738"/>
      <c r="Z257" s="654"/>
    </row>
    <row r="258" spans="1:26" ht="16.5">
      <c r="A258" s="557"/>
      <c r="B258" s="285"/>
      <c r="C258" s="735"/>
      <c r="D258" s="735"/>
      <c r="E258" s="736"/>
      <c r="F258" s="736"/>
      <c r="G258" s="736"/>
      <c r="H258" s="736"/>
      <c r="I258" s="736"/>
      <c r="J258" s="736"/>
      <c r="K258" s="736"/>
      <c r="L258" s="736"/>
      <c r="M258" s="736"/>
      <c r="N258" s="736"/>
      <c r="O258" s="736"/>
      <c r="P258" s="736"/>
      <c r="Q258" s="736"/>
      <c r="R258" s="736"/>
      <c r="S258" s="736"/>
      <c r="T258" s="740"/>
      <c r="X258" s="740"/>
      <c r="Y258" s="738"/>
      <c r="Z258" s="654"/>
    </row>
    <row r="259" spans="1:26" ht="16.5">
      <c r="A259" s="734"/>
      <c r="B259" s="285"/>
      <c r="C259" s="741"/>
      <c r="D259" s="741"/>
      <c r="E259" s="736"/>
      <c r="F259" s="736"/>
      <c r="G259" s="736"/>
      <c r="H259" s="736"/>
      <c r="I259" s="736"/>
      <c r="J259" s="736"/>
      <c r="K259" s="736"/>
      <c r="L259" s="736"/>
      <c r="M259" s="736"/>
      <c r="N259" s="736"/>
      <c r="O259" s="736"/>
      <c r="P259" s="736"/>
      <c r="Q259" s="736"/>
      <c r="R259" s="736"/>
      <c r="S259" s="736"/>
      <c r="T259" s="740"/>
      <c r="X259" s="740"/>
      <c r="Y259" s="738"/>
      <c r="Z259" s="654"/>
    </row>
    <row r="260" spans="1:26" ht="16.5">
      <c r="A260" s="557"/>
      <c r="B260" s="285"/>
      <c r="C260" s="735"/>
      <c r="D260" s="735"/>
      <c r="E260" s="736"/>
      <c r="F260" s="736"/>
      <c r="G260" s="736"/>
      <c r="H260" s="736"/>
      <c r="I260" s="736"/>
      <c r="J260" s="736"/>
      <c r="K260" s="736"/>
      <c r="L260" s="736"/>
      <c r="M260" s="736"/>
      <c r="N260" s="736"/>
      <c r="O260" s="736"/>
      <c r="P260" s="736"/>
      <c r="Q260" s="736"/>
      <c r="R260" s="736"/>
      <c r="S260" s="736"/>
      <c r="T260" s="740"/>
      <c r="U260" s="737"/>
      <c r="V260" s="737"/>
      <c r="W260" s="737"/>
      <c r="X260" s="740"/>
      <c r="Y260" s="738"/>
      <c r="Z260" s="654"/>
    </row>
    <row r="261" spans="1:26" ht="16.5">
      <c r="A261" s="557"/>
      <c r="B261" s="285"/>
      <c r="C261" s="735"/>
      <c r="D261" s="735"/>
      <c r="E261" s="736"/>
      <c r="F261" s="736"/>
      <c r="G261" s="736"/>
      <c r="H261" s="736"/>
      <c r="I261" s="736"/>
      <c r="J261" s="736"/>
      <c r="K261" s="736"/>
      <c r="L261" s="736"/>
      <c r="M261" s="736"/>
      <c r="N261" s="736"/>
      <c r="O261" s="736"/>
      <c r="P261" s="736"/>
      <c r="Q261" s="736"/>
      <c r="R261" s="736"/>
      <c r="S261" s="736"/>
      <c r="T261" s="737"/>
      <c r="U261" s="737"/>
      <c r="V261" s="737"/>
      <c r="W261" s="737"/>
      <c r="X261" s="737"/>
      <c r="Y261" s="738"/>
      <c r="Z261" s="654"/>
    </row>
    <row r="262" spans="1:26" ht="16.5">
      <c r="A262" s="734"/>
      <c r="B262" s="285"/>
      <c r="C262" s="736"/>
      <c r="D262" s="735"/>
      <c r="E262" s="736"/>
      <c r="F262" s="736"/>
      <c r="G262" s="736"/>
      <c r="H262" s="736"/>
      <c r="I262" s="736"/>
      <c r="J262" s="736"/>
      <c r="K262" s="736"/>
      <c r="L262" s="736"/>
      <c r="M262" s="736"/>
      <c r="N262" s="736"/>
      <c r="O262" s="736"/>
      <c r="P262" s="736"/>
      <c r="Q262" s="736"/>
      <c r="R262" s="736"/>
      <c r="S262" s="736"/>
      <c r="T262" s="737"/>
      <c r="U262" s="740"/>
      <c r="V262" s="740"/>
      <c r="W262" s="740"/>
      <c r="X262" s="737"/>
      <c r="Y262" s="738"/>
      <c r="Z262" s="654"/>
    </row>
    <row r="263" spans="1:26" ht="16.5">
      <c r="A263" s="557"/>
      <c r="B263" s="285"/>
      <c r="C263" s="735"/>
      <c r="D263" s="735"/>
      <c r="E263" s="736"/>
      <c r="F263" s="736"/>
      <c r="G263" s="736"/>
      <c r="H263" s="736"/>
      <c r="I263" s="736"/>
      <c r="J263" s="736"/>
      <c r="K263" s="736"/>
      <c r="L263" s="736"/>
      <c r="M263" s="736"/>
      <c r="N263" s="736"/>
      <c r="O263" s="736"/>
      <c r="P263" s="736"/>
      <c r="Q263" s="736"/>
      <c r="R263" s="736"/>
      <c r="S263" s="736"/>
      <c r="T263" s="737"/>
      <c r="U263" s="740"/>
      <c r="V263" s="740"/>
      <c r="W263" s="740"/>
      <c r="X263" s="737"/>
      <c r="Y263" s="738"/>
      <c r="Z263" s="654"/>
    </row>
    <row r="264" spans="1:26" ht="16.5">
      <c r="A264" s="557"/>
      <c r="B264" s="734"/>
      <c r="C264" s="735"/>
      <c r="D264" s="735"/>
      <c r="E264" s="736"/>
      <c r="F264" s="736"/>
      <c r="G264" s="736"/>
      <c r="H264" s="736"/>
      <c r="I264" s="736"/>
      <c r="J264" s="736"/>
      <c r="K264" s="736"/>
      <c r="L264" s="736"/>
      <c r="M264" s="736"/>
      <c r="N264" s="736"/>
      <c r="O264" s="736"/>
      <c r="P264" s="736"/>
      <c r="Q264" s="736"/>
      <c r="R264" s="736"/>
      <c r="S264" s="736"/>
      <c r="T264" s="737"/>
      <c r="U264" s="740"/>
      <c r="V264" s="740"/>
      <c r="W264" s="740"/>
      <c r="X264" s="737"/>
      <c r="Y264" s="738"/>
      <c r="Z264" s="654"/>
    </row>
    <row r="265" spans="1:26" ht="16.5">
      <c r="A265" s="734"/>
      <c r="B265" s="734"/>
      <c r="C265" s="736"/>
      <c r="D265" s="736"/>
      <c r="E265" s="736"/>
      <c r="F265" s="736"/>
      <c r="G265" s="736"/>
      <c r="H265" s="736"/>
      <c r="I265" s="736"/>
      <c r="J265" s="736"/>
      <c r="K265" s="736"/>
      <c r="L265" s="736"/>
      <c r="M265" s="736"/>
      <c r="N265" s="736"/>
      <c r="O265" s="736"/>
      <c r="P265" s="736"/>
      <c r="Q265" s="736"/>
      <c r="R265" s="736"/>
      <c r="S265" s="736"/>
      <c r="T265" s="654"/>
      <c r="U265" s="737"/>
      <c r="V265" s="737"/>
      <c r="W265" s="737"/>
      <c r="X265" s="654"/>
      <c r="Y265" s="654"/>
      <c r="Z265" s="654"/>
    </row>
    <row r="266" spans="1:26" ht="16.5">
      <c r="A266" s="557"/>
      <c r="B266" s="734"/>
      <c r="C266" s="654"/>
      <c r="D266" s="654"/>
      <c r="E266" s="736"/>
      <c r="F266" s="736"/>
      <c r="G266" s="736"/>
      <c r="H266" s="736"/>
      <c r="I266" s="736"/>
      <c r="J266" s="736"/>
      <c r="K266" s="736"/>
      <c r="L266" s="736"/>
      <c r="M266" s="736"/>
      <c r="N266" s="736"/>
      <c r="O266" s="736"/>
      <c r="P266" s="736"/>
      <c r="Q266" s="736"/>
      <c r="R266" s="736"/>
      <c r="S266" s="736"/>
      <c r="T266" s="654"/>
      <c r="U266" s="737"/>
      <c r="V266" s="737"/>
      <c r="W266" s="737"/>
      <c r="X266" s="654"/>
      <c r="Y266" s="654"/>
      <c r="Z266" s="654"/>
    </row>
    <row r="267" spans="1:26" ht="16.5">
      <c r="A267" s="557"/>
      <c r="B267" s="734"/>
      <c r="C267" s="736"/>
      <c r="D267" s="736"/>
      <c r="E267" s="742"/>
      <c r="F267" s="742"/>
      <c r="G267" s="742"/>
      <c r="H267" s="742"/>
      <c r="I267" s="742"/>
      <c r="J267" s="742"/>
      <c r="K267" s="742"/>
      <c r="L267" s="742"/>
      <c r="M267" s="742"/>
      <c r="N267" s="742"/>
      <c r="O267" s="742"/>
      <c r="P267" s="736"/>
      <c r="Q267" s="742"/>
      <c r="R267" s="742"/>
      <c r="S267" s="742"/>
      <c r="T267" s="654"/>
      <c r="U267" s="737"/>
      <c r="V267" s="737"/>
      <c r="W267" s="737"/>
      <c r="X267" s="654"/>
      <c r="Y267" s="654"/>
      <c r="Z267" s="654"/>
    </row>
    <row r="268" spans="1:26" ht="16.5">
      <c r="A268" s="734"/>
      <c r="B268" s="734"/>
      <c r="C268" s="735"/>
      <c r="D268" s="735"/>
      <c r="E268" s="742"/>
      <c r="F268" s="742"/>
      <c r="G268" s="742"/>
      <c r="H268" s="742"/>
      <c r="I268" s="742"/>
      <c r="J268" s="742"/>
      <c r="K268" s="742"/>
      <c r="L268" s="742"/>
      <c r="M268" s="742"/>
      <c r="N268" s="742"/>
      <c r="O268" s="742"/>
      <c r="P268" s="736"/>
      <c r="Q268" s="742"/>
      <c r="R268" s="742"/>
      <c r="S268" s="742"/>
      <c r="T268" s="654"/>
      <c r="U268" s="737"/>
      <c r="V268" s="737"/>
      <c r="W268" s="737"/>
      <c r="X268" s="654"/>
      <c r="Y268" s="654"/>
      <c r="Z268" s="654"/>
    </row>
    <row r="269" spans="1:26" ht="16.5">
      <c r="A269" s="557"/>
      <c r="B269" s="734"/>
      <c r="C269" s="736"/>
      <c r="D269" s="736"/>
      <c r="E269" s="740"/>
      <c r="F269" s="743"/>
      <c r="G269" s="740"/>
      <c r="H269" s="740"/>
      <c r="I269" s="740"/>
      <c r="J269" s="740"/>
      <c r="K269" s="740"/>
      <c r="L269" s="740"/>
      <c r="M269" s="740"/>
      <c r="N269" s="740"/>
      <c r="O269" s="740"/>
      <c r="P269" s="742"/>
      <c r="Q269" s="740"/>
      <c r="R269" s="740"/>
      <c r="S269" s="740"/>
      <c r="T269" s="654"/>
      <c r="U269" s="654"/>
      <c r="V269" s="654"/>
      <c r="W269" s="654"/>
      <c r="X269" s="654"/>
      <c r="Y269" s="654"/>
      <c r="Z269" s="654"/>
    </row>
    <row r="270" spans="1:26" ht="16.5">
      <c r="A270" s="557"/>
      <c r="B270" s="734"/>
      <c r="C270" s="736"/>
      <c r="D270" s="736"/>
      <c r="E270" s="740"/>
      <c r="F270" s="743"/>
      <c r="G270" s="740"/>
      <c r="H270" s="740"/>
      <c r="I270" s="740"/>
      <c r="J270" s="740"/>
      <c r="K270" s="740"/>
      <c r="L270" s="740"/>
      <c r="M270" s="740"/>
      <c r="N270" s="740"/>
      <c r="O270" s="740"/>
      <c r="P270" s="737"/>
      <c r="Q270" s="740"/>
      <c r="R270" s="740"/>
      <c r="S270" s="740"/>
      <c r="T270" s="654"/>
      <c r="U270" s="654"/>
      <c r="V270" s="654"/>
      <c r="W270" s="654"/>
      <c r="X270" s="654"/>
      <c r="Y270" s="654"/>
      <c r="Z270" s="654"/>
    </row>
    <row r="271" spans="1:26" ht="16.5">
      <c r="A271" s="734"/>
      <c r="B271" s="734"/>
      <c r="C271" s="736"/>
      <c r="D271" s="736"/>
      <c r="E271" s="740"/>
      <c r="F271" s="743"/>
      <c r="G271" s="740"/>
      <c r="H271" s="740"/>
      <c r="I271" s="740"/>
      <c r="J271" s="740"/>
      <c r="K271" s="740"/>
      <c r="L271" s="740"/>
      <c r="M271" s="740"/>
      <c r="N271" s="740"/>
      <c r="O271" s="740"/>
      <c r="P271" s="740"/>
      <c r="Q271" s="740"/>
      <c r="R271" s="740"/>
      <c r="S271" s="740"/>
      <c r="T271" s="654"/>
      <c r="U271" s="654"/>
      <c r="V271" s="654"/>
      <c r="W271" s="654"/>
      <c r="X271" s="654"/>
      <c r="Y271" s="654"/>
      <c r="Z271" s="654"/>
    </row>
    <row r="272" spans="1:26" ht="16.5">
      <c r="A272" s="734"/>
      <c r="B272" s="734"/>
      <c r="C272" s="736"/>
      <c r="D272" s="736"/>
      <c r="E272" s="738"/>
      <c r="F272" s="744"/>
      <c r="G272" s="738"/>
      <c r="H272" s="738"/>
      <c r="I272" s="738"/>
      <c r="J272" s="738"/>
      <c r="K272" s="738"/>
      <c r="L272" s="738"/>
      <c r="M272" s="738"/>
      <c r="N272" s="738"/>
      <c r="O272" s="738"/>
      <c r="P272" s="740"/>
      <c r="Q272" s="738"/>
      <c r="R272" s="738"/>
      <c r="S272" s="738"/>
      <c r="T272" s="654"/>
      <c r="U272" s="654"/>
      <c r="V272" s="654"/>
      <c r="W272" s="654"/>
      <c r="X272" s="654"/>
      <c r="Y272" s="654"/>
      <c r="Z272" s="654"/>
    </row>
    <row r="273" spans="1:26" ht="16.5">
      <c r="A273" s="734"/>
      <c r="B273" s="734"/>
      <c r="C273" s="736"/>
      <c r="D273" s="736"/>
      <c r="E273" s="654"/>
      <c r="F273" s="745"/>
      <c r="G273" s="654"/>
      <c r="H273" s="654"/>
      <c r="I273" s="654"/>
      <c r="J273" s="654"/>
      <c r="K273" s="654"/>
      <c r="L273" s="654"/>
      <c r="M273" s="654"/>
      <c r="N273" s="654"/>
      <c r="O273" s="654"/>
      <c r="P273" s="740"/>
      <c r="Q273" s="654"/>
      <c r="R273" s="654"/>
      <c r="S273" s="654"/>
      <c r="T273" s="654"/>
      <c r="U273" s="654"/>
      <c r="V273" s="654"/>
      <c r="W273" s="654"/>
      <c r="X273" s="654"/>
      <c r="Y273" s="654"/>
      <c r="Z273" s="654"/>
    </row>
    <row r="274" spans="1:26" ht="16.5">
      <c r="U274" s="654"/>
      <c r="V274" s="654"/>
      <c r="W274" s="654"/>
    </row>
    <row r="275" spans="1:26" ht="16.5">
      <c r="U275" s="654"/>
      <c r="V275" s="654"/>
      <c r="W275" s="654"/>
    </row>
    <row r="276" spans="1:26" ht="16.5">
      <c r="U276" s="654"/>
      <c r="V276" s="654"/>
      <c r="W276" s="654"/>
    </row>
    <row r="277" spans="1:26" ht="16.5">
      <c r="U277" s="654"/>
      <c r="V277" s="654"/>
      <c r="W277" s="654"/>
    </row>
  </sheetData>
  <mergeCells count="68">
    <mergeCell ref="R3:R4"/>
    <mergeCell ref="Q3:Q4"/>
    <mergeCell ref="D19:D30"/>
    <mergeCell ref="U3:U4"/>
    <mergeCell ref="D237:D242"/>
    <mergeCell ref="D159:D164"/>
    <mergeCell ref="D188:D193"/>
    <mergeCell ref="D195:D200"/>
    <mergeCell ref="D166:D171"/>
    <mergeCell ref="B187:D187"/>
    <mergeCell ref="D173:D178"/>
    <mergeCell ref="C76:C108"/>
    <mergeCell ref="C109:C129"/>
    <mergeCell ref="C54:C75"/>
    <mergeCell ref="D180:D185"/>
    <mergeCell ref="D138:D143"/>
    <mergeCell ref="Y3:Y4"/>
    <mergeCell ref="W3:W4"/>
    <mergeCell ref="D152:D157"/>
    <mergeCell ref="X3:X4"/>
    <mergeCell ref="L3:L4"/>
    <mergeCell ref="D131:D136"/>
    <mergeCell ref="K3:K4"/>
    <mergeCell ref="N3:N4"/>
    <mergeCell ref="O3:O4"/>
    <mergeCell ref="M3:M4"/>
    <mergeCell ref="B130:D130"/>
    <mergeCell ref="B131:B186"/>
    <mergeCell ref="D54:D63"/>
    <mergeCell ref="C145:C165"/>
    <mergeCell ref="C166:C186"/>
    <mergeCell ref="D145:D150"/>
    <mergeCell ref="C131:C144"/>
    <mergeCell ref="B245:D245"/>
    <mergeCell ref="C223:C243"/>
    <mergeCell ref="B244:D244"/>
    <mergeCell ref="B188:B243"/>
    <mergeCell ref="C188:C201"/>
    <mergeCell ref="C202:C222"/>
    <mergeCell ref="D202:D207"/>
    <mergeCell ref="D209:D214"/>
    <mergeCell ref="D216:D221"/>
    <mergeCell ref="D223:D228"/>
    <mergeCell ref="D230:D235"/>
    <mergeCell ref="E3:I3"/>
    <mergeCell ref="V3:V4"/>
    <mergeCell ref="Z3:Z4"/>
    <mergeCell ref="D123:D128"/>
    <mergeCell ref="D43:D52"/>
    <mergeCell ref="D87:D96"/>
    <mergeCell ref="D109:D114"/>
    <mergeCell ref="S3:S4"/>
    <mergeCell ref="T3:T4"/>
    <mergeCell ref="D6:D17"/>
    <mergeCell ref="P3:P4"/>
    <mergeCell ref="J3:J4"/>
    <mergeCell ref="D116:D121"/>
    <mergeCell ref="D76:D85"/>
    <mergeCell ref="D98:D107"/>
    <mergeCell ref="D65:D74"/>
    <mergeCell ref="C6:C31"/>
    <mergeCell ref="D32:D41"/>
    <mergeCell ref="C32:C53"/>
    <mergeCell ref="A3:A5"/>
    <mergeCell ref="B3:B4"/>
    <mergeCell ref="C3:D4"/>
    <mergeCell ref="C5:D5"/>
    <mergeCell ref="B6:B129"/>
  </mergeCells>
  <phoneticPr fontId="9" type="noConversion"/>
  <pageMargins left="0.51181102362204722" right="0.35433070866141736" top="0.39370078740157483" bottom="0.27559055118110237" header="0.15748031496062992" footer="0.23622047244094491"/>
  <pageSetup paperSize="9" scale="30" fitToHeight="2" orientation="portrait" r:id="rId1"/>
  <headerFooter alignWithMargins="0">
    <oddFooter>&amp;C&amp;P/&amp;N&amp;R&amp;A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P171"/>
  <sheetViews>
    <sheetView view="pageBreakPreview" zoomScaleNormal="100" zoomScaleSheetLayoutView="100" workbookViewId="0">
      <pane xSplit="4" ySplit="4" topLeftCell="E8" activePane="bottomRight" state="frozen"/>
      <selection activeCell="G28" sqref="G28"/>
      <selection pane="topRight" activeCell="G28" sqref="G28"/>
      <selection pane="bottomLeft" activeCell="G28" sqref="G28"/>
      <selection pane="bottomRight"/>
    </sheetView>
  </sheetViews>
  <sheetFormatPr defaultColWidth="10.625" defaultRowHeight="15.75"/>
  <cols>
    <col min="1" max="1" width="5.625" style="1900" customWidth="1"/>
    <col min="2" max="2" width="72.25" style="1902" customWidth="1"/>
    <col min="3" max="3" width="10.625" style="1899" customWidth="1"/>
    <col min="4" max="4" width="10.625" style="1900" customWidth="1"/>
    <col min="5" max="5" width="10.625" style="1899" customWidth="1"/>
    <col min="6" max="6" width="10.625" style="1900" customWidth="1"/>
    <col min="7" max="7" width="35.625" style="1900" customWidth="1"/>
    <col min="8" max="14" width="10.625" style="1900" customWidth="1"/>
    <col min="15" max="15" width="10.625" style="1899" customWidth="1"/>
    <col min="16" max="16384" width="10.625" style="1900"/>
  </cols>
  <sheetData>
    <row r="1" spans="1:16">
      <c r="A1" s="3001" t="str">
        <f>+封面!A3&amp;" "&amp;封面!A2</f>
        <v xml:space="preserve">        保險股份有限公司(○○分公司) 年度(月、季、半年)報表</v>
      </c>
      <c r="B1" s="3002"/>
      <c r="C1" s="3003"/>
      <c r="D1" s="3003"/>
      <c r="E1" s="3003"/>
      <c r="F1" s="3003"/>
      <c r="G1" s="3003"/>
      <c r="H1" s="3003"/>
      <c r="I1" s="3003"/>
      <c r="J1" s="3003"/>
      <c r="K1" s="3003"/>
      <c r="L1" s="3003"/>
      <c r="M1" s="3004"/>
      <c r="N1" s="3004"/>
      <c r="O1" s="3003"/>
      <c r="P1" s="3004"/>
    </row>
    <row r="2" spans="1:16" ht="16.5">
      <c r="A2" s="3005" t="s">
        <v>6372</v>
      </c>
      <c r="B2" s="3003"/>
      <c r="C2" s="3003"/>
      <c r="D2" s="3003"/>
      <c r="E2" s="3003"/>
      <c r="F2" s="3003"/>
      <c r="G2" s="3003"/>
      <c r="H2" s="3003"/>
      <c r="I2" s="3003"/>
      <c r="J2" s="3003"/>
      <c r="K2" s="3003"/>
      <c r="L2" s="3003"/>
      <c r="M2" s="3004"/>
      <c r="N2" s="3004"/>
      <c r="O2" s="3003"/>
      <c r="P2" s="3004"/>
    </row>
    <row r="3" spans="1:16" s="1901" customFormat="1" ht="66">
      <c r="A3" s="3172" t="s">
        <v>6373</v>
      </c>
      <c r="B3" s="3006" t="s">
        <v>6374</v>
      </c>
      <c r="C3" s="3006" t="s">
        <v>6375</v>
      </c>
      <c r="D3" s="3006" t="s">
        <v>6376</v>
      </c>
      <c r="E3" s="3006" t="s">
        <v>6377</v>
      </c>
      <c r="F3" s="3006" t="s">
        <v>6378</v>
      </c>
      <c r="G3" s="3006" t="s">
        <v>6379</v>
      </c>
      <c r="H3" s="3006" t="s">
        <v>6380</v>
      </c>
      <c r="I3" s="3006" t="s">
        <v>6381</v>
      </c>
      <c r="J3" s="3006" t="s">
        <v>6382</v>
      </c>
      <c r="K3" s="3006" t="s">
        <v>233</v>
      </c>
      <c r="L3" s="3006" t="s">
        <v>6383</v>
      </c>
      <c r="M3" s="3006" t="s">
        <v>6382</v>
      </c>
      <c r="N3" s="3006" t="s">
        <v>233</v>
      </c>
      <c r="O3" s="3006" t="s">
        <v>6384</v>
      </c>
      <c r="P3" s="3006" t="s">
        <v>6385</v>
      </c>
    </row>
    <row r="4" spans="1:16" s="1901" customFormat="1">
      <c r="A4" s="3172"/>
      <c r="B4" s="3007" t="s">
        <v>422</v>
      </c>
      <c r="C4" s="3007" t="s">
        <v>423</v>
      </c>
      <c r="D4" s="3007" t="s">
        <v>171</v>
      </c>
      <c r="E4" s="3007" t="s">
        <v>172</v>
      </c>
      <c r="F4" s="3007" t="s">
        <v>173</v>
      </c>
      <c r="G4" s="3007" t="s">
        <v>174</v>
      </c>
      <c r="H4" s="3007" t="s">
        <v>175</v>
      </c>
      <c r="I4" s="3007" t="s">
        <v>176</v>
      </c>
      <c r="J4" s="3007" t="s">
        <v>177</v>
      </c>
      <c r="K4" s="3007" t="s">
        <v>178</v>
      </c>
      <c r="L4" s="3007" t="s">
        <v>179</v>
      </c>
      <c r="M4" s="3007" t="s">
        <v>180</v>
      </c>
      <c r="N4" s="3007" t="s">
        <v>416</v>
      </c>
      <c r="O4" s="3007" t="s">
        <v>39</v>
      </c>
      <c r="P4" s="3007" t="s">
        <v>1857</v>
      </c>
    </row>
    <row r="5" spans="1:16" s="1901" customFormat="1" ht="16.5">
      <c r="A5" s="3008">
        <v>1</v>
      </c>
      <c r="B5" s="3009" t="s">
        <v>6386</v>
      </c>
      <c r="C5" s="3010"/>
      <c r="D5" s="3011" t="s">
        <v>6387</v>
      </c>
      <c r="E5" s="3008" t="s">
        <v>6388</v>
      </c>
      <c r="F5" s="3008" t="s">
        <v>6389</v>
      </c>
      <c r="G5" s="3012"/>
      <c r="H5" s="3008" t="s">
        <v>6388</v>
      </c>
      <c r="I5" s="3013"/>
      <c r="J5" s="3013"/>
      <c r="K5" s="3013"/>
      <c r="L5" s="3012"/>
      <c r="M5" s="3013"/>
      <c r="N5" s="3012"/>
      <c r="O5" s="3014" t="s">
        <v>6390</v>
      </c>
      <c r="P5" s="3014" t="s">
        <v>6389</v>
      </c>
    </row>
    <row r="6" spans="1:16" s="1901" customFormat="1" ht="16.5">
      <c r="A6" s="3008">
        <v>2</v>
      </c>
      <c r="B6" s="3009" t="s">
        <v>6391</v>
      </c>
      <c r="C6" s="3010"/>
      <c r="D6" s="3011" t="s">
        <v>6392</v>
      </c>
      <c r="E6" s="3008" t="s">
        <v>6388</v>
      </c>
      <c r="F6" s="3008" t="s">
        <v>6389</v>
      </c>
      <c r="G6" s="3012"/>
      <c r="H6" s="3008" t="s">
        <v>6388</v>
      </c>
      <c r="I6" s="3013"/>
      <c r="J6" s="3013"/>
      <c r="K6" s="3013"/>
      <c r="L6" s="3013"/>
      <c r="M6" s="3013"/>
      <c r="N6" s="3013"/>
      <c r="O6" s="3014" t="s">
        <v>6390</v>
      </c>
      <c r="P6" s="3014" t="s">
        <v>6389</v>
      </c>
    </row>
    <row r="7" spans="1:16" s="1901" customFormat="1" ht="16.5">
      <c r="A7" s="3008">
        <v>3</v>
      </c>
      <c r="B7" s="3009" t="s">
        <v>6393</v>
      </c>
      <c r="C7" s="3010"/>
      <c r="D7" s="3011" t="s">
        <v>6392</v>
      </c>
      <c r="E7" s="3008" t="s">
        <v>6388</v>
      </c>
      <c r="F7" s="3008" t="s">
        <v>6394</v>
      </c>
      <c r="G7" s="3008" t="s">
        <v>6395</v>
      </c>
      <c r="H7" s="3008" t="s">
        <v>6388</v>
      </c>
      <c r="I7" s="3013"/>
      <c r="J7" s="3013"/>
      <c r="K7" s="3013"/>
      <c r="L7" s="3013"/>
      <c r="M7" s="3013"/>
      <c r="N7" s="3013"/>
      <c r="O7" s="3014" t="s">
        <v>6390</v>
      </c>
      <c r="P7" s="3014" t="s">
        <v>6389</v>
      </c>
    </row>
    <row r="8" spans="1:16" s="1901" customFormat="1" ht="16.5">
      <c r="A8" s="3008">
        <v>4</v>
      </c>
      <c r="B8" s="3009" t="s">
        <v>6396</v>
      </c>
      <c r="C8" s="3010"/>
      <c r="D8" s="3011" t="s">
        <v>6392</v>
      </c>
      <c r="E8" s="3008" t="s">
        <v>6388</v>
      </c>
      <c r="F8" s="3008" t="s">
        <v>6390</v>
      </c>
      <c r="G8" s="3008" t="s">
        <v>6395</v>
      </c>
      <c r="H8" s="3008" t="s">
        <v>6388</v>
      </c>
      <c r="I8" s="3013"/>
      <c r="J8" s="3013"/>
      <c r="K8" s="3013"/>
      <c r="L8" s="3013"/>
      <c r="M8" s="3013"/>
      <c r="N8" s="3013"/>
      <c r="O8" s="3014" t="s">
        <v>6389</v>
      </c>
      <c r="P8" s="3014" t="s">
        <v>6390</v>
      </c>
    </row>
    <row r="9" spans="1:16" s="1901" customFormat="1" ht="16.5">
      <c r="A9" s="3008">
        <v>5</v>
      </c>
      <c r="B9" s="3009" t="s">
        <v>6397</v>
      </c>
      <c r="C9" s="3010"/>
      <c r="D9" s="3011" t="s">
        <v>6398</v>
      </c>
      <c r="E9" s="3008" t="s">
        <v>6389</v>
      </c>
      <c r="F9" s="3008" t="s">
        <v>6389</v>
      </c>
      <c r="G9" s="3008"/>
      <c r="H9" s="3008" t="s">
        <v>6390</v>
      </c>
      <c r="I9" s="3013"/>
      <c r="J9" s="3013"/>
      <c r="K9" s="3013"/>
      <c r="L9" s="3013"/>
      <c r="M9" s="3013"/>
      <c r="N9" s="3013"/>
      <c r="O9" s="3014" t="s">
        <v>6390</v>
      </c>
      <c r="P9" s="3014" t="s">
        <v>6389</v>
      </c>
    </row>
    <row r="10" spans="1:16" s="1901" customFormat="1" ht="16.5">
      <c r="A10" s="3008">
        <v>6</v>
      </c>
      <c r="B10" s="3009" t="s">
        <v>6399</v>
      </c>
      <c r="C10" s="3010"/>
      <c r="D10" s="3011" t="s">
        <v>6392</v>
      </c>
      <c r="E10" s="3008" t="s">
        <v>6388</v>
      </c>
      <c r="F10" s="3008" t="s">
        <v>6389</v>
      </c>
      <c r="G10" s="3014"/>
      <c r="H10" s="3008" t="s">
        <v>6394</v>
      </c>
      <c r="I10" s="3013"/>
      <c r="J10" s="3013"/>
      <c r="K10" s="3013"/>
      <c r="L10" s="3013"/>
      <c r="M10" s="3013"/>
      <c r="N10" s="3013"/>
      <c r="O10" s="3014" t="s">
        <v>6389</v>
      </c>
      <c r="P10" s="3014" t="s">
        <v>6390</v>
      </c>
    </row>
    <row r="11" spans="1:16" s="1901" customFormat="1" ht="16.5">
      <c r="A11" s="3008">
        <v>7</v>
      </c>
      <c r="B11" s="3009" t="s">
        <v>6400</v>
      </c>
      <c r="C11" s="3010"/>
      <c r="D11" s="3008" t="s">
        <v>6398</v>
      </c>
      <c r="E11" s="3008" t="s">
        <v>6388</v>
      </c>
      <c r="F11" s="3008" t="s">
        <v>6389</v>
      </c>
      <c r="G11" s="3014"/>
      <c r="H11" s="3008" t="s">
        <v>6394</v>
      </c>
      <c r="I11" s="3013"/>
      <c r="J11" s="3013"/>
      <c r="K11" s="3013"/>
      <c r="L11" s="3013"/>
      <c r="M11" s="3013"/>
      <c r="N11" s="3013"/>
      <c r="O11" s="3014" t="s">
        <v>6390</v>
      </c>
      <c r="P11" s="3014" t="s">
        <v>6389</v>
      </c>
    </row>
    <row r="12" spans="1:16" s="1901" customFormat="1" ht="16.5">
      <c r="A12" s="3008">
        <v>8</v>
      </c>
      <c r="B12" s="3015" t="s">
        <v>6401</v>
      </c>
      <c r="C12" s="3010"/>
      <c r="D12" s="3011" t="s">
        <v>6387</v>
      </c>
      <c r="E12" s="3008" t="s">
        <v>6388</v>
      </c>
      <c r="F12" s="3008" t="s">
        <v>6394</v>
      </c>
      <c r="G12" s="3014"/>
      <c r="H12" s="3008" t="s">
        <v>6388</v>
      </c>
      <c r="I12" s="3013"/>
      <c r="J12" s="3013"/>
      <c r="K12" s="3013"/>
      <c r="L12" s="3013"/>
      <c r="M12" s="3013"/>
      <c r="N12" s="3013"/>
      <c r="O12" s="3014" t="s">
        <v>6390</v>
      </c>
      <c r="P12" s="3014" t="s">
        <v>6389</v>
      </c>
    </row>
    <row r="13" spans="1:16" ht="16.5">
      <c r="A13" s="3008">
        <v>9</v>
      </c>
      <c r="B13" s="3009" t="s">
        <v>6402</v>
      </c>
      <c r="C13" s="3010"/>
      <c r="D13" s="3008" t="s">
        <v>6403</v>
      </c>
      <c r="E13" s="3008" t="s">
        <v>6394</v>
      </c>
      <c r="F13" s="3008" t="s">
        <v>6388</v>
      </c>
      <c r="G13" s="3014"/>
      <c r="H13" s="3008" t="s">
        <v>6388</v>
      </c>
      <c r="I13" s="3013"/>
      <c r="J13" s="3013"/>
      <c r="K13" s="3013"/>
      <c r="L13" s="3013"/>
      <c r="M13" s="3013"/>
      <c r="N13" s="3013"/>
      <c r="O13" s="3014" t="s">
        <v>6390</v>
      </c>
      <c r="P13" s="3014" t="s">
        <v>6389</v>
      </c>
    </row>
    <row r="14" spans="1:16" ht="16.5">
      <c r="A14" s="3008">
        <v>10</v>
      </c>
      <c r="B14" s="3009" t="s">
        <v>6404</v>
      </c>
      <c r="C14" s="3010"/>
      <c r="D14" s="3008" t="s">
        <v>6403</v>
      </c>
      <c r="E14" s="3008" t="s">
        <v>6394</v>
      </c>
      <c r="F14" s="3008" t="s">
        <v>6388</v>
      </c>
      <c r="G14" s="3014"/>
      <c r="H14" s="3008" t="s">
        <v>6388</v>
      </c>
      <c r="I14" s="3013"/>
      <c r="J14" s="3013"/>
      <c r="K14" s="3013"/>
      <c r="L14" s="3013"/>
      <c r="M14" s="3013"/>
      <c r="N14" s="3013"/>
      <c r="O14" s="3014" t="s">
        <v>6390</v>
      </c>
      <c r="P14" s="3014" t="s">
        <v>6389</v>
      </c>
    </row>
    <row r="15" spans="1:16" ht="16.5">
      <c r="A15" s="3008">
        <v>11</v>
      </c>
      <c r="B15" s="3009" t="s">
        <v>6405</v>
      </c>
      <c r="C15" s="3010"/>
      <c r="D15" s="3008" t="s">
        <v>6403</v>
      </c>
      <c r="E15" s="3008" t="s">
        <v>6394</v>
      </c>
      <c r="F15" s="3008" t="s">
        <v>6388</v>
      </c>
      <c r="G15" s="3014"/>
      <c r="H15" s="3008" t="s">
        <v>6388</v>
      </c>
      <c r="I15" s="3013"/>
      <c r="J15" s="3013"/>
      <c r="K15" s="3013"/>
      <c r="L15" s="3013"/>
      <c r="M15" s="3013"/>
      <c r="N15" s="3013"/>
      <c r="O15" s="3014" t="s">
        <v>6390</v>
      </c>
      <c r="P15" s="3014" t="s">
        <v>6389</v>
      </c>
    </row>
    <row r="16" spans="1:16" ht="16.5">
      <c r="A16" s="3008">
        <v>12</v>
      </c>
      <c r="B16" s="3009" t="s">
        <v>6406</v>
      </c>
      <c r="C16" s="3010"/>
      <c r="D16" s="3008" t="s">
        <v>6403</v>
      </c>
      <c r="E16" s="3008" t="s">
        <v>6388</v>
      </c>
      <c r="F16" s="3008" t="s">
        <v>6388</v>
      </c>
      <c r="G16" s="3014"/>
      <c r="H16" s="3008" t="s">
        <v>6388</v>
      </c>
      <c r="I16" s="3013"/>
      <c r="J16" s="3013"/>
      <c r="K16" s="3013"/>
      <c r="L16" s="3013"/>
      <c r="M16" s="3013"/>
      <c r="N16" s="3013"/>
      <c r="O16" s="3014" t="s">
        <v>6390</v>
      </c>
      <c r="P16" s="3014" t="s">
        <v>6389</v>
      </c>
    </row>
    <row r="17" spans="1:16" ht="16.5">
      <c r="A17" s="3008">
        <v>13</v>
      </c>
      <c r="B17" s="3009" t="s">
        <v>6407</v>
      </c>
      <c r="C17" s="3010"/>
      <c r="D17" s="3008" t="s">
        <v>6403</v>
      </c>
      <c r="E17" s="3008" t="s">
        <v>6388</v>
      </c>
      <c r="F17" s="3008" t="s">
        <v>6388</v>
      </c>
      <c r="G17" s="3014"/>
      <c r="H17" s="3008" t="s">
        <v>6388</v>
      </c>
      <c r="I17" s="3013"/>
      <c r="J17" s="3013"/>
      <c r="K17" s="3013"/>
      <c r="L17" s="3013"/>
      <c r="M17" s="3013"/>
      <c r="N17" s="3013"/>
      <c r="O17" s="3014" t="s">
        <v>6390</v>
      </c>
      <c r="P17" s="3014" t="s">
        <v>6389</v>
      </c>
    </row>
    <row r="18" spans="1:16" ht="16.5">
      <c r="A18" s="3008">
        <v>14</v>
      </c>
      <c r="B18" s="3009" t="s">
        <v>6408</v>
      </c>
      <c r="C18" s="3010"/>
      <c r="D18" s="3008" t="s">
        <v>6403</v>
      </c>
      <c r="E18" s="3008" t="s">
        <v>6394</v>
      </c>
      <c r="F18" s="3008" t="s">
        <v>6388</v>
      </c>
      <c r="G18" s="3014"/>
      <c r="H18" s="3008" t="s">
        <v>6388</v>
      </c>
      <c r="I18" s="3013"/>
      <c r="J18" s="3013"/>
      <c r="K18" s="3013"/>
      <c r="L18" s="3013"/>
      <c r="M18" s="3013"/>
      <c r="N18" s="3013"/>
      <c r="O18" s="3014" t="s">
        <v>6390</v>
      </c>
      <c r="P18" s="3014" t="s">
        <v>6389</v>
      </c>
    </row>
    <row r="19" spans="1:16" ht="16.5">
      <c r="A19" s="3008">
        <v>15</v>
      </c>
      <c r="B19" s="3009" t="s">
        <v>6409</v>
      </c>
      <c r="C19" s="3010"/>
      <c r="D19" s="3008" t="s">
        <v>6403</v>
      </c>
      <c r="E19" s="3008" t="s">
        <v>6388</v>
      </c>
      <c r="F19" s="3008" t="s">
        <v>6388</v>
      </c>
      <c r="G19" s="3014"/>
      <c r="H19" s="3008" t="s">
        <v>6388</v>
      </c>
      <c r="I19" s="3013"/>
      <c r="J19" s="3013"/>
      <c r="K19" s="3013"/>
      <c r="L19" s="3013"/>
      <c r="M19" s="3013"/>
      <c r="N19" s="3013"/>
      <c r="O19" s="3014" t="s">
        <v>6390</v>
      </c>
      <c r="P19" s="3014" t="s">
        <v>6389</v>
      </c>
    </row>
    <row r="20" spans="1:16" ht="16.5">
      <c r="A20" s="3008">
        <v>16</v>
      </c>
      <c r="B20" s="3009" t="s">
        <v>6410</v>
      </c>
      <c r="C20" s="3010"/>
      <c r="D20" s="3008" t="s">
        <v>6392</v>
      </c>
      <c r="E20" s="3008" t="s">
        <v>6389</v>
      </c>
      <c r="F20" s="3008" t="s">
        <v>6389</v>
      </c>
      <c r="G20" s="3014"/>
      <c r="H20" s="3008"/>
      <c r="I20" s="3013"/>
      <c r="J20" s="3013"/>
      <c r="K20" s="3013"/>
      <c r="L20" s="3013"/>
      <c r="M20" s="3013"/>
      <c r="N20" s="3013"/>
      <c r="O20" s="3014" t="s">
        <v>6390</v>
      </c>
      <c r="P20" s="3014" t="s">
        <v>6389</v>
      </c>
    </row>
    <row r="21" spans="1:16" ht="16.5">
      <c r="A21" s="3008">
        <v>17</v>
      </c>
      <c r="B21" s="3009" t="s">
        <v>6411</v>
      </c>
      <c r="C21" s="3010"/>
      <c r="D21" s="3011" t="s">
        <v>6387</v>
      </c>
      <c r="E21" s="3008" t="s">
        <v>6388</v>
      </c>
      <c r="F21" s="3008" t="s">
        <v>6394</v>
      </c>
      <c r="G21" s="3008" t="s">
        <v>6395</v>
      </c>
      <c r="H21" s="3008" t="s">
        <v>6388</v>
      </c>
      <c r="I21" s="3013"/>
      <c r="J21" s="3013"/>
      <c r="K21" s="3013"/>
      <c r="L21" s="3013"/>
      <c r="M21" s="3013"/>
      <c r="N21" s="3013"/>
      <c r="O21" s="3014" t="s">
        <v>6390</v>
      </c>
      <c r="P21" s="3014" t="s">
        <v>6389</v>
      </c>
    </row>
    <row r="22" spans="1:16" ht="16.5">
      <c r="A22" s="3008">
        <v>18</v>
      </c>
      <c r="B22" s="3009" t="s">
        <v>6412</v>
      </c>
      <c r="C22" s="3010"/>
      <c r="D22" s="3011" t="s">
        <v>6387</v>
      </c>
      <c r="E22" s="3008" t="s">
        <v>6388</v>
      </c>
      <c r="F22" s="3008" t="s">
        <v>6394</v>
      </c>
      <c r="G22" s="3008" t="s">
        <v>6395</v>
      </c>
      <c r="H22" s="3008" t="s">
        <v>6388</v>
      </c>
      <c r="I22" s="3013"/>
      <c r="J22" s="3013"/>
      <c r="K22" s="3013"/>
      <c r="L22" s="3013"/>
      <c r="M22" s="3013"/>
      <c r="N22" s="3013"/>
      <c r="O22" s="3014" t="s">
        <v>6390</v>
      </c>
      <c r="P22" s="3014" t="s">
        <v>6389</v>
      </c>
    </row>
    <row r="23" spans="1:16" ht="16.5">
      <c r="A23" s="3008">
        <v>19</v>
      </c>
      <c r="B23" s="3009" t="s">
        <v>6413</v>
      </c>
      <c r="C23" s="3010"/>
      <c r="D23" s="3011" t="s">
        <v>6387</v>
      </c>
      <c r="E23" s="3008" t="s">
        <v>6388</v>
      </c>
      <c r="F23" s="3008" t="s">
        <v>6394</v>
      </c>
      <c r="G23" s="3008" t="s">
        <v>6395</v>
      </c>
      <c r="H23" s="3008" t="s">
        <v>6388</v>
      </c>
      <c r="I23" s="3013"/>
      <c r="J23" s="3013"/>
      <c r="K23" s="3013"/>
      <c r="L23" s="3013"/>
      <c r="M23" s="3013"/>
      <c r="N23" s="3013"/>
      <c r="O23" s="3014" t="s">
        <v>6390</v>
      </c>
      <c r="P23" s="3014" t="s">
        <v>6389</v>
      </c>
    </row>
    <row r="24" spans="1:16" ht="16.5">
      <c r="A24" s="3008">
        <v>20</v>
      </c>
      <c r="B24" s="3009" t="s">
        <v>6414</v>
      </c>
      <c r="C24" s="3010"/>
      <c r="D24" s="3011" t="s">
        <v>6387</v>
      </c>
      <c r="E24" s="3008" t="s">
        <v>6388</v>
      </c>
      <c r="F24" s="3008" t="s">
        <v>6394</v>
      </c>
      <c r="G24" s="3008" t="s">
        <v>6395</v>
      </c>
      <c r="H24" s="3008" t="s">
        <v>6388</v>
      </c>
      <c r="I24" s="3013"/>
      <c r="J24" s="3013"/>
      <c r="K24" s="3013"/>
      <c r="L24" s="3013"/>
      <c r="M24" s="3013"/>
      <c r="N24" s="3013"/>
      <c r="O24" s="3014" t="s">
        <v>6390</v>
      </c>
      <c r="P24" s="3014" t="s">
        <v>6389</v>
      </c>
    </row>
    <row r="25" spans="1:16" ht="16.5">
      <c r="A25" s="3008">
        <v>21</v>
      </c>
      <c r="B25" s="3009" t="s">
        <v>6415</v>
      </c>
      <c r="C25" s="3010"/>
      <c r="D25" s="3011" t="s">
        <v>6387</v>
      </c>
      <c r="E25" s="3008" t="s">
        <v>6416</v>
      </c>
      <c r="F25" s="3008" t="s">
        <v>6417</v>
      </c>
      <c r="G25" s="3008" t="s">
        <v>6418</v>
      </c>
      <c r="H25" s="3008" t="s">
        <v>6416</v>
      </c>
      <c r="I25" s="3013"/>
      <c r="J25" s="3013"/>
      <c r="K25" s="3013"/>
      <c r="L25" s="3013"/>
      <c r="M25" s="3013"/>
      <c r="N25" s="3013"/>
      <c r="O25" s="3014" t="s">
        <v>6390</v>
      </c>
      <c r="P25" s="3014" t="s">
        <v>6389</v>
      </c>
    </row>
    <row r="26" spans="1:16" ht="16.5">
      <c r="A26" s="3008">
        <v>22</v>
      </c>
      <c r="B26" s="3009" t="s">
        <v>6419</v>
      </c>
      <c r="C26" s="3010"/>
      <c r="D26" s="3011" t="s">
        <v>6387</v>
      </c>
      <c r="E26" s="3008" t="s">
        <v>6388</v>
      </c>
      <c r="F26" s="3008" t="s">
        <v>6394</v>
      </c>
      <c r="G26" s="3008" t="s">
        <v>6420</v>
      </c>
      <c r="H26" s="3008" t="s">
        <v>6388</v>
      </c>
      <c r="I26" s="3013"/>
      <c r="J26" s="3013"/>
      <c r="K26" s="3013"/>
      <c r="L26" s="3013"/>
      <c r="M26" s="3013"/>
      <c r="N26" s="3013"/>
      <c r="O26" s="3014" t="s">
        <v>6390</v>
      </c>
      <c r="P26" s="3014" t="s">
        <v>6389</v>
      </c>
    </row>
    <row r="27" spans="1:16" ht="16.5">
      <c r="A27" s="3008">
        <v>23</v>
      </c>
      <c r="B27" s="3009" t="s">
        <v>6421</v>
      </c>
      <c r="C27" s="3010"/>
      <c r="D27" s="3011" t="s">
        <v>6387</v>
      </c>
      <c r="E27" s="3008" t="s">
        <v>6388</v>
      </c>
      <c r="F27" s="3008" t="s">
        <v>6394</v>
      </c>
      <c r="G27" s="3008" t="s">
        <v>6422</v>
      </c>
      <c r="H27" s="3008" t="s">
        <v>6388</v>
      </c>
      <c r="I27" s="3013"/>
      <c r="J27" s="3013"/>
      <c r="K27" s="3013"/>
      <c r="L27" s="3013"/>
      <c r="M27" s="3013"/>
      <c r="N27" s="3013"/>
      <c r="O27" s="3014" t="s">
        <v>6390</v>
      </c>
      <c r="P27" s="3014" t="s">
        <v>6389</v>
      </c>
    </row>
    <row r="28" spans="1:16" ht="16.5">
      <c r="A28" s="3008">
        <v>24</v>
      </c>
      <c r="B28" s="3009" t="s">
        <v>6423</v>
      </c>
      <c r="C28" s="3010"/>
      <c r="D28" s="3011" t="s">
        <v>6387</v>
      </c>
      <c r="E28" s="3008" t="s">
        <v>6388</v>
      </c>
      <c r="F28" s="3008" t="s">
        <v>6388</v>
      </c>
      <c r="G28" s="3014"/>
      <c r="H28" s="3008" t="s">
        <v>6388</v>
      </c>
      <c r="I28" s="3013"/>
      <c r="J28" s="3013"/>
      <c r="K28" s="3013"/>
      <c r="L28" s="3013"/>
      <c r="M28" s="3013"/>
      <c r="N28" s="3013"/>
      <c r="O28" s="3014" t="s">
        <v>6390</v>
      </c>
      <c r="P28" s="3014" t="s">
        <v>6389</v>
      </c>
    </row>
    <row r="29" spans="1:16" ht="16.5">
      <c r="A29" s="3008">
        <v>25</v>
      </c>
      <c r="B29" s="3009" t="s">
        <v>6424</v>
      </c>
      <c r="C29" s="3010"/>
      <c r="D29" s="3011" t="s">
        <v>6387</v>
      </c>
      <c r="E29" s="3008" t="s">
        <v>6388</v>
      </c>
      <c r="F29" s="3008" t="s">
        <v>6394</v>
      </c>
      <c r="G29" s="3008" t="s">
        <v>6425</v>
      </c>
      <c r="H29" s="3008" t="s">
        <v>6388</v>
      </c>
      <c r="I29" s="3013"/>
      <c r="J29" s="3013"/>
      <c r="K29" s="3013"/>
      <c r="L29" s="3013"/>
      <c r="M29" s="3013"/>
      <c r="N29" s="3013"/>
      <c r="O29" s="3014" t="s">
        <v>6390</v>
      </c>
      <c r="P29" s="3014" t="s">
        <v>6389</v>
      </c>
    </row>
    <row r="30" spans="1:16" ht="16.5">
      <c r="A30" s="3008">
        <v>26</v>
      </c>
      <c r="B30" s="3009" t="s">
        <v>6426</v>
      </c>
      <c r="C30" s="3010"/>
      <c r="D30" s="3011" t="s">
        <v>6387</v>
      </c>
      <c r="E30" s="3008" t="s">
        <v>6388</v>
      </c>
      <c r="F30" s="3008" t="s">
        <v>6388</v>
      </c>
      <c r="G30" s="3014"/>
      <c r="H30" s="3008" t="s">
        <v>6388</v>
      </c>
      <c r="I30" s="3013"/>
      <c r="J30" s="3013"/>
      <c r="K30" s="3013"/>
      <c r="L30" s="3013"/>
      <c r="M30" s="3013"/>
      <c r="N30" s="3013"/>
      <c r="O30" s="3014" t="s">
        <v>6390</v>
      </c>
      <c r="P30" s="3014" t="s">
        <v>6389</v>
      </c>
    </row>
    <row r="31" spans="1:16" ht="16.5">
      <c r="A31" s="3008">
        <v>27</v>
      </c>
      <c r="B31" s="3016" t="s">
        <v>6427</v>
      </c>
      <c r="C31" s="3010"/>
      <c r="D31" s="3011" t="s">
        <v>6387</v>
      </c>
      <c r="E31" s="3008" t="s">
        <v>6388</v>
      </c>
      <c r="F31" s="3008" t="s">
        <v>6394</v>
      </c>
      <c r="G31" s="3008" t="s">
        <v>6428</v>
      </c>
      <c r="H31" s="3008" t="s">
        <v>6388</v>
      </c>
      <c r="I31" s="3013"/>
      <c r="J31" s="3013"/>
      <c r="K31" s="3013"/>
      <c r="L31" s="3013"/>
      <c r="M31" s="3013"/>
      <c r="N31" s="3013"/>
      <c r="O31" s="3014" t="s">
        <v>6390</v>
      </c>
      <c r="P31" s="3014" t="s">
        <v>6389</v>
      </c>
    </row>
    <row r="32" spans="1:16" ht="16.5">
      <c r="A32" s="3008">
        <v>28</v>
      </c>
      <c r="B32" s="3017" t="s">
        <v>6429</v>
      </c>
      <c r="C32" s="3010"/>
      <c r="D32" s="3011" t="s">
        <v>6387</v>
      </c>
      <c r="E32" s="3008" t="s">
        <v>6388</v>
      </c>
      <c r="F32" s="3008" t="s">
        <v>6388</v>
      </c>
      <c r="G32" s="3014"/>
      <c r="H32" s="3008" t="s">
        <v>6388</v>
      </c>
      <c r="I32" s="3013"/>
      <c r="J32" s="3013"/>
      <c r="K32" s="3013"/>
      <c r="L32" s="3013"/>
      <c r="M32" s="3013"/>
      <c r="N32" s="3013"/>
      <c r="O32" s="3014" t="s">
        <v>6390</v>
      </c>
      <c r="P32" s="3014" t="s">
        <v>6389</v>
      </c>
    </row>
    <row r="33" spans="1:16" ht="16.5">
      <c r="A33" s="3008">
        <v>29</v>
      </c>
      <c r="B33" s="3009" t="s">
        <v>6430</v>
      </c>
      <c r="C33" s="3010"/>
      <c r="D33" s="3011" t="s">
        <v>6387</v>
      </c>
      <c r="E33" s="3008" t="s">
        <v>6388</v>
      </c>
      <c r="F33" s="3008" t="s">
        <v>6394</v>
      </c>
      <c r="G33" s="3008" t="s">
        <v>6431</v>
      </c>
      <c r="H33" s="3008" t="s">
        <v>6388</v>
      </c>
      <c r="I33" s="3013"/>
      <c r="J33" s="3013"/>
      <c r="K33" s="3013"/>
      <c r="L33" s="3013"/>
      <c r="M33" s="3013"/>
      <c r="N33" s="3013"/>
      <c r="O33" s="3014" t="s">
        <v>6390</v>
      </c>
      <c r="P33" s="3014" t="s">
        <v>6389</v>
      </c>
    </row>
    <row r="34" spans="1:16" ht="16.5">
      <c r="A34" s="3008">
        <v>30</v>
      </c>
      <c r="B34" s="3009" t="s">
        <v>6432</v>
      </c>
      <c r="C34" s="3010"/>
      <c r="D34" s="3011" t="s">
        <v>6387</v>
      </c>
      <c r="E34" s="3008" t="s">
        <v>6388</v>
      </c>
      <c r="F34" s="3008" t="s">
        <v>6388</v>
      </c>
      <c r="G34" s="3014"/>
      <c r="H34" s="3008" t="s">
        <v>6388</v>
      </c>
      <c r="I34" s="3013"/>
      <c r="J34" s="3013"/>
      <c r="K34" s="3013"/>
      <c r="L34" s="3013"/>
      <c r="M34" s="3013"/>
      <c r="N34" s="3013"/>
      <c r="O34" s="3014" t="s">
        <v>6390</v>
      </c>
      <c r="P34" s="3014" t="s">
        <v>6389</v>
      </c>
    </row>
    <row r="35" spans="1:16" ht="16.5">
      <c r="A35" s="3008">
        <v>31</v>
      </c>
      <c r="B35" s="3018" t="s">
        <v>6433</v>
      </c>
      <c r="C35" s="3018"/>
      <c r="D35" s="3011" t="s">
        <v>6387</v>
      </c>
      <c r="E35" s="3008" t="s">
        <v>6388</v>
      </c>
      <c r="F35" s="3008" t="s">
        <v>6394</v>
      </c>
      <c r="G35" s="3008" t="s">
        <v>6418</v>
      </c>
      <c r="H35" s="3008" t="s">
        <v>6388</v>
      </c>
      <c r="I35" s="3013"/>
      <c r="J35" s="3013"/>
      <c r="K35" s="3013"/>
      <c r="L35" s="3013"/>
      <c r="M35" s="3013"/>
      <c r="N35" s="3013"/>
      <c r="O35" s="3014" t="s">
        <v>6390</v>
      </c>
      <c r="P35" s="3014" t="s">
        <v>6389</v>
      </c>
    </row>
    <row r="36" spans="1:16" ht="16.5">
      <c r="A36" s="3008">
        <v>32</v>
      </c>
      <c r="B36" s="3018" t="s">
        <v>6434</v>
      </c>
      <c r="C36" s="3010"/>
      <c r="D36" s="3011" t="s">
        <v>6387</v>
      </c>
      <c r="E36" s="3008" t="s">
        <v>6388</v>
      </c>
      <c r="F36" s="3008" t="s">
        <v>6394</v>
      </c>
      <c r="G36" s="3008" t="s">
        <v>6418</v>
      </c>
      <c r="H36" s="3008" t="s">
        <v>6388</v>
      </c>
      <c r="I36" s="3013"/>
      <c r="J36" s="3013"/>
      <c r="K36" s="3013"/>
      <c r="L36" s="3013"/>
      <c r="M36" s="3013"/>
      <c r="N36" s="3013"/>
      <c r="O36" s="3014" t="s">
        <v>6390</v>
      </c>
      <c r="P36" s="3014" t="s">
        <v>6389</v>
      </c>
    </row>
    <row r="37" spans="1:16" ht="16.5">
      <c r="A37" s="3008">
        <v>33</v>
      </c>
      <c r="B37" s="3009" t="s">
        <v>6435</v>
      </c>
      <c r="C37" s="3010"/>
      <c r="D37" s="3011" t="s">
        <v>6387</v>
      </c>
      <c r="E37" s="3008" t="s">
        <v>6388</v>
      </c>
      <c r="F37" s="3008" t="s">
        <v>6394</v>
      </c>
      <c r="G37" s="3008" t="s">
        <v>6436</v>
      </c>
      <c r="H37" s="3008" t="s">
        <v>6388</v>
      </c>
      <c r="I37" s="3013"/>
      <c r="J37" s="3013"/>
      <c r="K37" s="3013"/>
      <c r="L37" s="3013"/>
      <c r="M37" s="3013"/>
      <c r="N37" s="3013"/>
      <c r="O37" s="3014" t="s">
        <v>6390</v>
      </c>
      <c r="P37" s="3014" t="s">
        <v>6389</v>
      </c>
    </row>
    <row r="38" spans="1:16" ht="16.5">
      <c r="A38" s="3008">
        <v>34</v>
      </c>
      <c r="B38" s="3009" t="s">
        <v>6437</v>
      </c>
      <c r="C38" s="3010"/>
      <c r="D38" s="3011" t="s">
        <v>6387</v>
      </c>
      <c r="E38" s="3008" t="s">
        <v>6388</v>
      </c>
      <c r="F38" s="3008" t="s">
        <v>6388</v>
      </c>
      <c r="G38" s="3014"/>
      <c r="H38" s="3008" t="s">
        <v>6388</v>
      </c>
      <c r="I38" s="3013"/>
      <c r="J38" s="3013"/>
      <c r="K38" s="3013"/>
      <c r="L38" s="3013"/>
      <c r="M38" s="3013"/>
      <c r="N38" s="3013"/>
      <c r="O38" s="3014" t="s">
        <v>6390</v>
      </c>
      <c r="P38" s="3014" t="s">
        <v>6389</v>
      </c>
    </row>
    <row r="39" spans="1:16" ht="16.5">
      <c r="A39" s="3008">
        <v>35</v>
      </c>
      <c r="B39" s="3009" t="s">
        <v>6438</v>
      </c>
      <c r="C39" s="3010"/>
      <c r="D39" s="3011" t="s">
        <v>6387</v>
      </c>
      <c r="E39" s="3008" t="s">
        <v>6388</v>
      </c>
      <c r="F39" s="3008" t="s">
        <v>6394</v>
      </c>
      <c r="G39" s="3008" t="s">
        <v>6439</v>
      </c>
      <c r="H39" s="3008" t="s">
        <v>6388</v>
      </c>
      <c r="I39" s="3013"/>
      <c r="J39" s="3013"/>
      <c r="K39" s="3013"/>
      <c r="L39" s="3013"/>
      <c r="M39" s="3013"/>
      <c r="N39" s="3013"/>
      <c r="O39" s="3014" t="s">
        <v>6390</v>
      </c>
      <c r="P39" s="3014" t="s">
        <v>6389</v>
      </c>
    </row>
    <row r="40" spans="1:16" ht="16.5">
      <c r="A40" s="3008">
        <v>36</v>
      </c>
      <c r="B40" s="3009" t="s">
        <v>6440</v>
      </c>
      <c r="C40" s="3010"/>
      <c r="D40" s="3011" t="s">
        <v>6387</v>
      </c>
      <c r="E40" s="3008" t="s">
        <v>6388</v>
      </c>
      <c r="F40" s="3008" t="s">
        <v>6388</v>
      </c>
      <c r="G40" s="3014"/>
      <c r="H40" s="3008" t="s">
        <v>6388</v>
      </c>
      <c r="I40" s="3013"/>
      <c r="J40" s="3013"/>
      <c r="K40" s="3013"/>
      <c r="L40" s="3013"/>
      <c r="M40" s="3013"/>
      <c r="N40" s="3013"/>
      <c r="O40" s="3014" t="s">
        <v>6390</v>
      </c>
      <c r="P40" s="3014" t="s">
        <v>6389</v>
      </c>
    </row>
    <row r="41" spans="1:16" ht="16.5">
      <c r="A41" s="3008">
        <v>37</v>
      </c>
      <c r="B41" s="3009" t="s">
        <v>6441</v>
      </c>
      <c r="C41" s="3010"/>
      <c r="D41" s="3008" t="s">
        <v>6403</v>
      </c>
      <c r="E41" s="3008" t="s">
        <v>6388</v>
      </c>
      <c r="F41" s="3008" t="s">
        <v>6394</v>
      </c>
      <c r="G41" s="3008" t="s">
        <v>6395</v>
      </c>
      <c r="H41" s="3008" t="s">
        <v>6388</v>
      </c>
      <c r="I41" s="3013"/>
      <c r="J41" s="3013"/>
      <c r="K41" s="3013"/>
      <c r="L41" s="3013"/>
      <c r="M41" s="3013"/>
      <c r="N41" s="3013"/>
      <c r="O41" s="3014" t="s">
        <v>6390</v>
      </c>
      <c r="P41" s="3014" t="s">
        <v>6389</v>
      </c>
    </row>
    <row r="42" spans="1:16" ht="16.5">
      <c r="A42" s="3008">
        <v>38</v>
      </c>
      <c r="B42" s="3009" t="s">
        <v>6442</v>
      </c>
      <c r="C42" s="3010"/>
      <c r="D42" s="3008" t="s">
        <v>6403</v>
      </c>
      <c r="E42" s="3008" t="s">
        <v>6388</v>
      </c>
      <c r="F42" s="3008" t="s">
        <v>6388</v>
      </c>
      <c r="G42" s="3014"/>
      <c r="H42" s="3008" t="s">
        <v>6388</v>
      </c>
      <c r="I42" s="3013"/>
      <c r="J42" s="3013"/>
      <c r="K42" s="3013"/>
      <c r="L42" s="3013"/>
      <c r="M42" s="3013"/>
      <c r="N42" s="3013"/>
      <c r="O42" s="3014" t="s">
        <v>6390</v>
      </c>
      <c r="P42" s="3014" t="s">
        <v>6389</v>
      </c>
    </row>
    <row r="43" spans="1:16" ht="16.5">
      <c r="A43" s="3008">
        <v>39</v>
      </c>
      <c r="B43" s="3009" t="s">
        <v>6443</v>
      </c>
      <c r="C43" s="3010"/>
      <c r="D43" s="3011" t="s">
        <v>6387</v>
      </c>
      <c r="E43" s="3008" t="s">
        <v>6388</v>
      </c>
      <c r="F43" s="3008" t="s">
        <v>6394</v>
      </c>
      <c r="G43" s="3008" t="s">
        <v>6444</v>
      </c>
      <c r="H43" s="3008" t="s">
        <v>6388</v>
      </c>
      <c r="I43" s="3013"/>
      <c r="J43" s="3013"/>
      <c r="K43" s="3013"/>
      <c r="L43" s="3013"/>
      <c r="M43" s="3013"/>
      <c r="N43" s="3013"/>
      <c r="O43" s="3014" t="s">
        <v>6390</v>
      </c>
      <c r="P43" s="3014" t="s">
        <v>6389</v>
      </c>
    </row>
    <row r="44" spans="1:16" ht="16.5">
      <c r="A44" s="3008">
        <v>40</v>
      </c>
      <c r="B44" s="3009" t="s">
        <v>6445</v>
      </c>
      <c r="C44" s="3010"/>
      <c r="D44" s="3011" t="s">
        <v>6387</v>
      </c>
      <c r="E44" s="3008" t="s">
        <v>6388</v>
      </c>
      <c r="F44" s="3011" t="s">
        <v>6417</v>
      </c>
      <c r="G44" s="3011" t="s">
        <v>6395</v>
      </c>
      <c r="H44" s="3008" t="s">
        <v>6388</v>
      </c>
      <c r="I44" s="3013"/>
      <c r="J44" s="3013"/>
      <c r="K44" s="3013"/>
      <c r="L44" s="3013"/>
      <c r="M44" s="3013"/>
      <c r="N44" s="3013"/>
      <c r="O44" s="3014" t="s">
        <v>6390</v>
      </c>
      <c r="P44" s="3014" t="s">
        <v>6389</v>
      </c>
    </row>
    <row r="45" spans="1:16" ht="16.5">
      <c r="A45" s="3008">
        <v>41</v>
      </c>
      <c r="B45" s="3009" t="s">
        <v>6446</v>
      </c>
      <c r="C45" s="3010"/>
      <c r="D45" s="3008" t="s">
        <v>6403</v>
      </c>
      <c r="E45" s="3008" t="s">
        <v>6388</v>
      </c>
      <c r="F45" s="3008" t="s">
        <v>6394</v>
      </c>
      <c r="G45" s="3008" t="s">
        <v>6447</v>
      </c>
      <c r="H45" s="3008" t="s">
        <v>6388</v>
      </c>
      <c r="I45" s="3013"/>
      <c r="J45" s="3013"/>
      <c r="K45" s="3013"/>
      <c r="L45" s="3013"/>
      <c r="M45" s="3013"/>
      <c r="N45" s="3013"/>
      <c r="O45" s="3014" t="s">
        <v>6390</v>
      </c>
      <c r="P45" s="3014" t="s">
        <v>6389</v>
      </c>
    </row>
    <row r="46" spans="1:16" s="1526" customFormat="1" ht="16.5">
      <c r="A46" s="3008">
        <v>42</v>
      </c>
      <c r="B46" s="3019" t="s">
        <v>6448</v>
      </c>
      <c r="C46" s="3020"/>
      <c r="D46" s="3011" t="s">
        <v>6387</v>
      </c>
      <c r="E46" s="3011" t="s">
        <v>6388</v>
      </c>
      <c r="F46" s="3011" t="s">
        <v>6394</v>
      </c>
      <c r="G46" s="3008" t="s">
        <v>6449</v>
      </c>
      <c r="H46" s="3011" t="s">
        <v>6388</v>
      </c>
      <c r="I46" s="3020"/>
      <c r="J46" s="3020"/>
      <c r="K46" s="3020"/>
      <c r="L46" s="3020"/>
      <c r="M46" s="3020"/>
      <c r="N46" s="3020"/>
      <c r="O46" s="3021" t="s">
        <v>6390</v>
      </c>
      <c r="P46" s="3014" t="s">
        <v>6389</v>
      </c>
    </row>
    <row r="47" spans="1:16" ht="16.5">
      <c r="A47" s="3008">
        <v>43</v>
      </c>
      <c r="B47" s="3009" t="s">
        <v>6450</v>
      </c>
      <c r="C47" s="3010"/>
      <c r="D47" s="3011" t="s">
        <v>6387</v>
      </c>
      <c r="E47" s="3008" t="s">
        <v>6388</v>
      </c>
      <c r="F47" s="3008" t="s">
        <v>6394</v>
      </c>
      <c r="G47" s="3014" t="s">
        <v>6395</v>
      </c>
      <c r="H47" s="3008" t="s">
        <v>6388</v>
      </c>
      <c r="I47" s="3013"/>
      <c r="J47" s="3013"/>
      <c r="K47" s="3013"/>
      <c r="L47" s="3013"/>
      <c r="M47" s="3013"/>
      <c r="N47" s="3013"/>
      <c r="O47" s="3014" t="s">
        <v>6390</v>
      </c>
      <c r="P47" s="3014" t="s">
        <v>6389</v>
      </c>
    </row>
    <row r="48" spans="1:16" ht="16.5">
      <c r="A48" s="3008">
        <v>44</v>
      </c>
      <c r="B48" s="3009" t="s">
        <v>6451</v>
      </c>
      <c r="C48" s="3010"/>
      <c r="D48" s="3011" t="s">
        <v>6387</v>
      </c>
      <c r="E48" s="3008" t="s">
        <v>6388</v>
      </c>
      <c r="F48" s="3008" t="s">
        <v>6394</v>
      </c>
      <c r="G48" s="3008" t="s">
        <v>6452</v>
      </c>
      <c r="H48" s="3008" t="s">
        <v>6388</v>
      </c>
      <c r="I48" s="3013"/>
      <c r="J48" s="3013"/>
      <c r="K48" s="3013"/>
      <c r="L48" s="3013"/>
      <c r="M48" s="3013"/>
      <c r="N48" s="3013"/>
      <c r="O48" s="3014" t="s">
        <v>6390</v>
      </c>
      <c r="P48" s="3014" t="s">
        <v>6389</v>
      </c>
    </row>
    <row r="49" spans="1:16" ht="16.5">
      <c r="A49" s="3008">
        <v>45</v>
      </c>
      <c r="B49" s="3009" t="s">
        <v>6453</v>
      </c>
      <c r="C49" s="3010"/>
      <c r="D49" s="3008" t="s">
        <v>6403</v>
      </c>
      <c r="E49" s="3008" t="s">
        <v>6388</v>
      </c>
      <c r="F49" s="3008" t="s">
        <v>6388</v>
      </c>
      <c r="G49" s="3014"/>
      <c r="H49" s="3008" t="s">
        <v>6388</v>
      </c>
      <c r="I49" s="3013"/>
      <c r="J49" s="3013"/>
      <c r="K49" s="3013"/>
      <c r="L49" s="3013"/>
      <c r="M49" s="3013"/>
      <c r="N49" s="3013"/>
      <c r="O49" s="3014" t="s">
        <v>6390</v>
      </c>
      <c r="P49" s="3014" t="s">
        <v>6389</v>
      </c>
    </row>
    <row r="50" spans="1:16" ht="16.5">
      <c r="A50" s="3008">
        <v>46</v>
      </c>
      <c r="B50" s="3009" t="s">
        <v>6454</v>
      </c>
      <c r="C50" s="3010"/>
      <c r="D50" s="3008" t="s">
        <v>6403</v>
      </c>
      <c r="E50" s="3008" t="s">
        <v>6388</v>
      </c>
      <c r="F50" s="3008" t="s">
        <v>6388</v>
      </c>
      <c r="G50" s="3014"/>
      <c r="H50" s="3008" t="s">
        <v>6388</v>
      </c>
      <c r="I50" s="3013"/>
      <c r="J50" s="3013"/>
      <c r="K50" s="3013"/>
      <c r="L50" s="3013"/>
      <c r="M50" s="3013"/>
      <c r="N50" s="3013"/>
      <c r="O50" s="3014" t="s">
        <v>6390</v>
      </c>
      <c r="P50" s="3014" t="s">
        <v>6389</v>
      </c>
    </row>
    <row r="51" spans="1:16" ht="16.5">
      <c r="A51" s="3008">
        <v>47</v>
      </c>
      <c r="B51" s="3009" t="s">
        <v>6455</v>
      </c>
      <c r="C51" s="3010"/>
      <c r="D51" s="3008" t="s">
        <v>6403</v>
      </c>
      <c r="E51" s="3008" t="s">
        <v>6388</v>
      </c>
      <c r="F51" s="3008" t="s">
        <v>6394</v>
      </c>
      <c r="G51" s="3014"/>
      <c r="H51" s="3008" t="s">
        <v>6388</v>
      </c>
      <c r="I51" s="3013"/>
      <c r="J51" s="3013"/>
      <c r="K51" s="3013"/>
      <c r="L51" s="3013"/>
      <c r="M51" s="3013"/>
      <c r="N51" s="3013"/>
      <c r="O51" s="3014" t="s">
        <v>6390</v>
      </c>
      <c r="P51" s="3014" t="s">
        <v>6389</v>
      </c>
    </row>
    <row r="52" spans="1:16" ht="16.5">
      <c r="A52" s="3008">
        <v>48</v>
      </c>
      <c r="B52" s="3022" t="s">
        <v>6456</v>
      </c>
      <c r="C52" s="3010"/>
      <c r="D52" s="3011" t="s">
        <v>6387</v>
      </c>
      <c r="E52" s="3008" t="s">
        <v>6388</v>
      </c>
      <c r="F52" s="3008" t="s">
        <v>6394</v>
      </c>
      <c r="G52" s="3008" t="s">
        <v>6457</v>
      </c>
      <c r="H52" s="3008" t="s">
        <v>6388</v>
      </c>
      <c r="I52" s="3013"/>
      <c r="J52" s="3013"/>
      <c r="K52" s="3013"/>
      <c r="L52" s="3013"/>
      <c r="M52" s="3013"/>
      <c r="N52" s="3013"/>
      <c r="O52" s="3014" t="s">
        <v>6390</v>
      </c>
      <c r="P52" s="3014" t="s">
        <v>6389</v>
      </c>
    </row>
    <row r="53" spans="1:16" ht="16.5">
      <c r="A53" s="3008">
        <v>49</v>
      </c>
      <c r="B53" s="3022" t="s">
        <v>6458</v>
      </c>
      <c r="C53" s="3010"/>
      <c r="D53" s="3011" t="s">
        <v>6387</v>
      </c>
      <c r="E53" s="3008" t="s">
        <v>6388</v>
      </c>
      <c r="F53" s="3008" t="s">
        <v>6394</v>
      </c>
      <c r="G53" s="3008" t="s">
        <v>6459</v>
      </c>
      <c r="H53" s="3008" t="s">
        <v>6388</v>
      </c>
      <c r="I53" s="3013"/>
      <c r="J53" s="3013"/>
      <c r="K53" s="3013"/>
      <c r="L53" s="3013"/>
      <c r="M53" s="3013"/>
      <c r="N53" s="3013"/>
      <c r="O53" s="3014" t="s">
        <v>6390</v>
      </c>
      <c r="P53" s="3014" t="s">
        <v>6389</v>
      </c>
    </row>
    <row r="54" spans="1:16" ht="16.5">
      <c r="A54" s="3008">
        <v>50</v>
      </c>
      <c r="B54" s="3022" t="s">
        <v>6460</v>
      </c>
      <c r="C54" s="3010"/>
      <c r="D54" s="3011" t="s">
        <v>6387</v>
      </c>
      <c r="E54" s="3008" t="s">
        <v>6388</v>
      </c>
      <c r="F54" s="3008" t="s">
        <v>6394</v>
      </c>
      <c r="G54" s="3008" t="s">
        <v>6461</v>
      </c>
      <c r="H54" s="3008" t="s">
        <v>6388</v>
      </c>
      <c r="I54" s="3013"/>
      <c r="J54" s="3013"/>
      <c r="K54" s="3013"/>
      <c r="L54" s="3013"/>
      <c r="M54" s="3013"/>
      <c r="N54" s="3013"/>
      <c r="O54" s="3014" t="s">
        <v>6390</v>
      </c>
      <c r="P54" s="3014" t="s">
        <v>6389</v>
      </c>
    </row>
    <row r="55" spans="1:16" ht="16.5">
      <c r="A55" s="3008">
        <v>51</v>
      </c>
      <c r="B55" s="3022" t="s">
        <v>6462</v>
      </c>
      <c r="C55" s="3010"/>
      <c r="D55" s="3011" t="s">
        <v>6387</v>
      </c>
      <c r="E55" s="3008" t="s">
        <v>6388</v>
      </c>
      <c r="F55" s="3008" t="s">
        <v>6394</v>
      </c>
      <c r="G55" s="3008" t="s">
        <v>6463</v>
      </c>
      <c r="H55" s="3008" t="s">
        <v>6388</v>
      </c>
      <c r="I55" s="3013"/>
      <c r="J55" s="3013"/>
      <c r="K55" s="3013"/>
      <c r="L55" s="3013"/>
      <c r="M55" s="3013"/>
      <c r="N55" s="3013"/>
      <c r="O55" s="3014" t="s">
        <v>6390</v>
      </c>
      <c r="P55" s="3014" t="s">
        <v>6389</v>
      </c>
    </row>
    <row r="56" spans="1:16" ht="16.5">
      <c r="A56" s="3008">
        <v>52</v>
      </c>
      <c r="B56" s="3022" t="s">
        <v>6464</v>
      </c>
      <c r="C56" s="3010"/>
      <c r="D56" s="3011" t="s">
        <v>6387</v>
      </c>
      <c r="E56" s="3008" t="s">
        <v>6388</v>
      </c>
      <c r="F56" s="3008" t="s">
        <v>6394</v>
      </c>
      <c r="G56" s="3008" t="s">
        <v>6465</v>
      </c>
      <c r="H56" s="3008" t="s">
        <v>6388</v>
      </c>
      <c r="I56" s="3013"/>
      <c r="J56" s="3013"/>
      <c r="K56" s="3013"/>
      <c r="L56" s="3013"/>
      <c r="M56" s="3013"/>
      <c r="N56" s="3013"/>
      <c r="O56" s="3014" t="s">
        <v>6390</v>
      </c>
      <c r="P56" s="3014" t="s">
        <v>6389</v>
      </c>
    </row>
    <row r="57" spans="1:16" ht="16.5">
      <c r="A57" s="3008">
        <v>53</v>
      </c>
      <c r="B57" s="3023" t="s">
        <v>6466</v>
      </c>
      <c r="C57" s="3010"/>
      <c r="D57" s="3011" t="s">
        <v>6387</v>
      </c>
      <c r="E57" s="3008" t="s">
        <v>6388</v>
      </c>
      <c r="F57" s="3008" t="s">
        <v>6394</v>
      </c>
      <c r="G57" s="3008" t="s">
        <v>6395</v>
      </c>
      <c r="H57" s="3008" t="s">
        <v>6388</v>
      </c>
      <c r="I57" s="3013"/>
      <c r="J57" s="3013"/>
      <c r="K57" s="3013"/>
      <c r="L57" s="3013"/>
      <c r="M57" s="3013"/>
      <c r="N57" s="3013"/>
      <c r="O57" s="3014" t="s">
        <v>6390</v>
      </c>
      <c r="P57" s="3014" t="s">
        <v>6389</v>
      </c>
    </row>
    <row r="58" spans="1:16" ht="16.5">
      <c r="A58" s="3008">
        <v>54</v>
      </c>
      <c r="B58" s="3023" t="s">
        <v>6467</v>
      </c>
      <c r="C58" s="3010"/>
      <c r="D58" s="3011" t="s">
        <v>6387</v>
      </c>
      <c r="E58" s="3008" t="s">
        <v>6388</v>
      </c>
      <c r="F58" s="3008" t="s">
        <v>6394</v>
      </c>
      <c r="G58" s="3008" t="s">
        <v>6395</v>
      </c>
      <c r="H58" s="3008" t="s">
        <v>6388</v>
      </c>
      <c r="I58" s="3013"/>
      <c r="J58" s="3013"/>
      <c r="K58" s="3013"/>
      <c r="L58" s="3013"/>
      <c r="M58" s="3013"/>
      <c r="N58" s="3013"/>
      <c r="O58" s="3014" t="s">
        <v>6390</v>
      </c>
      <c r="P58" s="3014" t="s">
        <v>6389</v>
      </c>
    </row>
    <row r="59" spans="1:16" ht="16.5">
      <c r="A59" s="3008">
        <v>55</v>
      </c>
      <c r="B59" s="3023" t="s">
        <v>6468</v>
      </c>
      <c r="C59" s="3010"/>
      <c r="D59" s="3011" t="s">
        <v>6387</v>
      </c>
      <c r="E59" s="3008" t="s">
        <v>6388</v>
      </c>
      <c r="F59" s="3008" t="s">
        <v>6394</v>
      </c>
      <c r="G59" s="3008" t="s">
        <v>6395</v>
      </c>
      <c r="H59" s="3008" t="s">
        <v>6388</v>
      </c>
      <c r="I59" s="3013"/>
      <c r="J59" s="3013"/>
      <c r="K59" s="3013"/>
      <c r="L59" s="3013"/>
      <c r="M59" s="3013"/>
      <c r="N59" s="3013"/>
      <c r="O59" s="3014" t="s">
        <v>6390</v>
      </c>
      <c r="P59" s="3014" t="s">
        <v>6389</v>
      </c>
    </row>
    <row r="60" spans="1:16" ht="16.5">
      <c r="A60" s="3008">
        <v>56</v>
      </c>
      <c r="B60" s="3009" t="s">
        <v>6469</v>
      </c>
      <c r="C60" s="3010"/>
      <c r="D60" s="3008" t="s">
        <v>6403</v>
      </c>
      <c r="E60" s="3008" t="s">
        <v>6388</v>
      </c>
      <c r="F60" s="3008" t="s">
        <v>6394</v>
      </c>
      <c r="G60" s="3008" t="s">
        <v>6470</v>
      </c>
      <c r="H60" s="3008" t="s">
        <v>6388</v>
      </c>
      <c r="I60" s="3013"/>
      <c r="J60" s="3013"/>
      <c r="K60" s="3013"/>
      <c r="L60" s="3013"/>
      <c r="M60" s="3013"/>
      <c r="N60" s="3013"/>
      <c r="O60" s="3014" t="s">
        <v>6390</v>
      </c>
      <c r="P60" s="3014" t="s">
        <v>6389</v>
      </c>
    </row>
    <row r="61" spans="1:16" ht="16.5">
      <c r="A61" s="3008">
        <v>57</v>
      </c>
      <c r="B61" s="3009" t="s">
        <v>6471</v>
      </c>
      <c r="C61" s="3010"/>
      <c r="D61" s="3008" t="s">
        <v>6403</v>
      </c>
      <c r="E61" s="3008" t="s">
        <v>6388</v>
      </c>
      <c r="F61" s="3008" t="s">
        <v>6388</v>
      </c>
      <c r="G61" s="3014"/>
      <c r="H61" s="3008" t="s">
        <v>6388</v>
      </c>
      <c r="I61" s="3013"/>
      <c r="J61" s="3013"/>
      <c r="K61" s="3013"/>
      <c r="L61" s="3013"/>
      <c r="M61" s="3013"/>
      <c r="N61" s="3013"/>
      <c r="O61" s="3014" t="s">
        <v>6390</v>
      </c>
      <c r="P61" s="3014" t="s">
        <v>6389</v>
      </c>
    </row>
    <row r="62" spans="1:16" ht="16.5">
      <c r="A62" s="3008">
        <f>A61+1</f>
        <v>58</v>
      </c>
      <c r="B62" s="3009" t="s">
        <v>6472</v>
      </c>
      <c r="C62" s="3010"/>
      <c r="D62" s="3008" t="s">
        <v>6403</v>
      </c>
      <c r="E62" s="3008" t="s">
        <v>6388</v>
      </c>
      <c r="F62" s="3008" t="s">
        <v>6388</v>
      </c>
      <c r="G62" s="3014"/>
      <c r="H62" s="3008" t="s">
        <v>6388</v>
      </c>
      <c r="I62" s="3013"/>
      <c r="J62" s="3013"/>
      <c r="K62" s="3013"/>
      <c r="L62" s="3013"/>
      <c r="M62" s="3013"/>
      <c r="N62" s="3013"/>
      <c r="O62" s="3014" t="s">
        <v>6390</v>
      </c>
      <c r="P62" s="3014" t="s">
        <v>6389</v>
      </c>
    </row>
    <row r="63" spans="1:16" ht="16.5">
      <c r="A63" s="3008">
        <v>59</v>
      </c>
      <c r="B63" s="3009" t="s">
        <v>6473</v>
      </c>
      <c r="C63" s="3010"/>
      <c r="D63" s="3011" t="s">
        <v>6387</v>
      </c>
      <c r="E63" s="3008" t="s">
        <v>6388</v>
      </c>
      <c r="F63" s="3008" t="s">
        <v>6394</v>
      </c>
      <c r="G63" s="3008" t="s">
        <v>6395</v>
      </c>
      <c r="H63" s="3008" t="s">
        <v>6388</v>
      </c>
      <c r="I63" s="3013"/>
      <c r="J63" s="3013"/>
      <c r="K63" s="3013"/>
      <c r="L63" s="3013"/>
      <c r="M63" s="3013"/>
      <c r="N63" s="3013"/>
      <c r="O63" s="3014" t="s">
        <v>6390</v>
      </c>
      <c r="P63" s="3014" t="s">
        <v>6389</v>
      </c>
    </row>
    <row r="64" spans="1:16" ht="16.5">
      <c r="A64" s="3008">
        <v>60</v>
      </c>
      <c r="B64" s="3009" t="s">
        <v>6474</v>
      </c>
      <c r="C64" s="3010"/>
      <c r="D64" s="3011" t="s">
        <v>6387</v>
      </c>
      <c r="E64" s="3008" t="s">
        <v>6388</v>
      </c>
      <c r="F64" s="3008" t="s">
        <v>6389</v>
      </c>
      <c r="G64" s="3014"/>
      <c r="H64" s="3008" t="s">
        <v>6388</v>
      </c>
      <c r="I64" s="3013"/>
      <c r="J64" s="3013"/>
      <c r="K64" s="3013"/>
      <c r="L64" s="3013"/>
      <c r="M64" s="3013"/>
      <c r="N64" s="3013"/>
      <c r="O64" s="3014" t="s">
        <v>6390</v>
      </c>
      <c r="P64" s="3014" t="s">
        <v>6389</v>
      </c>
    </row>
    <row r="65" spans="1:16" ht="16.5">
      <c r="A65" s="3008">
        <v>61</v>
      </c>
      <c r="B65" s="3009" t="s">
        <v>6475</v>
      </c>
      <c r="C65" s="3010"/>
      <c r="D65" s="3011" t="s">
        <v>6387</v>
      </c>
      <c r="E65" s="3008" t="s">
        <v>6388</v>
      </c>
      <c r="F65" s="3008" t="s">
        <v>6389</v>
      </c>
      <c r="G65" s="3014"/>
      <c r="H65" s="3008" t="s">
        <v>6394</v>
      </c>
      <c r="I65" s="3013"/>
      <c r="J65" s="3013"/>
      <c r="K65" s="3013"/>
      <c r="L65" s="3013"/>
      <c r="M65" s="3013"/>
      <c r="N65" s="3013"/>
      <c r="O65" s="3014" t="s">
        <v>6390</v>
      </c>
      <c r="P65" s="3014" t="s">
        <v>6389</v>
      </c>
    </row>
    <row r="66" spans="1:16" ht="33">
      <c r="A66" s="3008">
        <v>62</v>
      </c>
      <c r="B66" s="3009" t="s">
        <v>6476</v>
      </c>
      <c r="C66" s="3010"/>
      <c r="D66" s="3011" t="s">
        <v>6477</v>
      </c>
      <c r="E66" s="3008" t="s">
        <v>6388</v>
      </c>
      <c r="F66" s="3008" t="s">
        <v>6394</v>
      </c>
      <c r="G66" s="3014" t="s">
        <v>6478</v>
      </c>
      <c r="H66" s="3008" t="s">
        <v>6479</v>
      </c>
      <c r="I66" s="3013"/>
      <c r="J66" s="3013"/>
      <c r="K66" s="3013"/>
      <c r="L66" s="3013"/>
      <c r="M66" s="3013"/>
      <c r="N66" s="3013"/>
      <c r="O66" s="3014" t="s">
        <v>6394</v>
      </c>
      <c r="P66" s="3014" t="s">
        <v>6389</v>
      </c>
    </row>
    <row r="67" spans="1:16" ht="16.5">
      <c r="A67" s="3008">
        <v>63</v>
      </c>
      <c r="B67" s="3009" t="s">
        <v>6480</v>
      </c>
      <c r="C67" s="3010"/>
      <c r="D67" s="3011" t="s">
        <v>6477</v>
      </c>
      <c r="E67" s="3008" t="s">
        <v>6388</v>
      </c>
      <c r="F67" s="3008" t="s">
        <v>6394</v>
      </c>
      <c r="G67" s="3014" t="s">
        <v>6481</v>
      </c>
      <c r="H67" s="3008" t="s">
        <v>6388</v>
      </c>
      <c r="I67" s="3013"/>
      <c r="J67" s="3013"/>
      <c r="K67" s="3013"/>
      <c r="L67" s="3013"/>
      <c r="M67" s="3013"/>
      <c r="N67" s="3013"/>
      <c r="O67" s="3014" t="s">
        <v>6394</v>
      </c>
      <c r="P67" s="3014" t="s">
        <v>6389</v>
      </c>
    </row>
    <row r="68" spans="1:16" ht="16.5">
      <c r="A68" s="3008">
        <v>64</v>
      </c>
      <c r="B68" s="3009" t="s">
        <v>6482</v>
      </c>
      <c r="C68" s="3010"/>
      <c r="D68" s="3011" t="s">
        <v>6477</v>
      </c>
      <c r="E68" s="3008" t="s">
        <v>6388</v>
      </c>
      <c r="F68" s="3008" t="s">
        <v>6394</v>
      </c>
      <c r="G68" s="3014" t="s">
        <v>6481</v>
      </c>
      <c r="H68" s="3008" t="s">
        <v>6388</v>
      </c>
      <c r="I68" s="3013"/>
      <c r="J68" s="3013"/>
      <c r="K68" s="3013"/>
      <c r="L68" s="3013"/>
      <c r="M68" s="3013"/>
      <c r="N68" s="3013"/>
      <c r="O68" s="3014" t="s">
        <v>6394</v>
      </c>
      <c r="P68" s="3014" t="s">
        <v>6389</v>
      </c>
    </row>
    <row r="69" spans="1:16" ht="16.5">
      <c r="A69" s="3008">
        <v>65</v>
      </c>
      <c r="B69" s="3009" t="s">
        <v>6483</v>
      </c>
      <c r="C69" s="3010"/>
      <c r="D69" s="3011" t="s">
        <v>6398</v>
      </c>
      <c r="E69" s="3008" t="s">
        <v>6389</v>
      </c>
      <c r="F69" s="3008" t="s">
        <v>6390</v>
      </c>
      <c r="G69" s="3014"/>
      <c r="H69" s="3008" t="s">
        <v>6389</v>
      </c>
      <c r="I69" s="3013"/>
      <c r="J69" s="3013"/>
      <c r="K69" s="3013"/>
      <c r="L69" s="3013"/>
      <c r="M69" s="3013"/>
      <c r="N69" s="3013"/>
      <c r="O69" s="3014" t="s">
        <v>6394</v>
      </c>
      <c r="P69" s="3014" t="s">
        <v>6389</v>
      </c>
    </row>
    <row r="70" spans="1:16" ht="16.5">
      <c r="A70" s="3008">
        <v>66</v>
      </c>
      <c r="B70" s="3009" t="s">
        <v>6484</v>
      </c>
      <c r="C70" s="3010"/>
      <c r="D70" s="3008" t="s">
        <v>6403</v>
      </c>
      <c r="E70" s="3008" t="s">
        <v>6388</v>
      </c>
      <c r="F70" s="3008" t="s">
        <v>6394</v>
      </c>
      <c r="G70" s="3008" t="s">
        <v>6395</v>
      </c>
      <c r="H70" s="3008" t="s">
        <v>6388</v>
      </c>
      <c r="I70" s="3013"/>
      <c r="J70" s="3013"/>
      <c r="K70" s="3013"/>
      <c r="L70" s="3013"/>
      <c r="M70" s="3013"/>
      <c r="N70" s="3013"/>
      <c r="O70" s="3014" t="s">
        <v>6390</v>
      </c>
      <c r="P70" s="3014" t="s">
        <v>6389</v>
      </c>
    </row>
    <row r="71" spans="1:16" ht="16.5">
      <c r="A71" s="3008">
        <v>67</v>
      </c>
      <c r="B71" s="3009" t="s">
        <v>6485</v>
      </c>
      <c r="C71" s="3010"/>
      <c r="D71" s="3011" t="s">
        <v>6387</v>
      </c>
      <c r="E71" s="3008" t="s">
        <v>6388</v>
      </c>
      <c r="F71" s="3008" t="s">
        <v>6394</v>
      </c>
      <c r="G71" s="3008" t="s">
        <v>6486</v>
      </c>
      <c r="H71" s="3008" t="s">
        <v>6388</v>
      </c>
      <c r="I71" s="3013"/>
      <c r="J71" s="3013"/>
      <c r="K71" s="3013"/>
      <c r="L71" s="3013"/>
      <c r="M71" s="3013"/>
      <c r="N71" s="3013"/>
      <c r="O71" s="3014" t="s">
        <v>6390</v>
      </c>
      <c r="P71" s="3014" t="s">
        <v>6389</v>
      </c>
    </row>
    <row r="72" spans="1:16" ht="16.5">
      <c r="A72" s="3008">
        <v>68</v>
      </c>
      <c r="B72" s="3009" t="s">
        <v>6487</v>
      </c>
      <c r="C72" s="3010"/>
      <c r="D72" s="3011" t="s">
        <v>6387</v>
      </c>
      <c r="E72" s="3008" t="s">
        <v>6388</v>
      </c>
      <c r="F72" s="3008" t="s">
        <v>6394</v>
      </c>
      <c r="G72" s="3008" t="s">
        <v>6488</v>
      </c>
      <c r="H72" s="3008" t="s">
        <v>6388</v>
      </c>
      <c r="I72" s="3013"/>
      <c r="J72" s="3013"/>
      <c r="K72" s="3013"/>
      <c r="L72" s="3013"/>
      <c r="M72" s="3013"/>
      <c r="N72" s="3013"/>
      <c r="O72" s="3014" t="s">
        <v>6390</v>
      </c>
      <c r="P72" s="3014" t="s">
        <v>6389</v>
      </c>
    </row>
    <row r="73" spans="1:16" ht="16.5">
      <c r="A73" s="3008">
        <v>69</v>
      </c>
      <c r="B73" s="3009" t="s">
        <v>6489</v>
      </c>
      <c r="C73" s="3010"/>
      <c r="D73" s="3011" t="s">
        <v>6387</v>
      </c>
      <c r="E73" s="3008" t="s">
        <v>6388</v>
      </c>
      <c r="F73" s="3008" t="s">
        <v>6394</v>
      </c>
      <c r="G73" s="3008" t="s">
        <v>6488</v>
      </c>
      <c r="H73" s="3008" t="s">
        <v>6388</v>
      </c>
      <c r="I73" s="3013"/>
      <c r="J73" s="3013"/>
      <c r="K73" s="3013"/>
      <c r="L73" s="3013"/>
      <c r="M73" s="3013"/>
      <c r="N73" s="3013"/>
      <c r="O73" s="3014" t="s">
        <v>6390</v>
      </c>
      <c r="P73" s="3014" t="s">
        <v>6389</v>
      </c>
    </row>
    <row r="74" spans="1:16" ht="16.5">
      <c r="A74" s="3008">
        <v>70</v>
      </c>
      <c r="B74" s="3009" t="s">
        <v>6490</v>
      </c>
      <c r="C74" s="3010"/>
      <c r="D74" s="3011" t="s">
        <v>6387</v>
      </c>
      <c r="E74" s="3008" t="s">
        <v>6388</v>
      </c>
      <c r="F74" s="3008" t="s">
        <v>6394</v>
      </c>
      <c r="G74" s="3008" t="s">
        <v>6488</v>
      </c>
      <c r="H74" s="3008" t="s">
        <v>6390</v>
      </c>
      <c r="I74" s="3013"/>
      <c r="J74" s="3013"/>
      <c r="K74" s="3013"/>
      <c r="L74" s="3013"/>
      <c r="M74" s="3013"/>
      <c r="N74" s="3013"/>
      <c r="O74" s="3014" t="s">
        <v>6390</v>
      </c>
      <c r="P74" s="3014" t="s">
        <v>6389</v>
      </c>
    </row>
    <row r="75" spans="1:16" ht="16.5">
      <c r="A75" s="3008">
        <v>71</v>
      </c>
      <c r="B75" s="3009" t="s">
        <v>6491</v>
      </c>
      <c r="C75" s="3010"/>
      <c r="D75" s="3011" t="s">
        <v>6387</v>
      </c>
      <c r="E75" s="3008" t="s">
        <v>6388</v>
      </c>
      <c r="F75" s="3008" t="s">
        <v>6390</v>
      </c>
      <c r="G75" s="3014"/>
      <c r="H75" s="3008" t="s">
        <v>6388</v>
      </c>
      <c r="I75" s="3013"/>
      <c r="J75" s="3013"/>
      <c r="K75" s="3013"/>
      <c r="L75" s="3013"/>
      <c r="M75" s="3013"/>
      <c r="N75" s="3013"/>
      <c r="O75" s="3014" t="s">
        <v>6390</v>
      </c>
      <c r="P75" s="3014" t="s">
        <v>6389</v>
      </c>
    </row>
    <row r="76" spans="1:16" ht="16.5">
      <c r="A76" s="3008">
        <v>72</v>
      </c>
      <c r="B76" s="3009" t="s">
        <v>6492</v>
      </c>
      <c r="C76" s="3010"/>
      <c r="D76" s="3008" t="s">
        <v>6403</v>
      </c>
      <c r="E76" s="3008" t="s">
        <v>6388</v>
      </c>
      <c r="F76" s="3008" t="s">
        <v>6388</v>
      </c>
      <c r="G76" s="3014"/>
      <c r="H76" s="3008" t="s">
        <v>6388</v>
      </c>
      <c r="I76" s="3013"/>
      <c r="J76" s="3013"/>
      <c r="K76" s="3013"/>
      <c r="L76" s="3013"/>
      <c r="M76" s="3013"/>
      <c r="N76" s="3013"/>
      <c r="O76" s="3014" t="s">
        <v>6390</v>
      </c>
      <c r="P76" s="3014" t="s">
        <v>6389</v>
      </c>
    </row>
    <row r="77" spans="1:16" ht="16.5">
      <c r="A77" s="3008">
        <v>73</v>
      </c>
      <c r="B77" s="3009" t="s">
        <v>6493</v>
      </c>
      <c r="C77" s="3010"/>
      <c r="D77" s="3011" t="s">
        <v>6387</v>
      </c>
      <c r="E77" s="3008" t="s">
        <v>6388</v>
      </c>
      <c r="F77" s="3008" t="s">
        <v>6389</v>
      </c>
      <c r="G77" s="3014"/>
      <c r="H77" s="3008" t="s">
        <v>6394</v>
      </c>
      <c r="I77" s="3013"/>
      <c r="J77" s="3013"/>
      <c r="K77" s="3013"/>
      <c r="L77" s="3013"/>
      <c r="M77" s="3013"/>
      <c r="N77" s="3013"/>
      <c r="O77" s="3014" t="s">
        <v>6390</v>
      </c>
      <c r="P77" s="3014" t="s">
        <v>6389</v>
      </c>
    </row>
    <row r="78" spans="1:16" ht="16.5">
      <c r="A78" s="3008">
        <v>74</v>
      </c>
      <c r="B78" s="3009" t="s">
        <v>6494</v>
      </c>
      <c r="C78" s="3010"/>
      <c r="D78" s="3008" t="s">
        <v>6403</v>
      </c>
      <c r="E78" s="3008" t="s">
        <v>6388</v>
      </c>
      <c r="F78" s="3008" t="s">
        <v>6388</v>
      </c>
      <c r="G78" s="3014"/>
      <c r="H78" s="3008" t="s">
        <v>6388</v>
      </c>
      <c r="I78" s="3013"/>
      <c r="J78" s="3013"/>
      <c r="K78" s="3013"/>
      <c r="L78" s="3013"/>
      <c r="M78" s="3013"/>
      <c r="N78" s="3013"/>
      <c r="O78" s="3014" t="s">
        <v>6390</v>
      </c>
      <c r="P78" s="3014" t="s">
        <v>6389</v>
      </c>
    </row>
    <row r="79" spans="1:16" ht="16.5">
      <c r="A79" s="3008">
        <v>75</v>
      </c>
      <c r="B79" s="3009" t="s">
        <v>6495</v>
      </c>
      <c r="C79" s="3010"/>
      <c r="D79" s="3011" t="s">
        <v>6387</v>
      </c>
      <c r="E79" s="3008" t="s">
        <v>6388</v>
      </c>
      <c r="F79" s="3008" t="s">
        <v>6389</v>
      </c>
      <c r="G79" s="3014"/>
      <c r="H79" s="3008" t="s">
        <v>6394</v>
      </c>
      <c r="I79" s="3013"/>
      <c r="J79" s="3013"/>
      <c r="K79" s="3013"/>
      <c r="L79" s="3013"/>
      <c r="M79" s="3013"/>
      <c r="N79" s="3013"/>
      <c r="O79" s="3014" t="s">
        <v>6390</v>
      </c>
      <c r="P79" s="3014" t="s">
        <v>6389</v>
      </c>
    </row>
    <row r="80" spans="1:16" ht="16.5">
      <c r="A80" s="3008">
        <v>76</v>
      </c>
      <c r="B80" s="3009" t="s">
        <v>6496</v>
      </c>
      <c r="C80" s="3010"/>
      <c r="D80" s="3011" t="s">
        <v>6387</v>
      </c>
      <c r="E80" s="3008" t="s">
        <v>6388</v>
      </c>
      <c r="F80" s="3008" t="s">
        <v>6389</v>
      </c>
      <c r="G80" s="3014"/>
      <c r="H80" s="3008" t="s">
        <v>6394</v>
      </c>
      <c r="I80" s="3013"/>
      <c r="J80" s="3013"/>
      <c r="K80" s="3013"/>
      <c r="L80" s="3013"/>
      <c r="M80" s="3013"/>
      <c r="N80" s="3013"/>
      <c r="O80" s="3014" t="s">
        <v>6390</v>
      </c>
      <c r="P80" s="3014" t="s">
        <v>6389</v>
      </c>
    </row>
    <row r="81" spans="1:16" ht="16.5">
      <c r="A81" s="3008">
        <v>77</v>
      </c>
      <c r="B81" s="3009" t="s">
        <v>6497</v>
      </c>
      <c r="C81" s="3010"/>
      <c r="D81" s="3011" t="s">
        <v>6387</v>
      </c>
      <c r="E81" s="3008" t="s">
        <v>6388</v>
      </c>
      <c r="F81" s="3008" t="s">
        <v>6389</v>
      </c>
      <c r="G81" s="3014"/>
      <c r="H81" s="3008" t="s">
        <v>6394</v>
      </c>
      <c r="I81" s="3013"/>
      <c r="J81" s="3013"/>
      <c r="K81" s="3013"/>
      <c r="L81" s="3013"/>
      <c r="M81" s="3013"/>
      <c r="N81" s="3013"/>
      <c r="O81" s="3014" t="s">
        <v>6390</v>
      </c>
      <c r="P81" s="3014" t="s">
        <v>6389</v>
      </c>
    </row>
    <row r="82" spans="1:16" ht="16.5">
      <c r="A82" s="3008">
        <v>78</v>
      </c>
      <c r="B82" s="3009" t="s">
        <v>6498</v>
      </c>
      <c r="C82" s="3010"/>
      <c r="D82" s="3011" t="s">
        <v>6387</v>
      </c>
      <c r="E82" s="3008" t="s">
        <v>6388</v>
      </c>
      <c r="F82" s="3008" t="s">
        <v>6389</v>
      </c>
      <c r="G82" s="3014"/>
      <c r="H82" s="3008" t="s">
        <v>6394</v>
      </c>
      <c r="I82" s="3013"/>
      <c r="J82" s="3013"/>
      <c r="K82" s="3013"/>
      <c r="L82" s="3013"/>
      <c r="M82" s="3013"/>
      <c r="N82" s="3013"/>
      <c r="O82" s="3014" t="s">
        <v>6390</v>
      </c>
      <c r="P82" s="3014" t="s">
        <v>6389</v>
      </c>
    </row>
    <row r="83" spans="1:16" ht="16.5">
      <c r="A83" s="3008">
        <v>79</v>
      </c>
      <c r="B83" s="3009" t="s">
        <v>6499</v>
      </c>
      <c r="C83" s="3010"/>
      <c r="D83" s="3011" t="s">
        <v>6387</v>
      </c>
      <c r="E83" s="3008" t="s">
        <v>6388</v>
      </c>
      <c r="F83" s="3008" t="s">
        <v>6389</v>
      </c>
      <c r="G83" s="3014"/>
      <c r="H83" s="3008" t="s">
        <v>6394</v>
      </c>
      <c r="I83" s="3013"/>
      <c r="J83" s="3013"/>
      <c r="K83" s="3013"/>
      <c r="L83" s="3013"/>
      <c r="M83" s="3013"/>
      <c r="N83" s="3013"/>
      <c r="O83" s="3014" t="s">
        <v>6390</v>
      </c>
      <c r="P83" s="3014" t="s">
        <v>6389</v>
      </c>
    </row>
    <row r="84" spans="1:16" ht="16.5">
      <c r="A84" s="3008">
        <v>80</v>
      </c>
      <c r="B84" s="3009" t="s">
        <v>6500</v>
      </c>
      <c r="C84" s="3010"/>
      <c r="D84" s="3011" t="s">
        <v>6387</v>
      </c>
      <c r="E84" s="3008" t="s">
        <v>6388</v>
      </c>
      <c r="F84" s="3008" t="s">
        <v>6389</v>
      </c>
      <c r="G84" s="3014"/>
      <c r="H84" s="3008" t="s">
        <v>6394</v>
      </c>
      <c r="I84" s="3013"/>
      <c r="J84" s="3013"/>
      <c r="K84" s="3013"/>
      <c r="L84" s="3013"/>
      <c r="M84" s="3013"/>
      <c r="N84" s="3013"/>
      <c r="O84" s="3014" t="s">
        <v>6390</v>
      </c>
      <c r="P84" s="3014" t="s">
        <v>6389</v>
      </c>
    </row>
    <row r="85" spans="1:16" ht="16.5">
      <c r="A85" s="3008">
        <v>81</v>
      </c>
      <c r="B85" s="3009" t="s">
        <v>6501</v>
      </c>
      <c r="C85" s="3010"/>
      <c r="D85" s="3011" t="s">
        <v>6387</v>
      </c>
      <c r="E85" s="3008" t="s">
        <v>6388</v>
      </c>
      <c r="F85" s="3008" t="s">
        <v>6389</v>
      </c>
      <c r="G85" s="3014"/>
      <c r="H85" s="3008" t="s">
        <v>6394</v>
      </c>
      <c r="I85" s="3013"/>
      <c r="J85" s="3013"/>
      <c r="K85" s="3013"/>
      <c r="L85" s="3013"/>
      <c r="M85" s="3013"/>
      <c r="N85" s="3013"/>
      <c r="O85" s="3014" t="s">
        <v>6390</v>
      </c>
      <c r="P85" s="3014" t="s">
        <v>6389</v>
      </c>
    </row>
    <row r="86" spans="1:16" ht="16.5">
      <c r="A86" s="3008">
        <v>82</v>
      </c>
      <c r="B86" s="3009" t="s">
        <v>6502</v>
      </c>
      <c r="C86" s="3010"/>
      <c r="D86" s="3011" t="s">
        <v>6387</v>
      </c>
      <c r="E86" s="3008" t="s">
        <v>6388</v>
      </c>
      <c r="F86" s="3008" t="s">
        <v>6389</v>
      </c>
      <c r="G86" s="3008"/>
      <c r="H86" s="3008" t="s">
        <v>6394</v>
      </c>
      <c r="I86" s="3013"/>
      <c r="J86" s="3013"/>
      <c r="K86" s="3013"/>
      <c r="L86" s="3013"/>
      <c r="M86" s="3013"/>
      <c r="N86" s="3013"/>
      <c r="O86" s="3014" t="s">
        <v>6390</v>
      </c>
      <c r="P86" s="3014" t="s">
        <v>6389</v>
      </c>
    </row>
    <row r="87" spans="1:16" ht="16.5">
      <c r="A87" s="3008">
        <v>83</v>
      </c>
      <c r="B87" s="3009" t="s">
        <v>6503</v>
      </c>
      <c r="C87" s="3010"/>
      <c r="D87" s="3008" t="s">
        <v>6403</v>
      </c>
      <c r="E87" s="3008" t="s">
        <v>6388</v>
      </c>
      <c r="F87" s="3008" t="s">
        <v>6388</v>
      </c>
      <c r="G87" s="3014"/>
      <c r="H87" s="3008" t="s">
        <v>6394</v>
      </c>
      <c r="I87" s="3013"/>
      <c r="J87" s="3013"/>
      <c r="K87" s="3013"/>
      <c r="L87" s="3013"/>
      <c r="M87" s="3013"/>
      <c r="N87" s="3013"/>
      <c r="O87" s="3014" t="s">
        <v>6390</v>
      </c>
      <c r="P87" s="3014" t="s">
        <v>6389</v>
      </c>
    </row>
    <row r="88" spans="1:16" ht="16.5">
      <c r="A88" s="3008">
        <v>84</v>
      </c>
      <c r="B88" s="3009" t="s">
        <v>6504</v>
      </c>
      <c r="C88" s="3010"/>
      <c r="D88" s="3011" t="s">
        <v>6387</v>
      </c>
      <c r="E88" s="3008" t="s">
        <v>6388</v>
      </c>
      <c r="F88" s="3008" t="s">
        <v>6390</v>
      </c>
      <c r="G88" s="3014"/>
      <c r="H88" s="3008" t="s">
        <v>6394</v>
      </c>
      <c r="I88" s="3013"/>
      <c r="J88" s="3013"/>
      <c r="K88" s="3013"/>
      <c r="L88" s="3013"/>
      <c r="M88" s="3013"/>
      <c r="N88" s="3013"/>
      <c r="O88" s="3014" t="s">
        <v>6390</v>
      </c>
      <c r="P88" s="3014" t="s">
        <v>6389</v>
      </c>
    </row>
    <row r="89" spans="1:16" ht="16.5">
      <c r="A89" s="3008">
        <v>85</v>
      </c>
      <c r="B89" s="3009" t="s">
        <v>6505</v>
      </c>
      <c r="C89" s="3010"/>
      <c r="D89" s="3011" t="s">
        <v>6387</v>
      </c>
      <c r="E89" s="3008" t="s">
        <v>6388</v>
      </c>
      <c r="F89" s="3008" t="s">
        <v>6389</v>
      </c>
      <c r="G89" s="3014"/>
      <c r="H89" s="3008" t="s">
        <v>6394</v>
      </c>
      <c r="I89" s="3013"/>
      <c r="J89" s="3013"/>
      <c r="K89" s="3013"/>
      <c r="L89" s="3013"/>
      <c r="M89" s="3013"/>
      <c r="N89" s="3013"/>
      <c r="O89" s="3014" t="s">
        <v>6390</v>
      </c>
      <c r="P89" s="3014" t="s">
        <v>6389</v>
      </c>
    </row>
    <row r="90" spans="1:16" ht="16.5">
      <c r="A90" s="3008">
        <v>86</v>
      </c>
      <c r="B90" s="3009" t="s">
        <v>6506</v>
      </c>
      <c r="C90" s="3010"/>
      <c r="D90" s="3008" t="s">
        <v>6403</v>
      </c>
      <c r="E90" s="3008" t="s">
        <v>6388</v>
      </c>
      <c r="F90" s="3008" t="s">
        <v>6388</v>
      </c>
      <c r="G90" s="3014"/>
      <c r="H90" s="3008" t="s">
        <v>6390</v>
      </c>
      <c r="I90" s="3013"/>
      <c r="J90" s="3013"/>
      <c r="K90" s="3013"/>
      <c r="L90" s="3013"/>
      <c r="M90" s="3013"/>
      <c r="N90" s="3013"/>
      <c r="O90" s="3014" t="s">
        <v>6390</v>
      </c>
      <c r="P90" s="3014" t="s">
        <v>6389</v>
      </c>
    </row>
    <row r="91" spans="1:16" ht="16.5">
      <c r="A91" s="3008">
        <v>87</v>
      </c>
      <c r="B91" s="3009" t="s">
        <v>6507</v>
      </c>
      <c r="C91" s="3010"/>
      <c r="D91" s="3008" t="s">
        <v>6403</v>
      </c>
      <c r="E91" s="3008" t="s">
        <v>6388</v>
      </c>
      <c r="F91" s="3008" t="s">
        <v>6388</v>
      </c>
      <c r="G91" s="3014"/>
      <c r="H91" s="3008" t="s">
        <v>6390</v>
      </c>
      <c r="I91" s="3013"/>
      <c r="J91" s="3013"/>
      <c r="K91" s="3013"/>
      <c r="L91" s="3013"/>
      <c r="M91" s="3013"/>
      <c r="N91" s="3013"/>
      <c r="O91" s="3014" t="s">
        <v>6390</v>
      </c>
      <c r="P91" s="3014" t="s">
        <v>6389</v>
      </c>
    </row>
    <row r="92" spans="1:16" ht="16.5">
      <c r="A92" s="3008">
        <v>88</v>
      </c>
      <c r="B92" s="3009" t="s">
        <v>6508</v>
      </c>
      <c r="C92" s="3010"/>
      <c r="D92" s="3011" t="s">
        <v>6387</v>
      </c>
      <c r="E92" s="3008" t="s">
        <v>6388</v>
      </c>
      <c r="F92" s="3008" t="s">
        <v>6388</v>
      </c>
      <c r="G92" s="3014"/>
      <c r="H92" s="3008" t="s">
        <v>6394</v>
      </c>
      <c r="I92" s="3013"/>
      <c r="J92" s="3013"/>
      <c r="K92" s="3013"/>
      <c r="L92" s="3013"/>
      <c r="M92" s="3013"/>
      <c r="N92" s="3013"/>
      <c r="O92" s="3014" t="s">
        <v>6390</v>
      </c>
      <c r="P92" s="3014" t="s">
        <v>6389</v>
      </c>
    </row>
    <row r="93" spans="1:16" ht="16.5">
      <c r="A93" s="3008">
        <v>89</v>
      </c>
      <c r="B93" s="3009" t="s">
        <v>6509</v>
      </c>
      <c r="C93" s="3010"/>
      <c r="D93" s="3011" t="s">
        <v>6387</v>
      </c>
      <c r="E93" s="3008" t="s">
        <v>6388</v>
      </c>
      <c r="F93" s="3008" t="s">
        <v>6389</v>
      </c>
      <c r="G93" s="3014"/>
      <c r="H93" s="3008" t="s">
        <v>6394</v>
      </c>
      <c r="I93" s="3013"/>
      <c r="J93" s="3013"/>
      <c r="K93" s="3013"/>
      <c r="L93" s="3013"/>
      <c r="M93" s="3013"/>
      <c r="N93" s="3013"/>
      <c r="O93" s="3014" t="s">
        <v>6390</v>
      </c>
      <c r="P93" s="3014" t="s">
        <v>6389</v>
      </c>
    </row>
    <row r="94" spans="1:16" ht="16.5">
      <c r="A94" s="3008">
        <v>90</v>
      </c>
      <c r="B94" s="3009" t="s">
        <v>6510</v>
      </c>
      <c r="C94" s="3010"/>
      <c r="D94" s="3011" t="s">
        <v>6387</v>
      </c>
      <c r="E94" s="3008" t="s">
        <v>6388</v>
      </c>
      <c r="F94" s="3008" t="s">
        <v>6389</v>
      </c>
      <c r="G94" s="3014"/>
      <c r="H94" s="3008" t="s">
        <v>6394</v>
      </c>
      <c r="I94" s="3013"/>
      <c r="J94" s="3013"/>
      <c r="K94" s="3013"/>
      <c r="L94" s="3013"/>
      <c r="M94" s="3013"/>
      <c r="N94" s="3013"/>
      <c r="O94" s="3014" t="s">
        <v>6390</v>
      </c>
      <c r="P94" s="3014" t="s">
        <v>6389</v>
      </c>
    </row>
    <row r="95" spans="1:16" ht="16.5">
      <c r="A95" s="3008">
        <v>91</v>
      </c>
      <c r="B95" s="3009" t="s">
        <v>6511</v>
      </c>
      <c r="C95" s="3010"/>
      <c r="D95" s="3008" t="s">
        <v>6387</v>
      </c>
      <c r="E95" s="3008" t="s">
        <v>6389</v>
      </c>
      <c r="F95" s="3008" t="s">
        <v>6389</v>
      </c>
      <c r="G95" s="3014"/>
      <c r="H95" s="3008" t="s">
        <v>6390</v>
      </c>
      <c r="I95" s="3013"/>
      <c r="J95" s="3013"/>
      <c r="K95" s="3013"/>
      <c r="L95" s="3013"/>
      <c r="M95" s="3013"/>
      <c r="N95" s="3013"/>
      <c r="O95" s="3014" t="s">
        <v>6390</v>
      </c>
      <c r="P95" s="3014" t="s">
        <v>6389</v>
      </c>
    </row>
    <row r="96" spans="1:16" ht="16.5">
      <c r="A96" s="3008">
        <v>92</v>
      </c>
      <c r="B96" s="3009" t="s">
        <v>6512</v>
      </c>
      <c r="C96" s="3010"/>
      <c r="D96" s="3008" t="s">
        <v>6403</v>
      </c>
      <c r="E96" s="3008" t="s">
        <v>6388</v>
      </c>
      <c r="F96" s="3008" t="s">
        <v>6388</v>
      </c>
      <c r="G96" s="3014"/>
      <c r="H96" s="3008" t="s">
        <v>6394</v>
      </c>
      <c r="I96" s="3013"/>
      <c r="J96" s="3013"/>
      <c r="K96" s="3013"/>
      <c r="L96" s="3013"/>
      <c r="M96" s="3013"/>
      <c r="N96" s="3013"/>
      <c r="O96" s="3014" t="s">
        <v>6390</v>
      </c>
      <c r="P96" s="3014" t="s">
        <v>6389</v>
      </c>
    </row>
    <row r="97" spans="1:16" ht="16.5">
      <c r="A97" s="3008">
        <v>93</v>
      </c>
      <c r="B97" s="3009" t="s">
        <v>6513</v>
      </c>
      <c r="C97" s="3010"/>
      <c r="D97" s="3008" t="s">
        <v>6403</v>
      </c>
      <c r="E97" s="3008" t="s">
        <v>6388</v>
      </c>
      <c r="F97" s="3008" t="s">
        <v>6388</v>
      </c>
      <c r="G97" s="3014"/>
      <c r="H97" s="3008" t="s">
        <v>6394</v>
      </c>
      <c r="I97" s="3013"/>
      <c r="J97" s="3013"/>
      <c r="K97" s="3013"/>
      <c r="L97" s="3013"/>
      <c r="M97" s="3013"/>
      <c r="N97" s="3013"/>
      <c r="O97" s="3014" t="s">
        <v>6390</v>
      </c>
      <c r="P97" s="3014" t="s">
        <v>6389</v>
      </c>
    </row>
    <row r="98" spans="1:16" ht="16.5">
      <c r="A98" s="3008">
        <v>94</v>
      </c>
      <c r="B98" s="3009" t="s">
        <v>6514</v>
      </c>
      <c r="C98" s="3010"/>
      <c r="D98" s="3008" t="s">
        <v>6403</v>
      </c>
      <c r="E98" s="3008" t="s">
        <v>6388</v>
      </c>
      <c r="F98" s="3008" t="s">
        <v>6388</v>
      </c>
      <c r="G98" s="3014"/>
      <c r="H98" s="3008" t="s">
        <v>6394</v>
      </c>
      <c r="I98" s="3013"/>
      <c r="J98" s="3013"/>
      <c r="K98" s="3013"/>
      <c r="L98" s="3013"/>
      <c r="M98" s="3013"/>
      <c r="N98" s="3013"/>
      <c r="O98" s="3014" t="s">
        <v>6390</v>
      </c>
      <c r="P98" s="3014" t="s">
        <v>6389</v>
      </c>
    </row>
    <row r="99" spans="1:16" ht="16.5">
      <c r="A99" s="3008">
        <v>95</v>
      </c>
      <c r="B99" s="3009" t="s">
        <v>6515</v>
      </c>
      <c r="C99" s="3010"/>
      <c r="D99" s="3008" t="s">
        <v>6403</v>
      </c>
      <c r="E99" s="3008" t="s">
        <v>6388</v>
      </c>
      <c r="F99" s="3008" t="s">
        <v>6388</v>
      </c>
      <c r="G99" s="3014"/>
      <c r="H99" s="3008" t="s">
        <v>6394</v>
      </c>
      <c r="I99" s="3013"/>
      <c r="J99" s="3013"/>
      <c r="K99" s="3013"/>
      <c r="L99" s="3013"/>
      <c r="M99" s="3013"/>
      <c r="N99" s="3013"/>
      <c r="O99" s="3014" t="s">
        <v>6390</v>
      </c>
      <c r="P99" s="3014" t="s">
        <v>6389</v>
      </c>
    </row>
    <row r="100" spans="1:16" ht="16.5">
      <c r="A100" s="3008">
        <v>96</v>
      </c>
      <c r="B100" s="3024" t="s">
        <v>6516</v>
      </c>
      <c r="C100" s="3010"/>
      <c r="D100" s="3008" t="s">
        <v>6403</v>
      </c>
      <c r="E100" s="3008" t="s">
        <v>6388</v>
      </c>
      <c r="F100" s="3008" t="s">
        <v>6388</v>
      </c>
      <c r="G100" s="3014"/>
      <c r="H100" s="3008" t="s">
        <v>6394</v>
      </c>
      <c r="I100" s="3013"/>
      <c r="J100" s="3013"/>
      <c r="K100" s="3013"/>
      <c r="L100" s="3013"/>
      <c r="M100" s="3013"/>
      <c r="N100" s="3013"/>
      <c r="O100" s="3014" t="s">
        <v>6390</v>
      </c>
      <c r="P100" s="3014" t="s">
        <v>6389</v>
      </c>
    </row>
    <row r="101" spans="1:16" ht="16.5">
      <c r="A101" s="3008">
        <v>97</v>
      </c>
      <c r="B101" s="3025" t="s">
        <v>6517</v>
      </c>
      <c r="C101" s="3010"/>
      <c r="D101" s="3008" t="s">
        <v>6403</v>
      </c>
      <c r="E101" s="3008" t="s">
        <v>6388</v>
      </c>
      <c r="F101" s="3008" t="s">
        <v>6388</v>
      </c>
      <c r="G101" s="3014"/>
      <c r="H101" s="3008" t="s">
        <v>6394</v>
      </c>
      <c r="I101" s="3013"/>
      <c r="J101" s="3013"/>
      <c r="K101" s="3013"/>
      <c r="L101" s="3013"/>
      <c r="M101" s="3013"/>
      <c r="N101" s="3013"/>
      <c r="O101" s="3014" t="s">
        <v>6390</v>
      </c>
      <c r="P101" s="3014" t="s">
        <v>6389</v>
      </c>
    </row>
    <row r="102" spans="1:16" ht="33">
      <c r="A102" s="3008">
        <v>98</v>
      </c>
      <c r="B102" s="3009" t="s">
        <v>6518</v>
      </c>
      <c r="C102" s="3010"/>
      <c r="D102" s="3008" t="s">
        <v>6387</v>
      </c>
      <c r="E102" s="3008" t="s">
        <v>6388</v>
      </c>
      <c r="F102" s="3008" t="s">
        <v>6394</v>
      </c>
      <c r="G102" s="3008" t="s">
        <v>6395</v>
      </c>
      <c r="H102" s="3008" t="s">
        <v>6388</v>
      </c>
      <c r="I102" s="3013"/>
      <c r="J102" s="3013"/>
      <c r="K102" s="3013"/>
      <c r="L102" s="3013"/>
      <c r="M102" s="3013"/>
      <c r="N102" s="3013"/>
      <c r="O102" s="3014" t="s">
        <v>6390</v>
      </c>
      <c r="P102" s="3014" t="s">
        <v>6389</v>
      </c>
    </row>
    <row r="103" spans="1:16" ht="33">
      <c r="A103" s="3008">
        <v>99</v>
      </c>
      <c r="B103" s="3009" t="s">
        <v>6519</v>
      </c>
      <c r="C103" s="3010"/>
      <c r="D103" s="3008" t="s">
        <v>6387</v>
      </c>
      <c r="E103" s="3008" t="s">
        <v>6388</v>
      </c>
      <c r="F103" s="3008" t="s">
        <v>6394</v>
      </c>
      <c r="G103" s="3008" t="s">
        <v>6395</v>
      </c>
      <c r="H103" s="3008" t="s">
        <v>6388</v>
      </c>
      <c r="I103" s="3013"/>
      <c r="J103" s="3013"/>
      <c r="K103" s="3013"/>
      <c r="L103" s="3013"/>
      <c r="M103" s="3013"/>
      <c r="N103" s="3013"/>
      <c r="O103" s="3014" t="s">
        <v>6390</v>
      </c>
      <c r="P103" s="3014" t="s">
        <v>6389</v>
      </c>
    </row>
    <row r="104" spans="1:16" ht="33">
      <c r="A104" s="3008">
        <v>100</v>
      </c>
      <c r="B104" s="3009" t="s">
        <v>6520</v>
      </c>
      <c r="C104" s="3010"/>
      <c r="D104" s="3008" t="s">
        <v>6387</v>
      </c>
      <c r="E104" s="3008" t="s">
        <v>6388</v>
      </c>
      <c r="F104" s="3008" t="s">
        <v>6394</v>
      </c>
      <c r="G104" s="3008" t="s">
        <v>6395</v>
      </c>
      <c r="H104" s="3008" t="s">
        <v>6388</v>
      </c>
      <c r="I104" s="3013"/>
      <c r="J104" s="3013"/>
      <c r="K104" s="3013"/>
      <c r="L104" s="3013"/>
      <c r="M104" s="3013"/>
      <c r="N104" s="3013"/>
      <c r="O104" s="3014" t="s">
        <v>6390</v>
      </c>
      <c r="P104" s="3014" t="s">
        <v>6389</v>
      </c>
    </row>
    <row r="105" spans="1:16" ht="33">
      <c r="A105" s="3008">
        <v>101</v>
      </c>
      <c r="B105" s="3009" t="s">
        <v>6521</v>
      </c>
      <c r="C105" s="3010"/>
      <c r="D105" s="3008" t="s">
        <v>6387</v>
      </c>
      <c r="E105" s="3008" t="s">
        <v>6388</v>
      </c>
      <c r="F105" s="3008" t="s">
        <v>6394</v>
      </c>
      <c r="G105" s="3008" t="s">
        <v>6395</v>
      </c>
      <c r="H105" s="3008" t="s">
        <v>6388</v>
      </c>
      <c r="I105" s="3013"/>
      <c r="J105" s="3013"/>
      <c r="K105" s="3013"/>
      <c r="L105" s="3013"/>
      <c r="M105" s="3013"/>
      <c r="N105" s="3013"/>
      <c r="O105" s="3014" t="s">
        <v>6390</v>
      </c>
      <c r="P105" s="3014" t="s">
        <v>6389</v>
      </c>
    </row>
    <row r="106" spans="1:16" ht="33">
      <c r="A106" s="3008">
        <v>102</v>
      </c>
      <c r="B106" s="3009" t="s">
        <v>6522</v>
      </c>
      <c r="C106" s="3010"/>
      <c r="D106" s="3008" t="s">
        <v>6387</v>
      </c>
      <c r="E106" s="3008" t="s">
        <v>6388</v>
      </c>
      <c r="F106" s="3008" t="s">
        <v>6394</v>
      </c>
      <c r="G106" s="3008" t="s">
        <v>6395</v>
      </c>
      <c r="H106" s="3008" t="s">
        <v>6388</v>
      </c>
      <c r="I106" s="3013"/>
      <c r="J106" s="3013"/>
      <c r="K106" s="3013"/>
      <c r="L106" s="3013"/>
      <c r="M106" s="3013"/>
      <c r="N106" s="3013"/>
      <c r="O106" s="3014" t="s">
        <v>6390</v>
      </c>
      <c r="P106" s="3014" t="s">
        <v>6389</v>
      </c>
    </row>
    <row r="107" spans="1:16" ht="16.5">
      <c r="A107" s="3008">
        <v>103</v>
      </c>
      <c r="B107" s="3009" t="s">
        <v>6523</v>
      </c>
      <c r="C107" s="3010"/>
      <c r="D107" s="3008" t="s">
        <v>6387</v>
      </c>
      <c r="E107" s="3008" t="s">
        <v>6388</v>
      </c>
      <c r="F107" s="3008" t="s">
        <v>6394</v>
      </c>
      <c r="G107" s="3008" t="s">
        <v>6395</v>
      </c>
      <c r="H107" s="3008" t="s">
        <v>6388</v>
      </c>
      <c r="I107" s="3013"/>
      <c r="J107" s="3013"/>
      <c r="K107" s="3013"/>
      <c r="L107" s="3013"/>
      <c r="M107" s="3013"/>
      <c r="N107" s="3013"/>
      <c r="O107" s="3014" t="s">
        <v>6390</v>
      </c>
      <c r="P107" s="3014" t="s">
        <v>6389</v>
      </c>
    </row>
    <row r="108" spans="1:16" ht="33">
      <c r="A108" s="3008">
        <v>104</v>
      </c>
      <c r="B108" s="3009" t="s">
        <v>6524</v>
      </c>
      <c r="C108" s="3010"/>
      <c r="D108" s="3008" t="s">
        <v>6387</v>
      </c>
      <c r="E108" s="3008" t="s">
        <v>6388</v>
      </c>
      <c r="F108" s="3008" t="s">
        <v>6394</v>
      </c>
      <c r="G108" s="3008" t="s">
        <v>6395</v>
      </c>
      <c r="H108" s="3008" t="s">
        <v>6388</v>
      </c>
      <c r="I108" s="3013"/>
      <c r="J108" s="3013"/>
      <c r="K108" s="3013"/>
      <c r="L108" s="3013"/>
      <c r="M108" s="3013"/>
      <c r="N108" s="3013"/>
      <c r="O108" s="3014" t="s">
        <v>6390</v>
      </c>
      <c r="P108" s="3014" t="s">
        <v>6389</v>
      </c>
    </row>
    <row r="109" spans="1:16" ht="33">
      <c r="A109" s="3008">
        <v>105</v>
      </c>
      <c r="B109" s="3009" t="s">
        <v>6525</v>
      </c>
      <c r="C109" s="3010"/>
      <c r="D109" s="3008" t="s">
        <v>6387</v>
      </c>
      <c r="E109" s="3008" t="s">
        <v>6388</v>
      </c>
      <c r="F109" s="3008" t="s">
        <v>6394</v>
      </c>
      <c r="G109" s="3008" t="s">
        <v>6395</v>
      </c>
      <c r="H109" s="3008" t="s">
        <v>6388</v>
      </c>
      <c r="I109" s="3013"/>
      <c r="J109" s="3013"/>
      <c r="K109" s="3013"/>
      <c r="L109" s="3013"/>
      <c r="M109" s="3013"/>
      <c r="N109" s="3013"/>
      <c r="O109" s="3014" t="s">
        <v>6390</v>
      </c>
      <c r="P109" s="3014" t="s">
        <v>6389</v>
      </c>
    </row>
    <row r="110" spans="1:16" ht="33">
      <c r="A110" s="3008">
        <v>106</v>
      </c>
      <c r="B110" s="3009" t="s">
        <v>6526</v>
      </c>
      <c r="C110" s="3010"/>
      <c r="D110" s="3008" t="s">
        <v>6387</v>
      </c>
      <c r="E110" s="3008" t="s">
        <v>6388</v>
      </c>
      <c r="F110" s="3008" t="s">
        <v>6394</v>
      </c>
      <c r="G110" s="3008" t="s">
        <v>6395</v>
      </c>
      <c r="H110" s="3008" t="s">
        <v>6388</v>
      </c>
      <c r="I110" s="3013"/>
      <c r="J110" s="3013"/>
      <c r="K110" s="3013"/>
      <c r="L110" s="3013"/>
      <c r="M110" s="3013"/>
      <c r="N110" s="3013"/>
      <c r="O110" s="3014" t="s">
        <v>6390</v>
      </c>
      <c r="P110" s="3014" t="s">
        <v>6389</v>
      </c>
    </row>
    <row r="111" spans="1:16" ht="33">
      <c r="A111" s="3008">
        <v>107</v>
      </c>
      <c r="B111" s="3009" t="s">
        <v>6527</v>
      </c>
      <c r="C111" s="3010"/>
      <c r="D111" s="3008" t="s">
        <v>6387</v>
      </c>
      <c r="E111" s="3008" t="s">
        <v>6388</v>
      </c>
      <c r="F111" s="3008" t="s">
        <v>6394</v>
      </c>
      <c r="G111" s="3008" t="s">
        <v>6395</v>
      </c>
      <c r="H111" s="3008" t="s">
        <v>6394</v>
      </c>
      <c r="I111" s="3013"/>
      <c r="J111" s="3013"/>
      <c r="K111" s="3013"/>
      <c r="L111" s="3013"/>
      <c r="M111" s="3013"/>
      <c r="N111" s="3013"/>
      <c r="O111" s="3014" t="s">
        <v>6390</v>
      </c>
      <c r="P111" s="3014" t="s">
        <v>6389</v>
      </c>
    </row>
    <row r="112" spans="1:16" ht="16.5">
      <c r="A112" s="3008">
        <v>108</v>
      </c>
      <c r="B112" s="3009" t="s">
        <v>6528</v>
      </c>
      <c r="C112" s="3010"/>
      <c r="D112" s="3008" t="s">
        <v>6392</v>
      </c>
      <c r="E112" s="3008" t="s">
        <v>6388</v>
      </c>
      <c r="F112" s="3008" t="s">
        <v>6394</v>
      </c>
      <c r="G112" s="3008" t="s">
        <v>6395</v>
      </c>
      <c r="H112" s="3008" t="s">
        <v>6394</v>
      </c>
      <c r="I112" s="3013"/>
      <c r="J112" s="3013"/>
      <c r="K112" s="3013"/>
      <c r="L112" s="3013"/>
      <c r="M112" s="3013"/>
      <c r="N112" s="3013"/>
      <c r="O112" s="3014" t="s">
        <v>6390</v>
      </c>
      <c r="P112" s="3014" t="s">
        <v>6389</v>
      </c>
    </row>
    <row r="113" spans="1:16" ht="16.5">
      <c r="A113" s="3008">
        <v>109</v>
      </c>
      <c r="B113" s="3009" t="s">
        <v>6529</v>
      </c>
      <c r="C113" s="3010"/>
      <c r="D113" s="3008" t="s">
        <v>6403</v>
      </c>
      <c r="E113" s="3008" t="s">
        <v>6388</v>
      </c>
      <c r="F113" s="3008" t="s">
        <v>6394</v>
      </c>
      <c r="G113" s="3008" t="s">
        <v>6530</v>
      </c>
      <c r="H113" s="3008" t="s">
        <v>6388</v>
      </c>
      <c r="I113" s="3013"/>
      <c r="J113" s="3013"/>
      <c r="K113" s="3013"/>
      <c r="L113" s="3013"/>
      <c r="M113" s="3013"/>
      <c r="N113" s="3013"/>
      <c r="O113" s="3014" t="s">
        <v>6390</v>
      </c>
      <c r="P113" s="3014" t="s">
        <v>6389</v>
      </c>
    </row>
    <row r="114" spans="1:16" ht="16.5">
      <c r="A114" s="3008">
        <v>110</v>
      </c>
      <c r="B114" s="3009" t="s">
        <v>6531</v>
      </c>
      <c r="C114" s="3010"/>
      <c r="D114" s="3011" t="s">
        <v>6387</v>
      </c>
      <c r="E114" s="3008" t="s">
        <v>6388</v>
      </c>
      <c r="F114" s="3008" t="s">
        <v>6390</v>
      </c>
      <c r="G114" s="3026" t="s">
        <v>6420</v>
      </c>
      <c r="H114" s="3008" t="s">
        <v>6388</v>
      </c>
      <c r="I114" s="3013"/>
      <c r="J114" s="3013"/>
      <c r="K114" s="3013"/>
      <c r="L114" s="3013"/>
      <c r="M114" s="3013"/>
      <c r="N114" s="3013"/>
      <c r="O114" s="3014" t="s">
        <v>6390</v>
      </c>
      <c r="P114" s="3014" t="s">
        <v>6390</v>
      </c>
    </row>
    <row r="115" spans="1:16" ht="16.5">
      <c r="A115" s="3008">
        <v>111</v>
      </c>
      <c r="B115" s="3009" t="s">
        <v>6532</v>
      </c>
      <c r="C115" s="3010"/>
      <c r="D115" s="3011" t="s">
        <v>6387</v>
      </c>
      <c r="E115" s="3008" t="s">
        <v>6388</v>
      </c>
      <c r="F115" s="3008" t="s">
        <v>6390</v>
      </c>
      <c r="G115" s="3008" t="s">
        <v>6420</v>
      </c>
      <c r="H115" s="3008" t="s">
        <v>6388</v>
      </c>
      <c r="I115" s="3013"/>
      <c r="J115" s="3013"/>
      <c r="K115" s="3013"/>
      <c r="L115" s="3013"/>
      <c r="M115" s="3013"/>
      <c r="N115" s="3013"/>
      <c r="O115" s="3014" t="s">
        <v>6390</v>
      </c>
      <c r="P115" s="3014" t="s">
        <v>6390</v>
      </c>
    </row>
    <row r="116" spans="1:16" ht="16.5">
      <c r="A116" s="3008">
        <v>112</v>
      </c>
      <c r="B116" s="3009" t="s">
        <v>6533</v>
      </c>
      <c r="C116" s="3010"/>
      <c r="D116" s="3011" t="s">
        <v>6387</v>
      </c>
      <c r="E116" s="3008" t="s">
        <v>6388</v>
      </c>
      <c r="F116" s="3008" t="s">
        <v>6390</v>
      </c>
      <c r="G116" s="3008" t="s">
        <v>6420</v>
      </c>
      <c r="H116" s="3008" t="s">
        <v>6388</v>
      </c>
      <c r="I116" s="3013"/>
      <c r="J116" s="3013"/>
      <c r="K116" s="3013"/>
      <c r="L116" s="3013"/>
      <c r="M116" s="3013"/>
      <c r="N116" s="3013"/>
      <c r="O116" s="3014" t="s">
        <v>6390</v>
      </c>
      <c r="P116" s="3014" t="s">
        <v>6390</v>
      </c>
    </row>
    <row r="117" spans="1:16" ht="33">
      <c r="A117" s="3008">
        <v>113</v>
      </c>
      <c r="B117" s="3009" t="s">
        <v>6534</v>
      </c>
      <c r="C117" s="3010"/>
      <c r="D117" s="3011" t="s">
        <v>6387</v>
      </c>
      <c r="E117" s="3008" t="s">
        <v>6388</v>
      </c>
      <c r="F117" s="3008" t="s">
        <v>6390</v>
      </c>
      <c r="G117" s="3008" t="s">
        <v>6420</v>
      </c>
      <c r="H117" s="3008" t="s">
        <v>6388</v>
      </c>
      <c r="I117" s="3013"/>
      <c r="J117" s="3013"/>
      <c r="K117" s="3013"/>
      <c r="L117" s="3013"/>
      <c r="M117" s="3013"/>
      <c r="N117" s="3013"/>
      <c r="O117" s="3014" t="s">
        <v>6390</v>
      </c>
      <c r="P117" s="3014" t="s">
        <v>6390</v>
      </c>
    </row>
    <row r="118" spans="1:16" ht="16.5">
      <c r="A118" s="3008">
        <v>114</v>
      </c>
      <c r="B118" s="3019" t="s">
        <v>6535</v>
      </c>
      <c r="C118" s="3010"/>
      <c r="D118" s="3011" t="s">
        <v>6387</v>
      </c>
      <c r="E118" s="3008" t="s">
        <v>6388</v>
      </c>
      <c r="F118" s="3008" t="s">
        <v>6390</v>
      </c>
      <c r="G118" s="3008" t="s">
        <v>6420</v>
      </c>
      <c r="H118" s="3008" t="s">
        <v>6388</v>
      </c>
      <c r="I118" s="3013"/>
      <c r="J118" s="3013"/>
      <c r="K118" s="3013"/>
      <c r="L118" s="3013"/>
      <c r="M118" s="3013"/>
      <c r="N118" s="3013"/>
      <c r="O118" s="3014" t="s">
        <v>6390</v>
      </c>
      <c r="P118" s="3014" t="s">
        <v>6390</v>
      </c>
    </row>
    <row r="119" spans="1:16" ht="16.5">
      <c r="A119" s="3008">
        <v>115</v>
      </c>
      <c r="B119" s="3009" t="s">
        <v>6536</v>
      </c>
      <c r="C119" s="3010"/>
      <c r="D119" s="3011" t="s">
        <v>6387</v>
      </c>
      <c r="E119" s="3008" t="s">
        <v>6388</v>
      </c>
      <c r="F119" s="3008" t="s">
        <v>6390</v>
      </c>
      <c r="G119" s="3008" t="s">
        <v>6420</v>
      </c>
      <c r="H119" s="3008" t="s">
        <v>6388</v>
      </c>
      <c r="I119" s="3013"/>
      <c r="J119" s="3013"/>
      <c r="K119" s="3013"/>
      <c r="L119" s="3013"/>
      <c r="M119" s="3013"/>
      <c r="N119" s="3013"/>
      <c r="O119" s="3014" t="s">
        <v>6390</v>
      </c>
      <c r="P119" s="3014" t="s">
        <v>6390</v>
      </c>
    </row>
    <row r="120" spans="1:16" ht="16.5">
      <c r="A120" s="2794">
        <v>116</v>
      </c>
      <c r="B120" s="3000" t="s">
        <v>6588</v>
      </c>
      <c r="C120" s="3010"/>
      <c r="D120" s="3011" t="s">
        <v>6387</v>
      </c>
      <c r="E120" s="3008" t="s">
        <v>6388</v>
      </c>
      <c r="F120" s="3008" t="s">
        <v>6390</v>
      </c>
      <c r="G120" s="3026" t="s">
        <v>6420</v>
      </c>
      <c r="H120" s="3008" t="s">
        <v>6388</v>
      </c>
      <c r="I120" s="3013"/>
      <c r="J120" s="3013"/>
      <c r="K120" s="3013"/>
      <c r="L120" s="3013"/>
      <c r="M120" s="3013"/>
      <c r="N120" s="3013"/>
      <c r="O120" s="3014" t="s">
        <v>6390</v>
      </c>
      <c r="P120" s="3014" t="s">
        <v>6390</v>
      </c>
    </row>
    <row r="121" spans="1:16" ht="16.5">
      <c r="A121" s="2794">
        <v>117</v>
      </c>
      <c r="B121" s="3009" t="s">
        <v>6537</v>
      </c>
      <c r="C121" s="3010"/>
      <c r="D121" s="3011" t="s">
        <v>6387</v>
      </c>
      <c r="E121" s="3008" t="s">
        <v>6388</v>
      </c>
      <c r="F121" s="3008" t="s">
        <v>6390</v>
      </c>
      <c r="G121" s="3008" t="s">
        <v>6420</v>
      </c>
      <c r="H121" s="3008" t="s">
        <v>6388</v>
      </c>
      <c r="I121" s="3013"/>
      <c r="J121" s="3013"/>
      <c r="K121" s="3013"/>
      <c r="L121" s="3013"/>
      <c r="M121" s="3013"/>
      <c r="N121" s="3013"/>
      <c r="O121" s="3014" t="s">
        <v>6390</v>
      </c>
      <c r="P121" s="3014" t="s">
        <v>6390</v>
      </c>
    </row>
    <row r="122" spans="1:16" ht="16.5">
      <c r="A122" s="2794">
        <v>118</v>
      </c>
      <c r="B122" s="3009" t="s">
        <v>6538</v>
      </c>
      <c r="C122" s="3010"/>
      <c r="D122" s="3011" t="s">
        <v>6387</v>
      </c>
      <c r="E122" s="3008" t="s">
        <v>6388</v>
      </c>
      <c r="F122" s="3008" t="s">
        <v>6390</v>
      </c>
      <c r="G122" s="3008" t="s">
        <v>6420</v>
      </c>
      <c r="H122" s="3011" t="s">
        <v>6417</v>
      </c>
      <c r="I122" s="3013"/>
      <c r="J122" s="3013"/>
      <c r="K122" s="3013"/>
      <c r="L122" s="3013"/>
      <c r="M122" s="3013"/>
      <c r="N122" s="3013"/>
      <c r="O122" s="3011" t="s">
        <v>6417</v>
      </c>
      <c r="P122" s="3011" t="s">
        <v>6417</v>
      </c>
    </row>
    <row r="123" spans="1:16" ht="16.5">
      <c r="A123" s="2794">
        <v>119</v>
      </c>
      <c r="B123" s="3009" t="s">
        <v>6539</v>
      </c>
      <c r="C123" s="3010"/>
      <c r="D123" s="3011" t="s">
        <v>6387</v>
      </c>
      <c r="E123" s="3008" t="s">
        <v>6388</v>
      </c>
      <c r="F123" s="3008" t="s">
        <v>6390</v>
      </c>
      <c r="G123" s="3008" t="s">
        <v>6420</v>
      </c>
      <c r="H123" s="3008" t="s">
        <v>6394</v>
      </c>
      <c r="I123" s="3013"/>
      <c r="J123" s="3013"/>
      <c r="K123" s="3013"/>
      <c r="L123" s="3013"/>
      <c r="M123" s="3013"/>
      <c r="N123" s="3013"/>
      <c r="O123" s="3014" t="s">
        <v>6390</v>
      </c>
      <c r="P123" s="3014" t="s">
        <v>6390</v>
      </c>
    </row>
    <row r="124" spans="1:16" ht="16.5">
      <c r="A124" s="2794">
        <v>120</v>
      </c>
      <c r="B124" s="3009" t="s">
        <v>6540</v>
      </c>
      <c r="C124" s="3010"/>
      <c r="D124" s="3011" t="s">
        <v>6387</v>
      </c>
      <c r="E124" s="3008" t="s">
        <v>6388</v>
      </c>
      <c r="F124" s="3008" t="s">
        <v>6390</v>
      </c>
      <c r="G124" s="3008" t="s">
        <v>6420</v>
      </c>
      <c r="H124" s="3008" t="s">
        <v>6394</v>
      </c>
      <c r="I124" s="3013"/>
      <c r="J124" s="3013"/>
      <c r="K124" s="3013"/>
      <c r="L124" s="3013"/>
      <c r="M124" s="3013"/>
      <c r="N124" s="3013"/>
      <c r="O124" s="3014" t="s">
        <v>6390</v>
      </c>
      <c r="P124" s="3014" t="s">
        <v>6390</v>
      </c>
    </row>
    <row r="125" spans="1:16" ht="18.75">
      <c r="A125" s="2794">
        <v>121</v>
      </c>
      <c r="B125" s="3027" t="s">
        <v>6541</v>
      </c>
      <c r="C125" s="3010"/>
      <c r="D125" s="3011" t="s">
        <v>6387</v>
      </c>
      <c r="E125" s="3008" t="s">
        <v>6388</v>
      </c>
      <c r="F125" s="3008" t="s">
        <v>6390</v>
      </c>
      <c r="G125" s="3008" t="s">
        <v>6420</v>
      </c>
      <c r="H125" s="3008" t="s">
        <v>6389</v>
      </c>
      <c r="I125" s="3013"/>
      <c r="J125" s="3013"/>
      <c r="K125" s="3013"/>
      <c r="L125" s="3013"/>
      <c r="M125" s="3013"/>
      <c r="N125" s="3013"/>
      <c r="O125" s="3014" t="s">
        <v>6390</v>
      </c>
      <c r="P125" s="3014" t="s">
        <v>6390</v>
      </c>
    </row>
    <row r="126" spans="1:16" ht="16.5">
      <c r="A126" s="2794">
        <v>122</v>
      </c>
      <c r="B126" s="3028" t="s">
        <v>6542</v>
      </c>
      <c r="C126" s="3029"/>
      <c r="D126" s="3011" t="s">
        <v>6387</v>
      </c>
      <c r="E126" s="3008" t="s">
        <v>6388</v>
      </c>
      <c r="F126" s="3008" t="s">
        <v>6390</v>
      </c>
      <c r="G126" s="3008" t="s">
        <v>6420</v>
      </c>
      <c r="H126" s="3008" t="s">
        <v>6389</v>
      </c>
      <c r="I126" s="3013"/>
      <c r="J126" s="3013"/>
      <c r="K126" s="3013"/>
      <c r="L126" s="3013"/>
      <c r="M126" s="3013"/>
      <c r="N126" s="3013"/>
      <c r="O126" s="3014" t="s">
        <v>6390</v>
      </c>
      <c r="P126" s="3014" t="s">
        <v>6390</v>
      </c>
    </row>
    <row r="127" spans="1:16" ht="16.5">
      <c r="A127" s="2794">
        <v>123</v>
      </c>
      <c r="B127" s="3028" t="s">
        <v>6543</v>
      </c>
      <c r="C127" s="3029"/>
      <c r="D127" s="3011" t="s">
        <v>6387</v>
      </c>
      <c r="E127" s="3008" t="s">
        <v>6388</v>
      </c>
      <c r="F127" s="3008" t="s">
        <v>6390</v>
      </c>
      <c r="G127" s="3008" t="s">
        <v>6420</v>
      </c>
      <c r="H127" s="3008" t="s">
        <v>6389</v>
      </c>
      <c r="I127" s="3013"/>
      <c r="J127" s="3013"/>
      <c r="K127" s="3013"/>
      <c r="L127" s="3013"/>
      <c r="M127" s="3013"/>
      <c r="N127" s="3013"/>
      <c r="O127" s="3014" t="s">
        <v>6390</v>
      </c>
      <c r="P127" s="3014" t="s">
        <v>6390</v>
      </c>
    </row>
    <row r="128" spans="1:16" ht="16.5">
      <c r="A128" s="2794">
        <v>124</v>
      </c>
      <c r="B128" s="3028" t="s">
        <v>6544</v>
      </c>
      <c r="C128" s="3029"/>
      <c r="D128" s="3011" t="s">
        <v>6387</v>
      </c>
      <c r="E128" s="3008" t="s">
        <v>6388</v>
      </c>
      <c r="F128" s="3008" t="s">
        <v>6390</v>
      </c>
      <c r="G128" s="3008" t="s">
        <v>6420</v>
      </c>
      <c r="H128" s="3008" t="s">
        <v>6389</v>
      </c>
      <c r="I128" s="3013"/>
      <c r="J128" s="3013"/>
      <c r="K128" s="3013"/>
      <c r="L128" s="3013"/>
      <c r="M128" s="3013"/>
      <c r="N128" s="3013"/>
      <c r="O128" s="3014" t="s">
        <v>6390</v>
      </c>
      <c r="P128" s="3014" t="s">
        <v>6390</v>
      </c>
    </row>
    <row r="129" spans="1:16" ht="16.5">
      <c r="A129" s="2794">
        <v>125</v>
      </c>
      <c r="B129" s="3028" t="s">
        <v>6545</v>
      </c>
      <c r="C129" s="3029"/>
      <c r="D129" s="3011" t="s">
        <v>6387</v>
      </c>
      <c r="E129" s="3008" t="s">
        <v>6388</v>
      </c>
      <c r="F129" s="3008" t="s">
        <v>6390</v>
      </c>
      <c r="G129" s="3008" t="s">
        <v>6420</v>
      </c>
      <c r="H129" s="3008" t="s">
        <v>6389</v>
      </c>
      <c r="I129" s="3013"/>
      <c r="J129" s="3013"/>
      <c r="K129" s="3013"/>
      <c r="L129" s="3013"/>
      <c r="M129" s="3013"/>
      <c r="N129" s="3013"/>
      <c r="O129" s="3014" t="s">
        <v>6390</v>
      </c>
      <c r="P129" s="3014" t="s">
        <v>6390</v>
      </c>
    </row>
    <row r="130" spans="1:16" ht="16.5">
      <c r="A130" s="2794">
        <v>126</v>
      </c>
      <c r="B130" s="3028" t="s">
        <v>6546</v>
      </c>
      <c r="C130" s="3029"/>
      <c r="D130" s="3011" t="s">
        <v>6387</v>
      </c>
      <c r="E130" s="3008" t="s">
        <v>6388</v>
      </c>
      <c r="F130" s="3008" t="s">
        <v>6390</v>
      </c>
      <c r="G130" s="3008" t="s">
        <v>6420</v>
      </c>
      <c r="H130" s="3008" t="s">
        <v>6389</v>
      </c>
      <c r="I130" s="3013"/>
      <c r="J130" s="3013"/>
      <c r="K130" s="3013"/>
      <c r="L130" s="3013"/>
      <c r="M130" s="3013"/>
      <c r="N130" s="3013"/>
      <c r="O130" s="3014" t="s">
        <v>6390</v>
      </c>
      <c r="P130" s="3014" t="s">
        <v>6390</v>
      </c>
    </row>
    <row r="131" spans="1:16" ht="16.5">
      <c r="A131" s="2794">
        <v>127</v>
      </c>
      <c r="B131" s="3028" t="s">
        <v>6547</v>
      </c>
      <c r="C131" s="3029"/>
      <c r="D131" s="3011" t="s">
        <v>6387</v>
      </c>
      <c r="E131" s="3008" t="s">
        <v>6388</v>
      </c>
      <c r="F131" s="3008" t="s">
        <v>6390</v>
      </c>
      <c r="G131" s="3008" t="s">
        <v>6420</v>
      </c>
      <c r="H131" s="3008" t="s">
        <v>6389</v>
      </c>
      <c r="I131" s="3013"/>
      <c r="J131" s="3013"/>
      <c r="K131" s="3013"/>
      <c r="L131" s="3013"/>
      <c r="M131" s="3013"/>
      <c r="N131" s="3013"/>
      <c r="O131" s="3014" t="s">
        <v>6390</v>
      </c>
      <c r="P131" s="3014" t="s">
        <v>6390</v>
      </c>
    </row>
    <row r="132" spans="1:16" ht="16.5">
      <c r="A132" s="2794">
        <v>128</v>
      </c>
      <c r="B132" s="3028" t="s">
        <v>6548</v>
      </c>
      <c r="C132" s="3029"/>
      <c r="D132" s="3011" t="s">
        <v>6387</v>
      </c>
      <c r="E132" s="3008" t="s">
        <v>6388</v>
      </c>
      <c r="F132" s="3008" t="s">
        <v>6390</v>
      </c>
      <c r="G132" s="3008" t="s">
        <v>6420</v>
      </c>
      <c r="H132" s="3008" t="s">
        <v>6389</v>
      </c>
      <c r="I132" s="3013"/>
      <c r="J132" s="3013"/>
      <c r="K132" s="3013"/>
      <c r="L132" s="3013"/>
      <c r="M132" s="3013"/>
      <c r="N132" s="3013"/>
      <c r="O132" s="3014" t="s">
        <v>6390</v>
      </c>
      <c r="P132" s="3014" t="s">
        <v>6390</v>
      </c>
    </row>
    <row r="133" spans="1:16" ht="16.5">
      <c r="A133" s="2794">
        <v>129</v>
      </c>
      <c r="B133" s="3028" t="s">
        <v>6549</v>
      </c>
      <c r="C133" s="3029"/>
      <c r="D133" s="3011" t="s">
        <v>6387</v>
      </c>
      <c r="E133" s="3008" t="s">
        <v>6388</v>
      </c>
      <c r="F133" s="3008" t="s">
        <v>6388</v>
      </c>
      <c r="G133" s="3008"/>
      <c r="H133" s="3008" t="s">
        <v>6389</v>
      </c>
      <c r="I133" s="3013"/>
      <c r="J133" s="3013"/>
      <c r="K133" s="3013"/>
      <c r="L133" s="3013"/>
      <c r="M133" s="3013"/>
      <c r="N133" s="3013"/>
      <c r="O133" s="3014" t="s">
        <v>6390</v>
      </c>
      <c r="P133" s="3014" t="s">
        <v>6390</v>
      </c>
    </row>
    <row r="134" spans="1:16" ht="16.5">
      <c r="A134" s="2794">
        <v>130</v>
      </c>
      <c r="B134" s="3028" t="s">
        <v>6550</v>
      </c>
      <c r="C134" s="3029"/>
      <c r="D134" s="3011" t="s">
        <v>6387</v>
      </c>
      <c r="E134" s="3008" t="s">
        <v>6388</v>
      </c>
      <c r="F134" s="3008" t="s">
        <v>6388</v>
      </c>
      <c r="G134" s="3008"/>
      <c r="H134" s="3008" t="s">
        <v>6389</v>
      </c>
      <c r="I134" s="3013"/>
      <c r="J134" s="3013"/>
      <c r="K134" s="3013"/>
      <c r="L134" s="3013"/>
      <c r="M134" s="3013"/>
      <c r="N134" s="3013"/>
      <c r="O134" s="3014" t="s">
        <v>6390</v>
      </c>
      <c r="P134" s="3014" t="s">
        <v>6390</v>
      </c>
    </row>
    <row r="135" spans="1:16" ht="16.5">
      <c r="A135" s="2794">
        <v>131</v>
      </c>
      <c r="B135" s="3028" t="s">
        <v>6551</v>
      </c>
      <c r="C135" s="3029"/>
      <c r="D135" s="3011" t="s">
        <v>6387</v>
      </c>
      <c r="E135" s="3008" t="s">
        <v>6388</v>
      </c>
      <c r="F135" s="3008" t="s">
        <v>6388</v>
      </c>
      <c r="G135" s="3008"/>
      <c r="H135" s="3008" t="s">
        <v>6389</v>
      </c>
      <c r="I135" s="3013"/>
      <c r="J135" s="3013"/>
      <c r="K135" s="3013"/>
      <c r="L135" s="3013"/>
      <c r="M135" s="3013"/>
      <c r="N135" s="3013"/>
      <c r="O135" s="3014" t="s">
        <v>6390</v>
      </c>
      <c r="P135" s="3014" t="s">
        <v>6390</v>
      </c>
    </row>
    <row r="136" spans="1:16" ht="16.5">
      <c r="A136" s="2794">
        <v>132</v>
      </c>
      <c r="B136" s="3028" t="s">
        <v>6552</v>
      </c>
      <c r="C136" s="3029"/>
      <c r="D136" s="3011" t="s">
        <v>6387</v>
      </c>
      <c r="E136" s="3008" t="s">
        <v>6388</v>
      </c>
      <c r="F136" s="3008" t="s">
        <v>6388</v>
      </c>
      <c r="G136" s="3008"/>
      <c r="H136" s="3008" t="s">
        <v>6389</v>
      </c>
      <c r="I136" s="3013"/>
      <c r="J136" s="3013"/>
      <c r="K136" s="3013"/>
      <c r="L136" s="3013"/>
      <c r="M136" s="3013"/>
      <c r="N136" s="3013"/>
      <c r="O136" s="3014" t="s">
        <v>6390</v>
      </c>
      <c r="P136" s="3014" t="s">
        <v>6390</v>
      </c>
    </row>
    <row r="137" spans="1:16" ht="16.5">
      <c r="A137" s="2794">
        <v>133</v>
      </c>
      <c r="B137" s="3028" t="s">
        <v>6553</v>
      </c>
      <c r="C137" s="3029"/>
      <c r="D137" s="3011" t="s">
        <v>6387</v>
      </c>
      <c r="E137" s="3008" t="s">
        <v>6388</v>
      </c>
      <c r="F137" s="3008" t="s">
        <v>6388</v>
      </c>
      <c r="G137" s="3008"/>
      <c r="H137" s="3008" t="s">
        <v>6389</v>
      </c>
      <c r="I137" s="3013"/>
      <c r="J137" s="3013"/>
      <c r="K137" s="3013"/>
      <c r="L137" s="3013"/>
      <c r="M137" s="3013"/>
      <c r="N137" s="3013"/>
      <c r="O137" s="3014" t="s">
        <v>6390</v>
      </c>
      <c r="P137" s="3014" t="s">
        <v>6390</v>
      </c>
    </row>
    <row r="138" spans="1:16" ht="16.5">
      <c r="A138" s="2794">
        <v>134</v>
      </c>
      <c r="B138" s="3028" t="s">
        <v>6554</v>
      </c>
      <c r="C138" s="3029"/>
      <c r="D138" s="3011" t="s">
        <v>6387</v>
      </c>
      <c r="E138" s="3008" t="s">
        <v>6388</v>
      </c>
      <c r="F138" s="3008" t="s">
        <v>6388</v>
      </c>
      <c r="G138" s="3008"/>
      <c r="H138" s="3008" t="s">
        <v>6389</v>
      </c>
      <c r="I138" s="3013"/>
      <c r="J138" s="3013"/>
      <c r="K138" s="3013"/>
      <c r="L138" s="3013"/>
      <c r="M138" s="3013"/>
      <c r="N138" s="3013"/>
      <c r="O138" s="3014" t="s">
        <v>6390</v>
      </c>
      <c r="P138" s="3014" t="s">
        <v>6390</v>
      </c>
    </row>
    <row r="139" spans="1:16" ht="16.5">
      <c r="A139" s="2794">
        <v>135</v>
      </c>
      <c r="B139" s="3028" t="s">
        <v>6555</v>
      </c>
      <c r="C139" s="3029"/>
      <c r="D139" s="3011" t="s">
        <v>6387</v>
      </c>
      <c r="E139" s="3008" t="s">
        <v>6388</v>
      </c>
      <c r="F139" s="3008" t="s">
        <v>6388</v>
      </c>
      <c r="G139" s="3008"/>
      <c r="H139" s="3008" t="s">
        <v>6389</v>
      </c>
      <c r="I139" s="3013"/>
      <c r="J139" s="3013"/>
      <c r="K139" s="3013"/>
      <c r="L139" s="3013"/>
      <c r="M139" s="3013"/>
      <c r="N139" s="3013"/>
      <c r="O139" s="3014" t="s">
        <v>6390</v>
      </c>
      <c r="P139" s="3014" t="s">
        <v>6390</v>
      </c>
    </row>
    <row r="140" spans="1:16" ht="16.5">
      <c r="A140" s="2794">
        <v>136</v>
      </c>
      <c r="B140" s="3028" t="s">
        <v>6556</v>
      </c>
      <c r="C140" s="3029"/>
      <c r="D140" s="3011" t="s">
        <v>6387</v>
      </c>
      <c r="E140" s="3008" t="s">
        <v>6388</v>
      </c>
      <c r="F140" s="3008" t="s">
        <v>6388</v>
      </c>
      <c r="G140" s="3008"/>
      <c r="H140" s="3008" t="s">
        <v>6389</v>
      </c>
      <c r="I140" s="3013"/>
      <c r="J140" s="3013"/>
      <c r="K140" s="3013"/>
      <c r="L140" s="3013"/>
      <c r="M140" s="3013"/>
      <c r="N140" s="3013"/>
      <c r="O140" s="3014" t="s">
        <v>6390</v>
      </c>
      <c r="P140" s="3014" t="s">
        <v>6390</v>
      </c>
    </row>
    <row r="141" spans="1:16" ht="16.5">
      <c r="A141" s="2794">
        <v>137</v>
      </c>
      <c r="B141" s="3030" t="s">
        <v>6557</v>
      </c>
      <c r="C141" s="3010"/>
      <c r="D141" s="3011" t="s">
        <v>6387</v>
      </c>
      <c r="E141" s="3008" t="s">
        <v>6388</v>
      </c>
      <c r="F141" s="3008" t="s">
        <v>6390</v>
      </c>
      <c r="G141" s="3008" t="s">
        <v>6420</v>
      </c>
      <c r="H141" s="3008" t="s">
        <v>6394</v>
      </c>
      <c r="I141" s="3013"/>
      <c r="J141" s="3013"/>
      <c r="K141" s="3013"/>
      <c r="L141" s="3013"/>
      <c r="M141" s="3013"/>
      <c r="N141" s="3013"/>
      <c r="O141" s="3014" t="s">
        <v>6390</v>
      </c>
      <c r="P141" s="3014" t="s">
        <v>6390</v>
      </c>
    </row>
    <row r="142" spans="1:16" ht="16.5">
      <c r="A142" s="2794">
        <v>138</v>
      </c>
      <c r="B142" s="3009" t="s">
        <v>6558</v>
      </c>
      <c r="C142" s="3010"/>
      <c r="D142" s="3011" t="s">
        <v>6387</v>
      </c>
      <c r="E142" s="3008" t="s">
        <v>6388</v>
      </c>
      <c r="F142" s="3008" t="s">
        <v>6390</v>
      </c>
      <c r="G142" s="3008" t="s">
        <v>6420</v>
      </c>
      <c r="H142" s="3008" t="s">
        <v>6388</v>
      </c>
      <c r="I142" s="3013"/>
      <c r="J142" s="3013"/>
      <c r="K142" s="3013"/>
      <c r="L142" s="3013"/>
      <c r="M142" s="3013"/>
      <c r="N142" s="3013"/>
      <c r="O142" s="3014" t="s">
        <v>6390</v>
      </c>
      <c r="P142" s="3014" t="s">
        <v>6390</v>
      </c>
    </row>
    <row r="143" spans="1:16" ht="16.5">
      <c r="A143" s="2794">
        <v>139</v>
      </c>
      <c r="B143" s="3009" t="s">
        <v>6559</v>
      </c>
      <c r="C143" s="3010"/>
      <c r="D143" s="3011" t="s">
        <v>6387</v>
      </c>
      <c r="E143" s="3008" t="s">
        <v>6388</v>
      </c>
      <c r="F143" s="3008" t="s">
        <v>6390</v>
      </c>
      <c r="G143" s="3008" t="s">
        <v>6420</v>
      </c>
      <c r="H143" s="3008" t="s">
        <v>6388</v>
      </c>
      <c r="I143" s="3013"/>
      <c r="J143" s="3013"/>
      <c r="K143" s="3013"/>
      <c r="L143" s="3013"/>
      <c r="M143" s="3013"/>
      <c r="N143" s="3013"/>
      <c r="O143" s="3014" t="s">
        <v>6390</v>
      </c>
      <c r="P143" s="3014" t="s">
        <v>6390</v>
      </c>
    </row>
    <row r="144" spans="1:16" ht="16.5">
      <c r="A144" s="2794">
        <v>140</v>
      </c>
      <c r="B144" s="3009" t="s">
        <v>6560</v>
      </c>
      <c r="C144" s="3010"/>
      <c r="D144" s="3011" t="s">
        <v>6387</v>
      </c>
      <c r="E144" s="3008" t="s">
        <v>6388</v>
      </c>
      <c r="F144" s="3008" t="s">
        <v>6390</v>
      </c>
      <c r="G144" s="3008" t="s">
        <v>6420</v>
      </c>
      <c r="H144" s="3008" t="s">
        <v>6388</v>
      </c>
      <c r="I144" s="3013"/>
      <c r="J144" s="3013"/>
      <c r="K144" s="3013"/>
      <c r="L144" s="3013"/>
      <c r="M144" s="3013"/>
      <c r="N144" s="3013"/>
      <c r="O144" s="3014" t="s">
        <v>6390</v>
      </c>
      <c r="P144" s="3014" t="s">
        <v>6390</v>
      </c>
    </row>
    <row r="145" spans="1:16" ht="16.5">
      <c r="A145" s="2794">
        <v>141</v>
      </c>
      <c r="B145" s="3009" t="s">
        <v>6561</v>
      </c>
      <c r="C145" s="3010"/>
      <c r="D145" s="3011" t="s">
        <v>6387</v>
      </c>
      <c r="E145" s="3008" t="s">
        <v>6388</v>
      </c>
      <c r="F145" s="3008" t="s">
        <v>6390</v>
      </c>
      <c r="G145" s="3008" t="s">
        <v>6420</v>
      </c>
      <c r="H145" s="3008" t="s">
        <v>6388</v>
      </c>
      <c r="I145" s="3013"/>
      <c r="J145" s="3013"/>
      <c r="K145" s="3013"/>
      <c r="L145" s="3013"/>
      <c r="M145" s="3013"/>
      <c r="N145" s="3013"/>
      <c r="O145" s="3014" t="s">
        <v>6390</v>
      </c>
      <c r="P145" s="3014" t="s">
        <v>6390</v>
      </c>
    </row>
    <row r="146" spans="1:16" s="1526" customFormat="1" ht="16.5">
      <c r="A146" s="2794">
        <v>142</v>
      </c>
      <c r="B146" s="3019" t="s">
        <v>6562</v>
      </c>
      <c r="C146" s="3020"/>
      <c r="D146" s="3011" t="s">
        <v>6387</v>
      </c>
      <c r="E146" s="3011" t="s">
        <v>6388</v>
      </c>
      <c r="F146" s="3011" t="s">
        <v>6394</v>
      </c>
      <c r="G146" s="3026" t="s">
        <v>6420</v>
      </c>
      <c r="H146" s="3011" t="s">
        <v>6388</v>
      </c>
      <c r="I146" s="3020"/>
      <c r="J146" s="3020"/>
      <c r="K146" s="3020"/>
      <c r="L146" s="3020"/>
      <c r="M146" s="3020"/>
      <c r="N146" s="3020"/>
      <c r="O146" s="3031" t="s">
        <v>6394</v>
      </c>
      <c r="P146" s="3031" t="s">
        <v>6394</v>
      </c>
    </row>
    <row r="147" spans="1:16" s="1526" customFormat="1" ht="33">
      <c r="A147" s="2794">
        <v>143</v>
      </c>
      <c r="B147" s="3019" t="s">
        <v>6563</v>
      </c>
      <c r="C147" s="3020"/>
      <c r="D147" s="3011" t="s">
        <v>6387</v>
      </c>
      <c r="E147" s="3011" t="s">
        <v>6388</v>
      </c>
      <c r="F147" s="3011" t="s">
        <v>6394</v>
      </c>
      <c r="G147" s="3026" t="s">
        <v>6420</v>
      </c>
      <c r="H147" s="3011" t="s">
        <v>6388</v>
      </c>
      <c r="I147" s="3020"/>
      <c r="J147" s="3020"/>
      <c r="K147" s="3020"/>
      <c r="L147" s="3020"/>
      <c r="M147" s="3020"/>
      <c r="N147" s="3020"/>
      <c r="O147" s="3031" t="s">
        <v>6394</v>
      </c>
      <c r="P147" s="3031" t="s">
        <v>6394</v>
      </c>
    </row>
    <row r="148" spans="1:16" s="1526" customFormat="1" ht="16.5">
      <c r="A148" s="2794">
        <v>144</v>
      </c>
      <c r="B148" s="3019" t="s">
        <v>6564</v>
      </c>
      <c r="C148" s="3020"/>
      <c r="D148" s="3011" t="s">
        <v>6387</v>
      </c>
      <c r="E148" s="3008" t="s">
        <v>6388</v>
      </c>
      <c r="F148" s="3008" t="s">
        <v>6390</v>
      </c>
      <c r="G148" s="3008" t="s">
        <v>6420</v>
      </c>
      <c r="H148" s="3008" t="s">
        <v>6388</v>
      </c>
      <c r="I148" s="3013"/>
      <c r="J148" s="3013"/>
      <c r="K148" s="3013"/>
      <c r="L148" s="3013"/>
      <c r="M148" s="3013"/>
      <c r="N148" s="3013"/>
      <c r="O148" s="3014" t="s">
        <v>6390</v>
      </c>
      <c r="P148" s="3014" t="s">
        <v>6390</v>
      </c>
    </row>
    <row r="149" spans="1:16" s="1526" customFormat="1" ht="16.5">
      <c r="A149" s="2794">
        <v>145</v>
      </c>
      <c r="B149" s="3019" t="s">
        <v>6565</v>
      </c>
      <c r="C149" s="3020"/>
      <c r="D149" s="3011" t="s">
        <v>6387</v>
      </c>
      <c r="E149" s="3008" t="s">
        <v>6388</v>
      </c>
      <c r="F149" s="3008" t="s">
        <v>6390</v>
      </c>
      <c r="G149" s="3008" t="s">
        <v>6420</v>
      </c>
      <c r="H149" s="3008" t="s">
        <v>6388</v>
      </c>
      <c r="I149" s="3013"/>
      <c r="J149" s="3013"/>
      <c r="K149" s="3013"/>
      <c r="L149" s="3013"/>
      <c r="M149" s="3013"/>
      <c r="N149" s="3013"/>
      <c r="O149" s="3014" t="s">
        <v>6390</v>
      </c>
      <c r="P149" s="3014" t="s">
        <v>6390</v>
      </c>
    </row>
    <row r="150" spans="1:16" s="1526" customFormat="1" ht="33">
      <c r="A150" s="2794">
        <v>146</v>
      </c>
      <c r="B150" s="3019" t="s">
        <v>6566</v>
      </c>
      <c r="C150" s="3020"/>
      <c r="D150" s="3011" t="s">
        <v>6387</v>
      </c>
      <c r="E150" s="3011" t="s">
        <v>6388</v>
      </c>
      <c r="F150" s="3011" t="s">
        <v>6394</v>
      </c>
      <c r="G150" s="3026" t="s">
        <v>6420</v>
      </c>
      <c r="H150" s="3011" t="s">
        <v>6389</v>
      </c>
      <c r="I150" s="3020"/>
      <c r="J150" s="3020"/>
      <c r="K150" s="3020"/>
      <c r="L150" s="3020"/>
      <c r="M150" s="3020"/>
      <c r="N150" s="3020"/>
      <c r="O150" s="3031" t="s">
        <v>6394</v>
      </c>
      <c r="P150" s="3031" t="s">
        <v>6394</v>
      </c>
    </row>
    <row r="151" spans="1:16" s="1526" customFormat="1" ht="16.5">
      <c r="A151" s="2794">
        <v>147</v>
      </c>
      <c r="B151" s="3019" t="s">
        <v>6567</v>
      </c>
      <c r="C151" s="3020"/>
      <c r="D151" s="3011" t="s">
        <v>6387</v>
      </c>
      <c r="E151" s="3011" t="s">
        <v>6388</v>
      </c>
      <c r="F151" s="3011" t="s">
        <v>6394</v>
      </c>
      <c r="G151" s="3026" t="s">
        <v>6420</v>
      </c>
      <c r="H151" s="3011" t="s">
        <v>6389</v>
      </c>
      <c r="I151" s="3020"/>
      <c r="J151" s="3020"/>
      <c r="K151" s="3020"/>
      <c r="L151" s="3020"/>
      <c r="M151" s="3020"/>
      <c r="N151" s="3020"/>
      <c r="O151" s="3031" t="s">
        <v>6394</v>
      </c>
      <c r="P151" s="3031" t="s">
        <v>6394</v>
      </c>
    </row>
    <row r="152" spans="1:16" ht="16.5">
      <c r="A152" s="2794">
        <v>148</v>
      </c>
      <c r="B152" s="3009" t="s">
        <v>6568</v>
      </c>
      <c r="C152" s="3010"/>
      <c r="D152" s="3011" t="s">
        <v>6387</v>
      </c>
      <c r="E152" s="3008" t="s">
        <v>6388</v>
      </c>
      <c r="F152" s="3008" t="s">
        <v>6390</v>
      </c>
      <c r="G152" s="3008" t="s">
        <v>6420</v>
      </c>
      <c r="H152" s="3008" t="s">
        <v>6388</v>
      </c>
      <c r="I152" s="3013"/>
      <c r="J152" s="3013"/>
      <c r="K152" s="3013"/>
      <c r="L152" s="3013"/>
      <c r="M152" s="3013"/>
      <c r="N152" s="3013"/>
      <c r="O152" s="3014" t="s">
        <v>6390</v>
      </c>
      <c r="P152" s="3014" t="s">
        <v>6390</v>
      </c>
    </row>
    <row r="153" spans="1:16" ht="16.5">
      <c r="A153" s="2794">
        <v>149</v>
      </c>
      <c r="B153" s="3009" t="s">
        <v>6569</v>
      </c>
      <c r="C153" s="3010"/>
      <c r="D153" s="3011" t="s">
        <v>6387</v>
      </c>
      <c r="E153" s="3008" t="s">
        <v>6388</v>
      </c>
      <c r="F153" s="3008" t="s">
        <v>6390</v>
      </c>
      <c r="G153" s="3008" t="s">
        <v>6420</v>
      </c>
      <c r="H153" s="3008" t="s">
        <v>6388</v>
      </c>
      <c r="I153" s="3013"/>
      <c r="J153" s="3013"/>
      <c r="K153" s="3013"/>
      <c r="L153" s="3013"/>
      <c r="M153" s="3013"/>
      <c r="N153" s="3013"/>
      <c r="O153" s="3014" t="s">
        <v>6390</v>
      </c>
      <c r="P153" s="3014" t="s">
        <v>6390</v>
      </c>
    </row>
    <row r="154" spans="1:16" ht="16.5">
      <c r="A154" s="2794">
        <v>150</v>
      </c>
      <c r="B154" s="3009" t="s">
        <v>6570</v>
      </c>
      <c r="C154" s="3010"/>
      <c r="D154" s="3011" t="s">
        <v>6387</v>
      </c>
      <c r="E154" s="3008" t="s">
        <v>6388</v>
      </c>
      <c r="F154" s="3008" t="s">
        <v>6390</v>
      </c>
      <c r="G154" s="3008" t="s">
        <v>6420</v>
      </c>
      <c r="H154" s="3008" t="s">
        <v>6394</v>
      </c>
      <c r="I154" s="3013"/>
      <c r="J154" s="3013"/>
      <c r="K154" s="3013"/>
      <c r="L154" s="3013"/>
      <c r="M154" s="3013"/>
      <c r="N154" s="3013"/>
      <c r="O154" s="3014" t="s">
        <v>6390</v>
      </c>
      <c r="P154" s="3014" t="s">
        <v>6390</v>
      </c>
    </row>
    <row r="155" spans="1:16" ht="16.5">
      <c r="A155" s="2794">
        <v>151</v>
      </c>
      <c r="B155" s="3009" t="s">
        <v>6571</v>
      </c>
      <c r="C155" s="3010"/>
      <c r="D155" s="3011" t="s">
        <v>6387</v>
      </c>
      <c r="E155" s="3008" t="s">
        <v>6388</v>
      </c>
      <c r="F155" s="3008" t="s">
        <v>6390</v>
      </c>
      <c r="G155" s="3008" t="s">
        <v>6420</v>
      </c>
      <c r="H155" s="3008" t="s">
        <v>6394</v>
      </c>
      <c r="I155" s="3013"/>
      <c r="J155" s="3013"/>
      <c r="K155" s="3013"/>
      <c r="L155" s="3013"/>
      <c r="M155" s="3013"/>
      <c r="N155" s="3013"/>
      <c r="O155" s="3014" t="s">
        <v>6390</v>
      </c>
      <c r="P155" s="3014" t="s">
        <v>6390</v>
      </c>
    </row>
    <row r="156" spans="1:16" ht="16.5">
      <c r="A156" s="2794">
        <v>152</v>
      </c>
      <c r="B156" s="3009" t="s">
        <v>6572</v>
      </c>
      <c r="C156" s="3010"/>
      <c r="D156" s="3011" t="s">
        <v>6387</v>
      </c>
      <c r="E156" s="3008" t="s">
        <v>6388</v>
      </c>
      <c r="F156" s="3008" t="s">
        <v>6390</v>
      </c>
      <c r="G156" s="3008" t="s">
        <v>6420</v>
      </c>
      <c r="H156" s="3008" t="s">
        <v>6388</v>
      </c>
      <c r="I156" s="3013"/>
      <c r="J156" s="3013"/>
      <c r="K156" s="3013"/>
      <c r="L156" s="3013"/>
      <c r="M156" s="3013"/>
      <c r="N156" s="3013"/>
      <c r="O156" s="3014" t="s">
        <v>6390</v>
      </c>
      <c r="P156" s="3014" t="s">
        <v>6390</v>
      </c>
    </row>
    <row r="157" spans="1:16" ht="16.5">
      <c r="A157" s="2794">
        <v>153</v>
      </c>
      <c r="B157" s="3009" t="s">
        <v>6573</v>
      </c>
      <c r="C157" s="3010"/>
      <c r="D157" s="3011" t="s">
        <v>6387</v>
      </c>
      <c r="E157" s="3008" t="s">
        <v>6388</v>
      </c>
      <c r="F157" s="3008" t="s">
        <v>6394</v>
      </c>
      <c r="G157" s="3026" t="s">
        <v>6420</v>
      </c>
      <c r="H157" s="3008" t="s">
        <v>6388</v>
      </c>
      <c r="I157" s="3013"/>
      <c r="J157" s="3013"/>
      <c r="K157" s="3013"/>
      <c r="L157" s="3013"/>
      <c r="M157" s="3013"/>
      <c r="N157" s="3013"/>
      <c r="O157" s="3014" t="s">
        <v>6390</v>
      </c>
      <c r="P157" s="3014" t="s">
        <v>6390</v>
      </c>
    </row>
    <row r="158" spans="1:16" ht="33">
      <c r="A158" s="2794">
        <v>154</v>
      </c>
      <c r="B158" s="3009" t="s">
        <v>6574</v>
      </c>
      <c r="C158" s="3010"/>
      <c r="D158" s="3011" t="s">
        <v>6387</v>
      </c>
      <c r="E158" s="3008" t="s">
        <v>6388</v>
      </c>
      <c r="F158" s="3008" t="s">
        <v>6394</v>
      </c>
      <c r="G158" s="3026" t="s">
        <v>6420</v>
      </c>
      <c r="H158" s="3008" t="s">
        <v>6388</v>
      </c>
      <c r="I158" s="3013"/>
      <c r="J158" s="3013"/>
      <c r="K158" s="3013"/>
      <c r="L158" s="3013"/>
      <c r="M158" s="3013"/>
      <c r="N158" s="3013"/>
      <c r="O158" s="3014" t="s">
        <v>6390</v>
      </c>
      <c r="P158" s="3014" t="s">
        <v>6390</v>
      </c>
    </row>
    <row r="159" spans="1:16" ht="16.5">
      <c r="A159" s="2794">
        <v>155</v>
      </c>
      <c r="B159" s="3009" t="s">
        <v>6575</v>
      </c>
      <c r="C159" s="3010"/>
      <c r="D159" s="3011" t="s">
        <v>6387</v>
      </c>
      <c r="E159" s="3008" t="s">
        <v>6388</v>
      </c>
      <c r="F159" s="3008" t="s">
        <v>6394</v>
      </c>
      <c r="G159" s="3026" t="s">
        <v>6420</v>
      </c>
      <c r="H159" s="3008" t="s">
        <v>6388</v>
      </c>
      <c r="I159" s="3013"/>
      <c r="J159" s="3013"/>
      <c r="K159" s="3013"/>
      <c r="L159" s="3013"/>
      <c r="M159" s="3013"/>
      <c r="N159" s="3013"/>
      <c r="O159" s="3014" t="s">
        <v>6390</v>
      </c>
      <c r="P159" s="3014" t="s">
        <v>6390</v>
      </c>
    </row>
    <row r="160" spans="1:16" ht="16.5">
      <c r="A160" s="2794">
        <v>156</v>
      </c>
      <c r="B160" s="3009" t="s">
        <v>6576</v>
      </c>
      <c r="C160" s="3010"/>
      <c r="D160" s="3011" t="s">
        <v>6387</v>
      </c>
      <c r="E160" s="3008" t="s">
        <v>6388</v>
      </c>
      <c r="F160" s="3008" t="s">
        <v>6394</v>
      </c>
      <c r="G160" s="3008" t="s">
        <v>6420</v>
      </c>
      <c r="H160" s="3008" t="s">
        <v>6388</v>
      </c>
      <c r="I160" s="3013"/>
      <c r="J160" s="3013"/>
      <c r="K160" s="3013"/>
      <c r="L160" s="3013"/>
      <c r="M160" s="3013"/>
      <c r="N160" s="3013"/>
      <c r="O160" s="3014" t="s">
        <v>6390</v>
      </c>
      <c r="P160" s="3014" t="s">
        <v>6390</v>
      </c>
    </row>
    <row r="161" spans="1:16" ht="16.5">
      <c r="A161" s="2794">
        <v>157</v>
      </c>
      <c r="B161" s="3009" t="s">
        <v>6577</v>
      </c>
      <c r="C161" s="3010"/>
      <c r="D161" s="3011" t="s">
        <v>6387</v>
      </c>
      <c r="E161" s="3008" t="s">
        <v>6388</v>
      </c>
      <c r="F161" s="3008" t="s">
        <v>6394</v>
      </c>
      <c r="G161" s="3008" t="s">
        <v>6420</v>
      </c>
      <c r="H161" s="3008" t="s">
        <v>6388</v>
      </c>
      <c r="I161" s="3013"/>
      <c r="J161" s="3013"/>
      <c r="K161" s="3013"/>
      <c r="L161" s="3013"/>
      <c r="M161" s="3013"/>
      <c r="N161" s="3013"/>
      <c r="O161" s="3014" t="s">
        <v>6390</v>
      </c>
      <c r="P161" s="3014" t="s">
        <v>6390</v>
      </c>
    </row>
    <row r="162" spans="1:16" ht="16.5">
      <c r="A162" s="2794">
        <v>158</v>
      </c>
      <c r="B162" s="3009" t="s">
        <v>6578</v>
      </c>
      <c r="C162" s="3010"/>
      <c r="D162" s="3011" t="s">
        <v>6387</v>
      </c>
      <c r="E162" s="3008" t="s">
        <v>6388</v>
      </c>
      <c r="F162" s="3008" t="s">
        <v>6388</v>
      </c>
      <c r="G162" s="3008"/>
      <c r="H162" s="3008" t="s">
        <v>6388</v>
      </c>
      <c r="I162" s="3013"/>
      <c r="J162" s="3013"/>
      <c r="K162" s="3013"/>
      <c r="L162" s="3013"/>
      <c r="M162" s="3013"/>
      <c r="N162" s="3013"/>
      <c r="O162" s="3014" t="s">
        <v>6390</v>
      </c>
      <c r="P162" s="3014" t="s">
        <v>6390</v>
      </c>
    </row>
    <row r="163" spans="1:16" ht="16.5">
      <c r="A163" s="3032" t="s">
        <v>6579</v>
      </c>
      <c r="B163" s="3004"/>
      <c r="C163" s="3033"/>
      <c r="D163" s="3034"/>
      <c r="E163" s="3034"/>
      <c r="F163" s="3034"/>
      <c r="G163" s="3033"/>
      <c r="H163" s="3034"/>
      <c r="I163" s="3004"/>
      <c r="J163" s="3004"/>
      <c r="K163" s="3004"/>
      <c r="L163" s="3004"/>
      <c r="M163" s="3004"/>
      <c r="N163" s="3004"/>
      <c r="O163" s="3003"/>
      <c r="P163" s="3004"/>
    </row>
    <row r="164" spans="1:16" ht="16.5">
      <c r="A164" s="3034">
        <v>1</v>
      </c>
      <c r="B164" s="3035" t="s">
        <v>6580</v>
      </c>
      <c r="C164" s="3003"/>
      <c r="D164" s="3004"/>
      <c r="E164" s="3003"/>
      <c r="F164" s="3004"/>
      <c r="G164" s="3004"/>
      <c r="H164" s="3004"/>
      <c r="I164" s="3004"/>
      <c r="J164" s="3004"/>
      <c r="K164" s="3004"/>
      <c r="L164" s="3004"/>
      <c r="M164" s="3004"/>
      <c r="N164" s="3004"/>
      <c r="O164" s="3003"/>
      <c r="P164" s="3004"/>
    </row>
    <row r="165" spans="1:16" ht="16.5">
      <c r="A165" s="3034">
        <v>2</v>
      </c>
      <c r="B165" s="3035" t="s">
        <v>6581</v>
      </c>
      <c r="C165" s="3003"/>
      <c r="D165" s="3004"/>
      <c r="E165" s="3003"/>
      <c r="F165" s="3004"/>
      <c r="G165" s="3004"/>
      <c r="H165" s="3004"/>
      <c r="I165" s="3004"/>
      <c r="J165" s="3004"/>
      <c r="K165" s="3004"/>
      <c r="L165" s="3004"/>
      <c r="M165" s="3004"/>
      <c r="N165" s="3004"/>
      <c r="O165" s="3003"/>
      <c r="P165" s="3004"/>
    </row>
    <row r="166" spans="1:16" ht="16.5">
      <c r="A166" s="3034">
        <v>3</v>
      </c>
      <c r="B166" s="3035" t="s">
        <v>6582</v>
      </c>
      <c r="C166" s="3003"/>
      <c r="D166" s="3004"/>
      <c r="E166" s="3003"/>
      <c r="F166" s="3004"/>
      <c r="G166" s="3004"/>
      <c r="H166" s="3004"/>
      <c r="I166" s="3004"/>
      <c r="J166" s="3004"/>
      <c r="K166" s="3004"/>
      <c r="L166" s="3004"/>
      <c r="M166" s="3004"/>
      <c r="N166" s="3004"/>
      <c r="O166" s="3003"/>
      <c r="P166" s="3004"/>
    </row>
    <row r="167" spans="1:16" ht="16.5">
      <c r="A167" s="3034">
        <v>4</v>
      </c>
      <c r="B167" s="3005" t="s">
        <v>6583</v>
      </c>
      <c r="C167" s="3003"/>
      <c r="D167" s="3004"/>
      <c r="E167" s="3003"/>
      <c r="F167" s="3004"/>
      <c r="G167" s="3004"/>
      <c r="H167" s="3004"/>
      <c r="I167" s="3004"/>
      <c r="J167" s="3004"/>
      <c r="K167" s="3004"/>
      <c r="L167" s="3004"/>
      <c r="M167" s="3004"/>
      <c r="N167" s="3004"/>
      <c r="O167" s="3003"/>
      <c r="P167" s="3004"/>
    </row>
    <row r="168" spans="1:16" ht="16.5">
      <c r="A168" s="3034">
        <v>5</v>
      </c>
      <c r="B168" s="3035" t="s">
        <v>6584</v>
      </c>
      <c r="C168" s="3003"/>
      <c r="D168" s="3004"/>
      <c r="E168" s="3003"/>
      <c r="F168" s="3004"/>
      <c r="G168" s="3004"/>
      <c r="H168" s="3004"/>
      <c r="I168" s="3004"/>
      <c r="J168" s="3004"/>
      <c r="K168" s="3004"/>
      <c r="L168" s="3004"/>
      <c r="M168" s="3004"/>
      <c r="N168" s="3004"/>
      <c r="O168" s="3003"/>
      <c r="P168" s="3004"/>
    </row>
    <row r="169" spans="1:16" ht="16.5">
      <c r="A169" s="3034">
        <v>6</v>
      </c>
      <c r="B169" s="3035" t="s">
        <v>6585</v>
      </c>
      <c r="C169" s="3003"/>
      <c r="D169" s="3004"/>
      <c r="E169" s="3003"/>
      <c r="F169" s="3004"/>
      <c r="G169" s="3004"/>
      <c r="H169" s="3004"/>
      <c r="I169" s="3004"/>
      <c r="J169" s="3004"/>
      <c r="K169" s="3004"/>
      <c r="L169" s="3004"/>
      <c r="M169" s="3004"/>
      <c r="N169" s="3004"/>
      <c r="O169" s="3003"/>
      <c r="P169" s="3004"/>
    </row>
    <row r="170" spans="1:16" ht="16.5">
      <c r="A170" s="3034">
        <v>7</v>
      </c>
      <c r="B170" s="3036" t="s">
        <v>6586</v>
      </c>
      <c r="C170" s="3003"/>
      <c r="D170" s="3004"/>
      <c r="E170" s="3003"/>
      <c r="F170" s="3004"/>
      <c r="G170" s="3004"/>
      <c r="H170" s="3004"/>
      <c r="I170" s="3004"/>
      <c r="J170" s="3004"/>
      <c r="K170" s="3004"/>
      <c r="L170" s="3004"/>
      <c r="M170" s="3004"/>
      <c r="N170" s="3004"/>
      <c r="O170" s="3003"/>
      <c r="P170" s="3004"/>
    </row>
    <row r="171" spans="1:16" ht="16.5">
      <c r="A171" s="3034">
        <v>8</v>
      </c>
      <c r="B171" s="3036" t="s">
        <v>6587</v>
      </c>
      <c r="C171" s="3003"/>
      <c r="D171" s="3004"/>
      <c r="E171" s="3003"/>
      <c r="F171" s="3004"/>
      <c r="G171" s="3004"/>
      <c r="H171" s="3004"/>
      <c r="I171" s="3004"/>
      <c r="J171" s="3004"/>
      <c r="K171" s="3004"/>
      <c r="L171" s="3004"/>
      <c r="M171" s="3004"/>
      <c r="N171" s="3004"/>
      <c r="O171" s="3003"/>
      <c r="P171" s="3004"/>
    </row>
  </sheetData>
  <mergeCells count="1">
    <mergeCell ref="A3:A4"/>
  </mergeCells>
  <phoneticPr fontId="9" type="noConversion"/>
  <pageMargins left="0" right="0" top="0" bottom="0" header="0" footer="0"/>
  <pageSetup paperSize="9" scale="57"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W189"/>
  <sheetViews>
    <sheetView showGridLines="0" zoomScale="75" workbookViewId="0">
      <pane xSplit="4" ySplit="5" topLeftCell="E17" activePane="bottomRight" state="frozen"/>
      <selection activeCell="G28" sqref="G28"/>
      <selection pane="topRight" activeCell="G28" sqref="G28"/>
      <selection pane="bottomLeft" activeCell="G28" sqref="G28"/>
      <selection pane="bottomRight"/>
    </sheetView>
  </sheetViews>
  <sheetFormatPr defaultRowHeight="15.75"/>
  <cols>
    <col min="1" max="3" width="9" style="514"/>
    <col min="4" max="4" width="13" style="514" customWidth="1"/>
    <col min="5" max="9" width="9" style="514"/>
    <col min="10" max="10" width="11.625" style="514" customWidth="1"/>
    <col min="11" max="12" width="9" style="514"/>
    <col min="13" max="14" width="14.875" style="514" customWidth="1"/>
    <col min="15" max="15" width="16.125" style="514" customWidth="1"/>
    <col min="16" max="16" width="9" style="514"/>
    <col min="17" max="17" width="16.125" style="514" customWidth="1"/>
    <col min="18" max="18" width="9" style="514"/>
    <col min="19" max="19" width="14.625" style="514" customWidth="1"/>
    <col min="20" max="20" width="12.25" style="514" customWidth="1"/>
    <col min="21" max="21" width="18.125"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746"/>
      <c r="V1" s="653" t="s">
        <v>3078</v>
      </c>
      <c r="W1" s="654"/>
    </row>
    <row r="2" spans="1:23" ht="17.25" thickBot="1">
      <c r="A2" s="653" t="s">
        <v>3170</v>
      </c>
      <c r="B2" s="653"/>
      <c r="C2" s="651"/>
      <c r="D2" s="651"/>
      <c r="E2" s="651"/>
      <c r="F2" s="652"/>
      <c r="G2" s="651"/>
      <c r="H2" s="651"/>
      <c r="I2" s="651"/>
      <c r="J2" s="651"/>
      <c r="K2" s="651"/>
      <c r="L2" s="651"/>
      <c r="M2" s="651"/>
      <c r="N2" s="651"/>
      <c r="O2" s="651"/>
      <c r="P2" s="651"/>
      <c r="Q2" s="651"/>
      <c r="R2" s="651"/>
      <c r="S2" s="651"/>
      <c r="T2" s="651"/>
      <c r="U2" s="746"/>
      <c r="V2" s="651"/>
      <c r="W2" s="654"/>
    </row>
    <row r="3" spans="1:23" ht="16.5" customHeight="1">
      <c r="A3" s="3293" t="s">
        <v>3080</v>
      </c>
      <c r="B3" s="3296" t="s">
        <v>3081</v>
      </c>
      <c r="C3" s="3298" t="s">
        <v>3082</v>
      </c>
      <c r="D3" s="3299"/>
      <c r="E3" s="3296" t="s">
        <v>3083</v>
      </c>
      <c r="F3" s="3296"/>
      <c r="G3" s="3296"/>
      <c r="H3" s="3296"/>
      <c r="I3" s="3296"/>
      <c r="J3" s="3313" t="s">
        <v>3084</v>
      </c>
      <c r="K3" s="3296" t="s">
        <v>3085</v>
      </c>
      <c r="L3" s="3330" t="s">
        <v>3086</v>
      </c>
      <c r="M3" s="3332" t="s">
        <v>3088</v>
      </c>
      <c r="N3" s="3296" t="s">
        <v>3171</v>
      </c>
      <c r="O3" s="3296" t="s">
        <v>3172</v>
      </c>
      <c r="P3" s="3331"/>
      <c r="Q3" s="3343" t="s">
        <v>3173</v>
      </c>
      <c r="R3" s="3344"/>
      <c r="S3" s="3341" t="s">
        <v>3174</v>
      </c>
      <c r="T3" s="3296" t="s">
        <v>3093</v>
      </c>
      <c r="U3" s="3311" t="s">
        <v>665</v>
      </c>
      <c r="V3" s="3296" t="s">
        <v>3095</v>
      </c>
      <c r="W3" s="3305" t="s">
        <v>3096</v>
      </c>
    </row>
    <row r="4" spans="1:23" ht="31.5">
      <c r="A4" s="3294"/>
      <c r="B4" s="3297"/>
      <c r="C4" s="3300"/>
      <c r="D4" s="3300"/>
      <c r="E4" s="656" t="s">
        <v>3097</v>
      </c>
      <c r="F4" s="656" t="s">
        <v>3098</v>
      </c>
      <c r="G4" s="658" t="s">
        <v>3099</v>
      </c>
      <c r="H4" s="658" t="s">
        <v>3100</v>
      </c>
      <c r="I4" s="658" t="s">
        <v>3101</v>
      </c>
      <c r="J4" s="3314"/>
      <c r="K4" s="3297"/>
      <c r="L4" s="3314"/>
      <c r="M4" s="3300"/>
      <c r="N4" s="3297"/>
      <c r="O4" s="3307"/>
      <c r="P4" s="3307"/>
      <c r="Q4" s="3345"/>
      <c r="R4" s="3346"/>
      <c r="S4" s="3342"/>
      <c r="T4" s="3297"/>
      <c r="U4" s="3312"/>
      <c r="V4" s="3297"/>
      <c r="W4" s="3306"/>
    </row>
    <row r="5" spans="1:23" ht="17.25" thickBot="1">
      <c r="A5" s="3295"/>
      <c r="B5" s="660" t="s">
        <v>422</v>
      </c>
      <c r="C5" s="3301" t="s">
        <v>423</v>
      </c>
      <c r="D5" s="3301"/>
      <c r="E5" s="660" t="s">
        <v>171</v>
      </c>
      <c r="F5" s="660" t="s">
        <v>172</v>
      </c>
      <c r="G5" s="660" t="s">
        <v>173</v>
      </c>
      <c r="H5" s="660" t="s">
        <v>174</v>
      </c>
      <c r="I5" s="660" t="s">
        <v>175</v>
      </c>
      <c r="J5" s="660" t="s">
        <v>141</v>
      </c>
      <c r="K5" s="660" t="s">
        <v>272</v>
      </c>
      <c r="L5" s="660" t="s">
        <v>142</v>
      </c>
      <c r="M5" s="660" t="s">
        <v>436</v>
      </c>
      <c r="N5" s="660" t="s">
        <v>437</v>
      </c>
      <c r="O5" s="660" t="s">
        <v>3175</v>
      </c>
      <c r="P5" s="660" t="s">
        <v>3176</v>
      </c>
      <c r="Q5" s="660" t="s">
        <v>3175</v>
      </c>
      <c r="R5" s="660" t="s">
        <v>3176</v>
      </c>
      <c r="S5" s="660" t="s">
        <v>245</v>
      </c>
      <c r="T5" s="660" t="s">
        <v>278</v>
      </c>
      <c r="U5" s="660" t="s">
        <v>279</v>
      </c>
      <c r="V5" s="660" t="s">
        <v>280</v>
      </c>
      <c r="W5" s="661" t="s">
        <v>281</v>
      </c>
    </row>
    <row r="6" spans="1:23" ht="16.5" customHeight="1">
      <c r="A6" s="662">
        <v>1</v>
      </c>
      <c r="B6" s="3302" t="s">
        <v>3102</v>
      </c>
      <c r="C6" s="3286" t="s">
        <v>3103</v>
      </c>
      <c r="D6" s="3354" t="s">
        <v>545</v>
      </c>
      <c r="E6" s="663"/>
      <c r="F6" s="663"/>
      <c r="G6" s="664"/>
      <c r="H6" s="664"/>
      <c r="I6" s="664"/>
      <c r="J6" s="664"/>
      <c r="K6" s="665"/>
      <c r="L6" s="665"/>
      <c r="M6" s="665"/>
      <c r="N6" s="665"/>
      <c r="O6" s="667"/>
      <c r="P6" s="665"/>
      <c r="Q6" s="667"/>
      <c r="R6" s="665"/>
      <c r="S6" s="665"/>
      <c r="T6" s="665"/>
      <c r="U6" s="667"/>
      <c r="V6" s="665"/>
      <c r="W6" s="669"/>
    </row>
    <row r="7" spans="1:23" ht="16.5">
      <c r="A7" s="670">
        <v>2</v>
      </c>
      <c r="B7" s="3303"/>
      <c r="C7" s="3287"/>
      <c r="D7" s="3348"/>
      <c r="E7" s="672"/>
      <c r="F7" s="672"/>
      <c r="G7" s="673"/>
      <c r="H7" s="673"/>
      <c r="I7" s="673"/>
      <c r="J7" s="673"/>
      <c r="K7" s="674"/>
      <c r="L7" s="674"/>
      <c r="M7" s="674"/>
      <c r="N7" s="674"/>
      <c r="O7" s="676"/>
      <c r="P7" s="674"/>
      <c r="Q7" s="676"/>
      <c r="R7" s="674"/>
      <c r="S7" s="674"/>
      <c r="T7" s="674"/>
      <c r="U7" s="676"/>
      <c r="V7" s="674"/>
      <c r="W7" s="678"/>
    </row>
    <row r="8" spans="1:23" ht="16.5">
      <c r="A8" s="670">
        <v>3</v>
      </c>
      <c r="B8" s="3303"/>
      <c r="C8" s="3287"/>
      <c r="D8" s="3348"/>
      <c r="E8" s="672"/>
      <c r="F8" s="672"/>
      <c r="G8" s="673"/>
      <c r="H8" s="673"/>
      <c r="I8" s="673"/>
      <c r="J8" s="673"/>
      <c r="K8" s="674"/>
      <c r="L8" s="674"/>
      <c r="M8" s="674"/>
      <c r="N8" s="674"/>
      <c r="O8" s="676"/>
      <c r="P8" s="674"/>
      <c r="Q8" s="676"/>
      <c r="R8" s="674"/>
      <c r="S8" s="674"/>
      <c r="T8" s="674"/>
      <c r="U8" s="676"/>
      <c r="V8" s="674"/>
      <c r="W8" s="678"/>
    </row>
    <row r="9" spans="1:23" ht="16.5">
      <c r="A9" s="670">
        <v>4</v>
      </c>
      <c r="B9" s="3303"/>
      <c r="C9" s="3287"/>
      <c r="D9" s="3348"/>
      <c r="E9" s="672"/>
      <c r="F9" s="672"/>
      <c r="G9" s="673"/>
      <c r="H9" s="673"/>
      <c r="I9" s="673"/>
      <c r="J9" s="673"/>
      <c r="K9" s="674"/>
      <c r="L9" s="674"/>
      <c r="M9" s="674"/>
      <c r="N9" s="674"/>
      <c r="O9" s="676"/>
      <c r="P9" s="674"/>
      <c r="Q9" s="676"/>
      <c r="R9" s="674"/>
      <c r="S9" s="674"/>
      <c r="T9" s="674"/>
      <c r="U9" s="676"/>
      <c r="V9" s="674"/>
      <c r="W9" s="678"/>
    </row>
    <row r="10" spans="1:23" ht="16.5">
      <c r="A10" s="670">
        <v>5</v>
      </c>
      <c r="B10" s="3303"/>
      <c r="C10" s="3287"/>
      <c r="D10" s="3348"/>
      <c r="E10" s="672"/>
      <c r="F10" s="672"/>
      <c r="G10" s="673"/>
      <c r="H10" s="673"/>
      <c r="I10" s="673"/>
      <c r="J10" s="673"/>
      <c r="K10" s="674"/>
      <c r="L10" s="674"/>
      <c r="M10" s="674"/>
      <c r="N10" s="674"/>
      <c r="O10" s="676"/>
      <c r="P10" s="674"/>
      <c r="Q10" s="676"/>
      <c r="R10" s="674"/>
      <c r="S10" s="674"/>
      <c r="T10" s="674"/>
      <c r="U10" s="676"/>
      <c r="V10" s="674"/>
      <c r="W10" s="678"/>
    </row>
    <row r="11" spans="1:23" ht="16.5">
      <c r="A11" s="670">
        <v>6</v>
      </c>
      <c r="B11" s="3303"/>
      <c r="C11" s="3287"/>
      <c r="D11" s="3348"/>
      <c r="E11" s="672"/>
      <c r="F11" s="672"/>
      <c r="G11" s="673"/>
      <c r="H11" s="673"/>
      <c r="I11" s="673"/>
      <c r="J11" s="673"/>
      <c r="K11" s="674"/>
      <c r="L11" s="674"/>
      <c r="M11" s="674"/>
      <c r="N11" s="674"/>
      <c r="O11" s="676"/>
      <c r="P11" s="674"/>
      <c r="Q11" s="676"/>
      <c r="R11" s="674"/>
      <c r="S11" s="674"/>
      <c r="T11" s="674"/>
      <c r="U11" s="676"/>
      <c r="V11" s="674"/>
      <c r="W11" s="678"/>
    </row>
    <row r="12" spans="1:23" ht="16.5">
      <c r="A12" s="670">
        <v>7</v>
      </c>
      <c r="B12" s="3303"/>
      <c r="C12" s="3287"/>
      <c r="D12" s="3348"/>
      <c r="E12" s="672"/>
      <c r="F12" s="672"/>
      <c r="G12" s="673"/>
      <c r="H12" s="673"/>
      <c r="I12" s="673"/>
      <c r="J12" s="673"/>
      <c r="K12" s="674"/>
      <c r="L12" s="674"/>
      <c r="M12" s="674"/>
      <c r="N12" s="674"/>
      <c r="O12" s="676"/>
      <c r="P12" s="674"/>
      <c r="Q12" s="676"/>
      <c r="R12" s="674"/>
      <c r="S12" s="674"/>
      <c r="T12" s="674"/>
      <c r="U12" s="676"/>
      <c r="V12" s="674"/>
      <c r="W12" s="678"/>
    </row>
    <row r="13" spans="1:23" ht="16.5">
      <c r="A13" s="670">
        <v>8</v>
      </c>
      <c r="B13" s="3303"/>
      <c r="C13" s="3287"/>
      <c r="D13" s="3348"/>
      <c r="E13" s="672"/>
      <c r="F13" s="672"/>
      <c r="G13" s="673"/>
      <c r="H13" s="673"/>
      <c r="I13" s="673"/>
      <c r="J13" s="673"/>
      <c r="K13" s="674"/>
      <c r="L13" s="674"/>
      <c r="M13" s="674"/>
      <c r="N13" s="674"/>
      <c r="O13" s="676"/>
      <c r="P13" s="674"/>
      <c r="Q13" s="676"/>
      <c r="R13" s="674"/>
      <c r="S13" s="674"/>
      <c r="T13" s="674"/>
      <c r="U13" s="676"/>
      <c r="V13" s="674"/>
      <c r="W13" s="678"/>
    </row>
    <row r="14" spans="1:23" ht="16.5">
      <c r="A14" s="670">
        <v>9</v>
      </c>
      <c r="B14" s="3303"/>
      <c r="C14" s="3287"/>
      <c r="D14" s="3348"/>
      <c r="E14" s="672"/>
      <c r="F14" s="672"/>
      <c r="G14" s="673"/>
      <c r="H14" s="673"/>
      <c r="I14" s="673"/>
      <c r="J14" s="673"/>
      <c r="K14" s="674"/>
      <c r="L14" s="674"/>
      <c r="M14" s="674"/>
      <c r="N14" s="674"/>
      <c r="O14" s="676"/>
      <c r="P14" s="674"/>
      <c r="Q14" s="676"/>
      <c r="R14" s="674"/>
      <c r="S14" s="674"/>
      <c r="T14" s="674"/>
      <c r="U14" s="676"/>
      <c r="V14" s="674"/>
      <c r="W14" s="678"/>
    </row>
    <row r="15" spans="1:23" ht="16.5">
      <c r="A15" s="670">
        <v>10</v>
      </c>
      <c r="B15" s="3303"/>
      <c r="C15" s="3287"/>
      <c r="D15" s="3348"/>
      <c r="E15" s="672"/>
      <c r="F15" s="672"/>
      <c r="G15" s="673"/>
      <c r="H15" s="673"/>
      <c r="I15" s="673"/>
      <c r="J15" s="673"/>
      <c r="K15" s="674"/>
      <c r="L15" s="674"/>
      <c r="M15" s="674"/>
      <c r="N15" s="674"/>
      <c r="O15" s="676"/>
      <c r="P15" s="674"/>
      <c r="Q15" s="676"/>
      <c r="R15" s="674"/>
      <c r="S15" s="674"/>
      <c r="T15" s="674"/>
      <c r="U15" s="676"/>
      <c r="V15" s="674"/>
      <c r="W15" s="678"/>
    </row>
    <row r="16" spans="1:23" ht="16.5">
      <c r="A16" s="670">
        <v>11</v>
      </c>
      <c r="B16" s="3303"/>
      <c r="C16" s="3287"/>
      <c r="D16" s="3348"/>
      <c r="E16" s="672"/>
      <c r="F16" s="672"/>
      <c r="G16" s="673"/>
      <c r="H16" s="673"/>
      <c r="I16" s="673"/>
      <c r="J16" s="673"/>
      <c r="K16" s="674"/>
      <c r="L16" s="674"/>
      <c r="M16" s="674"/>
      <c r="N16" s="674"/>
      <c r="O16" s="676"/>
      <c r="P16" s="674"/>
      <c r="Q16" s="676"/>
      <c r="R16" s="674"/>
      <c r="S16" s="674"/>
      <c r="T16" s="674"/>
      <c r="U16" s="676"/>
      <c r="V16" s="674"/>
      <c r="W16" s="678"/>
    </row>
    <row r="17" spans="1:23" ht="16.5">
      <c r="A17" s="670">
        <v>12</v>
      </c>
      <c r="B17" s="3303"/>
      <c r="C17" s="3287"/>
      <c r="D17" s="3348"/>
      <c r="E17" s="672"/>
      <c r="F17" s="672"/>
      <c r="G17" s="673"/>
      <c r="H17" s="673"/>
      <c r="I17" s="673"/>
      <c r="J17" s="673"/>
      <c r="K17" s="674"/>
      <c r="L17" s="674"/>
      <c r="M17" s="674"/>
      <c r="N17" s="674"/>
      <c r="O17" s="676"/>
      <c r="P17" s="674"/>
      <c r="Q17" s="676"/>
      <c r="R17" s="674"/>
      <c r="S17" s="674"/>
      <c r="T17" s="674"/>
      <c r="U17" s="676"/>
      <c r="V17" s="674"/>
      <c r="W17" s="678"/>
    </row>
    <row r="18" spans="1:23" ht="16.5">
      <c r="A18" s="670">
        <v>13</v>
      </c>
      <c r="B18" s="3303"/>
      <c r="C18" s="3287"/>
      <c r="D18" s="847" t="s">
        <v>6</v>
      </c>
      <c r="E18" s="680"/>
      <c r="F18" s="680"/>
      <c r="G18" s="681"/>
      <c r="H18" s="681"/>
      <c r="I18" s="681"/>
      <c r="J18" s="681"/>
      <c r="K18" s="682"/>
      <c r="L18" s="682"/>
      <c r="M18" s="674">
        <f>SUM(M6:M17)</f>
        <v>0</v>
      </c>
      <c r="N18" s="674">
        <f>SUM(N6:N17)</f>
        <v>0</v>
      </c>
      <c r="O18" s="682"/>
      <c r="P18" s="682"/>
      <c r="Q18" s="682"/>
      <c r="R18" s="682"/>
      <c r="S18" s="674">
        <f>SUM(S6:S17)</f>
        <v>0</v>
      </c>
      <c r="T18" s="682"/>
      <c r="U18" s="683"/>
      <c r="V18" s="682"/>
      <c r="W18" s="848"/>
    </row>
    <row r="19" spans="1:23" ht="16.5" customHeight="1">
      <c r="A19" s="670">
        <v>14</v>
      </c>
      <c r="B19" s="3303"/>
      <c r="C19" s="3287"/>
      <c r="D19" s="3355" t="s">
        <v>546</v>
      </c>
      <c r="E19" s="672"/>
      <c r="F19" s="672"/>
      <c r="G19" s="673"/>
      <c r="H19" s="673"/>
      <c r="I19" s="673"/>
      <c r="J19" s="673"/>
      <c r="K19" s="674"/>
      <c r="L19" s="674"/>
      <c r="M19" s="674"/>
      <c r="N19" s="674"/>
      <c r="O19" s="676"/>
      <c r="P19" s="674"/>
      <c r="Q19" s="676"/>
      <c r="R19" s="674"/>
      <c r="S19" s="674"/>
      <c r="T19" s="674"/>
      <c r="U19" s="676"/>
      <c r="V19" s="674"/>
      <c r="W19" s="678"/>
    </row>
    <row r="20" spans="1:23" ht="16.5">
      <c r="A20" s="670">
        <v>15</v>
      </c>
      <c r="B20" s="3303"/>
      <c r="C20" s="3287"/>
      <c r="D20" s="3348"/>
      <c r="E20" s="672"/>
      <c r="F20" s="672"/>
      <c r="G20" s="673"/>
      <c r="H20" s="673"/>
      <c r="I20" s="673"/>
      <c r="J20" s="673"/>
      <c r="K20" s="674"/>
      <c r="L20" s="674"/>
      <c r="M20" s="674"/>
      <c r="N20" s="674"/>
      <c r="O20" s="676"/>
      <c r="P20" s="674"/>
      <c r="Q20" s="676"/>
      <c r="R20" s="674"/>
      <c r="S20" s="674"/>
      <c r="T20" s="674"/>
      <c r="U20" s="676"/>
      <c r="V20" s="674"/>
      <c r="W20" s="678"/>
    </row>
    <row r="21" spans="1:23" ht="16.5">
      <c r="A21" s="670">
        <v>16</v>
      </c>
      <c r="B21" s="3303"/>
      <c r="C21" s="3287"/>
      <c r="D21" s="3348"/>
      <c r="E21" s="672"/>
      <c r="F21" s="672"/>
      <c r="G21" s="673"/>
      <c r="H21" s="673"/>
      <c r="I21" s="673"/>
      <c r="J21" s="673"/>
      <c r="K21" s="674"/>
      <c r="L21" s="674"/>
      <c r="M21" s="674"/>
      <c r="N21" s="674"/>
      <c r="O21" s="676"/>
      <c r="P21" s="674"/>
      <c r="Q21" s="676"/>
      <c r="R21" s="674"/>
      <c r="S21" s="674"/>
      <c r="T21" s="674"/>
      <c r="U21" s="676"/>
      <c r="V21" s="674"/>
      <c r="W21" s="678"/>
    </row>
    <row r="22" spans="1:23" ht="16.5">
      <c r="A22" s="670">
        <v>17</v>
      </c>
      <c r="B22" s="3303"/>
      <c r="C22" s="3287"/>
      <c r="D22" s="3348"/>
      <c r="E22" s="672"/>
      <c r="F22" s="672"/>
      <c r="G22" s="673"/>
      <c r="H22" s="673"/>
      <c r="I22" s="673"/>
      <c r="J22" s="673"/>
      <c r="K22" s="674"/>
      <c r="L22" s="674"/>
      <c r="M22" s="674"/>
      <c r="N22" s="674"/>
      <c r="O22" s="676"/>
      <c r="P22" s="674"/>
      <c r="Q22" s="676"/>
      <c r="R22" s="674"/>
      <c r="S22" s="674"/>
      <c r="T22" s="674"/>
      <c r="U22" s="676"/>
      <c r="V22" s="674"/>
      <c r="W22" s="678"/>
    </row>
    <row r="23" spans="1:23" ht="16.5">
      <c r="A23" s="670">
        <v>18</v>
      </c>
      <c r="B23" s="3303"/>
      <c r="C23" s="3287"/>
      <c r="D23" s="3348"/>
      <c r="E23" s="672"/>
      <c r="F23" s="672"/>
      <c r="G23" s="673"/>
      <c r="H23" s="673"/>
      <c r="I23" s="673"/>
      <c r="J23" s="673"/>
      <c r="K23" s="674"/>
      <c r="L23" s="674"/>
      <c r="M23" s="674"/>
      <c r="N23" s="674"/>
      <c r="O23" s="676"/>
      <c r="P23" s="674"/>
      <c r="Q23" s="676"/>
      <c r="R23" s="674"/>
      <c r="S23" s="674"/>
      <c r="T23" s="674"/>
      <c r="U23" s="676"/>
      <c r="V23" s="674"/>
      <c r="W23" s="678"/>
    </row>
    <row r="24" spans="1:23" ht="16.5">
      <c r="A24" s="670">
        <v>19</v>
      </c>
      <c r="B24" s="3303"/>
      <c r="C24" s="3287"/>
      <c r="D24" s="3348"/>
      <c r="E24" s="672"/>
      <c r="F24" s="672"/>
      <c r="G24" s="673"/>
      <c r="H24" s="673"/>
      <c r="I24" s="673"/>
      <c r="J24" s="673"/>
      <c r="K24" s="674"/>
      <c r="L24" s="674"/>
      <c r="M24" s="674"/>
      <c r="N24" s="674"/>
      <c r="O24" s="676"/>
      <c r="P24" s="674"/>
      <c r="Q24" s="676"/>
      <c r="R24" s="674"/>
      <c r="S24" s="674"/>
      <c r="T24" s="674"/>
      <c r="U24" s="676"/>
      <c r="V24" s="674"/>
      <c r="W24" s="678"/>
    </row>
    <row r="25" spans="1:23" ht="16.5">
      <c r="A25" s="670">
        <v>20</v>
      </c>
      <c r="B25" s="3303"/>
      <c r="C25" s="3287"/>
      <c r="D25" s="3348"/>
      <c r="E25" s="672"/>
      <c r="F25" s="672"/>
      <c r="G25" s="673"/>
      <c r="H25" s="673"/>
      <c r="I25" s="673"/>
      <c r="J25" s="673"/>
      <c r="K25" s="674"/>
      <c r="L25" s="674"/>
      <c r="M25" s="674"/>
      <c r="N25" s="674"/>
      <c r="O25" s="676"/>
      <c r="P25" s="674"/>
      <c r="Q25" s="676"/>
      <c r="R25" s="674"/>
      <c r="S25" s="674"/>
      <c r="T25" s="674"/>
      <c r="U25" s="676"/>
      <c r="V25" s="674"/>
      <c r="W25" s="678"/>
    </row>
    <row r="26" spans="1:23" ht="16.5">
      <c r="A26" s="670">
        <v>21</v>
      </c>
      <c r="B26" s="3303"/>
      <c r="C26" s="3287"/>
      <c r="D26" s="3348"/>
      <c r="E26" s="672"/>
      <c r="F26" s="672"/>
      <c r="G26" s="673"/>
      <c r="H26" s="673"/>
      <c r="I26" s="673"/>
      <c r="J26" s="673"/>
      <c r="K26" s="674"/>
      <c r="L26" s="674"/>
      <c r="M26" s="674"/>
      <c r="N26" s="674"/>
      <c r="O26" s="676"/>
      <c r="P26" s="674"/>
      <c r="Q26" s="676"/>
      <c r="R26" s="674"/>
      <c r="S26" s="674"/>
      <c r="T26" s="674"/>
      <c r="U26" s="676"/>
      <c r="V26" s="674"/>
      <c r="W26" s="678"/>
    </row>
    <row r="27" spans="1:23" ht="16.5">
      <c r="A27" s="670">
        <v>22</v>
      </c>
      <c r="B27" s="3303"/>
      <c r="C27" s="3287"/>
      <c r="D27" s="3348"/>
      <c r="E27" s="672"/>
      <c r="F27" s="672"/>
      <c r="G27" s="673"/>
      <c r="H27" s="673"/>
      <c r="I27" s="673"/>
      <c r="J27" s="673"/>
      <c r="K27" s="674"/>
      <c r="L27" s="674"/>
      <c r="M27" s="674"/>
      <c r="N27" s="674"/>
      <c r="O27" s="676"/>
      <c r="P27" s="674"/>
      <c r="Q27" s="676"/>
      <c r="R27" s="674"/>
      <c r="S27" s="674"/>
      <c r="T27" s="674"/>
      <c r="U27" s="676"/>
      <c r="V27" s="674"/>
      <c r="W27" s="678"/>
    </row>
    <row r="28" spans="1:23" ht="16.5">
      <c r="A28" s="670">
        <v>23</v>
      </c>
      <c r="B28" s="3303"/>
      <c r="C28" s="3287"/>
      <c r="D28" s="3348"/>
      <c r="E28" s="672"/>
      <c r="F28" s="672"/>
      <c r="G28" s="673"/>
      <c r="H28" s="673"/>
      <c r="I28" s="673"/>
      <c r="J28" s="673"/>
      <c r="K28" s="674"/>
      <c r="L28" s="674"/>
      <c r="M28" s="674"/>
      <c r="N28" s="674"/>
      <c r="O28" s="676"/>
      <c r="P28" s="674"/>
      <c r="Q28" s="676"/>
      <c r="R28" s="674"/>
      <c r="S28" s="674"/>
      <c r="T28" s="674"/>
      <c r="U28" s="676"/>
      <c r="V28" s="674"/>
      <c r="W28" s="678"/>
    </row>
    <row r="29" spans="1:23" ht="16.5">
      <c r="A29" s="670">
        <v>24</v>
      </c>
      <c r="B29" s="3303"/>
      <c r="C29" s="3287"/>
      <c r="D29" s="3348"/>
      <c r="E29" s="672"/>
      <c r="F29" s="672"/>
      <c r="G29" s="673"/>
      <c r="H29" s="673"/>
      <c r="I29" s="673"/>
      <c r="J29" s="673"/>
      <c r="K29" s="674"/>
      <c r="L29" s="674"/>
      <c r="M29" s="674"/>
      <c r="N29" s="674"/>
      <c r="O29" s="676"/>
      <c r="P29" s="674"/>
      <c r="Q29" s="676"/>
      <c r="R29" s="674"/>
      <c r="S29" s="674"/>
      <c r="T29" s="674"/>
      <c r="U29" s="676"/>
      <c r="V29" s="674"/>
      <c r="W29" s="678"/>
    </row>
    <row r="30" spans="1:23" ht="16.5">
      <c r="A30" s="670">
        <v>25</v>
      </c>
      <c r="B30" s="3303"/>
      <c r="C30" s="3287"/>
      <c r="D30" s="3348"/>
      <c r="E30" s="672"/>
      <c r="F30" s="672"/>
      <c r="G30" s="673"/>
      <c r="H30" s="673"/>
      <c r="I30" s="673"/>
      <c r="J30" s="673"/>
      <c r="K30" s="674"/>
      <c r="L30" s="674"/>
      <c r="M30" s="674"/>
      <c r="N30" s="674"/>
      <c r="O30" s="676"/>
      <c r="P30" s="674"/>
      <c r="Q30" s="676"/>
      <c r="R30" s="674"/>
      <c r="S30" s="674"/>
      <c r="T30" s="674"/>
      <c r="U30" s="676"/>
      <c r="V30" s="674"/>
      <c r="W30" s="678"/>
    </row>
    <row r="31" spans="1:23" ht="17.25" thickBot="1">
      <c r="A31" s="670">
        <v>26</v>
      </c>
      <c r="B31" s="3303"/>
      <c r="C31" s="3288"/>
      <c r="D31" s="686" t="s">
        <v>3105</v>
      </c>
      <c r="E31" s="687"/>
      <c r="F31" s="687"/>
      <c r="G31" s="687"/>
      <c r="H31" s="687"/>
      <c r="I31" s="687"/>
      <c r="J31" s="687"/>
      <c r="K31" s="687"/>
      <c r="L31" s="687"/>
      <c r="M31" s="688">
        <f>SUM(M19:M30)</f>
        <v>0</v>
      </c>
      <c r="N31" s="688">
        <f>SUM(N19:N30)</f>
        <v>0</v>
      </c>
      <c r="O31" s="689"/>
      <c r="P31" s="689"/>
      <c r="Q31" s="689"/>
      <c r="R31" s="689"/>
      <c r="S31" s="688">
        <f>SUM(S19:S30)</f>
        <v>0</v>
      </c>
      <c r="T31" s="689"/>
      <c r="U31" s="689"/>
      <c r="V31" s="689"/>
      <c r="W31" s="849"/>
    </row>
    <row r="32" spans="1:23" ht="16.5" customHeight="1">
      <c r="A32" s="670">
        <v>27</v>
      </c>
      <c r="B32" s="3303"/>
      <c r="C32" s="3292" t="s">
        <v>3107</v>
      </c>
      <c r="D32" s="3347" t="s">
        <v>547</v>
      </c>
      <c r="E32" s="663"/>
      <c r="F32" s="663"/>
      <c r="G32" s="664"/>
      <c r="H32" s="664"/>
      <c r="I32" s="664"/>
      <c r="J32" s="664"/>
      <c r="K32" s="665"/>
      <c r="L32" s="665"/>
      <c r="M32" s="665"/>
      <c r="N32" s="665"/>
      <c r="O32" s="667"/>
      <c r="P32" s="665"/>
      <c r="Q32" s="667"/>
      <c r="R32" s="665"/>
      <c r="S32" s="665"/>
      <c r="T32" s="665"/>
      <c r="U32" s="667"/>
      <c r="V32" s="665"/>
      <c r="W32" s="669"/>
    </row>
    <row r="33" spans="1:23" ht="16.5">
      <c r="A33" s="670">
        <v>28</v>
      </c>
      <c r="B33" s="3303"/>
      <c r="C33" s="3287"/>
      <c r="D33" s="3348"/>
      <c r="E33" s="672"/>
      <c r="F33" s="672"/>
      <c r="G33" s="673"/>
      <c r="H33" s="673"/>
      <c r="I33" s="673"/>
      <c r="J33" s="673"/>
      <c r="K33" s="674"/>
      <c r="L33" s="674"/>
      <c r="M33" s="674"/>
      <c r="N33" s="674"/>
      <c r="O33" s="676"/>
      <c r="P33" s="674"/>
      <c r="Q33" s="676"/>
      <c r="R33" s="674"/>
      <c r="S33" s="674"/>
      <c r="T33" s="674"/>
      <c r="U33" s="676"/>
      <c r="V33" s="674"/>
      <c r="W33" s="678"/>
    </row>
    <row r="34" spans="1:23" ht="16.5">
      <c r="A34" s="670">
        <v>29</v>
      </c>
      <c r="B34" s="3303"/>
      <c r="C34" s="3287"/>
      <c r="D34" s="3348"/>
      <c r="E34" s="672"/>
      <c r="F34" s="672"/>
      <c r="G34" s="673"/>
      <c r="H34" s="673"/>
      <c r="I34" s="673"/>
      <c r="J34" s="673"/>
      <c r="K34" s="674"/>
      <c r="L34" s="674"/>
      <c r="M34" s="674"/>
      <c r="N34" s="674"/>
      <c r="O34" s="676"/>
      <c r="P34" s="674"/>
      <c r="Q34" s="676"/>
      <c r="R34" s="674"/>
      <c r="S34" s="674"/>
      <c r="T34" s="674"/>
      <c r="U34" s="676"/>
      <c r="V34" s="674"/>
      <c r="W34" s="678"/>
    </row>
    <row r="35" spans="1:23" ht="16.5">
      <c r="A35" s="670">
        <v>30</v>
      </c>
      <c r="B35" s="3303"/>
      <c r="C35" s="3287"/>
      <c r="D35" s="3348"/>
      <c r="E35" s="672"/>
      <c r="F35" s="672"/>
      <c r="G35" s="673"/>
      <c r="H35" s="673"/>
      <c r="I35" s="673"/>
      <c r="J35" s="673"/>
      <c r="K35" s="674"/>
      <c r="L35" s="674"/>
      <c r="M35" s="674"/>
      <c r="N35" s="674"/>
      <c r="O35" s="676"/>
      <c r="P35" s="674"/>
      <c r="Q35" s="676"/>
      <c r="R35" s="674"/>
      <c r="S35" s="674"/>
      <c r="T35" s="674"/>
      <c r="U35" s="676"/>
      <c r="V35" s="674"/>
      <c r="W35" s="678"/>
    </row>
    <row r="36" spans="1:23" ht="16.5">
      <c r="A36" s="670">
        <v>31</v>
      </c>
      <c r="B36" s="3303"/>
      <c r="C36" s="3287"/>
      <c r="D36" s="3348"/>
      <c r="E36" s="672"/>
      <c r="F36" s="672"/>
      <c r="G36" s="673"/>
      <c r="H36" s="673"/>
      <c r="I36" s="673"/>
      <c r="J36" s="673"/>
      <c r="K36" s="674"/>
      <c r="L36" s="674"/>
      <c r="M36" s="674"/>
      <c r="N36" s="674"/>
      <c r="O36" s="676"/>
      <c r="P36" s="674"/>
      <c r="Q36" s="676"/>
      <c r="R36" s="674"/>
      <c r="S36" s="674"/>
      <c r="T36" s="674"/>
      <c r="U36" s="676"/>
      <c r="V36" s="674"/>
      <c r="W36" s="678"/>
    </row>
    <row r="37" spans="1:23" ht="16.5">
      <c r="A37" s="670">
        <v>32</v>
      </c>
      <c r="B37" s="3303"/>
      <c r="C37" s="3287"/>
      <c r="D37" s="3348"/>
      <c r="E37" s="672"/>
      <c r="F37" s="672"/>
      <c r="G37" s="673"/>
      <c r="H37" s="673"/>
      <c r="I37" s="673"/>
      <c r="J37" s="673"/>
      <c r="K37" s="674"/>
      <c r="L37" s="674"/>
      <c r="M37" s="674"/>
      <c r="N37" s="674"/>
      <c r="O37" s="676"/>
      <c r="P37" s="674"/>
      <c r="Q37" s="676"/>
      <c r="R37" s="674"/>
      <c r="S37" s="674"/>
      <c r="T37" s="674"/>
      <c r="U37" s="676"/>
      <c r="V37" s="674"/>
      <c r="W37" s="678"/>
    </row>
    <row r="38" spans="1:23" ht="16.5">
      <c r="A38" s="670">
        <v>33</v>
      </c>
      <c r="B38" s="3303"/>
      <c r="C38" s="3287"/>
      <c r="D38" s="3348"/>
      <c r="E38" s="672"/>
      <c r="F38" s="672"/>
      <c r="G38" s="673"/>
      <c r="H38" s="673"/>
      <c r="I38" s="673"/>
      <c r="J38" s="673"/>
      <c r="K38" s="674"/>
      <c r="L38" s="674"/>
      <c r="M38" s="674"/>
      <c r="N38" s="674"/>
      <c r="O38" s="676"/>
      <c r="P38" s="674"/>
      <c r="Q38" s="676"/>
      <c r="R38" s="674"/>
      <c r="S38" s="674"/>
      <c r="T38" s="674"/>
      <c r="U38" s="676"/>
      <c r="V38" s="674"/>
      <c r="W38" s="678"/>
    </row>
    <row r="39" spans="1:23" ht="16.5">
      <c r="A39" s="670">
        <v>34</v>
      </c>
      <c r="B39" s="3303"/>
      <c r="C39" s="3287"/>
      <c r="D39" s="3348"/>
      <c r="E39" s="672"/>
      <c r="F39" s="672"/>
      <c r="G39" s="673"/>
      <c r="H39" s="673"/>
      <c r="I39" s="673"/>
      <c r="J39" s="673"/>
      <c r="K39" s="674"/>
      <c r="L39" s="674"/>
      <c r="M39" s="674"/>
      <c r="N39" s="674"/>
      <c r="O39" s="676"/>
      <c r="P39" s="674"/>
      <c r="Q39" s="676"/>
      <c r="R39" s="674"/>
      <c r="S39" s="674"/>
      <c r="T39" s="674"/>
      <c r="U39" s="676"/>
      <c r="V39" s="674"/>
      <c r="W39" s="678"/>
    </row>
    <row r="40" spans="1:23" ht="16.5">
      <c r="A40" s="670">
        <v>35</v>
      </c>
      <c r="B40" s="3303"/>
      <c r="C40" s="3287"/>
      <c r="D40" s="3348"/>
      <c r="E40" s="672"/>
      <c r="F40" s="672"/>
      <c r="G40" s="673"/>
      <c r="H40" s="673"/>
      <c r="I40" s="673"/>
      <c r="J40" s="673"/>
      <c r="K40" s="674"/>
      <c r="L40" s="674"/>
      <c r="M40" s="674"/>
      <c r="N40" s="674"/>
      <c r="O40" s="676"/>
      <c r="P40" s="674"/>
      <c r="Q40" s="676"/>
      <c r="R40" s="674"/>
      <c r="S40" s="674"/>
      <c r="T40" s="674"/>
      <c r="U40" s="676"/>
      <c r="V40" s="674"/>
      <c r="W40" s="678"/>
    </row>
    <row r="41" spans="1:23" ht="16.5">
      <c r="A41" s="670">
        <v>36</v>
      </c>
      <c r="B41" s="3303"/>
      <c r="C41" s="3287"/>
      <c r="D41" s="3348"/>
      <c r="E41" s="672"/>
      <c r="F41" s="672"/>
      <c r="G41" s="673"/>
      <c r="H41" s="673"/>
      <c r="I41" s="673"/>
      <c r="J41" s="673"/>
      <c r="K41" s="674"/>
      <c r="L41" s="674"/>
      <c r="M41" s="674"/>
      <c r="N41" s="674"/>
      <c r="O41" s="676"/>
      <c r="P41" s="674"/>
      <c r="Q41" s="676"/>
      <c r="R41" s="674"/>
      <c r="S41" s="674"/>
      <c r="T41" s="674"/>
      <c r="U41" s="676"/>
      <c r="V41" s="674"/>
      <c r="W41" s="678"/>
    </row>
    <row r="42" spans="1:23" ht="16.5">
      <c r="A42" s="670">
        <v>37</v>
      </c>
      <c r="B42" s="3303"/>
      <c r="C42" s="3287"/>
      <c r="D42" s="847" t="s">
        <v>6</v>
      </c>
      <c r="E42" s="682"/>
      <c r="F42" s="682"/>
      <c r="G42" s="682"/>
      <c r="H42" s="682"/>
      <c r="I42" s="682"/>
      <c r="J42" s="682"/>
      <c r="K42" s="682"/>
      <c r="L42" s="682"/>
      <c r="M42" s="674">
        <f>SUM(M32:M41)</f>
        <v>0</v>
      </c>
      <c r="N42" s="674">
        <f>SUM(N32:N41)</f>
        <v>0</v>
      </c>
      <c r="O42" s="682"/>
      <c r="P42" s="682"/>
      <c r="Q42" s="682"/>
      <c r="R42" s="682"/>
      <c r="S42" s="674">
        <f>SUM(S32:S41)</f>
        <v>0</v>
      </c>
      <c r="T42" s="682"/>
      <c r="U42" s="683"/>
      <c r="V42" s="682"/>
      <c r="W42" s="848"/>
    </row>
    <row r="43" spans="1:23" ht="16.5" customHeight="1">
      <c r="A43" s="670">
        <v>38</v>
      </c>
      <c r="B43" s="3303"/>
      <c r="C43" s="3287"/>
      <c r="D43" s="3348" t="s">
        <v>548</v>
      </c>
      <c r="E43" s="672"/>
      <c r="F43" s="672"/>
      <c r="G43" s="673"/>
      <c r="H43" s="673"/>
      <c r="I43" s="673"/>
      <c r="J43" s="673"/>
      <c r="K43" s="674"/>
      <c r="L43" s="674"/>
      <c r="M43" s="674"/>
      <c r="N43" s="674"/>
      <c r="O43" s="676"/>
      <c r="P43" s="674"/>
      <c r="Q43" s="676"/>
      <c r="R43" s="674"/>
      <c r="S43" s="674"/>
      <c r="T43" s="674"/>
      <c r="U43" s="676"/>
      <c r="V43" s="674"/>
      <c r="W43" s="678"/>
    </row>
    <row r="44" spans="1:23" ht="16.5">
      <c r="A44" s="670">
        <v>39</v>
      </c>
      <c r="B44" s="3303"/>
      <c r="C44" s="3287"/>
      <c r="D44" s="3348"/>
      <c r="E44" s="672"/>
      <c r="F44" s="672"/>
      <c r="G44" s="673"/>
      <c r="H44" s="673"/>
      <c r="I44" s="673"/>
      <c r="J44" s="673"/>
      <c r="K44" s="674"/>
      <c r="L44" s="674"/>
      <c r="M44" s="674"/>
      <c r="N44" s="674"/>
      <c r="O44" s="676"/>
      <c r="P44" s="674"/>
      <c r="Q44" s="676"/>
      <c r="R44" s="674"/>
      <c r="S44" s="674"/>
      <c r="T44" s="674"/>
      <c r="U44" s="676"/>
      <c r="V44" s="674"/>
      <c r="W44" s="678"/>
    </row>
    <row r="45" spans="1:23" ht="16.5">
      <c r="A45" s="670">
        <v>40</v>
      </c>
      <c r="B45" s="3303"/>
      <c r="C45" s="3287"/>
      <c r="D45" s="3348"/>
      <c r="E45" s="672"/>
      <c r="F45" s="672"/>
      <c r="G45" s="673"/>
      <c r="H45" s="673"/>
      <c r="I45" s="673"/>
      <c r="J45" s="673"/>
      <c r="K45" s="674"/>
      <c r="L45" s="674"/>
      <c r="M45" s="674"/>
      <c r="N45" s="674"/>
      <c r="O45" s="676"/>
      <c r="P45" s="674"/>
      <c r="Q45" s="676"/>
      <c r="R45" s="674"/>
      <c r="S45" s="674"/>
      <c r="T45" s="674"/>
      <c r="U45" s="676"/>
      <c r="V45" s="674"/>
      <c r="W45" s="678"/>
    </row>
    <row r="46" spans="1:23" ht="16.5">
      <c r="A46" s="670">
        <v>41</v>
      </c>
      <c r="B46" s="3303"/>
      <c r="C46" s="3287"/>
      <c r="D46" s="3348"/>
      <c r="E46" s="672"/>
      <c r="F46" s="672"/>
      <c r="G46" s="673"/>
      <c r="H46" s="673"/>
      <c r="I46" s="673"/>
      <c r="J46" s="673"/>
      <c r="K46" s="674"/>
      <c r="L46" s="674"/>
      <c r="M46" s="674"/>
      <c r="N46" s="674"/>
      <c r="O46" s="676"/>
      <c r="P46" s="674"/>
      <c r="Q46" s="676"/>
      <c r="R46" s="674"/>
      <c r="S46" s="674"/>
      <c r="T46" s="674"/>
      <c r="U46" s="676"/>
      <c r="V46" s="674"/>
      <c r="W46" s="678"/>
    </row>
    <row r="47" spans="1:23" ht="16.5">
      <c r="A47" s="670">
        <v>42</v>
      </c>
      <c r="B47" s="3303"/>
      <c r="C47" s="3287"/>
      <c r="D47" s="3348"/>
      <c r="E47" s="672"/>
      <c r="F47" s="672"/>
      <c r="G47" s="673"/>
      <c r="H47" s="673"/>
      <c r="I47" s="673"/>
      <c r="J47" s="673"/>
      <c r="K47" s="674"/>
      <c r="L47" s="674"/>
      <c r="M47" s="674"/>
      <c r="N47" s="674"/>
      <c r="O47" s="676"/>
      <c r="P47" s="674"/>
      <c r="Q47" s="676"/>
      <c r="R47" s="674"/>
      <c r="S47" s="674"/>
      <c r="T47" s="674"/>
      <c r="U47" s="676"/>
      <c r="V47" s="674"/>
      <c r="W47" s="678"/>
    </row>
    <row r="48" spans="1:23" ht="16.5">
      <c r="A48" s="670">
        <v>43</v>
      </c>
      <c r="B48" s="3303"/>
      <c r="C48" s="3287"/>
      <c r="D48" s="3348"/>
      <c r="E48" s="672"/>
      <c r="F48" s="672"/>
      <c r="G48" s="673"/>
      <c r="H48" s="673"/>
      <c r="I48" s="673"/>
      <c r="J48" s="673"/>
      <c r="K48" s="674"/>
      <c r="L48" s="674"/>
      <c r="M48" s="674"/>
      <c r="N48" s="674"/>
      <c r="O48" s="676"/>
      <c r="P48" s="674"/>
      <c r="Q48" s="676"/>
      <c r="R48" s="674"/>
      <c r="S48" s="674"/>
      <c r="T48" s="674"/>
      <c r="U48" s="676"/>
      <c r="V48" s="674"/>
      <c r="W48" s="678"/>
    </row>
    <row r="49" spans="1:23" ht="16.5">
      <c r="A49" s="670">
        <v>44</v>
      </c>
      <c r="B49" s="3303"/>
      <c r="C49" s="3287"/>
      <c r="D49" s="3348"/>
      <c r="E49" s="672"/>
      <c r="F49" s="672"/>
      <c r="G49" s="673"/>
      <c r="H49" s="673"/>
      <c r="I49" s="673"/>
      <c r="J49" s="673"/>
      <c r="K49" s="674"/>
      <c r="L49" s="674"/>
      <c r="M49" s="674"/>
      <c r="N49" s="674"/>
      <c r="O49" s="676"/>
      <c r="P49" s="674"/>
      <c r="Q49" s="676"/>
      <c r="R49" s="674"/>
      <c r="S49" s="674"/>
      <c r="T49" s="674"/>
      <c r="U49" s="676"/>
      <c r="V49" s="674"/>
      <c r="W49" s="678"/>
    </row>
    <row r="50" spans="1:23" ht="16.5">
      <c r="A50" s="670">
        <v>45</v>
      </c>
      <c r="B50" s="3303"/>
      <c r="C50" s="3287"/>
      <c r="D50" s="3348"/>
      <c r="E50" s="672"/>
      <c r="F50" s="672"/>
      <c r="G50" s="673"/>
      <c r="H50" s="673"/>
      <c r="I50" s="673"/>
      <c r="J50" s="673"/>
      <c r="K50" s="674"/>
      <c r="L50" s="674"/>
      <c r="M50" s="674"/>
      <c r="N50" s="674"/>
      <c r="O50" s="676"/>
      <c r="P50" s="674"/>
      <c r="Q50" s="676"/>
      <c r="R50" s="674"/>
      <c r="S50" s="674"/>
      <c r="T50" s="674"/>
      <c r="U50" s="676"/>
      <c r="V50" s="674"/>
      <c r="W50" s="678"/>
    </row>
    <row r="51" spans="1:23" ht="16.5">
      <c r="A51" s="670">
        <v>46</v>
      </c>
      <c r="B51" s="3303"/>
      <c r="C51" s="3287"/>
      <c r="D51" s="3348"/>
      <c r="E51" s="672"/>
      <c r="F51" s="672"/>
      <c r="G51" s="673"/>
      <c r="H51" s="673"/>
      <c r="I51" s="673"/>
      <c r="J51" s="673"/>
      <c r="K51" s="674"/>
      <c r="L51" s="674"/>
      <c r="M51" s="674"/>
      <c r="N51" s="674"/>
      <c r="O51" s="676"/>
      <c r="P51" s="674"/>
      <c r="Q51" s="676"/>
      <c r="R51" s="674"/>
      <c r="S51" s="674"/>
      <c r="T51" s="674"/>
      <c r="U51" s="676"/>
      <c r="V51" s="674"/>
      <c r="W51" s="678"/>
    </row>
    <row r="52" spans="1:23" ht="16.5">
      <c r="A52" s="670">
        <v>47</v>
      </c>
      <c r="B52" s="3303"/>
      <c r="C52" s="3287"/>
      <c r="D52" s="3348"/>
      <c r="E52" s="672"/>
      <c r="F52" s="672"/>
      <c r="G52" s="673"/>
      <c r="H52" s="673"/>
      <c r="I52" s="673"/>
      <c r="J52" s="673"/>
      <c r="K52" s="674"/>
      <c r="L52" s="674"/>
      <c r="M52" s="674"/>
      <c r="N52" s="674"/>
      <c r="O52" s="676"/>
      <c r="P52" s="674"/>
      <c r="Q52" s="676"/>
      <c r="R52" s="674"/>
      <c r="S52" s="674"/>
      <c r="T52" s="674"/>
      <c r="U52" s="676"/>
      <c r="V52" s="674"/>
      <c r="W52" s="678"/>
    </row>
    <row r="53" spans="1:23" ht="17.25" thickBot="1">
      <c r="A53" s="670">
        <v>48</v>
      </c>
      <c r="B53" s="3303"/>
      <c r="C53" s="3288"/>
      <c r="D53" s="686" t="s">
        <v>3105</v>
      </c>
      <c r="E53" s="689"/>
      <c r="F53" s="689"/>
      <c r="G53" s="689"/>
      <c r="H53" s="689"/>
      <c r="I53" s="689"/>
      <c r="J53" s="689"/>
      <c r="K53" s="689"/>
      <c r="L53" s="689"/>
      <c r="M53" s="688">
        <f>SUM(M43:M52)</f>
        <v>0</v>
      </c>
      <c r="N53" s="688">
        <f>SUM(N43:N52)</f>
        <v>0</v>
      </c>
      <c r="O53" s="689"/>
      <c r="P53" s="689"/>
      <c r="Q53" s="689"/>
      <c r="R53" s="689"/>
      <c r="S53" s="688">
        <f>SUM(S43:S52)</f>
        <v>0</v>
      </c>
      <c r="T53" s="689"/>
      <c r="U53" s="689"/>
      <c r="V53" s="689"/>
      <c r="W53" s="849"/>
    </row>
    <row r="54" spans="1:23" ht="16.5">
      <c r="A54" s="670">
        <v>49</v>
      </c>
      <c r="B54" s="3303"/>
      <c r="C54" s="3326" t="s">
        <v>3110</v>
      </c>
      <c r="D54" s="3298" t="s">
        <v>3111</v>
      </c>
      <c r="E54" s="663"/>
      <c r="F54" s="663"/>
      <c r="G54" s="664"/>
      <c r="H54" s="664"/>
      <c r="I54" s="664"/>
      <c r="J54" s="664"/>
      <c r="K54" s="665"/>
      <c r="L54" s="665"/>
      <c r="M54" s="665"/>
      <c r="N54" s="665"/>
      <c r="O54" s="667"/>
      <c r="P54" s="665"/>
      <c r="Q54" s="667"/>
      <c r="R54" s="665"/>
      <c r="S54" s="665"/>
      <c r="T54" s="665"/>
      <c r="U54" s="667"/>
      <c r="V54" s="665"/>
      <c r="W54" s="669"/>
    </row>
    <row r="55" spans="1:23" ht="16.5">
      <c r="A55" s="670">
        <v>50</v>
      </c>
      <c r="B55" s="3303"/>
      <c r="C55" s="3327"/>
      <c r="D55" s="3300"/>
      <c r="E55" s="672"/>
      <c r="F55" s="672"/>
      <c r="G55" s="673"/>
      <c r="H55" s="673"/>
      <c r="I55" s="673"/>
      <c r="J55" s="673"/>
      <c r="K55" s="674"/>
      <c r="L55" s="674"/>
      <c r="M55" s="674"/>
      <c r="N55" s="674"/>
      <c r="O55" s="676"/>
      <c r="P55" s="674"/>
      <c r="Q55" s="676"/>
      <c r="R55" s="674"/>
      <c r="S55" s="674"/>
      <c r="T55" s="674"/>
      <c r="U55" s="676"/>
      <c r="V55" s="674"/>
      <c r="W55" s="678"/>
    </row>
    <row r="56" spans="1:23" ht="16.5">
      <c r="A56" s="670">
        <v>51</v>
      </c>
      <c r="B56" s="3303"/>
      <c r="C56" s="3327"/>
      <c r="D56" s="3300"/>
      <c r="E56" s="672"/>
      <c r="F56" s="672"/>
      <c r="G56" s="673"/>
      <c r="H56" s="673"/>
      <c r="I56" s="673"/>
      <c r="J56" s="673"/>
      <c r="K56" s="674"/>
      <c r="L56" s="674"/>
      <c r="M56" s="674"/>
      <c r="N56" s="674"/>
      <c r="O56" s="676"/>
      <c r="P56" s="674"/>
      <c r="Q56" s="676"/>
      <c r="R56" s="674"/>
      <c r="S56" s="674"/>
      <c r="T56" s="674"/>
      <c r="U56" s="676"/>
      <c r="V56" s="674"/>
      <c r="W56" s="678"/>
    </row>
    <row r="57" spans="1:23" ht="16.5">
      <c r="A57" s="670">
        <v>52</v>
      </c>
      <c r="B57" s="3303"/>
      <c r="C57" s="3327"/>
      <c r="D57" s="3300"/>
      <c r="E57" s="672"/>
      <c r="F57" s="672"/>
      <c r="G57" s="673"/>
      <c r="H57" s="673"/>
      <c r="I57" s="673"/>
      <c r="J57" s="673"/>
      <c r="K57" s="674"/>
      <c r="L57" s="674"/>
      <c r="M57" s="674"/>
      <c r="N57" s="674"/>
      <c r="O57" s="676"/>
      <c r="P57" s="674"/>
      <c r="Q57" s="676"/>
      <c r="R57" s="674"/>
      <c r="S57" s="674"/>
      <c r="T57" s="674"/>
      <c r="U57" s="676"/>
      <c r="V57" s="674"/>
      <c r="W57" s="678"/>
    </row>
    <row r="58" spans="1:23" ht="16.5">
      <c r="A58" s="670">
        <v>53</v>
      </c>
      <c r="B58" s="3303"/>
      <c r="C58" s="3327"/>
      <c r="D58" s="3300"/>
      <c r="E58" s="672"/>
      <c r="F58" s="672"/>
      <c r="G58" s="673"/>
      <c r="H58" s="673"/>
      <c r="I58" s="673"/>
      <c r="J58" s="673"/>
      <c r="K58" s="674"/>
      <c r="L58" s="674"/>
      <c r="M58" s="674"/>
      <c r="N58" s="674"/>
      <c r="O58" s="676"/>
      <c r="P58" s="674"/>
      <c r="Q58" s="676"/>
      <c r="R58" s="674"/>
      <c r="S58" s="674"/>
      <c r="T58" s="674"/>
      <c r="U58" s="676"/>
      <c r="V58" s="674"/>
      <c r="W58" s="678"/>
    </row>
    <row r="59" spans="1:23" ht="16.5">
      <c r="A59" s="670">
        <v>54</v>
      </c>
      <c r="B59" s="3303"/>
      <c r="C59" s="3327"/>
      <c r="D59" s="3300"/>
      <c r="E59" s="672"/>
      <c r="F59" s="672"/>
      <c r="G59" s="673"/>
      <c r="H59" s="673"/>
      <c r="I59" s="673"/>
      <c r="J59" s="673"/>
      <c r="K59" s="674"/>
      <c r="L59" s="674"/>
      <c r="M59" s="674"/>
      <c r="N59" s="674"/>
      <c r="O59" s="676"/>
      <c r="P59" s="674"/>
      <c r="Q59" s="676"/>
      <c r="R59" s="674"/>
      <c r="S59" s="674"/>
      <c r="T59" s="674"/>
      <c r="U59" s="676"/>
      <c r="V59" s="674"/>
      <c r="W59" s="678"/>
    </row>
    <row r="60" spans="1:23" ht="16.5">
      <c r="A60" s="670">
        <v>55</v>
      </c>
      <c r="B60" s="3303"/>
      <c r="C60" s="3327"/>
      <c r="D60" s="3300"/>
      <c r="E60" s="672"/>
      <c r="F60" s="672"/>
      <c r="G60" s="673"/>
      <c r="H60" s="673"/>
      <c r="I60" s="673"/>
      <c r="J60" s="673"/>
      <c r="K60" s="674"/>
      <c r="L60" s="674"/>
      <c r="M60" s="674"/>
      <c r="N60" s="674"/>
      <c r="O60" s="676"/>
      <c r="P60" s="674"/>
      <c r="Q60" s="676"/>
      <c r="R60" s="674"/>
      <c r="S60" s="674"/>
      <c r="T60" s="674"/>
      <c r="U60" s="676"/>
      <c r="V60" s="674"/>
      <c r="W60" s="678"/>
    </row>
    <row r="61" spans="1:23" ht="16.5">
      <c r="A61" s="670">
        <v>56</v>
      </c>
      <c r="B61" s="3303"/>
      <c r="C61" s="3327"/>
      <c r="D61" s="3300"/>
      <c r="E61" s="672"/>
      <c r="F61" s="672"/>
      <c r="G61" s="673"/>
      <c r="H61" s="673"/>
      <c r="I61" s="673"/>
      <c r="J61" s="673"/>
      <c r="K61" s="674"/>
      <c r="L61" s="674"/>
      <c r="M61" s="674"/>
      <c r="N61" s="674"/>
      <c r="O61" s="676"/>
      <c r="P61" s="674"/>
      <c r="Q61" s="676"/>
      <c r="R61" s="674"/>
      <c r="S61" s="674"/>
      <c r="T61" s="674"/>
      <c r="U61" s="676"/>
      <c r="V61" s="674"/>
      <c r="W61" s="678"/>
    </row>
    <row r="62" spans="1:23" ht="16.5">
      <c r="A62" s="670">
        <v>57</v>
      </c>
      <c r="B62" s="3303"/>
      <c r="C62" s="3327"/>
      <c r="D62" s="3300"/>
      <c r="E62" s="672"/>
      <c r="F62" s="672"/>
      <c r="G62" s="673"/>
      <c r="H62" s="673"/>
      <c r="I62" s="673"/>
      <c r="J62" s="673"/>
      <c r="K62" s="674"/>
      <c r="L62" s="674"/>
      <c r="M62" s="674"/>
      <c r="N62" s="674"/>
      <c r="O62" s="676"/>
      <c r="P62" s="674"/>
      <c r="Q62" s="676"/>
      <c r="R62" s="674"/>
      <c r="S62" s="674"/>
      <c r="T62" s="674"/>
      <c r="U62" s="676"/>
      <c r="V62" s="674"/>
      <c r="W62" s="678"/>
    </row>
    <row r="63" spans="1:23" ht="16.5">
      <c r="A63" s="670">
        <v>58</v>
      </c>
      <c r="B63" s="3303"/>
      <c r="C63" s="3327"/>
      <c r="D63" s="3300"/>
      <c r="E63" s="672"/>
      <c r="F63" s="672"/>
      <c r="G63" s="673"/>
      <c r="H63" s="673"/>
      <c r="I63" s="673"/>
      <c r="J63" s="673"/>
      <c r="K63" s="674"/>
      <c r="L63" s="674"/>
      <c r="M63" s="674"/>
      <c r="N63" s="674"/>
      <c r="O63" s="676"/>
      <c r="P63" s="674"/>
      <c r="Q63" s="676"/>
      <c r="R63" s="674"/>
      <c r="S63" s="674"/>
      <c r="T63" s="674"/>
      <c r="U63" s="676"/>
      <c r="V63" s="674"/>
      <c r="W63" s="678"/>
    </row>
    <row r="64" spans="1:23" ht="16.5">
      <c r="A64" s="670">
        <v>59</v>
      </c>
      <c r="B64" s="3303"/>
      <c r="C64" s="3327"/>
      <c r="D64" s="657" t="s">
        <v>3105</v>
      </c>
      <c r="E64" s="682"/>
      <c r="F64" s="682"/>
      <c r="G64" s="682"/>
      <c r="H64" s="682"/>
      <c r="I64" s="682"/>
      <c r="J64" s="682"/>
      <c r="K64" s="682"/>
      <c r="L64" s="682"/>
      <c r="M64" s="674">
        <f>SUM(M54:M63)</f>
        <v>0</v>
      </c>
      <c r="N64" s="674">
        <f>SUM(N54:N63)</f>
        <v>0</v>
      </c>
      <c r="O64" s="682"/>
      <c r="P64" s="682"/>
      <c r="Q64" s="682"/>
      <c r="R64" s="682"/>
      <c r="S64" s="674">
        <f>SUM(S54:S63)</f>
        <v>0</v>
      </c>
      <c r="T64" s="682"/>
      <c r="U64" s="682"/>
      <c r="V64" s="682"/>
      <c r="W64" s="848"/>
    </row>
    <row r="65" spans="1:23" ht="16.5" customHeight="1">
      <c r="A65" s="670">
        <v>60</v>
      </c>
      <c r="B65" s="3303"/>
      <c r="C65" s="3327"/>
      <c r="D65" s="3350" t="s">
        <v>547</v>
      </c>
      <c r="E65" s="672"/>
      <c r="F65" s="672"/>
      <c r="G65" s="673"/>
      <c r="H65" s="673"/>
      <c r="I65" s="673"/>
      <c r="J65" s="673"/>
      <c r="K65" s="674"/>
      <c r="L65" s="674"/>
      <c r="M65" s="674"/>
      <c r="N65" s="674"/>
      <c r="O65" s="676"/>
      <c r="P65" s="674"/>
      <c r="Q65" s="676"/>
      <c r="R65" s="674"/>
      <c r="S65" s="674"/>
      <c r="T65" s="674"/>
      <c r="U65" s="676"/>
      <c r="V65" s="674"/>
      <c r="W65" s="678"/>
    </row>
    <row r="66" spans="1:23" ht="16.5">
      <c r="A66" s="670">
        <v>61</v>
      </c>
      <c r="B66" s="3303"/>
      <c r="C66" s="3352"/>
      <c r="D66" s="3351"/>
      <c r="E66" s="672"/>
      <c r="F66" s="672"/>
      <c r="G66" s="673"/>
      <c r="H66" s="673"/>
      <c r="I66" s="673"/>
      <c r="J66" s="673"/>
      <c r="K66" s="674"/>
      <c r="L66" s="674"/>
      <c r="M66" s="674"/>
      <c r="N66" s="674"/>
      <c r="O66" s="676"/>
      <c r="P66" s="676"/>
      <c r="Q66" s="676"/>
      <c r="R66" s="676"/>
      <c r="S66" s="674"/>
      <c r="T66" s="674"/>
      <c r="U66" s="693"/>
      <c r="V66" s="674"/>
      <c r="W66" s="678"/>
    </row>
    <row r="67" spans="1:23" ht="16.5">
      <c r="A67" s="670">
        <v>62</v>
      </c>
      <c r="B67" s="3303"/>
      <c r="C67" s="3352"/>
      <c r="D67" s="3351"/>
      <c r="E67" s="672"/>
      <c r="F67" s="672"/>
      <c r="G67" s="673"/>
      <c r="H67" s="673"/>
      <c r="I67" s="673"/>
      <c r="J67" s="673"/>
      <c r="K67" s="674"/>
      <c r="L67" s="674"/>
      <c r="M67" s="674"/>
      <c r="N67" s="674"/>
      <c r="O67" s="676"/>
      <c r="P67" s="676"/>
      <c r="Q67" s="676"/>
      <c r="R67" s="676"/>
      <c r="S67" s="674"/>
      <c r="T67" s="674"/>
      <c r="U67" s="693"/>
      <c r="V67" s="674"/>
      <c r="W67" s="678"/>
    </row>
    <row r="68" spans="1:23" ht="16.5">
      <c r="A68" s="670">
        <v>63</v>
      </c>
      <c r="B68" s="3303"/>
      <c r="C68" s="3352"/>
      <c r="D68" s="3351"/>
      <c r="E68" s="672"/>
      <c r="F68" s="672"/>
      <c r="G68" s="673"/>
      <c r="H68" s="673"/>
      <c r="I68" s="673"/>
      <c r="J68" s="673"/>
      <c r="K68" s="674"/>
      <c r="L68" s="674"/>
      <c r="M68" s="674"/>
      <c r="N68" s="674"/>
      <c r="O68" s="676"/>
      <c r="P68" s="676"/>
      <c r="Q68" s="676"/>
      <c r="R68" s="676"/>
      <c r="S68" s="674"/>
      <c r="T68" s="674"/>
      <c r="U68" s="693"/>
      <c r="V68" s="674"/>
      <c r="W68" s="678"/>
    </row>
    <row r="69" spans="1:23" ht="16.5">
      <c r="A69" s="670">
        <v>64</v>
      </c>
      <c r="B69" s="3303"/>
      <c r="C69" s="3352"/>
      <c r="D69" s="3351"/>
      <c r="E69" s="672"/>
      <c r="F69" s="672"/>
      <c r="G69" s="673"/>
      <c r="H69" s="673"/>
      <c r="I69" s="673"/>
      <c r="J69" s="673"/>
      <c r="K69" s="674"/>
      <c r="L69" s="674"/>
      <c r="M69" s="674"/>
      <c r="N69" s="674"/>
      <c r="O69" s="676"/>
      <c r="P69" s="676"/>
      <c r="Q69" s="676"/>
      <c r="R69" s="676"/>
      <c r="S69" s="674"/>
      <c r="T69" s="674"/>
      <c r="U69" s="693"/>
      <c r="V69" s="674"/>
      <c r="W69" s="678"/>
    </row>
    <row r="70" spans="1:23" ht="16.5">
      <c r="A70" s="670">
        <v>65</v>
      </c>
      <c r="B70" s="3303"/>
      <c r="C70" s="3352"/>
      <c r="D70" s="3351"/>
      <c r="E70" s="672"/>
      <c r="F70" s="672"/>
      <c r="G70" s="673"/>
      <c r="H70" s="673"/>
      <c r="I70" s="673"/>
      <c r="J70" s="673"/>
      <c r="K70" s="674"/>
      <c r="L70" s="674"/>
      <c r="M70" s="674"/>
      <c r="N70" s="674"/>
      <c r="O70" s="676"/>
      <c r="P70" s="676"/>
      <c r="Q70" s="676"/>
      <c r="R70" s="676"/>
      <c r="S70" s="674"/>
      <c r="T70" s="674"/>
      <c r="U70" s="693"/>
      <c r="V70" s="674"/>
      <c r="W70" s="678"/>
    </row>
    <row r="71" spans="1:23" ht="16.5">
      <c r="A71" s="670">
        <v>66</v>
      </c>
      <c r="B71" s="3303"/>
      <c r="C71" s="3352"/>
      <c r="D71" s="3351"/>
      <c r="E71" s="672"/>
      <c r="F71" s="672"/>
      <c r="G71" s="673"/>
      <c r="H71" s="673"/>
      <c r="I71" s="673"/>
      <c r="J71" s="673"/>
      <c r="K71" s="674"/>
      <c r="L71" s="674"/>
      <c r="M71" s="674"/>
      <c r="N71" s="674"/>
      <c r="O71" s="676"/>
      <c r="P71" s="676"/>
      <c r="Q71" s="676"/>
      <c r="R71" s="676"/>
      <c r="S71" s="674"/>
      <c r="T71" s="674"/>
      <c r="U71" s="693"/>
      <c r="V71" s="674"/>
      <c r="W71" s="678"/>
    </row>
    <row r="72" spans="1:23" ht="16.5">
      <c r="A72" s="670">
        <v>67</v>
      </c>
      <c r="B72" s="3303"/>
      <c r="C72" s="3352"/>
      <c r="D72" s="3351"/>
      <c r="E72" s="672"/>
      <c r="F72" s="672"/>
      <c r="G72" s="673"/>
      <c r="H72" s="673"/>
      <c r="I72" s="673"/>
      <c r="J72" s="673"/>
      <c r="K72" s="674"/>
      <c r="L72" s="674"/>
      <c r="M72" s="674"/>
      <c r="N72" s="674"/>
      <c r="O72" s="676"/>
      <c r="P72" s="676"/>
      <c r="Q72" s="676"/>
      <c r="R72" s="676"/>
      <c r="S72" s="674"/>
      <c r="T72" s="674"/>
      <c r="U72" s="693"/>
      <c r="V72" s="674"/>
      <c r="W72" s="678"/>
    </row>
    <row r="73" spans="1:23" ht="16.5">
      <c r="A73" s="670">
        <v>68</v>
      </c>
      <c r="B73" s="3303"/>
      <c r="C73" s="3352"/>
      <c r="D73" s="3351"/>
      <c r="E73" s="672"/>
      <c r="F73" s="672"/>
      <c r="G73" s="673"/>
      <c r="H73" s="673"/>
      <c r="I73" s="673"/>
      <c r="J73" s="673"/>
      <c r="K73" s="674"/>
      <c r="L73" s="674"/>
      <c r="M73" s="674"/>
      <c r="N73" s="674"/>
      <c r="O73" s="676"/>
      <c r="P73" s="676"/>
      <c r="Q73" s="676"/>
      <c r="R73" s="676"/>
      <c r="S73" s="674"/>
      <c r="T73" s="674"/>
      <c r="U73" s="693"/>
      <c r="V73" s="674"/>
      <c r="W73" s="678"/>
    </row>
    <row r="74" spans="1:23" ht="16.5">
      <c r="A74" s="670">
        <v>69</v>
      </c>
      <c r="B74" s="3303"/>
      <c r="C74" s="3352"/>
      <c r="D74" s="3351"/>
      <c r="E74" s="672"/>
      <c r="F74" s="672"/>
      <c r="G74" s="673"/>
      <c r="H74" s="673"/>
      <c r="I74" s="673"/>
      <c r="J74" s="673"/>
      <c r="K74" s="674"/>
      <c r="L74" s="674"/>
      <c r="M74" s="674"/>
      <c r="N74" s="674"/>
      <c r="O74" s="676"/>
      <c r="P74" s="676"/>
      <c r="Q74" s="676"/>
      <c r="R74" s="676"/>
      <c r="S74" s="674"/>
      <c r="T74" s="674"/>
      <c r="U74" s="693"/>
      <c r="V74" s="674"/>
      <c r="W74" s="678"/>
    </row>
    <row r="75" spans="1:23" ht="16.5">
      <c r="A75" s="670">
        <v>70</v>
      </c>
      <c r="B75" s="3303"/>
      <c r="C75" s="3352"/>
      <c r="D75" s="847" t="s">
        <v>6</v>
      </c>
      <c r="E75" s="682"/>
      <c r="F75" s="682"/>
      <c r="G75" s="682"/>
      <c r="H75" s="682"/>
      <c r="I75" s="682"/>
      <c r="J75" s="682"/>
      <c r="K75" s="682"/>
      <c r="L75" s="682"/>
      <c r="M75" s="674">
        <f>SUM(M65:M74)</f>
        <v>0</v>
      </c>
      <c r="N75" s="674">
        <f>SUM(N65:N74)</f>
        <v>0</v>
      </c>
      <c r="O75" s="682"/>
      <c r="P75" s="682"/>
      <c r="Q75" s="682"/>
      <c r="R75" s="682"/>
      <c r="S75" s="674">
        <f>SUM(S65:S74)</f>
        <v>0</v>
      </c>
      <c r="T75" s="682"/>
      <c r="U75" s="682"/>
      <c r="V75" s="682"/>
      <c r="W75" s="848"/>
    </row>
    <row r="76" spans="1:23" ht="16.5" customHeight="1">
      <c r="A76" s="670">
        <v>71</v>
      </c>
      <c r="B76" s="3303"/>
      <c r="C76" s="3352"/>
      <c r="D76" s="3348" t="s">
        <v>548</v>
      </c>
      <c r="E76" s="672"/>
      <c r="F76" s="672"/>
      <c r="G76" s="673"/>
      <c r="H76" s="673"/>
      <c r="I76" s="673"/>
      <c r="J76" s="673"/>
      <c r="K76" s="674"/>
      <c r="L76" s="674"/>
      <c r="M76" s="674"/>
      <c r="N76" s="674"/>
      <c r="O76" s="676"/>
      <c r="P76" s="676"/>
      <c r="Q76" s="676"/>
      <c r="R76" s="676"/>
      <c r="S76" s="674"/>
      <c r="T76" s="674"/>
      <c r="U76" s="693"/>
      <c r="V76" s="674"/>
      <c r="W76" s="678"/>
    </row>
    <row r="77" spans="1:23" ht="16.5">
      <c r="A77" s="670">
        <v>72</v>
      </c>
      <c r="B77" s="3303"/>
      <c r="C77" s="3352"/>
      <c r="D77" s="3348"/>
      <c r="E77" s="672"/>
      <c r="F77" s="672"/>
      <c r="G77" s="673"/>
      <c r="H77" s="673"/>
      <c r="I77" s="673"/>
      <c r="J77" s="673"/>
      <c r="K77" s="674"/>
      <c r="L77" s="674"/>
      <c r="M77" s="674"/>
      <c r="N77" s="674"/>
      <c r="O77" s="676"/>
      <c r="P77" s="676"/>
      <c r="Q77" s="676"/>
      <c r="R77" s="676"/>
      <c r="S77" s="674"/>
      <c r="T77" s="674"/>
      <c r="U77" s="693"/>
      <c r="V77" s="674"/>
      <c r="W77" s="678"/>
    </row>
    <row r="78" spans="1:23" ht="16.5">
      <c r="A78" s="670">
        <v>73</v>
      </c>
      <c r="B78" s="3303"/>
      <c r="C78" s="3352"/>
      <c r="D78" s="3348"/>
      <c r="E78" s="672"/>
      <c r="F78" s="672"/>
      <c r="G78" s="673"/>
      <c r="H78" s="673"/>
      <c r="I78" s="673"/>
      <c r="J78" s="673"/>
      <c r="K78" s="674"/>
      <c r="L78" s="674"/>
      <c r="M78" s="674"/>
      <c r="N78" s="674"/>
      <c r="O78" s="676"/>
      <c r="P78" s="676"/>
      <c r="Q78" s="676"/>
      <c r="R78" s="676"/>
      <c r="S78" s="674"/>
      <c r="T78" s="674"/>
      <c r="U78" s="693"/>
      <c r="V78" s="674"/>
      <c r="W78" s="678"/>
    </row>
    <row r="79" spans="1:23" ht="16.5">
      <c r="A79" s="670">
        <v>74</v>
      </c>
      <c r="B79" s="3303"/>
      <c r="C79" s="3352"/>
      <c r="D79" s="3348"/>
      <c r="E79" s="672"/>
      <c r="F79" s="672"/>
      <c r="G79" s="673"/>
      <c r="H79" s="673"/>
      <c r="I79" s="673"/>
      <c r="J79" s="673"/>
      <c r="K79" s="674"/>
      <c r="L79" s="674"/>
      <c r="M79" s="674"/>
      <c r="N79" s="674"/>
      <c r="O79" s="676"/>
      <c r="P79" s="676"/>
      <c r="Q79" s="676"/>
      <c r="R79" s="676"/>
      <c r="S79" s="674"/>
      <c r="T79" s="674"/>
      <c r="U79" s="693"/>
      <c r="V79" s="674"/>
      <c r="W79" s="678"/>
    </row>
    <row r="80" spans="1:23" ht="16.5">
      <c r="A80" s="670">
        <v>75</v>
      </c>
      <c r="B80" s="3303"/>
      <c r="C80" s="3352"/>
      <c r="D80" s="3348"/>
      <c r="E80" s="672"/>
      <c r="F80" s="672"/>
      <c r="G80" s="673"/>
      <c r="H80" s="673"/>
      <c r="I80" s="673"/>
      <c r="J80" s="673"/>
      <c r="K80" s="674"/>
      <c r="L80" s="674"/>
      <c r="M80" s="674"/>
      <c r="N80" s="674"/>
      <c r="O80" s="676"/>
      <c r="P80" s="676"/>
      <c r="Q80" s="676"/>
      <c r="R80" s="676"/>
      <c r="S80" s="674"/>
      <c r="T80" s="674"/>
      <c r="U80" s="693"/>
      <c r="V80" s="674"/>
      <c r="W80" s="678"/>
    </row>
    <row r="81" spans="1:23" ht="16.5">
      <c r="A81" s="670">
        <v>76</v>
      </c>
      <c r="B81" s="3303"/>
      <c r="C81" s="3352"/>
      <c r="D81" s="3348"/>
      <c r="E81" s="672"/>
      <c r="F81" s="672"/>
      <c r="G81" s="673"/>
      <c r="H81" s="673"/>
      <c r="I81" s="673"/>
      <c r="J81" s="673"/>
      <c r="K81" s="674"/>
      <c r="L81" s="674"/>
      <c r="M81" s="674"/>
      <c r="N81" s="674"/>
      <c r="O81" s="676"/>
      <c r="P81" s="676"/>
      <c r="Q81" s="676"/>
      <c r="R81" s="676"/>
      <c r="S81" s="674"/>
      <c r="T81" s="674"/>
      <c r="U81" s="693"/>
      <c r="V81" s="674"/>
      <c r="W81" s="678"/>
    </row>
    <row r="82" spans="1:23" ht="16.5">
      <c r="A82" s="670">
        <v>77</v>
      </c>
      <c r="B82" s="3303"/>
      <c r="C82" s="3352"/>
      <c r="D82" s="3348"/>
      <c r="E82" s="672"/>
      <c r="F82" s="672"/>
      <c r="G82" s="673"/>
      <c r="H82" s="673"/>
      <c r="I82" s="673"/>
      <c r="J82" s="673"/>
      <c r="K82" s="674"/>
      <c r="L82" s="674"/>
      <c r="M82" s="674"/>
      <c r="N82" s="674"/>
      <c r="O82" s="676"/>
      <c r="P82" s="674"/>
      <c r="Q82" s="676"/>
      <c r="R82" s="674"/>
      <c r="S82" s="674"/>
      <c r="T82" s="674"/>
      <c r="U82" s="676"/>
      <c r="V82" s="674"/>
      <c r="W82" s="678"/>
    </row>
    <row r="83" spans="1:23" ht="16.5">
      <c r="A83" s="670">
        <v>78</v>
      </c>
      <c r="B83" s="3303"/>
      <c r="C83" s="3352"/>
      <c r="D83" s="3348"/>
      <c r="E83" s="672"/>
      <c r="F83" s="672"/>
      <c r="G83" s="673"/>
      <c r="H83" s="673"/>
      <c r="I83" s="673"/>
      <c r="J83" s="673"/>
      <c r="K83" s="674"/>
      <c r="L83" s="674"/>
      <c r="M83" s="674"/>
      <c r="N83" s="674"/>
      <c r="O83" s="676"/>
      <c r="P83" s="674"/>
      <c r="Q83" s="676"/>
      <c r="R83" s="674"/>
      <c r="S83" s="674"/>
      <c r="T83" s="674"/>
      <c r="U83" s="676"/>
      <c r="V83" s="674"/>
      <c r="W83" s="678"/>
    </row>
    <row r="84" spans="1:23" ht="16.5">
      <c r="A84" s="670">
        <v>79</v>
      </c>
      <c r="B84" s="3303"/>
      <c r="C84" s="3352"/>
      <c r="D84" s="3348"/>
      <c r="E84" s="672"/>
      <c r="F84" s="672"/>
      <c r="G84" s="673"/>
      <c r="H84" s="673"/>
      <c r="I84" s="673"/>
      <c r="J84" s="673"/>
      <c r="K84" s="674"/>
      <c r="L84" s="674"/>
      <c r="M84" s="674"/>
      <c r="N84" s="674"/>
      <c r="O84" s="676"/>
      <c r="P84" s="674"/>
      <c r="Q84" s="676"/>
      <c r="R84" s="674"/>
      <c r="S84" s="674"/>
      <c r="T84" s="674"/>
      <c r="U84" s="676"/>
      <c r="V84" s="674"/>
      <c r="W84" s="678"/>
    </row>
    <row r="85" spans="1:23" ht="16.5">
      <c r="A85" s="670">
        <v>80</v>
      </c>
      <c r="B85" s="3303"/>
      <c r="C85" s="3352"/>
      <c r="D85" s="3348"/>
      <c r="E85" s="672"/>
      <c r="F85" s="672"/>
      <c r="G85" s="673"/>
      <c r="H85" s="673"/>
      <c r="I85" s="673"/>
      <c r="J85" s="673"/>
      <c r="K85" s="674"/>
      <c r="L85" s="674"/>
      <c r="M85" s="674"/>
      <c r="N85" s="674"/>
      <c r="O85" s="676"/>
      <c r="P85" s="674"/>
      <c r="Q85" s="676"/>
      <c r="R85" s="674"/>
      <c r="S85" s="674"/>
      <c r="T85" s="674"/>
      <c r="U85" s="676"/>
      <c r="V85" s="674"/>
      <c r="W85" s="678"/>
    </row>
    <row r="86" spans="1:23" ht="17.25" thickBot="1">
      <c r="A86" s="670">
        <v>81</v>
      </c>
      <c r="B86" s="3303"/>
      <c r="C86" s="3353"/>
      <c r="D86" s="686" t="s">
        <v>3105</v>
      </c>
      <c r="E86" s="689"/>
      <c r="F86" s="689"/>
      <c r="G86" s="689"/>
      <c r="H86" s="689"/>
      <c r="I86" s="689"/>
      <c r="J86" s="689"/>
      <c r="K86" s="689"/>
      <c r="L86" s="689"/>
      <c r="M86" s="688">
        <f>SUM(M76:M85)</f>
        <v>0</v>
      </c>
      <c r="N86" s="688">
        <f>SUM(N76:N85)</f>
        <v>0</v>
      </c>
      <c r="O86" s="689"/>
      <c r="P86" s="689"/>
      <c r="Q86" s="689"/>
      <c r="R86" s="689"/>
      <c r="S86" s="688">
        <f>SUM(S76:S85)</f>
        <v>0</v>
      </c>
      <c r="T86" s="689"/>
      <c r="U86" s="689"/>
      <c r="V86" s="689"/>
      <c r="W86" s="849"/>
    </row>
    <row r="87" spans="1:23" ht="16.5" customHeight="1">
      <c r="A87" s="670">
        <v>82</v>
      </c>
      <c r="B87" s="3303"/>
      <c r="C87" s="3286" t="s">
        <v>3113</v>
      </c>
      <c r="D87" s="3310" t="s">
        <v>3114</v>
      </c>
      <c r="E87" s="663"/>
      <c r="F87" s="663"/>
      <c r="G87" s="664"/>
      <c r="H87" s="664"/>
      <c r="I87" s="664"/>
      <c r="J87" s="664"/>
      <c r="K87" s="665"/>
      <c r="L87" s="665"/>
      <c r="M87" s="665"/>
      <c r="N87" s="665"/>
      <c r="O87" s="667"/>
      <c r="P87" s="665"/>
      <c r="Q87" s="667"/>
      <c r="R87" s="665"/>
      <c r="S87" s="665"/>
      <c r="T87" s="694"/>
      <c r="U87" s="667"/>
      <c r="V87" s="665"/>
      <c r="W87" s="669"/>
    </row>
    <row r="88" spans="1:23" ht="16.5">
      <c r="A88" s="670">
        <v>83</v>
      </c>
      <c r="B88" s="3303"/>
      <c r="C88" s="3287"/>
      <c r="D88" s="3307"/>
      <c r="E88" s="672"/>
      <c r="F88" s="672"/>
      <c r="G88" s="673"/>
      <c r="H88" s="673"/>
      <c r="I88" s="673"/>
      <c r="J88" s="673"/>
      <c r="K88" s="674"/>
      <c r="L88" s="674"/>
      <c r="M88" s="674"/>
      <c r="N88" s="674"/>
      <c r="O88" s="676"/>
      <c r="P88" s="674"/>
      <c r="Q88" s="676"/>
      <c r="R88" s="674"/>
      <c r="S88" s="674"/>
      <c r="T88" s="693"/>
      <c r="U88" s="676"/>
      <c r="V88" s="674"/>
      <c r="W88" s="678"/>
    </row>
    <row r="89" spans="1:23" ht="16.5">
      <c r="A89" s="670">
        <v>84</v>
      </c>
      <c r="B89" s="3303"/>
      <c r="C89" s="3287"/>
      <c r="D89" s="3307"/>
      <c r="E89" s="672"/>
      <c r="F89" s="672"/>
      <c r="G89" s="673"/>
      <c r="H89" s="673"/>
      <c r="I89" s="673"/>
      <c r="J89" s="673"/>
      <c r="K89" s="674"/>
      <c r="L89" s="674"/>
      <c r="M89" s="674"/>
      <c r="N89" s="674"/>
      <c r="O89" s="676"/>
      <c r="P89" s="674"/>
      <c r="Q89" s="676"/>
      <c r="R89" s="674"/>
      <c r="S89" s="674"/>
      <c r="T89" s="693"/>
      <c r="U89" s="676"/>
      <c r="V89" s="674"/>
      <c r="W89" s="678"/>
    </row>
    <row r="90" spans="1:23" ht="16.5">
      <c r="A90" s="670">
        <v>85</v>
      </c>
      <c r="B90" s="3303"/>
      <c r="C90" s="3287"/>
      <c r="D90" s="3307"/>
      <c r="E90" s="672"/>
      <c r="F90" s="672"/>
      <c r="G90" s="673"/>
      <c r="H90" s="673"/>
      <c r="I90" s="673"/>
      <c r="J90" s="673"/>
      <c r="K90" s="674"/>
      <c r="L90" s="674"/>
      <c r="M90" s="674"/>
      <c r="N90" s="674"/>
      <c r="O90" s="676"/>
      <c r="P90" s="674"/>
      <c r="Q90" s="676"/>
      <c r="R90" s="674"/>
      <c r="S90" s="674"/>
      <c r="T90" s="693"/>
      <c r="U90" s="676"/>
      <c r="V90" s="674"/>
      <c r="W90" s="678"/>
    </row>
    <row r="91" spans="1:23" ht="16.5">
      <c r="A91" s="670">
        <v>86</v>
      </c>
      <c r="B91" s="3303"/>
      <c r="C91" s="3287"/>
      <c r="D91" s="3307"/>
      <c r="E91" s="672"/>
      <c r="F91" s="672"/>
      <c r="G91" s="673"/>
      <c r="H91" s="673"/>
      <c r="I91" s="673"/>
      <c r="J91" s="673"/>
      <c r="K91" s="674"/>
      <c r="L91" s="674"/>
      <c r="M91" s="674"/>
      <c r="N91" s="674"/>
      <c r="O91" s="676"/>
      <c r="P91" s="674"/>
      <c r="Q91" s="676"/>
      <c r="R91" s="674"/>
      <c r="S91" s="674"/>
      <c r="T91" s="693"/>
      <c r="U91" s="676"/>
      <c r="V91" s="674"/>
      <c r="W91" s="678"/>
    </row>
    <row r="92" spans="1:23" ht="16.5">
      <c r="A92" s="670">
        <v>87</v>
      </c>
      <c r="B92" s="3303"/>
      <c r="C92" s="3287"/>
      <c r="D92" s="3307"/>
      <c r="E92" s="672"/>
      <c r="F92" s="672"/>
      <c r="G92" s="673"/>
      <c r="H92" s="673"/>
      <c r="I92" s="673"/>
      <c r="J92" s="673"/>
      <c r="K92" s="674"/>
      <c r="L92" s="674"/>
      <c r="M92" s="674"/>
      <c r="N92" s="674"/>
      <c r="O92" s="676"/>
      <c r="P92" s="674"/>
      <c r="Q92" s="676"/>
      <c r="R92" s="674"/>
      <c r="S92" s="674"/>
      <c r="T92" s="693"/>
      <c r="U92" s="676"/>
      <c r="V92" s="674"/>
      <c r="W92" s="678"/>
    </row>
    <row r="93" spans="1:23" ht="16.5">
      <c r="A93" s="670">
        <v>88</v>
      </c>
      <c r="B93" s="3303"/>
      <c r="C93" s="3287"/>
      <c r="D93" s="657" t="s">
        <v>3105</v>
      </c>
      <c r="E93" s="682"/>
      <c r="F93" s="682"/>
      <c r="G93" s="682"/>
      <c r="H93" s="682"/>
      <c r="I93" s="682"/>
      <c r="J93" s="682"/>
      <c r="K93" s="682"/>
      <c r="L93" s="682"/>
      <c r="M93" s="674">
        <f>SUM(M87:M92)</f>
        <v>0</v>
      </c>
      <c r="N93" s="674">
        <f>SUM(N87:N92)</f>
        <v>0</v>
      </c>
      <c r="O93" s="682"/>
      <c r="P93" s="682"/>
      <c r="Q93" s="682"/>
      <c r="R93" s="682"/>
      <c r="S93" s="674">
        <f>SUM(S87:S92)</f>
        <v>0</v>
      </c>
      <c r="T93" s="682"/>
      <c r="U93" s="682"/>
      <c r="V93" s="682"/>
      <c r="W93" s="848"/>
    </row>
    <row r="94" spans="1:23" ht="16.5" customHeight="1">
      <c r="A94" s="670">
        <v>89</v>
      </c>
      <c r="B94" s="3303"/>
      <c r="C94" s="3287"/>
      <c r="D94" s="3348" t="s">
        <v>547</v>
      </c>
      <c r="E94" s="672"/>
      <c r="F94" s="672"/>
      <c r="G94" s="673"/>
      <c r="H94" s="673"/>
      <c r="I94" s="673"/>
      <c r="J94" s="673"/>
      <c r="K94" s="674"/>
      <c r="L94" s="674"/>
      <c r="M94" s="674"/>
      <c r="N94" s="674"/>
      <c r="O94" s="676"/>
      <c r="P94" s="674"/>
      <c r="Q94" s="676"/>
      <c r="R94" s="674"/>
      <c r="S94" s="674"/>
      <c r="T94" s="693"/>
      <c r="U94" s="676"/>
      <c r="V94" s="674"/>
      <c r="W94" s="678"/>
    </row>
    <row r="95" spans="1:23" ht="16.5">
      <c r="A95" s="670">
        <v>90</v>
      </c>
      <c r="B95" s="3303"/>
      <c r="C95" s="3287"/>
      <c r="D95" s="3348"/>
      <c r="E95" s="672"/>
      <c r="F95" s="672"/>
      <c r="G95" s="673"/>
      <c r="H95" s="673"/>
      <c r="I95" s="673"/>
      <c r="J95" s="673"/>
      <c r="K95" s="674"/>
      <c r="L95" s="674"/>
      <c r="M95" s="674"/>
      <c r="N95" s="674"/>
      <c r="O95" s="676"/>
      <c r="P95" s="674"/>
      <c r="Q95" s="676"/>
      <c r="R95" s="674"/>
      <c r="S95" s="674"/>
      <c r="T95" s="693"/>
      <c r="U95" s="676"/>
      <c r="V95" s="674"/>
      <c r="W95" s="678"/>
    </row>
    <row r="96" spans="1:23" ht="16.5">
      <c r="A96" s="670">
        <v>91</v>
      </c>
      <c r="B96" s="3303"/>
      <c r="C96" s="3287"/>
      <c r="D96" s="3348"/>
      <c r="E96" s="672"/>
      <c r="F96" s="672"/>
      <c r="G96" s="673"/>
      <c r="H96" s="673"/>
      <c r="I96" s="673"/>
      <c r="J96" s="673"/>
      <c r="K96" s="674"/>
      <c r="L96" s="674"/>
      <c r="M96" s="674"/>
      <c r="N96" s="674"/>
      <c r="O96" s="676"/>
      <c r="P96" s="674"/>
      <c r="Q96" s="676"/>
      <c r="R96" s="674"/>
      <c r="S96" s="674"/>
      <c r="T96" s="693"/>
      <c r="U96" s="676"/>
      <c r="V96" s="674"/>
      <c r="W96" s="678"/>
    </row>
    <row r="97" spans="1:23" ht="16.5">
      <c r="A97" s="670">
        <v>92</v>
      </c>
      <c r="B97" s="3303"/>
      <c r="C97" s="3287"/>
      <c r="D97" s="3348"/>
      <c r="E97" s="672"/>
      <c r="F97" s="672"/>
      <c r="G97" s="673"/>
      <c r="H97" s="673"/>
      <c r="I97" s="673"/>
      <c r="J97" s="673"/>
      <c r="K97" s="674"/>
      <c r="L97" s="674"/>
      <c r="M97" s="674"/>
      <c r="N97" s="674"/>
      <c r="O97" s="676"/>
      <c r="P97" s="674"/>
      <c r="Q97" s="676"/>
      <c r="R97" s="674"/>
      <c r="S97" s="674"/>
      <c r="T97" s="693"/>
      <c r="U97" s="676"/>
      <c r="V97" s="674"/>
      <c r="W97" s="678"/>
    </row>
    <row r="98" spans="1:23" ht="16.5" customHeight="1">
      <c r="A98" s="670">
        <v>93</v>
      </c>
      <c r="B98" s="3303"/>
      <c r="C98" s="3287"/>
      <c r="D98" s="3348"/>
      <c r="E98" s="672"/>
      <c r="F98" s="672"/>
      <c r="G98" s="673"/>
      <c r="H98" s="673"/>
      <c r="I98" s="673"/>
      <c r="J98" s="673"/>
      <c r="K98" s="674"/>
      <c r="L98" s="674"/>
      <c r="M98" s="674"/>
      <c r="N98" s="674"/>
      <c r="O98" s="676"/>
      <c r="P98" s="674"/>
      <c r="Q98" s="676"/>
      <c r="R98" s="674"/>
      <c r="S98" s="674"/>
      <c r="T98" s="693"/>
      <c r="U98" s="676"/>
      <c r="V98" s="674"/>
      <c r="W98" s="678"/>
    </row>
    <row r="99" spans="1:23" ht="16.5" customHeight="1">
      <c r="A99" s="670">
        <v>94</v>
      </c>
      <c r="B99" s="3303"/>
      <c r="C99" s="3287"/>
      <c r="D99" s="3348"/>
      <c r="E99" s="672"/>
      <c r="F99" s="672"/>
      <c r="G99" s="673"/>
      <c r="H99" s="673"/>
      <c r="I99" s="673"/>
      <c r="J99" s="673"/>
      <c r="K99" s="674"/>
      <c r="L99" s="674"/>
      <c r="M99" s="674"/>
      <c r="N99" s="674"/>
      <c r="O99" s="676"/>
      <c r="P99" s="674"/>
      <c r="Q99" s="676"/>
      <c r="R99" s="674"/>
      <c r="S99" s="674"/>
      <c r="T99" s="693"/>
      <c r="U99" s="676"/>
      <c r="V99" s="674"/>
      <c r="W99" s="678"/>
    </row>
    <row r="100" spans="1:23" ht="16.5">
      <c r="A100" s="670">
        <v>95</v>
      </c>
      <c r="B100" s="3303"/>
      <c r="C100" s="3287"/>
      <c r="D100" s="847" t="s">
        <v>6</v>
      </c>
      <c r="E100" s="682"/>
      <c r="F100" s="682"/>
      <c r="G100" s="682"/>
      <c r="H100" s="682"/>
      <c r="I100" s="682"/>
      <c r="J100" s="682"/>
      <c r="K100" s="682"/>
      <c r="L100" s="682"/>
      <c r="M100" s="674">
        <f>SUM(M94:M99)</f>
        <v>0</v>
      </c>
      <c r="N100" s="674">
        <f>SUM(N94:N99)</f>
        <v>0</v>
      </c>
      <c r="O100" s="682"/>
      <c r="P100" s="682"/>
      <c r="Q100" s="682"/>
      <c r="R100" s="682"/>
      <c r="S100" s="674">
        <f>SUM(S94:S99)</f>
        <v>0</v>
      </c>
      <c r="T100" s="682"/>
      <c r="U100" s="682"/>
      <c r="V100" s="682"/>
      <c r="W100" s="848"/>
    </row>
    <row r="101" spans="1:23" ht="16.5" customHeight="1">
      <c r="A101" s="670">
        <v>96</v>
      </c>
      <c r="B101" s="3303"/>
      <c r="C101" s="3287"/>
      <c r="D101" s="3348" t="s">
        <v>548</v>
      </c>
      <c r="E101" s="672"/>
      <c r="F101" s="672"/>
      <c r="G101" s="673"/>
      <c r="H101" s="673"/>
      <c r="I101" s="673"/>
      <c r="J101" s="673"/>
      <c r="K101" s="674"/>
      <c r="L101" s="674"/>
      <c r="M101" s="674"/>
      <c r="N101" s="674"/>
      <c r="O101" s="676"/>
      <c r="P101" s="674"/>
      <c r="Q101" s="676"/>
      <c r="R101" s="674"/>
      <c r="S101" s="674"/>
      <c r="T101" s="693"/>
      <c r="U101" s="676"/>
      <c r="V101" s="674"/>
      <c r="W101" s="678"/>
    </row>
    <row r="102" spans="1:23" ht="16.5">
      <c r="A102" s="670">
        <v>97</v>
      </c>
      <c r="B102" s="3303"/>
      <c r="C102" s="3287"/>
      <c r="D102" s="3348"/>
      <c r="E102" s="672"/>
      <c r="F102" s="672"/>
      <c r="G102" s="673"/>
      <c r="H102" s="673"/>
      <c r="I102" s="673"/>
      <c r="J102" s="673"/>
      <c r="K102" s="674"/>
      <c r="L102" s="674"/>
      <c r="M102" s="674"/>
      <c r="N102" s="674"/>
      <c r="O102" s="676"/>
      <c r="P102" s="674"/>
      <c r="Q102" s="676"/>
      <c r="R102" s="674"/>
      <c r="S102" s="674"/>
      <c r="T102" s="693"/>
      <c r="U102" s="676"/>
      <c r="V102" s="674"/>
      <c r="W102" s="678"/>
    </row>
    <row r="103" spans="1:23" ht="16.5">
      <c r="A103" s="670">
        <v>98</v>
      </c>
      <c r="B103" s="3303"/>
      <c r="C103" s="3287"/>
      <c r="D103" s="3348"/>
      <c r="E103" s="672"/>
      <c r="F103" s="672"/>
      <c r="G103" s="673"/>
      <c r="H103" s="673"/>
      <c r="I103" s="673"/>
      <c r="J103" s="673"/>
      <c r="K103" s="674"/>
      <c r="L103" s="674"/>
      <c r="M103" s="674"/>
      <c r="N103" s="674"/>
      <c r="O103" s="676"/>
      <c r="P103" s="674"/>
      <c r="Q103" s="676"/>
      <c r="R103" s="674"/>
      <c r="S103" s="674"/>
      <c r="T103" s="693"/>
      <c r="U103" s="676"/>
      <c r="V103" s="674"/>
      <c r="W103" s="678"/>
    </row>
    <row r="104" spans="1:23" ht="16.5">
      <c r="A104" s="670">
        <v>99</v>
      </c>
      <c r="B104" s="3303"/>
      <c r="C104" s="3287"/>
      <c r="D104" s="3348"/>
      <c r="E104" s="672"/>
      <c r="F104" s="672"/>
      <c r="G104" s="673"/>
      <c r="H104" s="673"/>
      <c r="I104" s="673"/>
      <c r="J104" s="673"/>
      <c r="K104" s="674"/>
      <c r="L104" s="674"/>
      <c r="M104" s="674"/>
      <c r="N104" s="674"/>
      <c r="O104" s="676"/>
      <c r="P104" s="674"/>
      <c r="Q104" s="676"/>
      <c r="R104" s="674"/>
      <c r="S104" s="674"/>
      <c r="T104" s="693"/>
      <c r="U104" s="676"/>
      <c r="V104" s="674"/>
      <c r="W104" s="678"/>
    </row>
    <row r="105" spans="1:23" ht="16.5">
      <c r="A105" s="670">
        <v>100</v>
      </c>
      <c r="B105" s="3303"/>
      <c r="C105" s="3287"/>
      <c r="D105" s="3348"/>
      <c r="E105" s="672"/>
      <c r="F105" s="672"/>
      <c r="G105" s="673"/>
      <c r="H105" s="673"/>
      <c r="I105" s="673"/>
      <c r="J105" s="673"/>
      <c r="K105" s="674"/>
      <c r="L105" s="674"/>
      <c r="M105" s="674"/>
      <c r="N105" s="674"/>
      <c r="O105" s="676"/>
      <c r="P105" s="674"/>
      <c r="Q105" s="676"/>
      <c r="R105" s="674"/>
      <c r="S105" s="674"/>
      <c r="T105" s="693"/>
      <c r="U105" s="676"/>
      <c r="V105" s="674"/>
      <c r="W105" s="678"/>
    </row>
    <row r="106" spans="1:23" ht="16.5">
      <c r="A106" s="670">
        <v>101</v>
      </c>
      <c r="B106" s="3303"/>
      <c r="C106" s="3287"/>
      <c r="D106" s="3348"/>
      <c r="E106" s="672"/>
      <c r="F106" s="672"/>
      <c r="G106" s="673"/>
      <c r="H106" s="673"/>
      <c r="I106" s="673"/>
      <c r="J106" s="673"/>
      <c r="K106" s="674"/>
      <c r="L106" s="674"/>
      <c r="M106" s="674"/>
      <c r="N106" s="674"/>
      <c r="O106" s="676"/>
      <c r="P106" s="674"/>
      <c r="Q106" s="676"/>
      <c r="R106" s="674"/>
      <c r="S106" s="674"/>
      <c r="T106" s="693"/>
      <c r="U106" s="676"/>
      <c r="V106" s="674"/>
      <c r="W106" s="678"/>
    </row>
    <row r="107" spans="1:23" ht="17.25" thickBot="1">
      <c r="A107" s="670">
        <v>102</v>
      </c>
      <c r="B107" s="3303"/>
      <c r="C107" s="3288"/>
      <c r="D107" s="686" t="s">
        <v>3105</v>
      </c>
      <c r="E107" s="687"/>
      <c r="F107" s="687"/>
      <c r="G107" s="850"/>
      <c r="H107" s="850"/>
      <c r="I107" s="850"/>
      <c r="J107" s="850"/>
      <c r="K107" s="689"/>
      <c r="L107" s="689"/>
      <c r="M107" s="688">
        <f>SUM(M101:M106)</f>
        <v>0</v>
      </c>
      <c r="N107" s="688">
        <f>SUM(N101:N106)</f>
        <v>0</v>
      </c>
      <c r="O107" s="689"/>
      <c r="P107" s="689"/>
      <c r="Q107" s="689"/>
      <c r="R107" s="689"/>
      <c r="S107" s="688">
        <f>SUM(S101:S106)</f>
        <v>0</v>
      </c>
      <c r="T107" s="689"/>
      <c r="U107" s="689"/>
      <c r="V107" s="689"/>
      <c r="W107" s="849"/>
    </row>
    <row r="108" spans="1:23" ht="17.25" thickBot="1">
      <c r="A108" s="773">
        <v>103</v>
      </c>
      <c r="B108" s="3349" t="s">
        <v>3115</v>
      </c>
      <c r="C108" s="3319"/>
      <c r="D108" s="774"/>
      <c r="E108" s="726"/>
      <c r="F108" s="726"/>
      <c r="G108" s="727"/>
      <c r="H108" s="727"/>
      <c r="I108" s="727"/>
      <c r="J108" s="727"/>
      <c r="K108" s="728"/>
      <c r="L108" s="728"/>
      <c r="M108" s="851">
        <f>M107+M100+M93+M86+M75+M64+M53+M42+M31+M18</f>
        <v>0</v>
      </c>
      <c r="N108" s="851">
        <f>N107+N100+N93+N86+N75+N64+N53+N42+N31+N18</f>
        <v>0</v>
      </c>
      <c r="O108" s="728"/>
      <c r="P108" s="728"/>
      <c r="Q108" s="728"/>
      <c r="R108" s="728"/>
      <c r="S108" s="851">
        <f>S107+S100+S93+S86+S75+S64+S53+S42+S31+S18</f>
        <v>0</v>
      </c>
      <c r="T108" s="728"/>
      <c r="U108" s="731"/>
      <c r="V108" s="728"/>
      <c r="W108" s="852"/>
    </row>
    <row r="109" spans="1:23" ht="16.5" customHeight="1">
      <c r="A109" s="662">
        <v>104</v>
      </c>
      <c r="B109" s="3302" t="s">
        <v>3144</v>
      </c>
      <c r="C109" s="3286" t="s">
        <v>3117</v>
      </c>
      <c r="D109" s="3347" t="s">
        <v>549</v>
      </c>
      <c r="E109" s="663"/>
      <c r="F109" s="663"/>
      <c r="G109" s="664"/>
      <c r="H109" s="664"/>
      <c r="I109" s="664"/>
      <c r="J109" s="664"/>
      <c r="K109" s="665"/>
      <c r="L109" s="665"/>
      <c r="M109" s="665"/>
      <c r="N109" s="665"/>
      <c r="O109" s="667"/>
      <c r="P109" s="665"/>
      <c r="Q109" s="667"/>
      <c r="R109" s="665"/>
      <c r="S109" s="665"/>
      <c r="T109" s="709"/>
      <c r="U109" s="710"/>
      <c r="V109" s="665"/>
      <c r="W109" s="669"/>
    </row>
    <row r="110" spans="1:23" ht="16.5" customHeight="1">
      <c r="A110" s="670">
        <v>105</v>
      </c>
      <c r="B110" s="3324"/>
      <c r="C110" s="3287"/>
      <c r="D110" s="3348"/>
      <c r="E110" s="672"/>
      <c r="F110" s="672"/>
      <c r="G110" s="673"/>
      <c r="H110" s="673"/>
      <c r="I110" s="673"/>
      <c r="J110" s="673"/>
      <c r="K110" s="674"/>
      <c r="L110" s="674"/>
      <c r="M110" s="674"/>
      <c r="N110" s="674"/>
      <c r="O110" s="676"/>
      <c r="P110" s="674"/>
      <c r="Q110" s="676"/>
      <c r="R110" s="674"/>
      <c r="S110" s="674"/>
      <c r="T110" s="682"/>
      <c r="U110" s="683"/>
      <c r="V110" s="674"/>
      <c r="W110" s="678"/>
    </row>
    <row r="111" spans="1:23" ht="16.5" customHeight="1">
      <c r="A111" s="670">
        <v>106</v>
      </c>
      <c r="B111" s="3324"/>
      <c r="C111" s="3287"/>
      <c r="D111" s="3348"/>
      <c r="E111" s="672"/>
      <c r="F111" s="672"/>
      <c r="G111" s="673"/>
      <c r="H111" s="673"/>
      <c r="I111" s="673"/>
      <c r="J111" s="673"/>
      <c r="K111" s="674"/>
      <c r="L111" s="674"/>
      <c r="M111" s="674"/>
      <c r="N111" s="674"/>
      <c r="O111" s="676"/>
      <c r="P111" s="674"/>
      <c r="Q111" s="676"/>
      <c r="R111" s="674"/>
      <c r="S111" s="674"/>
      <c r="T111" s="682"/>
      <c r="U111" s="683"/>
      <c r="V111" s="674"/>
      <c r="W111" s="678"/>
    </row>
    <row r="112" spans="1:23" ht="16.5" customHeight="1">
      <c r="A112" s="670">
        <v>107</v>
      </c>
      <c r="B112" s="3324"/>
      <c r="C112" s="3287"/>
      <c r="D112" s="3348"/>
      <c r="E112" s="672"/>
      <c r="F112" s="672"/>
      <c r="G112" s="673"/>
      <c r="H112" s="673"/>
      <c r="I112" s="673"/>
      <c r="J112" s="673"/>
      <c r="K112" s="674"/>
      <c r="L112" s="674"/>
      <c r="M112" s="674"/>
      <c r="N112" s="674"/>
      <c r="O112" s="676"/>
      <c r="P112" s="674"/>
      <c r="Q112" s="676"/>
      <c r="R112" s="674"/>
      <c r="S112" s="674"/>
      <c r="T112" s="682"/>
      <c r="U112" s="683"/>
      <c r="V112" s="674"/>
      <c r="W112" s="678"/>
    </row>
    <row r="113" spans="1:23" ht="16.5" customHeight="1">
      <c r="A113" s="670">
        <v>108</v>
      </c>
      <c r="B113" s="3324"/>
      <c r="C113" s="3287"/>
      <c r="D113" s="3348"/>
      <c r="E113" s="672"/>
      <c r="F113" s="672"/>
      <c r="G113" s="673"/>
      <c r="H113" s="673"/>
      <c r="I113" s="673"/>
      <c r="J113" s="673"/>
      <c r="K113" s="674"/>
      <c r="L113" s="674"/>
      <c r="M113" s="674"/>
      <c r="N113" s="674"/>
      <c r="O113" s="676"/>
      <c r="P113" s="674"/>
      <c r="Q113" s="676"/>
      <c r="R113" s="674"/>
      <c r="S113" s="674"/>
      <c r="T113" s="682"/>
      <c r="U113" s="683"/>
      <c r="V113" s="674"/>
      <c r="W113" s="678"/>
    </row>
    <row r="114" spans="1:23" ht="16.5" customHeight="1">
      <c r="A114" s="670">
        <v>109</v>
      </c>
      <c r="B114" s="3324"/>
      <c r="C114" s="3287"/>
      <c r="D114" s="3348"/>
      <c r="E114" s="672"/>
      <c r="F114" s="672"/>
      <c r="G114" s="673"/>
      <c r="H114" s="673"/>
      <c r="I114" s="673"/>
      <c r="J114" s="673"/>
      <c r="K114" s="674"/>
      <c r="L114" s="674"/>
      <c r="M114" s="674"/>
      <c r="N114" s="674"/>
      <c r="O114" s="676"/>
      <c r="P114" s="674"/>
      <c r="Q114" s="676"/>
      <c r="R114" s="674"/>
      <c r="S114" s="674"/>
      <c r="T114" s="682"/>
      <c r="U114" s="683"/>
      <c r="V114" s="674"/>
      <c r="W114" s="678"/>
    </row>
    <row r="115" spans="1:23" ht="16.5" customHeight="1">
      <c r="A115" s="670">
        <v>110</v>
      </c>
      <c r="B115" s="3324"/>
      <c r="C115" s="3287"/>
      <c r="D115" s="847" t="s">
        <v>6</v>
      </c>
      <c r="E115" s="682"/>
      <c r="F115" s="682"/>
      <c r="G115" s="682"/>
      <c r="H115" s="682"/>
      <c r="I115" s="682"/>
      <c r="J115" s="682"/>
      <c r="K115" s="682"/>
      <c r="L115" s="682"/>
      <c r="M115" s="674">
        <f>SUM(M109:M114)</f>
        <v>0</v>
      </c>
      <c r="N115" s="674">
        <f>SUM(N109:N114)</f>
        <v>0</v>
      </c>
      <c r="O115" s="682"/>
      <c r="P115" s="682"/>
      <c r="Q115" s="682"/>
      <c r="R115" s="682"/>
      <c r="S115" s="674">
        <f>SUM(S109:S114)</f>
        <v>0</v>
      </c>
      <c r="T115" s="682"/>
      <c r="U115" s="683"/>
      <c r="V115" s="682"/>
      <c r="W115" s="848"/>
    </row>
    <row r="116" spans="1:23" ht="16.5" customHeight="1">
      <c r="A116" s="670">
        <v>111</v>
      </c>
      <c r="B116" s="3324"/>
      <c r="C116" s="3287"/>
      <c r="D116" s="3348" t="s">
        <v>550</v>
      </c>
      <c r="E116" s="672"/>
      <c r="F116" s="672"/>
      <c r="G116" s="673"/>
      <c r="H116" s="673"/>
      <c r="I116" s="673"/>
      <c r="J116" s="673"/>
      <c r="K116" s="674"/>
      <c r="L116" s="674"/>
      <c r="M116" s="674"/>
      <c r="N116" s="674"/>
      <c r="O116" s="676"/>
      <c r="P116" s="674"/>
      <c r="Q116" s="676"/>
      <c r="R116" s="674"/>
      <c r="S116" s="674"/>
      <c r="T116" s="682"/>
      <c r="U116" s="683"/>
      <c r="V116" s="674"/>
      <c r="W116" s="678"/>
    </row>
    <row r="117" spans="1:23" ht="16.5" customHeight="1">
      <c r="A117" s="670">
        <v>112</v>
      </c>
      <c r="B117" s="3324"/>
      <c r="C117" s="3287"/>
      <c r="D117" s="3348"/>
      <c r="E117" s="672"/>
      <c r="F117" s="672"/>
      <c r="G117" s="673"/>
      <c r="H117" s="673"/>
      <c r="I117" s="673"/>
      <c r="J117" s="673"/>
      <c r="K117" s="674"/>
      <c r="L117" s="674"/>
      <c r="M117" s="674"/>
      <c r="N117" s="674"/>
      <c r="O117" s="676"/>
      <c r="P117" s="674"/>
      <c r="Q117" s="676"/>
      <c r="R117" s="674"/>
      <c r="S117" s="674"/>
      <c r="T117" s="682"/>
      <c r="U117" s="683"/>
      <c r="V117" s="674"/>
      <c r="W117" s="678"/>
    </row>
    <row r="118" spans="1:23" ht="16.5" customHeight="1">
      <c r="A118" s="670">
        <v>113</v>
      </c>
      <c r="B118" s="3324"/>
      <c r="C118" s="3287"/>
      <c r="D118" s="3348"/>
      <c r="E118" s="672"/>
      <c r="F118" s="672"/>
      <c r="G118" s="673"/>
      <c r="H118" s="673"/>
      <c r="I118" s="673"/>
      <c r="J118" s="673"/>
      <c r="K118" s="674"/>
      <c r="L118" s="674"/>
      <c r="M118" s="674"/>
      <c r="N118" s="674"/>
      <c r="O118" s="676"/>
      <c r="P118" s="674"/>
      <c r="Q118" s="676"/>
      <c r="R118" s="674"/>
      <c r="S118" s="674"/>
      <c r="T118" s="682"/>
      <c r="U118" s="683"/>
      <c r="V118" s="674"/>
      <c r="W118" s="678"/>
    </row>
    <row r="119" spans="1:23" ht="16.5" customHeight="1">
      <c r="A119" s="670">
        <v>114</v>
      </c>
      <c r="B119" s="3324"/>
      <c r="C119" s="3287"/>
      <c r="D119" s="3348"/>
      <c r="E119" s="672"/>
      <c r="F119" s="672"/>
      <c r="G119" s="673"/>
      <c r="H119" s="673"/>
      <c r="I119" s="673"/>
      <c r="J119" s="673"/>
      <c r="K119" s="674"/>
      <c r="L119" s="674"/>
      <c r="M119" s="674"/>
      <c r="N119" s="674"/>
      <c r="O119" s="676"/>
      <c r="P119" s="674"/>
      <c r="Q119" s="676"/>
      <c r="R119" s="674"/>
      <c r="S119" s="674"/>
      <c r="T119" s="682"/>
      <c r="U119" s="683"/>
      <c r="V119" s="674"/>
      <c r="W119" s="678"/>
    </row>
    <row r="120" spans="1:23" ht="16.5">
      <c r="A120" s="670">
        <v>115</v>
      </c>
      <c r="B120" s="3324"/>
      <c r="C120" s="3287"/>
      <c r="D120" s="3348"/>
      <c r="E120" s="672"/>
      <c r="F120" s="672"/>
      <c r="G120" s="673"/>
      <c r="H120" s="673"/>
      <c r="I120" s="673"/>
      <c r="J120" s="673"/>
      <c r="K120" s="674"/>
      <c r="L120" s="674"/>
      <c r="M120" s="674"/>
      <c r="N120" s="674"/>
      <c r="O120" s="676"/>
      <c r="P120" s="674"/>
      <c r="Q120" s="676"/>
      <c r="R120" s="674"/>
      <c r="S120" s="674"/>
      <c r="T120" s="682"/>
      <c r="U120" s="683"/>
      <c r="V120" s="674"/>
      <c r="W120" s="678"/>
    </row>
    <row r="121" spans="1:23" ht="16.5">
      <c r="A121" s="670">
        <v>116</v>
      </c>
      <c r="B121" s="3324"/>
      <c r="C121" s="3287"/>
      <c r="D121" s="3348"/>
      <c r="E121" s="672"/>
      <c r="F121" s="672"/>
      <c r="G121" s="673"/>
      <c r="H121" s="673"/>
      <c r="I121" s="673"/>
      <c r="J121" s="673"/>
      <c r="K121" s="674"/>
      <c r="L121" s="674"/>
      <c r="M121" s="674"/>
      <c r="N121" s="674"/>
      <c r="O121" s="676"/>
      <c r="P121" s="674"/>
      <c r="Q121" s="676"/>
      <c r="R121" s="674"/>
      <c r="S121" s="674"/>
      <c r="T121" s="682"/>
      <c r="U121" s="683"/>
      <c r="V121" s="674"/>
      <c r="W121" s="678"/>
    </row>
    <row r="122" spans="1:23" ht="17.25" thickBot="1">
      <c r="A122" s="670">
        <v>117</v>
      </c>
      <c r="B122" s="3324"/>
      <c r="C122" s="3288"/>
      <c r="D122" s="686" t="s">
        <v>3105</v>
      </c>
      <c r="E122" s="689"/>
      <c r="F122" s="689"/>
      <c r="G122" s="689"/>
      <c r="H122" s="689"/>
      <c r="I122" s="689"/>
      <c r="J122" s="689"/>
      <c r="K122" s="689"/>
      <c r="L122" s="689"/>
      <c r="M122" s="688">
        <f>SUM(M116:M121)</f>
        <v>0</v>
      </c>
      <c r="N122" s="688">
        <f>SUM(N116:N121)</f>
        <v>0</v>
      </c>
      <c r="O122" s="689"/>
      <c r="P122" s="689"/>
      <c r="Q122" s="689"/>
      <c r="R122" s="689"/>
      <c r="S122" s="688">
        <f>SUM(S116:S121)</f>
        <v>0</v>
      </c>
      <c r="T122" s="689"/>
      <c r="U122" s="714"/>
      <c r="V122" s="689"/>
      <c r="W122" s="849"/>
    </row>
    <row r="123" spans="1:23" ht="16.5" customHeight="1">
      <c r="A123" s="670">
        <v>118</v>
      </c>
      <c r="B123" s="3324"/>
      <c r="C123" s="3326" t="s">
        <v>3110</v>
      </c>
      <c r="D123" s="3310" t="s">
        <v>3177</v>
      </c>
      <c r="E123" s="663"/>
      <c r="F123" s="663"/>
      <c r="G123" s="664"/>
      <c r="H123" s="664"/>
      <c r="I123" s="664"/>
      <c r="J123" s="664"/>
      <c r="K123" s="665"/>
      <c r="L123" s="665"/>
      <c r="M123" s="665"/>
      <c r="N123" s="665"/>
      <c r="O123" s="667"/>
      <c r="P123" s="665"/>
      <c r="Q123" s="667"/>
      <c r="R123" s="665"/>
      <c r="S123" s="665"/>
      <c r="T123" s="715"/>
      <c r="U123" s="710"/>
      <c r="V123" s="665"/>
      <c r="W123" s="669"/>
    </row>
    <row r="124" spans="1:23" ht="16.5">
      <c r="A124" s="670">
        <v>119</v>
      </c>
      <c r="B124" s="3324"/>
      <c r="C124" s="3327"/>
      <c r="D124" s="3329"/>
      <c r="E124" s="672"/>
      <c r="F124" s="672"/>
      <c r="G124" s="673"/>
      <c r="H124" s="673"/>
      <c r="I124" s="673"/>
      <c r="J124" s="673"/>
      <c r="K124" s="674"/>
      <c r="L124" s="674"/>
      <c r="M124" s="674"/>
      <c r="N124" s="674"/>
      <c r="O124" s="676"/>
      <c r="P124" s="676"/>
      <c r="Q124" s="676"/>
      <c r="R124" s="676"/>
      <c r="S124" s="674"/>
      <c r="T124" s="682"/>
      <c r="U124" s="716"/>
      <c r="V124" s="674"/>
      <c r="W124" s="678"/>
    </row>
    <row r="125" spans="1:23" ht="16.5">
      <c r="A125" s="670">
        <v>120</v>
      </c>
      <c r="B125" s="3324"/>
      <c r="C125" s="3327"/>
      <c r="D125" s="3329"/>
      <c r="E125" s="672"/>
      <c r="F125" s="672"/>
      <c r="G125" s="673"/>
      <c r="H125" s="673"/>
      <c r="I125" s="673"/>
      <c r="J125" s="673"/>
      <c r="K125" s="674"/>
      <c r="L125" s="674"/>
      <c r="M125" s="674"/>
      <c r="N125" s="674"/>
      <c r="O125" s="676"/>
      <c r="P125" s="676"/>
      <c r="Q125" s="676"/>
      <c r="R125" s="676"/>
      <c r="S125" s="674"/>
      <c r="T125" s="682"/>
      <c r="U125" s="716"/>
      <c r="V125" s="674"/>
      <c r="W125" s="678"/>
    </row>
    <row r="126" spans="1:23" ht="16.5">
      <c r="A126" s="670">
        <v>121</v>
      </c>
      <c r="B126" s="3324"/>
      <c r="C126" s="3327"/>
      <c r="D126" s="3329"/>
      <c r="E126" s="672"/>
      <c r="F126" s="672"/>
      <c r="G126" s="673"/>
      <c r="H126" s="673"/>
      <c r="I126" s="673"/>
      <c r="J126" s="673"/>
      <c r="K126" s="674"/>
      <c r="L126" s="674"/>
      <c r="M126" s="674"/>
      <c r="N126" s="674"/>
      <c r="O126" s="676"/>
      <c r="P126" s="676"/>
      <c r="Q126" s="676"/>
      <c r="R126" s="676"/>
      <c r="S126" s="674"/>
      <c r="T126" s="682"/>
      <c r="U126" s="716"/>
      <c r="V126" s="674"/>
      <c r="W126" s="678"/>
    </row>
    <row r="127" spans="1:23" ht="16.5">
      <c r="A127" s="670">
        <v>122</v>
      </c>
      <c r="B127" s="3324"/>
      <c r="C127" s="3327"/>
      <c r="D127" s="3329"/>
      <c r="E127" s="672"/>
      <c r="F127" s="672"/>
      <c r="G127" s="673"/>
      <c r="H127" s="673"/>
      <c r="I127" s="673"/>
      <c r="J127" s="673"/>
      <c r="K127" s="674"/>
      <c r="L127" s="674"/>
      <c r="M127" s="674"/>
      <c r="N127" s="674"/>
      <c r="O127" s="676"/>
      <c r="P127" s="676"/>
      <c r="Q127" s="676"/>
      <c r="R127" s="676"/>
      <c r="S127" s="674"/>
      <c r="T127" s="682"/>
      <c r="U127" s="716"/>
      <c r="V127" s="674"/>
      <c r="W127" s="678"/>
    </row>
    <row r="128" spans="1:23" ht="16.5">
      <c r="A128" s="670">
        <v>123</v>
      </c>
      <c r="B128" s="3324"/>
      <c r="C128" s="3327"/>
      <c r="D128" s="3329"/>
      <c r="E128" s="672"/>
      <c r="F128" s="672"/>
      <c r="G128" s="673"/>
      <c r="H128" s="673"/>
      <c r="I128" s="673"/>
      <c r="J128" s="673"/>
      <c r="K128" s="674"/>
      <c r="L128" s="674"/>
      <c r="M128" s="674"/>
      <c r="N128" s="674"/>
      <c r="O128" s="676"/>
      <c r="P128" s="676"/>
      <c r="Q128" s="676"/>
      <c r="R128" s="676"/>
      <c r="S128" s="674"/>
      <c r="T128" s="682"/>
      <c r="U128" s="716"/>
      <c r="V128" s="674"/>
      <c r="W128" s="678"/>
    </row>
    <row r="129" spans="1:23" ht="16.5">
      <c r="A129" s="670">
        <v>124</v>
      </c>
      <c r="B129" s="3324"/>
      <c r="C129" s="3327"/>
      <c r="D129" s="659" t="s">
        <v>3121</v>
      </c>
      <c r="E129" s="682"/>
      <c r="F129" s="682"/>
      <c r="G129" s="682"/>
      <c r="H129" s="682"/>
      <c r="I129" s="682"/>
      <c r="J129" s="682"/>
      <c r="K129" s="682"/>
      <c r="L129" s="682"/>
      <c r="M129" s="674">
        <f>SUM(M123:M128)</f>
        <v>0</v>
      </c>
      <c r="N129" s="674">
        <f>SUM(N123:N128)</f>
        <v>0</v>
      </c>
      <c r="O129" s="682"/>
      <c r="P129" s="682"/>
      <c r="Q129" s="682"/>
      <c r="R129" s="682"/>
      <c r="S129" s="674">
        <f>SUM(S123:S128)</f>
        <v>0</v>
      </c>
      <c r="T129" s="682"/>
      <c r="U129" s="716"/>
      <c r="V129" s="682"/>
      <c r="W129" s="848"/>
    </row>
    <row r="130" spans="1:23" ht="17.649999999999999" customHeight="1">
      <c r="A130" s="670">
        <v>125</v>
      </c>
      <c r="B130" s="3324"/>
      <c r="C130" s="3327"/>
      <c r="D130" s="3351" t="s">
        <v>549</v>
      </c>
      <c r="E130" s="672"/>
      <c r="F130" s="672"/>
      <c r="G130" s="673"/>
      <c r="H130" s="673"/>
      <c r="I130" s="673"/>
      <c r="J130" s="673"/>
      <c r="K130" s="674"/>
      <c r="L130" s="674"/>
      <c r="M130" s="674"/>
      <c r="N130" s="674"/>
      <c r="O130" s="676"/>
      <c r="P130" s="676"/>
      <c r="Q130" s="676"/>
      <c r="R130" s="676"/>
      <c r="S130" s="674"/>
      <c r="T130" s="682"/>
      <c r="U130" s="716"/>
      <c r="V130" s="674"/>
      <c r="W130" s="678"/>
    </row>
    <row r="131" spans="1:23" ht="16.5">
      <c r="A131" s="670">
        <v>126</v>
      </c>
      <c r="B131" s="3324"/>
      <c r="C131" s="3327"/>
      <c r="D131" s="3351"/>
      <c r="E131" s="672"/>
      <c r="F131" s="672"/>
      <c r="G131" s="673"/>
      <c r="H131" s="673"/>
      <c r="I131" s="673"/>
      <c r="J131" s="673"/>
      <c r="K131" s="674"/>
      <c r="L131" s="674"/>
      <c r="M131" s="674"/>
      <c r="N131" s="674"/>
      <c r="O131" s="676"/>
      <c r="P131" s="676"/>
      <c r="Q131" s="676"/>
      <c r="R131" s="676"/>
      <c r="S131" s="674"/>
      <c r="T131" s="682"/>
      <c r="U131" s="716"/>
      <c r="V131" s="674"/>
      <c r="W131" s="678"/>
    </row>
    <row r="132" spans="1:23" ht="16.5">
      <c r="A132" s="670">
        <v>127</v>
      </c>
      <c r="B132" s="3324"/>
      <c r="C132" s="3327"/>
      <c r="D132" s="3351"/>
      <c r="E132" s="672"/>
      <c r="F132" s="672"/>
      <c r="G132" s="673"/>
      <c r="H132" s="673"/>
      <c r="I132" s="673"/>
      <c r="J132" s="673"/>
      <c r="K132" s="674"/>
      <c r="L132" s="674"/>
      <c r="M132" s="674"/>
      <c r="N132" s="674"/>
      <c r="O132" s="676"/>
      <c r="P132" s="676"/>
      <c r="Q132" s="676"/>
      <c r="R132" s="676"/>
      <c r="S132" s="674"/>
      <c r="T132" s="682"/>
      <c r="U132" s="716"/>
      <c r="V132" s="674"/>
      <c r="W132" s="678"/>
    </row>
    <row r="133" spans="1:23" ht="16.5">
      <c r="A133" s="670">
        <v>128</v>
      </c>
      <c r="B133" s="3324"/>
      <c r="C133" s="3327"/>
      <c r="D133" s="3351"/>
      <c r="E133" s="672"/>
      <c r="F133" s="672"/>
      <c r="G133" s="673"/>
      <c r="H133" s="673"/>
      <c r="I133" s="673"/>
      <c r="J133" s="673"/>
      <c r="K133" s="674"/>
      <c r="L133" s="674"/>
      <c r="M133" s="674"/>
      <c r="N133" s="674"/>
      <c r="O133" s="676"/>
      <c r="P133" s="676"/>
      <c r="Q133" s="676"/>
      <c r="R133" s="676"/>
      <c r="S133" s="674"/>
      <c r="T133" s="682"/>
      <c r="U133" s="716"/>
      <c r="V133" s="674"/>
      <c r="W133" s="678"/>
    </row>
    <row r="134" spans="1:23" ht="16.5">
      <c r="A134" s="670">
        <v>129</v>
      </c>
      <c r="B134" s="3324"/>
      <c r="C134" s="3327"/>
      <c r="D134" s="3351"/>
      <c r="E134" s="672"/>
      <c r="F134" s="672"/>
      <c r="G134" s="673"/>
      <c r="H134" s="673"/>
      <c r="I134" s="673"/>
      <c r="J134" s="673"/>
      <c r="K134" s="674"/>
      <c r="L134" s="674"/>
      <c r="M134" s="674"/>
      <c r="N134" s="674"/>
      <c r="O134" s="676"/>
      <c r="P134" s="676"/>
      <c r="Q134" s="676"/>
      <c r="R134" s="676"/>
      <c r="S134" s="674"/>
      <c r="T134" s="682"/>
      <c r="U134" s="716"/>
      <c r="V134" s="674"/>
      <c r="W134" s="678"/>
    </row>
    <row r="135" spans="1:23" ht="16.5">
      <c r="A135" s="670">
        <v>130</v>
      </c>
      <c r="B135" s="3324"/>
      <c r="C135" s="3327"/>
      <c r="D135" s="3351"/>
      <c r="E135" s="672"/>
      <c r="F135" s="672"/>
      <c r="G135" s="673"/>
      <c r="H135" s="673"/>
      <c r="I135" s="673"/>
      <c r="J135" s="673"/>
      <c r="K135" s="674"/>
      <c r="L135" s="674"/>
      <c r="M135" s="674"/>
      <c r="N135" s="674"/>
      <c r="O135" s="676"/>
      <c r="P135" s="676"/>
      <c r="Q135" s="676"/>
      <c r="R135" s="676"/>
      <c r="S135" s="674"/>
      <c r="T135" s="682"/>
      <c r="U135" s="716"/>
      <c r="V135" s="674"/>
      <c r="W135" s="678"/>
    </row>
    <row r="136" spans="1:23" ht="16.5">
      <c r="A136" s="670">
        <v>131</v>
      </c>
      <c r="B136" s="3324"/>
      <c r="C136" s="3327"/>
      <c r="D136" s="847" t="s">
        <v>6</v>
      </c>
      <c r="E136" s="682"/>
      <c r="F136" s="682"/>
      <c r="G136" s="682"/>
      <c r="H136" s="682"/>
      <c r="I136" s="682"/>
      <c r="J136" s="682"/>
      <c r="K136" s="682"/>
      <c r="L136" s="682"/>
      <c r="M136" s="674">
        <f>SUM(M130:M135)</f>
        <v>0</v>
      </c>
      <c r="N136" s="674">
        <f>SUM(N130:N135)</f>
        <v>0</v>
      </c>
      <c r="O136" s="682"/>
      <c r="P136" s="682"/>
      <c r="Q136" s="682"/>
      <c r="R136" s="682"/>
      <c r="S136" s="674">
        <f>SUM(S130:S135)</f>
        <v>0</v>
      </c>
      <c r="T136" s="682"/>
      <c r="U136" s="716"/>
      <c r="V136" s="682"/>
      <c r="W136" s="848"/>
    </row>
    <row r="137" spans="1:23" ht="16.5" customHeight="1">
      <c r="A137" s="670">
        <v>132</v>
      </c>
      <c r="B137" s="3324"/>
      <c r="C137" s="3327"/>
      <c r="D137" s="3351" t="s">
        <v>551</v>
      </c>
      <c r="E137" s="672"/>
      <c r="F137" s="672"/>
      <c r="G137" s="673"/>
      <c r="H137" s="673"/>
      <c r="I137" s="673"/>
      <c r="J137" s="673"/>
      <c r="K137" s="674"/>
      <c r="L137" s="674"/>
      <c r="M137" s="674"/>
      <c r="N137" s="674"/>
      <c r="O137" s="676"/>
      <c r="P137" s="676"/>
      <c r="Q137" s="676"/>
      <c r="R137" s="676"/>
      <c r="S137" s="674"/>
      <c r="T137" s="682"/>
      <c r="U137" s="716"/>
      <c r="V137" s="674"/>
      <c r="W137" s="678"/>
    </row>
    <row r="138" spans="1:23" ht="15.75" customHeight="1">
      <c r="A138" s="670">
        <v>133</v>
      </c>
      <c r="B138" s="3324"/>
      <c r="C138" s="3327"/>
      <c r="D138" s="3351"/>
      <c r="E138" s="672"/>
      <c r="F138" s="672"/>
      <c r="G138" s="673"/>
      <c r="H138" s="673"/>
      <c r="I138" s="673"/>
      <c r="J138" s="673"/>
      <c r="K138" s="674"/>
      <c r="L138" s="674"/>
      <c r="M138" s="674"/>
      <c r="N138" s="674"/>
      <c r="O138" s="676"/>
      <c r="P138" s="674"/>
      <c r="Q138" s="676"/>
      <c r="R138" s="674"/>
      <c r="S138" s="674"/>
      <c r="T138" s="682"/>
      <c r="U138" s="683"/>
      <c r="V138" s="674"/>
      <c r="W138" s="678"/>
    </row>
    <row r="139" spans="1:23" ht="15.75" customHeight="1">
      <c r="A139" s="670">
        <v>134</v>
      </c>
      <c r="B139" s="3324"/>
      <c r="C139" s="3327"/>
      <c r="D139" s="3351"/>
      <c r="E139" s="672"/>
      <c r="F139" s="672"/>
      <c r="G139" s="673"/>
      <c r="H139" s="673"/>
      <c r="I139" s="673"/>
      <c r="J139" s="673"/>
      <c r="K139" s="674"/>
      <c r="L139" s="674"/>
      <c r="M139" s="674"/>
      <c r="N139" s="674"/>
      <c r="O139" s="676"/>
      <c r="P139" s="674"/>
      <c r="Q139" s="676"/>
      <c r="R139" s="674"/>
      <c r="S139" s="674"/>
      <c r="T139" s="682"/>
      <c r="U139" s="683"/>
      <c r="V139" s="674"/>
      <c r="W139" s="678"/>
    </row>
    <row r="140" spans="1:23" ht="16.5" customHeight="1">
      <c r="A140" s="670">
        <v>135</v>
      </c>
      <c r="B140" s="3324"/>
      <c r="C140" s="3327"/>
      <c r="D140" s="3351"/>
      <c r="E140" s="672"/>
      <c r="F140" s="672"/>
      <c r="G140" s="673"/>
      <c r="H140" s="673"/>
      <c r="I140" s="673"/>
      <c r="J140" s="673"/>
      <c r="K140" s="674"/>
      <c r="L140" s="674"/>
      <c r="M140" s="674"/>
      <c r="N140" s="674"/>
      <c r="O140" s="676"/>
      <c r="P140" s="674"/>
      <c r="Q140" s="676"/>
      <c r="R140" s="674"/>
      <c r="S140" s="674"/>
      <c r="T140" s="682"/>
      <c r="U140" s="683"/>
      <c r="V140" s="674"/>
      <c r="W140" s="678"/>
    </row>
    <row r="141" spans="1:23" ht="16.5">
      <c r="A141" s="670">
        <v>136</v>
      </c>
      <c r="B141" s="3324"/>
      <c r="C141" s="3327"/>
      <c r="D141" s="3351"/>
      <c r="E141" s="672"/>
      <c r="F141" s="672"/>
      <c r="G141" s="673"/>
      <c r="H141" s="673"/>
      <c r="I141" s="673"/>
      <c r="J141" s="673"/>
      <c r="K141" s="674"/>
      <c r="L141" s="674"/>
      <c r="M141" s="674"/>
      <c r="N141" s="674"/>
      <c r="O141" s="676"/>
      <c r="P141" s="674"/>
      <c r="Q141" s="676"/>
      <c r="R141" s="674"/>
      <c r="S141" s="674"/>
      <c r="T141" s="682"/>
      <c r="U141" s="683"/>
      <c r="V141" s="674"/>
      <c r="W141" s="678"/>
    </row>
    <row r="142" spans="1:23" ht="16.5">
      <c r="A142" s="670">
        <v>137</v>
      </c>
      <c r="B142" s="3324"/>
      <c r="C142" s="3327"/>
      <c r="D142" s="3351"/>
      <c r="E142" s="672"/>
      <c r="F142" s="672"/>
      <c r="G142" s="673"/>
      <c r="H142" s="673"/>
      <c r="I142" s="673"/>
      <c r="J142" s="673"/>
      <c r="K142" s="674"/>
      <c r="L142" s="674"/>
      <c r="M142" s="674"/>
      <c r="N142" s="674"/>
      <c r="O142" s="676"/>
      <c r="P142" s="674"/>
      <c r="Q142" s="676"/>
      <c r="R142" s="674"/>
      <c r="S142" s="674"/>
      <c r="T142" s="682"/>
      <c r="U142" s="683"/>
      <c r="V142" s="674"/>
      <c r="W142" s="678"/>
    </row>
    <row r="143" spans="1:23" ht="17.25" thickBot="1">
      <c r="A143" s="670">
        <v>138</v>
      </c>
      <c r="B143" s="3324"/>
      <c r="C143" s="3328"/>
      <c r="D143" s="686" t="s">
        <v>3105</v>
      </c>
      <c r="E143" s="689"/>
      <c r="F143" s="689"/>
      <c r="G143" s="689"/>
      <c r="H143" s="689"/>
      <c r="I143" s="689"/>
      <c r="J143" s="689"/>
      <c r="K143" s="689"/>
      <c r="L143" s="689"/>
      <c r="M143" s="688">
        <f>SUM(M137:M142)</f>
        <v>0</v>
      </c>
      <c r="N143" s="688">
        <f>SUM(N137:N142)</f>
        <v>0</v>
      </c>
      <c r="O143" s="689"/>
      <c r="P143" s="689"/>
      <c r="Q143" s="689"/>
      <c r="R143" s="689"/>
      <c r="S143" s="688">
        <f>SUM(S137:S142)</f>
        <v>0</v>
      </c>
      <c r="T143" s="689"/>
      <c r="U143" s="714"/>
      <c r="V143" s="689"/>
      <c r="W143" s="849"/>
    </row>
    <row r="144" spans="1:23" ht="16.5" customHeight="1">
      <c r="A144" s="670">
        <v>139</v>
      </c>
      <c r="B144" s="3324"/>
      <c r="C144" s="3286" t="s">
        <v>3113</v>
      </c>
      <c r="D144" s="3298" t="s">
        <v>3177</v>
      </c>
      <c r="E144" s="663"/>
      <c r="F144" s="663"/>
      <c r="G144" s="664"/>
      <c r="H144" s="664"/>
      <c r="I144" s="664"/>
      <c r="J144" s="664"/>
      <c r="K144" s="665"/>
      <c r="L144" s="665"/>
      <c r="M144" s="665"/>
      <c r="N144" s="665"/>
      <c r="O144" s="667"/>
      <c r="P144" s="665"/>
      <c r="Q144" s="667"/>
      <c r="R144" s="665"/>
      <c r="S144" s="665"/>
      <c r="T144" s="709"/>
      <c r="U144" s="710"/>
      <c r="V144" s="665"/>
      <c r="W144" s="669"/>
    </row>
    <row r="145" spans="1:23" ht="16.5">
      <c r="A145" s="670">
        <v>140</v>
      </c>
      <c r="B145" s="3324"/>
      <c r="C145" s="3320"/>
      <c r="D145" s="3309"/>
      <c r="E145" s="672"/>
      <c r="F145" s="672"/>
      <c r="G145" s="673"/>
      <c r="H145" s="673"/>
      <c r="I145" s="673"/>
      <c r="J145" s="673"/>
      <c r="K145" s="674"/>
      <c r="L145" s="674"/>
      <c r="M145" s="674"/>
      <c r="N145" s="674"/>
      <c r="O145" s="676"/>
      <c r="P145" s="674"/>
      <c r="Q145" s="676"/>
      <c r="R145" s="674"/>
      <c r="S145" s="674"/>
      <c r="T145" s="716"/>
      <c r="U145" s="683"/>
      <c r="V145" s="674"/>
      <c r="W145" s="678"/>
    </row>
    <row r="146" spans="1:23" ht="16.5">
      <c r="A146" s="670">
        <v>141</v>
      </c>
      <c r="B146" s="3324"/>
      <c r="C146" s="3320"/>
      <c r="D146" s="3309"/>
      <c r="E146" s="672"/>
      <c r="F146" s="672"/>
      <c r="G146" s="673"/>
      <c r="H146" s="673"/>
      <c r="I146" s="673"/>
      <c r="J146" s="673"/>
      <c r="K146" s="674"/>
      <c r="L146" s="674"/>
      <c r="M146" s="674"/>
      <c r="N146" s="674"/>
      <c r="O146" s="676"/>
      <c r="P146" s="674"/>
      <c r="Q146" s="676"/>
      <c r="R146" s="674"/>
      <c r="S146" s="674"/>
      <c r="T146" s="716"/>
      <c r="U146" s="683"/>
      <c r="V146" s="674"/>
      <c r="W146" s="678"/>
    </row>
    <row r="147" spans="1:23" ht="16.5">
      <c r="A147" s="670">
        <v>142</v>
      </c>
      <c r="B147" s="3324"/>
      <c r="C147" s="3320"/>
      <c r="D147" s="3309"/>
      <c r="E147" s="672"/>
      <c r="F147" s="672"/>
      <c r="G147" s="673"/>
      <c r="H147" s="673"/>
      <c r="I147" s="673"/>
      <c r="J147" s="673"/>
      <c r="K147" s="674"/>
      <c r="L147" s="674"/>
      <c r="M147" s="674"/>
      <c r="N147" s="674"/>
      <c r="O147" s="676"/>
      <c r="P147" s="674"/>
      <c r="Q147" s="676"/>
      <c r="R147" s="674"/>
      <c r="S147" s="674"/>
      <c r="T147" s="716"/>
      <c r="U147" s="683"/>
      <c r="V147" s="674"/>
      <c r="W147" s="678"/>
    </row>
    <row r="148" spans="1:23" ht="16.5">
      <c r="A148" s="670">
        <v>143</v>
      </c>
      <c r="B148" s="3324"/>
      <c r="C148" s="3320"/>
      <c r="D148" s="3309"/>
      <c r="E148" s="672"/>
      <c r="F148" s="672"/>
      <c r="G148" s="673"/>
      <c r="H148" s="673"/>
      <c r="I148" s="673"/>
      <c r="J148" s="673"/>
      <c r="K148" s="674"/>
      <c r="L148" s="674"/>
      <c r="M148" s="674"/>
      <c r="N148" s="674"/>
      <c r="O148" s="676"/>
      <c r="P148" s="674"/>
      <c r="Q148" s="676"/>
      <c r="R148" s="674"/>
      <c r="S148" s="674"/>
      <c r="T148" s="716"/>
      <c r="U148" s="683"/>
      <c r="V148" s="674"/>
      <c r="W148" s="678"/>
    </row>
    <row r="149" spans="1:23" ht="16.5">
      <c r="A149" s="670">
        <v>144</v>
      </c>
      <c r="B149" s="3324"/>
      <c r="C149" s="3320"/>
      <c r="D149" s="3309"/>
      <c r="E149" s="672"/>
      <c r="F149" s="672"/>
      <c r="G149" s="673"/>
      <c r="H149" s="673"/>
      <c r="I149" s="673"/>
      <c r="J149" s="673"/>
      <c r="K149" s="674"/>
      <c r="L149" s="674"/>
      <c r="M149" s="674"/>
      <c r="N149" s="674"/>
      <c r="O149" s="676"/>
      <c r="P149" s="674"/>
      <c r="Q149" s="676"/>
      <c r="R149" s="674"/>
      <c r="S149" s="674"/>
      <c r="T149" s="716"/>
      <c r="U149" s="683"/>
      <c r="V149" s="674"/>
      <c r="W149" s="678"/>
    </row>
    <row r="150" spans="1:23" ht="16.5">
      <c r="A150" s="670">
        <v>145</v>
      </c>
      <c r="B150" s="3324"/>
      <c r="C150" s="3320"/>
      <c r="D150" s="659" t="s">
        <v>3121</v>
      </c>
      <c r="E150" s="682"/>
      <c r="F150" s="682"/>
      <c r="G150" s="682"/>
      <c r="H150" s="682"/>
      <c r="I150" s="682"/>
      <c r="J150" s="682"/>
      <c r="K150" s="682"/>
      <c r="L150" s="682"/>
      <c r="M150" s="674">
        <f>SUM(M144:M149)</f>
        <v>0</v>
      </c>
      <c r="N150" s="674">
        <f>SUM(N144:N149)</f>
        <v>0</v>
      </c>
      <c r="O150" s="682"/>
      <c r="P150" s="682"/>
      <c r="Q150" s="682"/>
      <c r="R150" s="682"/>
      <c r="S150" s="674">
        <f>SUM(S144:S149)</f>
        <v>0</v>
      </c>
      <c r="T150" s="716"/>
      <c r="U150" s="683"/>
      <c r="V150" s="682"/>
      <c r="W150" s="848"/>
    </row>
    <row r="151" spans="1:23" ht="16.5" customHeight="1">
      <c r="A151" s="670">
        <v>146</v>
      </c>
      <c r="B151" s="3324"/>
      <c r="C151" s="3320"/>
      <c r="D151" s="3351" t="s">
        <v>549</v>
      </c>
      <c r="E151" s="672"/>
      <c r="F151" s="672"/>
      <c r="G151" s="673"/>
      <c r="H151" s="673"/>
      <c r="I151" s="673"/>
      <c r="J151" s="673"/>
      <c r="K151" s="674"/>
      <c r="L151" s="674"/>
      <c r="M151" s="674"/>
      <c r="N151" s="674"/>
      <c r="O151" s="676"/>
      <c r="P151" s="674"/>
      <c r="Q151" s="676"/>
      <c r="R151" s="674"/>
      <c r="S151" s="674"/>
      <c r="T151" s="716"/>
      <c r="U151" s="683"/>
      <c r="V151" s="674"/>
      <c r="W151" s="678"/>
    </row>
    <row r="152" spans="1:23" ht="16.5">
      <c r="A152" s="670">
        <v>147</v>
      </c>
      <c r="B152" s="3324"/>
      <c r="C152" s="3320"/>
      <c r="D152" s="3351"/>
      <c r="E152" s="672"/>
      <c r="F152" s="672"/>
      <c r="G152" s="673"/>
      <c r="H152" s="673"/>
      <c r="I152" s="673"/>
      <c r="J152" s="673"/>
      <c r="K152" s="674"/>
      <c r="L152" s="674"/>
      <c r="M152" s="674"/>
      <c r="N152" s="674"/>
      <c r="O152" s="676"/>
      <c r="P152" s="674"/>
      <c r="Q152" s="676"/>
      <c r="R152" s="674"/>
      <c r="S152" s="674"/>
      <c r="T152" s="716"/>
      <c r="U152" s="683"/>
      <c r="V152" s="674"/>
      <c r="W152" s="678"/>
    </row>
    <row r="153" spans="1:23" ht="16.5">
      <c r="A153" s="670">
        <v>148</v>
      </c>
      <c r="B153" s="3324"/>
      <c r="C153" s="3320"/>
      <c r="D153" s="3351"/>
      <c r="E153" s="672"/>
      <c r="F153" s="672"/>
      <c r="G153" s="673"/>
      <c r="H153" s="673"/>
      <c r="I153" s="673"/>
      <c r="J153" s="673"/>
      <c r="K153" s="674"/>
      <c r="L153" s="674"/>
      <c r="M153" s="674"/>
      <c r="N153" s="674"/>
      <c r="O153" s="676"/>
      <c r="P153" s="674"/>
      <c r="Q153" s="676"/>
      <c r="R153" s="674"/>
      <c r="S153" s="674"/>
      <c r="T153" s="716"/>
      <c r="U153" s="683"/>
      <c r="V153" s="674"/>
      <c r="W153" s="678"/>
    </row>
    <row r="154" spans="1:23" ht="16.5">
      <c r="A154" s="670">
        <v>149</v>
      </c>
      <c r="B154" s="3324"/>
      <c r="C154" s="3320"/>
      <c r="D154" s="3351"/>
      <c r="E154" s="672"/>
      <c r="F154" s="672"/>
      <c r="G154" s="673"/>
      <c r="H154" s="673"/>
      <c r="I154" s="673"/>
      <c r="J154" s="673"/>
      <c r="K154" s="674"/>
      <c r="L154" s="674"/>
      <c r="M154" s="674"/>
      <c r="N154" s="674"/>
      <c r="O154" s="676"/>
      <c r="P154" s="674"/>
      <c r="Q154" s="676"/>
      <c r="R154" s="674"/>
      <c r="S154" s="674"/>
      <c r="T154" s="716"/>
      <c r="U154" s="683"/>
      <c r="V154" s="674"/>
      <c r="W154" s="678"/>
    </row>
    <row r="155" spans="1:23" ht="16.5">
      <c r="A155" s="670">
        <v>150</v>
      </c>
      <c r="B155" s="3324"/>
      <c r="C155" s="3320"/>
      <c r="D155" s="3351"/>
      <c r="E155" s="672"/>
      <c r="F155" s="672"/>
      <c r="G155" s="673"/>
      <c r="H155" s="673"/>
      <c r="I155" s="673"/>
      <c r="J155" s="673"/>
      <c r="K155" s="674"/>
      <c r="L155" s="674"/>
      <c r="M155" s="674"/>
      <c r="N155" s="674"/>
      <c r="O155" s="676"/>
      <c r="P155" s="674"/>
      <c r="Q155" s="676"/>
      <c r="R155" s="674"/>
      <c r="S155" s="674"/>
      <c r="T155" s="716"/>
      <c r="U155" s="683"/>
      <c r="V155" s="674"/>
      <c r="W155" s="678"/>
    </row>
    <row r="156" spans="1:23" ht="16.5">
      <c r="A156" s="670">
        <v>151</v>
      </c>
      <c r="B156" s="3324"/>
      <c r="C156" s="3320"/>
      <c r="D156" s="3351"/>
      <c r="E156" s="672"/>
      <c r="F156" s="672"/>
      <c r="G156" s="673"/>
      <c r="H156" s="673"/>
      <c r="I156" s="673"/>
      <c r="J156" s="673"/>
      <c r="K156" s="674"/>
      <c r="L156" s="674"/>
      <c r="M156" s="674"/>
      <c r="N156" s="674"/>
      <c r="O156" s="676"/>
      <c r="P156" s="674"/>
      <c r="Q156" s="676"/>
      <c r="R156" s="674"/>
      <c r="S156" s="674"/>
      <c r="T156" s="716"/>
      <c r="U156" s="683"/>
      <c r="V156" s="674"/>
      <c r="W156" s="678"/>
    </row>
    <row r="157" spans="1:23" ht="16.5">
      <c r="A157" s="670">
        <v>152</v>
      </c>
      <c r="B157" s="3324"/>
      <c r="C157" s="3320"/>
      <c r="D157" s="846" t="s">
        <v>6</v>
      </c>
      <c r="E157" s="682"/>
      <c r="F157" s="682"/>
      <c r="G157" s="682"/>
      <c r="H157" s="682"/>
      <c r="I157" s="682"/>
      <c r="J157" s="682"/>
      <c r="K157" s="682"/>
      <c r="L157" s="682"/>
      <c r="M157" s="674">
        <f>SUM(M151:M156)</f>
        <v>0</v>
      </c>
      <c r="N157" s="674">
        <f>SUM(N151:N156)</f>
        <v>0</v>
      </c>
      <c r="O157" s="682"/>
      <c r="P157" s="682"/>
      <c r="Q157" s="682"/>
      <c r="R157" s="682"/>
      <c r="S157" s="674">
        <f>SUM(S151:S156)</f>
        <v>0</v>
      </c>
      <c r="T157" s="716"/>
      <c r="U157" s="683"/>
      <c r="V157" s="682"/>
      <c r="W157" s="848"/>
    </row>
    <row r="158" spans="1:23" ht="16.5" customHeight="1">
      <c r="A158" s="670">
        <v>153</v>
      </c>
      <c r="B158" s="3324"/>
      <c r="C158" s="3320"/>
      <c r="D158" s="3351" t="s">
        <v>551</v>
      </c>
      <c r="E158" s="672"/>
      <c r="F158" s="672"/>
      <c r="G158" s="673"/>
      <c r="H158" s="673"/>
      <c r="I158" s="673"/>
      <c r="J158" s="673"/>
      <c r="K158" s="674"/>
      <c r="L158" s="674"/>
      <c r="M158" s="674"/>
      <c r="N158" s="674"/>
      <c r="O158" s="676"/>
      <c r="P158" s="674"/>
      <c r="Q158" s="676"/>
      <c r="R158" s="674"/>
      <c r="S158" s="674"/>
      <c r="T158" s="716"/>
      <c r="U158" s="683"/>
      <c r="V158" s="674"/>
      <c r="W158" s="678"/>
    </row>
    <row r="159" spans="1:23" ht="16.5">
      <c r="A159" s="670">
        <v>154</v>
      </c>
      <c r="B159" s="3324"/>
      <c r="C159" s="3320"/>
      <c r="D159" s="3351"/>
      <c r="E159" s="672"/>
      <c r="F159" s="672"/>
      <c r="G159" s="673"/>
      <c r="H159" s="673"/>
      <c r="I159" s="673"/>
      <c r="J159" s="673"/>
      <c r="K159" s="674"/>
      <c r="L159" s="674"/>
      <c r="M159" s="674"/>
      <c r="N159" s="674"/>
      <c r="O159" s="676"/>
      <c r="P159" s="674"/>
      <c r="Q159" s="676"/>
      <c r="R159" s="674"/>
      <c r="S159" s="674"/>
      <c r="T159" s="716"/>
      <c r="U159" s="683"/>
      <c r="V159" s="674"/>
      <c r="W159" s="678"/>
    </row>
    <row r="160" spans="1:23" ht="16.5">
      <c r="A160" s="670">
        <v>155</v>
      </c>
      <c r="B160" s="3324"/>
      <c r="C160" s="3320"/>
      <c r="D160" s="3351"/>
      <c r="E160" s="672"/>
      <c r="F160" s="672"/>
      <c r="G160" s="673"/>
      <c r="H160" s="673"/>
      <c r="I160" s="673"/>
      <c r="J160" s="673"/>
      <c r="K160" s="674"/>
      <c r="L160" s="674"/>
      <c r="M160" s="674"/>
      <c r="N160" s="674"/>
      <c r="O160" s="676"/>
      <c r="P160" s="674"/>
      <c r="Q160" s="676"/>
      <c r="R160" s="674"/>
      <c r="S160" s="674"/>
      <c r="T160" s="716"/>
      <c r="U160" s="683"/>
      <c r="V160" s="674"/>
      <c r="W160" s="678"/>
    </row>
    <row r="161" spans="1:23" ht="16.5">
      <c r="A161" s="670">
        <v>156</v>
      </c>
      <c r="B161" s="3324"/>
      <c r="C161" s="3320"/>
      <c r="D161" s="3351"/>
      <c r="E161" s="672"/>
      <c r="F161" s="672"/>
      <c r="G161" s="673"/>
      <c r="H161" s="673"/>
      <c r="I161" s="673"/>
      <c r="J161" s="673"/>
      <c r="K161" s="674"/>
      <c r="L161" s="674"/>
      <c r="M161" s="674"/>
      <c r="N161" s="674"/>
      <c r="O161" s="676"/>
      <c r="P161" s="674"/>
      <c r="Q161" s="676"/>
      <c r="R161" s="674"/>
      <c r="S161" s="674"/>
      <c r="T161" s="716"/>
      <c r="U161" s="683"/>
      <c r="V161" s="674"/>
      <c r="W161" s="678"/>
    </row>
    <row r="162" spans="1:23" ht="16.5">
      <c r="A162" s="670">
        <v>157</v>
      </c>
      <c r="B162" s="3324"/>
      <c r="C162" s="3320"/>
      <c r="D162" s="3351"/>
      <c r="E162" s="672"/>
      <c r="F162" s="672"/>
      <c r="G162" s="673"/>
      <c r="H162" s="673"/>
      <c r="I162" s="673"/>
      <c r="J162" s="673"/>
      <c r="K162" s="674"/>
      <c r="L162" s="674"/>
      <c r="M162" s="674"/>
      <c r="N162" s="674"/>
      <c r="O162" s="676"/>
      <c r="P162" s="674"/>
      <c r="Q162" s="676"/>
      <c r="R162" s="674"/>
      <c r="S162" s="674"/>
      <c r="T162" s="716"/>
      <c r="U162" s="683"/>
      <c r="V162" s="674"/>
      <c r="W162" s="678"/>
    </row>
    <row r="163" spans="1:23" ht="16.5">
      <c r="A163" s="670">
        <v>158</v>
      </c>
      <c r="B163" s="3324"/>
      <c r="C163" s="3320"/>
      <c r="D163" s="3351"/>
      <c r="E163" s="672"/>
      <c r="F163" s="672"/>
      <c r="G163" s="673"/>
      <c r="H163" s="673"/>
      <c r="I163" s="673"/>
      <c r="J163" s="673"/>
      <c r="K163" s="674"/>
      <c r="L163" s="674"/>
      <c r="M163" s="674"/>
      <c r="N163" s="674"/>
      <c r="O163" s="676"/>
      <c r="P163" s="674"/>
      <c r="Q163" s="676"/>
      <c r="R163" s="674"/>
      <c r="S163" s="674"/>
      <c r="T163" s="716"/>
      <c r="U163" s="683"/>
      <c r="V163" s="674"/>
      <c r="W163" s="678"/>
    </row>
    <row r="164" spans="1:23" ht="17.25" thickBot="1">
      <c r="A164" s="670">
        <v>159</v>
      </c>
      <c r="B164" s="3324"/>
      <c r="C164" s="3356"/>
      <c r="D164" s="686" t="s">
        <v>3105</v>
      </c>
      <c r="E164" s="689"/>
      <c r="F164" s="689"/>
      <c r="G164" s="689"/>
      <c r="H164" s="689"/>
      <c r="I164" s="689"/>
      <c r="J164" s="689"/>
      <c r="K164" s="689"/>
      <c r="L164" s="689"/>
      <c r="M164" s="688">
        <f>SUM(M158:M163)</f>
        <v>0</v>
      </c>
      <c r="N164" s="688">
        <f>SUM(N158:N163)</f>
        <v>0</v>
      </c>
      <c r="O164" s="689"/>
      <c r="P164" s="689"/>
      <c r="Q164" s="689"/>
      <c r="R164" s="689"/>
      <c r="S164" s="688">
        <f>SUM(S158:S163)</f>
        <v>0</v>
      </c>
      <c r="T164" s="853"/>
      <c r="U164" s="714"/>
      <c r="V164" s="689"/>
      <c r="W164" s="849"/>
    </row>
    <row r="165" spans="1:23" ht="17.25" thickBot="1">
      <c r="A165" s="773">
        <v>160</v>
      </c>
      <c r="B165" s="3357" t="s">
        <v>3145</v>
      </c>
      <c r="C165" s="3358"/>
      <c r="D165" s="3358"/>
      <c r="E165" s="726"/>
      <c r="F165" s="726"/>
      <c r="G165" s="727"/>
      <c r="H165" s="727"/>
      <c r="I165" s="727"/>
      <c r="J165" s="727"/>
      <c r="K165" s="728"/>
      <c r="L165" s="728"/>
      <c r="M165" s="729">
        <f>M115+M122+M129+M136+M143+M150+M157+M164</f>
        <v>0</v>
      </c>
      <c r="N165" s="729">
        <f>N115+N122+N129+N136+N143+N150+N157+N164</f>
        <v>0</v>
      </c>
      <c r="O165" s="728"/>
      <c r="P165" s="728"/>
      <c r="Q165" s="728"/>
      <c r="R165" s="728"/>
      <c r="S165" s="729">
        <f>S115+S122+S129+S136+S143+S150+S157+S164</f>
        <v>0</v>
      </c>
      <c r="T165" s="730"/>
      <c r="U165" s="731"/>
      <c r="V165" s="728"/>
      <c r="W165" s="852"/>
    </row>
    <row r="166" spans="1:23" ht="17.25" thickBot="1">
      <c r="A166" s="796">
        <v>161</v>
      </c>
      <c r="B166" s="3318" t="s">
        <v>3126</v>
      </c>
      <c r="C166" s="3319"/>
      <c r="D166" s="3319"/>
      <c r="E166" s="726"/>
      <c r="F166" s="726"/>
      <c r="G166" s="727"/>
      <c r="H166" s="727"/>
      <c r="I166" s="727"/>
      <c r="J166" s="727"/>
      <c r="K166" s="728"/>
      <c r="L166" s="728"/>
      <c r="M166" s="729">
        <f>M165+M108</f>
        <v>0</v>
      </c>
      <c r="N166" s="729">
        <f>N165+N108</f>
        <v>0</v>
      </c>
      <c r="O166" s="728"/>
      <c r="P166" s="728"/>
      <c r="Q166" s="728"/>
      <c r="R166" s="728"/>
      <c r="S166" s="729">
        <f>S165+S108</f>
        <v>0</v>
      </c>
      <c r="T166" s="730"/>
      <c r="U166" s="731"/>
      <c r="V166" s="728"/>
      <c r="W166" s="852"/>
    </row>
    <row r="167" spans="1:23" ht="16.5">
      <c r="B167" s="734"/>
      <c r="C167" s="735"/>
      <c r="D167" s="735"/>
      <c r="E167" s="736"/>
      <c r="F167" s="736"/>
      <c r="G167" s="736"/>
      <c r="H167" s="736"/>
      <c r="I167" s="736"/>
      <c r="J167" s="736"/>
      <c r="K167" s="736"/>
      <c r="L167" s="736"/>
      <c r="M167" s="736"/>
      <c r="N167" s="736"/>
      <c r="O167" s="736"/>
      <c r="P167" s="736"/>
      <c r="Q167" s="736"/>
      <c r="R167" s="736"/>
      <c r="S167" s="736"/>
      <c r="T167" s="736"/>
      <c r="U167" s="854"/>
      <c r="V167" s="738"/>
      <c r="W167" s="654"/>
    </row>
    <row r="168" spans="1:23" ht="16.5">
      <c r="A168" s="557" t="s">
        <v>3044</v>
      </c>
      <c r="B168" s="734"/>
      <c r="C168" s="735"/>
      <c r="D168" s="735"/>
      <c r="E168" s="736"/>
      <c r="F168" s="736"/>
      <c r="G168" s="736"/>
      <c r="H168" s="736"/>
      <c r="I168" s="736"/>
      <c r="J168" s="736"/>
      <c r="K168" s="736"/>
      <c r="L168" s="736"/>
      <c r="M168" s="736"/>
      <c r="N168" s="736"/>
      <c r="O168" s="736"/>
      <c r="P168" s="736"/>
      <c r="Q168" s="736"/>
      <c r="R168" s="736"/>
      <c r="S168" s="736"/>
      <c r="T168" s="736"/>
      <c r="U168" s="854"/>
      <c r="V168" s="738"/>
      <c r="W168" s="654"/>
    </row>
    <row r="169" spans="1:23" ht="16.5">
      <c r="A169" s="557">
        <v>1</v>
      </c>
      <c r="B169" s="735" t="s">
        <v>3178</v>
      </c>
      <c r="D169" s="735"/>
      <c r="E169" s="736"/>
      <c r="F169" s="736"/>
      <c r="G169" s="736"/>
      <c r="H169" s="736"/>
      <c r="I169" s="736"/>
      <c r="J169" s="736"/>
      <c r="K169" s="736"/>
      <c r="L169" s="736"/>
      <c r="M169" s="736"/>
      <c r="N169" s="736"/>
      <c r="O169" s="736"/>
      <c r="P169" s="736"/>
      <c r="Q169" s="736"/>
      <c r="R169" s="736"/>
      <c r="S169" s="736"/>
      <c r="T169" s="736"/>
      <c r="U169" s="854"/>
      <c r="V169" s="738"/>
      <c r="W169" s="654"/>
    </row>
    <row r="170" spans="1:23" ht="16.5">
      <c r="A170" s="734" t="s">
        <v>202</v>
      </c>
      <c r="B170" s="735" t="s">
        <v>3179</v>
      </c>
      <c r="D170" s="735"/>
      <c r="E170" s="736"/>
      <c r="F170" s="736"/>
      <c r="G170" s="736"/>
      <c r="H170" s="736"/>
      <c r="I170" s="736"/>
      <c r="J170" s="736"/>
      <c r="K170" s="736"/>
      <c r="L170" s="736"/>
      <c r="M170" s="736"/>
      <c r="N170" s="736"/>
      <c r="O170" s="736"/>
      <c r="P170" s="736"/>
      <c r="Q170" s="736"/>
      <c r="R170" s="736"/>
      <c r="S170" s="736"/>
      <c r="T170" s="736"/>
      <c r="U170" s="854"/>
      <c r="V170" s="738"/>
      <c r="W170" s="654"/>
    </row>
    <row r="171" spans="1:23" ht="16.5">
      <c r="A171" s="557">
        <v>3</v>
      </c>
      <c r="B171" s="735" t="s">
        <v>3180</v>
      </c>
      <c r="D171" s="735"/>
      <c r="E171" s="736"/>
      <c r="F171" s="736"/>
      <c r="G171" s="736"/>
      <c r="H171" s="736"/>
      <c r="I171" s="736"/>
      <c r="J171" s="736"/>
      <c r="K171" s="736"/>
      <c r="L171" s="736"/>
      <c r="M171" s="736"/>
      <c r="N171" s="736"/>
      <c r="O171" s="736"/>
      <c r="P171" s="736"/>
      <c r="Q171" s="736"/>
      <c r="R171" s="736"/>
      <c r="S171" s="736"/>
      <c r="T171" s="736"/>
      <c r="U171" s="854"/>
      <c r="V171" s="738"/>
      <c r="W171" s="654"/>
    </row>
    <row r="172" spans="1:23">
      <c r="A172" s="557">
        <v>4</v>
      </c>
      <c r="B172" s="252" t="s">
        <v>3181</v>
      </c>
      <c r="D172" s="252"/>
      <c r="E172" s="252"/>
      <c r="F172" s="252"/>
      <c r="G172" s="252"/>
      <c r="H172" s="252"/>
      <c r="I172" s="252"/>
      <c r="J172" s="252"/>
      <c r="K172" s="252"/>
      <c r="L172" s="252"/>
      <c r="M172" s="252"/>
    </row>
    <row r="173" spans="1:23" ht="16.5">
      <c r="A173" s="734" t="s">
        <v>104</v>
      </c>
      <c r="B173" s="252" t="s">
        <v>3182</v>
      </c>
      <c r="D173" s="252"/>
      <c r="E173" s="252"/>
      <c r="F173" s="252"/>
      <c r="G173" s="252"/>
      <c r="H173" s="252"/>
      <c r="I173" s="252"/>
      <c r="J173" s="252"/>
      <c r="K173" s="252"/>
      <c r="L173" s="252"/>
      <c r="M173" s="252"/>
    </row>
    <row r="174" spans="1:23" ht="16.5">
      <c r="A174" s="855" t="s">
        <v>7</v>
      </c>
      <c r="B174" s="856" t="s">
        <v>8</v>
      </c>
      <c r="D174" s="736"/>
      <c r="E174" s="736"/>
      <c r="F174" s="736"/>
      <c r="G174" s="736"/>
      <c r="H174" s="736"/>
      <c r="I174" s="736"/>
      <c r="J174" s="736"/>
      <c r="K174" s="736"/>
      <c r="L174" s="736"/>
      <c r="M174" s="736"/>
      <c r="N174" s="736"/>
      <c r="O174" s="736"/>
      <c r="P174" s="736"/>
      <c r="Q174" s="736"/>
      <c r="R174" s="736"/>
      <c r="S174" s="736"/>
      <c r="T174" s="736"/>
      <c r="U174" s="854"/>
      <c r="V174" s="738"/>
      <c r="W174" s="654"/>
    </row>
    <row r="175" spans="1:23" ht="16.5">
      <c r="A175" s="557"/>
      <c r="B175" s="734"/>
      <c r="C175" s="735"/>
      <c r="D175" s="735"/>
      <c r="E175" s="736"/>
      <c r="F175" s="736"/>
      <c r="G175" s="736"/>
      <c r="H175" s="736"/>
      <c r="I175" s="736"/>
      <c r="J175" s="736"/>
      <c r="K175" s="736"/>
      <c r="L175" s="736"/>
      <c r="M175" s="736"/>
      <c r="N175" s="736"/>
      <c r="O175" s="736"/>
      <c r="P175" s="736"/>
      <c r="Q175" s="736"/>
      <c r="R175" s="736"/>
      <c r="S175" s="736"/>
      <c r="T175" s="736"/>
      <c r="U175" s="854"/>
      <c r="V175" s="738"/>
      <c r="W175" s="654"/>
    </row>
    <row r="176" spans="1:23" ht="16.5">
      <c r="A176" s="734"/>
      <c r="B176" s="734"/>
      <c r="C176" s="735"/>
      <c r="D176" s="735"/>
      <c r="E176" s="736"/>
      <c r="F176" s="736"/>
      <c r="G176" s="736"/>
      <c r="H176" s="736"/>
      <c r="I176" s="736"/>
      <c r="J176" s="736"/>
      <c r="K176" s="736"/>
      <c r="L176" s="736"/>
      <c r="M176" s="736"/>
      <c r="N176" s="736"/>
      <c r="O176" s="736"/>
      <c r="P176" s="736"/>
      <c r="Q176" s="736"/>
      <c r="R176" s="736"/>
      <c r="S176" s="736"/>
      <c r="T176" s="736"/>
      <c r="U176" s="854"/>
      <c r="V176" s="738"/>
      <c r="W176" s="654"/>
    </row>
    <row r="177" spans="1:23" ht="16.5">
      <c r="A177" s="557"/>
      <c r="B177" s="734"/>
      <c r="C177" s="741"/>
      <c r="D177" s="741"/>
      <c r="E177" s="736"/>
      <c r="F177" s="736"/>
      <c r="G177" s="736"/>
      <c r="H177" s="736"/>
      <c r="I177" s="736"/>
      <c r="J177" s="736"/>
      <c r="K177" s="736"/>
      <c r="L177" s="736"/>
      <c r="M177" s="736"/>
      <c r="N177" s="736"/>
      <c r="O177" s="736"/>
      <c r="P177" s="736"/>
      <c r="Q177" s="736"/>
      <c r="R177" s="736"/>
      <c r="S177" s="736"/>
      <c r="T177" s="736"/>
      <c r="U177" s="854"/>
      <c r="V177" s="738"/>
      <c r="W177" s="654"/>
    </row>
    <row r="178" spans="1:23" ht="16.5">
      <c r="A178" s="557"/>
      <c r="B178" s="734"/>
      <c r="C178" s="735"/>
      <c r="D178" s="735"/>
      <c r="E178" s="736"/>
      <c r="F178" s="736"/>
      <c r="G178" s="736"/>
      <c r="H178" s="736"/>
      <c r="I178" s="736"/>
      <c r="J178" s="736"/>
      <c r="K178" s="736"/>
      <c r="L178" s="736"/>
      <c r="M178" s="736"/>
      <c r="N178" s="736"/>
      <c r="O178" s="736"/>
      <c r="P178" s="736"/>
      <c r="Q178" s="736"/>
      <c r="R178" s="736"/>
      <c r="S178" s="736"/>
      <c r="T178" s="736"/>
      <c r="U178" s="854"/>
      <c r="V178" s="738"/>
      <c r="W178" s="654"/>
    </row>
    <row r="179" spans="1:23" ht="16.5">
      <c r="A179" s="734"/>
      <c r="B179" s="734"/>
      <c r="C179" s="735"/>
      <c r="D179" s="735"/>
      <c r="E179" s="736"/>
      <c r="F179" s="736"/>
      <c r="G179" s="736"/>
      <c r="H179" s="736"/>
      <c r="I179" s="736"/>
      <c r="J179" s="736"/>
      <c r="K179" s="736"/>
      <c r="L179" s="736"/>
      <c r="M179" s="736"/>
      <c r="N179" s="736"/>
      <c r="O179" s="736"/>
      <c r="P179" s="736"/>
      <c r="Q179" s="736"/>
      <c r="R179" s="736"/>
      <c r="S179" s="736"/>
      <c r="T179" s="736"/>
      <c r="U179" s="854"/>
      <c r="V179" s="738"/>
      <c r="W179" s="654"/>
    </row>
    <row r="180" spans="1:23" ht="16.5">
      <c r="A180" s="557"/>
      <c r="B180" s="734"/>
      <c r="C180" s="736"/>
      <c r="D180" s="736"/>
      <c r="E180" s="740"/>
      <c r="F180" s="743"/>
      <c r="G180" s="740"/>
      <c r="H180" s="740"/>
      <c r="I180" s="740"/>
      <c r="J180" s="740"/>
      <c r="K180" s="737"/>
      <c r="L180" s="737"/>
      <c r="M180" s="740"/>
      <c r="N180" s="740"/>
      <c r="O180" s="742"/>
      <c r="P180" s="737"/>
      <c r="Q180" s="742"/>
      <c r="R180" s="737"/>
      <c r="S180" s="737"/>
      <c r="T180" s="737"/>
      <c r="U180" s="857"/>
      <c r="V180" s="654"/>
      <c r="W180" s="654"/>
    </row>
    <row r="181" spans="1:23" ht="16.5">
      <c r="A181" s="557"/>
      <c r="B181" s="734"/>
      <c r="C181" s="735"/>
      <c r="D181" s="735"/>
      <c r="E181" s="736"/>
      <c r="F181" s="736"/>
      <c r="G181" s="736"/>
      <c r="H181" s="736"/>
      <c r="I181" s="736"/>
      <c r="J181" s="736"/>
      <c r="K181" s="736"/>
      <c r="L181" s="736"/>
      <c r="M181" s="736"/>
      <c r="N181" s="736"/>
      <c r="O181" s="736"/>
      <c r="P181" s="736"/>
      <c r="Q181" s="736"/>
      <c r="R181" s="736"/>
      <c r="S181" s="736"/>
      <c r="T181" s="736"/>
      <c r="U181" s="854"/>
      <c r="V181" s="738"/>
      <c r="W181" s="654"/>
    </row>
    <row r="182" spans="1:23" ht="16.5">
      <c r="A182" s="734"/>
      <c r="B182" s="734"/>
      <c r="C182" s="735"/>
      <c r="D182" s="735"/>
      <c r="E182" s="736"/>
      <c r="F182" s="736"/>
      <c r="G182" s="736"/>
      <c r="H182" s="736"/>
      <c r="I182" s="736"/>
      <c r="J182" s="736"/>
      <c r="K182" s="736"/>
      <c r="L182" s="736"/>
      <c r="M182" s="736"/>
      <c r="N182" s="736"/>
      <c r="O182" s="736"/>
      <c r="P182" s="736"/>
      <c r="Q182" s="736"/>
      <c r="R182" s="736"/>
      <c r="S182" s="736"/>
      <c r="T182" s="736"/>
      <c r="U182" s="854"/>
      <c r="V182" s="738"/>
      <c r="W182" s="654"/>
    </row>
    <row r="183" spans="1:23" ht="16.5">
      <c r="A183" s="557"/>
      <c r="B183" s="734"/>
      <c r="C183" s="736"/>
      <c r="D183" s="736"/>
      <c r="E183" s="736"/>
      <c r="F183" s="736"/>
      <c r="G183" s="736"/>
      <c r="H183" s="736"/>
      <c r="I183" s="736"/>
      <c r="J183" s="736"/>
      <c r="K183" s="736"/>
      <c r="L183" s="736"/>
      <c r="M183" s="736"/>
      <c r="N183" s="736"/>
      <c r="O183" s="736"/>
      <c r="P183" s="736"/>
      <c r="Q183" s="736"/>
      <c r="R183" s="736"/>
      <c r="S183" s="736"/>
      <c r="T183" s="736"/>
      <c r="U183" s="854"/>
      <c r="V183" s="654"/>
      <c r="W183" s="654"/>
    </row>
    <row r="184" spans="1:23" ht="16.5">
      <c r="A184" s="557"/>
      <c r="B184" s="734"/>
      <c r="C184" s="654"/>
      <c r="D184" s="654"/>
      <c r="E184" s="736"/>
      <c r="F184" s="736"/>
      <c r="G184" s="736"/>
      <c r="H184" s="736"/>
      <c r="I184" s="736"/>
      <c r="J184" s="736"/>
      <c r="K184" s="736"/>
      <c r="L184" s="736"/>
      <c r="M184" s="742"/>
      <c r="N184" s="742"/>
      <c r="O184" s="736"/>
      <c r="P184" s="736"/>
      <c r="Q184" s="736"/>
      <c r="R184" s="736"/>
      <c r="S184" s="736"/>
      <c r="T184" s="736"/>
      <c r="U184" s="858"/>
      <c r="V184" s="654"/>
      <c r="W184" s="654"/>
    </row>
    <row r="185" spans="1:23" ht="16.5">
      <c r="A185" s="734"/>
      <c r="B185" s="734"/>
      <c r="C185" s="736"/>
      <c r="D185" s="736"/>
      <c r="E185" s="742"/>
      <c r="F185" s="742"/>
      <c r="G185" s="742"/>
      <c r="H185" s="742"/>
      <c r="I185" s="742"/>
      <c r="J185" s="742"/>
      <c r="K185" s="742"/>
      <c r="L185" s="742"/>
      <c r="M185" s="742"/>
      <c r="N185" s="742"/>
      <c r="O185" s="736"/>
      <c r="P185" s="742"/>
      <c r="Q185" s="736"/>
      <c r="R185" s="742"/>
      <c r="S185" s="742"/>
      <c r="T185" s="742"/>
      <c r="U185" s="858"/>
      <c r="V185" s="654"/>
      <c r="W185" s="654"/>
    </row>
    <row r="186" spans="1:23" ht="16.5">
      <c r="A186" s="557"/>
      <c r="B186" s="734"/>
      <c r="C186" s="735"/>
      <c r="D186" s="735"/>
      <c r="E186" s="742"/>
      <c r="F186" s="742"/>
      <c r="G186" s="742"/>
      <c r="H186" s="742"/>
      <c r="I186" s="742"/>
      <c r="J186" s="742"/>
      <c r="K186" s="742"/>
      <c r="L186" s="742"/>
      <c r="M186" s="737"/>
      <c r="N186" s="737"/>
      <c r="O186" s="742"/>
      <c r="P186" s="742"/>
      <c r="Q186" s="742"/>
      <c r="R186" s="742"/>
      <c r="S186" s="742"/>
      <c r="T186" s="742"/>
      <c r="U186" s="859"/>
      <c r="V186" s="654"/>
      <c r="W186" s="654"/>
    </row>
    <row r="187" spans="1:23" ht="16.5">
      <c r="A187" s="557"/>
      <c r="B187" s="734"/>
      <c r="C187" s="736"/>
      <c r="D187" s="736"/>
      <c r="E187" s="740"/>
      <c r="F187" s="743"/>
      <c r="G187" s="740"/>
      <c r="H187" s="740"/>
      <c r="I187" s="740"/>
      <c r="J187" s="740"/>
      <c r="K187" s="740"/>
      <c r="L187" s="740"/>
      <c r="M187" s="740"/>
      <c r="N187" s="740"/>
      <c r="O187" s="737"/>
      <c r="P187" s="740"/>
      <c r="Q187" s="737"/>
      <c r="R187" s="740"/>
      <c r="S187" s="740"/>
      <c r="T187" s="740"/>
      <c r="U187" s="860"/>
      <c r="V187" s="654"/>
      <c r="W187" s="654"/>
    </row>
    <row r="188" spans="1:23" ht="16.5">
      <c r="A188" s="734"/>
    </row>
    <row r="189" spans="1:23">
      <c r="A189" s="557"/>
    </row>
  </sheetData>
  <mergeCells count="47">
    <mergeCell ref="B166:D166"/>
    <mergeCell ref="C144:C164"/>
    <mergeCell ref="D144:D149"/>
    <mergeCell ref="D151:D156"/>
    <mergeCell ref="D158:D163"/>
    <mergeCell ref="B165:D165"/>
    <mergeCell ref="D65:D74"/>
    <mergeCell ref="D76:D85"/>
    <mergeCell ref="B6:B107"/>
    <mergeCell ref="C123:C143"/>
    <mergeCell ref="D123:D128"/>
    <mergeCell ref="C54:C86"/>
    <mergeCell ref="D101:D106"/>
    <mergeCell ref="D94:D99"/>
    <mergeCell ref="D6:D17"/>
    <mergeCell ref="C6:C31"/>
    <mergeCell ref="C32:C53"/>
    <mergeCell ref="D130:D135"/>
    <mergeCell ref="D19:D30"/>
    <mergeCell ref="D137:D142"/>
    <mergeCell ref="D87:D92"/>
    <mergeCell ref="C109:C122"/>
    <mergeCell ref="D109:D114"/>
    <mergeCell ref="D116:D121"/>
    <mergeCell ref="C87:C107"/>
    <mergeCell ref="B108:C108"/>
    <mergeCell ref="B109:B164"/>
    <mergeCell ref="Q3:R4"/>
    <mergeCell ref="L3:L4"/>
    <mergeCell ref="D54:D63"/>
    <mergeCell ref="N3:N4"/>
    <mergeCell ref="K3:K4"/>
    <mergeCell ref="M3:M4"/>
    <mergeCell ref="J3:J4"/>
    <mergeCell ref="O3:P4"/>
    <mergeCell ref="D32:D41"/>
    <mergeCell ref="D43:D52"/>
    <mergeCell ref="W3:W4"/>
    <mergeCell ref="T3:T4"/>
    <mergeCell ref="U3:U4"/>
    <mergeCell ref="S3:S4"/>
    <mergeCell ref="V3:V4"/>
    <mergeCell ref="A3:A5"/>
    <mergeCell ref="B3:B4"/>
    <mergeCell ref="E3:I3"/>
    <mergeCell ref="C5:D5"/>
    <mergeCell ref="C3:D4"/>
  </mergeCells>
  <phoneticPr fontId="9" type="noConversion"/>
  <pageMargins left="0.51181102362204722" right="0.35433070866141736" top="0.39370078740157483" bottom="0.27559055118110237" header="0.15748031496062992" footer="0.23622047244094491"/>
  <pageSetup paperSize="9" scale="36" fitToHeight="2" orientation="portrait" r:id="rId1"/>
  <headerFooter alignWithMargins="0">
    <oddFooter>&amp;C&amp;P/&amp;N&amp;R&amp;A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G216"/>
  <sheetViews>
    <sheetView showGridLines="0" zoomScale="80" zoomScaleNormal="80"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9"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26" width="13" style="514" customWidth="1"/>
    <col min="27" max="27" width="12.5" style="514" customWidth="1"/>
    <col min="28" max="28" width="14.5" style="514" customWidth="1"/>
    <col min="29" max="16384" width="9" style="514"/>
  </cols>
  <sheetData>
    <row r="1" spans="1:31"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746"/>
      <c r="AA1" s="746"/>
      <c r="AB1" s="746"/>
      <c r="AC1" s="651"/>
      <c r="AD1" s="653" t="s">
        <v>3078</v>
      </c>
      <c r="AE1" s="654"/>
    </row>
    <row r="2" spans="1:31" ht="17.25" thickBot="1">
      <c r="A2" s="653" t="s">
        <v>3150</v>
      </c>
      <c r="B2" s="653"/>
      <c r="C2" s="653"/>
      <c r="D2" s="651"/>
      <c r="E2" s="651"/>
      <c r="F2" s="652"/>
      <c r="G2" s="651"/>
      <c r="H2" s="651"/>
      <c r="I2" s="651"/>
      <c r="J2" s="651"/>
      <c r="K2" s="651"/>
      <c r="L2" s="651"/>
      <c r="M2" s="651"/>
      <c r="N2" s="651"/>
      <c r="O2" s="651"/>
      <c r="P2" s="651"/>
      <c r="Q2" s="651"/>
      <c r="R2" s="651"/>
      <c r="S2" s="651"/>
      <c r="T2" s="651"/>
      <c r="U2" s="651"/>
      <c r="V2" s="651"/>
      <c r="W2" s="651"/>
      <c r="X2" s="651"/>
      <c r="Y2" s="746"/>
      <c r="Z2" s="746"/>
      <c r="AA2" s="746"/>
      <c r="AB2" s="746"/>
      <c r="AC2" s="651"/>
      <c r="AD2" s="651"/>
      <c r="AE2" s="654"/>
    </row>
    <row r="3" spans="1:31" ht="16.5" customHeight="1">
      <c r="A3" s="3293" t="s">
        <v>3080</v>
      </c>
      <c r="B3" s="3296" t="s">
        <v>3081</v>
      </c>
      <c r="C3" s="3298" t="s">
        <v>3082</v>
      </c>
      <c r="D3" s="3299"/>
      <c r="E3" s="3296" t="s">
        <v>3083</v>
      </c>
      <c r="F3" s="3296"/>
      <c r="G3" s="3296"/>
      <c r="H3" s="3296"/>
      <c r="I3" s="3296"/>
      <c r="J3" s="655"/>
      <c r="K3" s="3296" t="s">
        <v>3085</v>
      </c>
      <c r="L3" s="3296" t="s">
        <v>3086</v>
      </c>
      <c r="M3" s="3362" t="s">
        <v>3133</v>
      </c>
      <c r="N3" s="3332" t="s">
        <v>3032</v>
      </c>
      <c r="O3" s="3332" t="s">
        <v>3134</v>
      </c>
      <c r="P3" s="3296" t="s">
        <v>3135</v>
      </c>
      <c r="Q3" s="3366" t="s">
        <v>3136</v>
      </c>
      <c r="R3" s="3366" t="s">
        <v>3137</v>
      </c>
      <c r="S3" s="3299" t="s">
        <v>3138</v>
      </c>
      <c r="T3" s="3299" t="s">
        <v>3139</v>
      </c>
      <c r="U3" s="3331"/>
      <c r="V3" s="3299" t="s">
        <v>3140</v>
      </c>
      <c r="W3" s="3331"/>
      <c r="X3" s="3296" t="s">
        <v>3093</v>
      </c>
      <c r="Y3" s="3311" t="s">
        <v>666</v>
      </c>
      <c r="Z3" s="3296" t="s">
        <v>3151</v>
      </c>
      <c r="AA3" s="3296" t="s">
        <v>3152</v>
      </c>
      <c r="AB3" s="3296" t="s">
        <v>3153</v>
      </c>
      <c r="AC3" s="3296" t="s">
        <v>3094</v>
      </c>
      <c r="AD3" s="3296" t="s">
        <v>3095</v>
      </c>
      <c r="AE3" s="3305" t="s">
        <v>3096</v>
      </c>
    </row>
    <row r="4" spans="1:31" ht="31.9" customHeight="1">
      <c r="A4" s="3294"/>
      <c r="B4" s="3297"/>
      <c r="C4" s="3300"/>
      <c r="D4" s="3300"/>
      <c r="E4" s="656" t="s">
        <v>3097</v>
      </c>
      <c r="F4" s="656" t="s">
        <v>3098</v>
      </c>
      <c r="G4" s="658" t="s">
        <v>3099</v>
      </c>
      <c r="H4" s="658" t="s">
        <v>3100</v>
      </c>
      <c r="I4" s="658" t="s">
        <v>3101</v>
      </c>
      <c r="J4" s="658" t="s">
        <v>3141</v>
      </c>
      <c r="K4" s="3297"/>
      <c r="L4" s="3300"/>
      <c r="M4" s="3314"/>
      <c r="N4" s="3300"/>
      <c r="O4" s="3300"/>
      <c r="P4" s="3297"/>
      <c r="Q4" s="3300"/>
      <c r="R4" s="3333"/>
      <c r="S4" s="3300"/>
      <c r="T4" s="3307"/>
      <c r="U4" s="3307"/>
      <c r="V4" s="3307"/>
      <c r="W4" s="3307"/>
      <c r="X4" s="3297"/>
      <c r="Y4" s="3312"/>
      <c r="Z4" s="3297"/>
      <c r="AA4" s="3297"/>
      <c r="AB4" s="3297"/>
      <c r="AC4" s="3297"/>
      <c r="AD4" s="3297"/>
      <c r="AE4" s="3306"/>
    </row>
    <row r="5" spans="1:31" ht="17.25" thickBot="1">
      <c r="A5" s="3295"/>
      <c r="B5" s="660" t="s">
        <v>422</v>
      </c>
      <c r="C5" s="3301" t="s">
        <v>423</v>
      </c>
      <c r="D5" s="3363"/>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799" t="s">
        <v>89</v>
      </c>
      <c r="AA5" s="799" t="s">
        <v>90</v>
      </c>
      <c r="AB5" s="800" t="s">
        <v>435</v>
      </c>
      <c r="AC5" s="799" t="s">
        <v>567</v>
      </c>
      <c r="AD5" s="799" t="s">
        <v>568</v>
      </c>
      <c r="AE5" s="801" t="s">
        <v>569</v>
      </c>
    </row>
    <row r="6" spans="1:31" ht="16.5" customHeight="1">
      <c r="A6" s="662">
        <v>1</v>
      </c>
      <c r="B6" s="3302" t="s">
        <v>3102</v>
      </c>
      <c r="C6" s="3286" t="s">
        <v>3103</v>
      </c>
      <c r="D6" s="3310" t="s">
        <v>3104</v>
      </c>
      <c r="E6" s="747"/>
      <c r="F6" s="748"/>
      <c r="G6" s="748"/>
      <c r="H6" s="748"/>
      <c r="I6" s="748"/>
      <c r="J6" s="749"/>
      <c r="K6" s="749"/>
      <c r="L6" s="749"/>
      <c r="M6" s="749"/>
      <c r="N6" s="749"/>
      <c r="O6" s="749"/>
      <c r="P6" s="750"/>
      <c r="Q6" s="749"/>
      <c r="R6" s="749"/>
      <c r="S6" s="749"/>
      <c r="T6" s="749"/>
      <c r="U6" s="750"/>
      <c r="V6" s="749"/>
      <c r="W6" s="750"/>
      <c r="X6" s="751"/>
      <c r="Y6" s="749"/>
      <c r="Z6" s="802"/>
      <c r="AA6" s="802"/>
      <c r="AB6" s="802"/>
      <c r="AC6" s="752"/>
      <c r="AD6" s="752"/>
      <c r="AE6" s="753"/>
    </row>
    <row r="7" spans="1:31" ht="16.5">
      <c r="A7" s="670">
        <v>2</v>
      </c>
      <c r="B7" s="3303"/>
      <c r="C7" s="3287"/>
      <c r="D7" s="3307"/>
      <c r="E7" s="754"/>
      <c r="F7" s="755"/>
      <c r="G7" s="755"/>
      <c r="H7" s="755"/>
      <c r="I7" s="755"/>
      <c r="J7" s="756"/>
      <c r="K7" s="756"/>
      <c r="L7" s="756"/>
      <c r="M7" s="756"/>
      <c r="N7" s="756"/>
      <c r="O7" s="756"/>
      <c r="P7" s="757"/>
      <c r="Q7" s="756"/>
      <c r="R7" s="756"/>
      <c r="S7" s="756"/>
      <c r="T7" s="756"/>
      <c r="U7" s="757"/>
      <c r="V7" s="756"/>
      <c r="W7" s="757"/>
      <c r="X7" s="758"/>
      <c r="Y7" s="756"/>
      <c r="Z7" s="683"/>
      <c r="AA7" s="683"/>
      <c r="AB7" s="683"/>
      <c r="AC7" s="759"/>
      <c r="AD7" s="759"/>
      <c r="AE7" s="760"/>
    </row>
    <row r="8" spans="1:31" ht="16.5">
      <c r="A8" s="670">
        <v>3</v>
      </c>
      <c r="B8" s="3303"/>
      <c r="C8" s="3287"/>
      <c r="D8" s="3307"/>
      <c r="E8" s="754"/>
      <c r="F8" s="755"/>
      <c r="G8" s="755"/>
      <c r="H8" s="755"/>
      <c r="I8" s="755"/>
      <c r="J8" s="756"/>
      <c r="K8" s="756"/>
      <c r="L8" s="756"/>
      <c r="M8" s="756"/>
      <c r="N8" s="756"/>
      <c r="O8" s="756"/>
      <c r="P8" s="757"/>
      <c r="Q8" s="756"/>
      <c r="R8" s="756"/>
      <c r="S8" s="756"/>
      <c r="T8" s="756"/>
      <c r="U8" s="757"/>
      <c r="V8" s="756"/>
      <c r="W8" s="757"/>
      <c r="X8" s="758"/>
      <c r="Y8" s="756"/>
      <c r="Z8" s="683"/>
      <c r="AA8" s="683"/>
      <c r="AB8" s="683"/>
      <c r="AC8" s="759"/>
      <c r="AD8" s="759"/>
      <c r="AE8" s="760"/>
    </row>
    <row r="9" spans="1:31" ht="16.5">
      <c r="A9" s="670">
        <v>4</v>
      </c>
      <c r="B9" s="3303"/>
      <c r="C9" s="3287"/>
      <c r="D9" s="3307"/>
      <c r="E9" s="754"/>
      <c r="F9" s="755"/>
      <c r="G9" s="755"/>
      <c r="H9" s="755"/>
      <c r="I9" s="755"/>
      <c r="J9" s="756"/>
      <c r="K9" s="756"/>
      <c r="L9" s="756"/>
      <c r="M9" s="756"/>
      <c r="N9" s="756"/>
      <c r="O9" s="756"/>
      <c r="P9" s="757"/>
      <c r="Q9" s="756"/>
      <c r="R9" s="756"/>
      <c r="S9" s="756"/>
      <c r="T9" s="756"/>
      <c r="U9" s="757"/>
      <c r="V9" s="756"/>
      <c r="W9" s="757"/>
      <c r="X9" s="758"/>
      <c r="Y9" s="756"/>
      <c r="Z9" s="683"/>
      <c r="AA9" s="683"/>
      <c r="AB9" s="683"/>
      <c r="AC9" s="759"/>
      <c r="AD9" s="759"/>
      <c r="AE9" s="760"/>
    </row>
    <row r="10" spans="1:31" ht="16.5">
      <c r="A10" s="670">
        <v>5</v>
      </c>
      <c r="B10" s="3303"/>
      <c r="C10" s="3287"/>
      <c r="D10" s="3307"/>
      <c r="E10" s="754"/>
      <c r="F10" s="755"/>
      <c r="G10" s="755"/>
      <c r="H10" s="755"/>
      <c r="I10" s="755"/>
      <c r="J10" s="756"/>
      <c r="K10" s="756"/>
      <c r="L10" s="756"/>
      <c r="M10" s="756"/>
      <c r="N10" s="756"/>
      <c r="O10" s="756"/>
      <c r="P10" s="757"/>
      <c r="Q10" s="756"/>
      <c r="R10" s="756"/>
      <c r="S10" s="756"/>
      <c r="T10" s="756"/>
      <c r="U10" s="757"/>
      <c r="V10" s="756"/>
      <c r="W10" s="757"/>
      <c r="X10" s="758"/>
      <c r="Y10" s="756"/>
      <c r="Z10" s="683"/>
      <c r="AA10" s="683"/>
      <c r="AB10" s="683"/>
      <c r="AC10" s="759"/>
      <c r="AD10" s="759"/>
      <c r="AE10" s="760"/>
    </row>
    <row r="11" spans="1:31" ht="16.5">
      <c r="A11" s="670">
        <v>6</v>
      </c>
      <c r="B11" s="3303"/>
      <c r="C11" s="3287"/>
      <c r="D11" s="3307"/>
      <c r="E11" s="754"/>
      <c r="F11" s="755"/>
      <c r="G11" s="755"/>
      <c r="H11" s="755"/>
      <c r="I11" s="755"/>
      <c r="J11" s="756"/>
      <c r="K11" s="756"/>
      <c r="L11" s="756"/>
      <c r="M11" s="756"/>
      <c r="N11" s="756"/>
      <c r="O11" s="756"/>
      <c r="P11" s="757"/>
      <c r="Q11" s="756"/>
      <c r="R11" s="756"/>
      <c r="S11" s="756"/>
      <c r="T11" s="756"/>
      <c r="U11" s="757"/>
      <c r="V11" s="756"/>
      <c r="W11" s="757"/>
      <c r="X11" s="758"/>
      <c r="Y11" s="756"/>
      <c r="Z11" s="683"/>
      <c r="AA11" s="683"/>
      <c r="AB11" s="683"/>
      <c r="AC11" s="759"/>
      <c r="AD11" s="759"/>
      <c r="AE11" s="760"/>
    </row>
    <row r="12" spans="1:31" ht="16.5">
      <c r="A12" s="670">
        <v>7</v>
      </c>
      <c r="B12" s="3303"/>
      <c r="C12" s="3287"/>
      <c r="D12" s="3307"/>
      <c r="E12" s="754"/>
      <c r="F12" s="755"/>
      <c r="G12" s="755"/>
      <c r="H12" s="755"/>
      <c r="I12" s="755"/>
      <c r="J12" s="756"/>
      <c r="K12" s="756"/>
      <c r="L12" s="756"/>
      <c r="M12" s="756"/>
      <c r="N12" s="756"/>
      <c r="O12" s="756"/>
      <c r="P12" s="757"/>
      <c r="Q12" s="756"/>
      <c r="R12" s="756"/>
      <c r="S12" s="756"/>
      <c r="T12" s="756"/>
      <c r="U12" s="757"/>
      <c r="V12" s="756"/>
      <c r="W12" s="757"/>
      <c r="X12" s="758"/>
      <c r="Y12" s="756"/>
      <c r="Z12" s="683"/>
      <c r="AA12" s="683"/>
      <c r="AB12" s="683"/>
      <c r="AC12" s="759"/>
      <c r="AD12" s="759"/>
      <c r="AE12" s="760"/>
    </row>
    <row r="13" spans="1:31" ht="16.5">
      <c r="A13" s="670">
        <v>8</v>
      </c>
      <c r="B13" s="3303"/>
      <c r="C13" s="3287"/>
      <c r="D13" s="3307"/>
      <c r="E13" s="754"/>
      <c r="F13" s="755"/>
      <c r="G13" s="755"/>
      <c r="H13" s="755"/>
      <c r="I13" s="755"/>
      <c r="J13" s="756"/>
      <c r="K13" s="756"/>
      <c r="L13" s="756"/>
      <c r="M13" s="756"/>
      <c r="N13" s="756"/>
      <c r="O13" s="756"/>
      <c r="P13" s="757"/>
      <c r="Q13" s="756"/>
      <c r="R13" s="756"/>
      <c r="S13" s="756"/>
      <c r="T13" s="756"/>
      <c r="U13" s="757"/>
      <c r="V13" s="756"/>
      <c r="W13" s="757"/>
      <c r="X13" s="758"/>
      <c r="Y13" s="756"/>
      <c r="Z13" s="683"/>
      <c r="AA13" s="683"/>
      <c r="AB13" s="683"/>
      <c r="AC13" s="759"/>
      <c r="AD13" s="759"/>
      <c r="AE13" s="760"/>
    </row>
    <row r="14" spans="1:31" ht="16.5">
      <c r="A14" s="670">
        <v>9</v>
      </c>
      <c r="B14" s="3303"/>
      <c r="C14" s="3287"/>
      <c r="D14" s="3307"/>
      <c r="E14" s="754"/>
      <c r="F14" s="755"/>
      <c r="G14" s="755"/>
      <c r="H14" s="755"/>
      <c r="I14" s="755"/>
      <c r="J14" s="756"/>
      <c r="K14" s="756"/>
      <c r="L14" s="756"/>
      <c r="M14" s="756"/>
      <c r="N14" s="756"/>
      <c r="O14" s="756"/>
      <c r="P14" s="757"/>
      <c r="Q14" s="756"/>
      <c r="R14" s="756"/>
      <c r="S14" s="756"/>
      <c r="T14" s="756"/>
      <c r="U14" s="757"/>
      <c r="V14" s="756"/>
      <c r="W14" s="757"/>
      <c r="X14" s="758"/>
      <c r="Y14" s="756"/>
      <c r="Z14" s="683"/>
      <c r="AA14" s="683"/>
      <c r="AB14" s="683"/>
      <c r="AC14" s="759"/>
      <c r="AD14" s="759"/>
      <c r="AE14" s="760"/>
    </row>
    <row r="15" spans="1:31" ht="16.5">
      <c r="A15" s="670">
        <v>10</v>
      </c>
      <c r="B15" s="3303"/>
      <c r="C15" s="3287"/>
      <c r="D15" s="3307"/>
      <c r="E15" s="754"/>
      <c r="F15" s="755"/>
      <c r="G15" s="755"/>
      <c r="H15" s="755"/>
      <c r="I15" s="755"/>
      <c r="J15" s="756"/>
      <c r="K15" s="756"/>
      <c r="L15" s="756"/>
      <c r="M15" s="756"/>
      <c r="N15" s="756"/>
      <c r="O15" s="756"/>
      <c r="P15" s="757"/>
      <c r="Q15" s="756"/>
      <c r="R15" s="756"/>
      <c r="S15" s="756"/>
      <c r="T15" s="756"/>
      <c r="U15" s="757"/>
      <c r="V15" s="756"/>
      <c r="W15" s="757"/>
      <c r="X15" s="758"/>
      <c r="Y15" s="756"/>
      <c r="Z15" s="683"/>
      <c r="AA15" s="683"/>
      <c r="AB15" s="683"/>
      <c r="AC15" s="759"/>
      <c r="AD15" s="759"/>
      <c r="AE15" s="760"/>
    </row>
    <row r="16" spans="1:31" ht="16.5">
      <c r="A16" s="670">
        <v>11</v>
      </c>
      <c r="B16" s="3303"/>
      <c r="C16" s="3287"/>
      <c r="D16" s="3307"/>
      <c r="E16" s="754"/>
      <c r="F16" s="755"/>
      <c r="G16" s="755"/>
      <c r="H16" s="755"/>
      <c r="I16" s="755"/>
      <c r="J16" s="756"/>
      <c r="K16" s="756"/>
      <c r="L16" s="756"/>
      <c r="M16" s="756"/>
      <c r="N16" s="756"/>
      <c r="O16" s="756"/>
      <c r="P16" s="757"/>
      <c r="Q16" s="756"/>
      <c r="R16" s="756"/>
      <c r="S16" s="756"/>
      <c r="T16" s="756"/>
      <c r="U16" s="757"/>
      <c r="V16" s="756"/>
      <c r="W16" s="757"/>
      <c r="X16" s="758"/>
      <c r="Y16" s="756"/>
      <c r="Z16" s="683"/>
      <c r="AA16" s="683"/>
      <c r="AB16" s="683"/>
      <c r="AC16" s="759"/>
      <c r="AD16" s="759"/>
      <c r="AE16" s="760"/>
    </row>
    <row r="17" spans="1:31" ht="16.5">
      <c r="A17" s="670">
        <v>12</v>
      </c>
      <c r="B17" s="3303"/>
      <c r="C17" s="3287"/>
      <c r="D17" s="3307"/>
      <c r="E17" s="754"/>
      <c r="F17" s="755"/>
      <c r="G17" s="755"/>
      <c r="H17" s="755"/>
      <c r="I17" s="755"/>
      <c r="J17" s="756"/>
      <c r="K17" s="756"/>
      <c r="L17" s="756"/>
      <c r="M17" s="756"/>
      <c r="N17" s="756"/>
      <c r="O17" s="756"/>
      <c r="P17" s="757"/>
      <c r="Q17" s="756"/>
      <c r="R17" s="756"/>
      <c r="S17" s="756"/>
      <c r="T17" s="756"/>
      <c r="U17" s="757"/>
      <c r="V17" s="756"/>
      <c r="W17" s="757"/>
      <c r="X17" s="758"/>
      <c r="Y17" s="756"/>
      <c r="Z17" s="683"/>
      <c r="AA17" s="683"/>
      <c r="AB17" s="683"/>
      <c r="AC17" s="759"/>
      <c r="AD17" s="759"/>
      <c r="AE17" s="760"/>
    </row>
    <row r="18" spans="1:31" ht="16.5">
      <c r="A18" s="670">
        <v>13</v>
      </c>
      <c r="B18" s="3303"/>
      <c r="C18" s="3287"/>
      <c r="D18" s="657"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683"/>
      <c r="AA18" s="683"/>
      <c r="AB18" s="683"/>
      <c r="AC18" s="763"/>
      <c r="AD18" s="763"/>
      <c r="AE18" s="803"/>
    </row>
    <row r="19" spans="1:31" ht="16.5" customHeight="1">
      <c r="A19" s="670">
        <v>14</v>
      </c>
      <c r="B19" s="3303"/>
      <c r="C19" s="3287"/>
      <c r="D19" s="3364" t="s">
        <v>3106</v>
      </c>
      <c r="E19" s="754"/>
      <c r="F19" s="755"/>
      <c r="G19" s="755"/>
      <c r="H19" s="755"/>
      <c r="I19" s="755"/>
      <c r="J19" s="756"/>
      <c r="K19" s="756"/>
      <c r="L19" s="756"/>
      <c r="M19" s="756"/>
      <c r="N19" s="756"/>
      <c r="O19" s="756"/>
      <c r="P19" s="757"/>
      <c r="Q19" s="756"/>
      <c r="R19" s="756"/>
      <c r="S19" s="756"/>
      <c r="T19" s="756"/>
      <c r="U19" s="757"/>
      <c r="V19" s="756"/>
      <c r="W19" s="757"/>
      <c r="X19" s="758"/>
      <c r="Y19" s="756"/>
      <c r="Z19" s="683"/>
      <c r="AA19" s="683"/>
      <c r="AB19" s="683"/>
      <c r="AC19" s="759"/>
      <c r="AD19" s="759"/>
      <c r="AE19" s="760"/>
    </row>
    <row r="20" spans="1:31" ht="16.5">
      <c r="A20" s="670">
        <v>15</v>
      </c>
      <c r="B20" s="3303"/>
      <c r="C20" s="3287"/>
      <c r="D20" s="3307"/>
      <c r="E20" s="754"/>
      <c r="F20" s="755"/>
      <c r="G20" s="755"/>
      <c r="H20" s="755"/>
      <c r="I20" s="755"/>
      <c r="J20" s="756"/>
      <c r="K20" s="756"/>
      <c r="L20" s="756"/>
      <c r="M20" s="756"/>
      <c r="N20" s="756"/>
      <c r="O20" s="756"/>
      <c r="P20" s="757"/>
      <c r="Q20" s="756"/>
      <c r="R20" s="756"/>
      <c r="S20" s="756"/>
      <c r="T20" s="756"/>
      <c r="U20" s="757"/>
      <c r="V20" s="756"/>
      <c r="W20" s="757"/>
      <c r="X20" s="758"/>
      <c r="Y20" s="756"/>
      <c r="Z20" s="683"/>
      <c r="AA20" s="683"/>
      <c r="AB20" s="683"/>
      <c r="AC20" s="759"/>
      <c r="AD20" s="759"/>
      <c r="AE20" s="760"/>
    </row>
    <row r="21" spans="1:31" ht="16.5">
      <c r="A21" s="670">
        <v>16</v>
      </c>
      <c r="B21" s="3303"/>
      <c r="C21" s="3287"/>
      <c r="D21" s="3307"/>
      <c r="E21" s="754"/>
      <c r="F21" s="755"/>
      <c r="G21" s="755"/>
      <c r="H21" s="755"/>
      <c r="I21" s="755"/>
      <c r="J21" s="756"/>
      <c r="K21" s="756"/>
      <c r="L21" s="756"/>
      <c r="M21" s="756"/>
      <c r="N21" s="756"/>
      <c r="O21" s="756"/>
      <c r="P21" s="757"/>
      <c r="Q21" s="756"/>
      <c r="R21" s="756"/>
      <c r="S21" s="756"/>
      <c r="T21" s="756"/>
      <c r="U21" s="757"/>
      <c r="V21" s="756"/>
      <c r="W21" s="757"/>
      <c r="X21" s="758"/>
      <c r="Y21" s="756"/>
      <c r="Z21" s="683"/>
      <c r="AA21" s="683"/>
      <c r="AB21" s="683"/>
      <c r="AC21" s="759"/>
      <c r="AD21" s="759"/>
      <c r="AE21" s="760"/>
    </row>
    <row r="22" spans="1:31" ht="16.5">
      <c r="A22" s="670">
        <v>17</v>
      </c>
      <c r="B22" s="3303"/>
      <c r="C22" s="3287"/>
      <c r="D22" s="3307"/>
      <c r="E22" s="754"/>
      <c r="F22" s="755"/>
      <c r="G22" s="755"/>
      <c r="H22" s="755"/>
      <c r="I22" s="755"/>
      <c r="J22" s="756"/>
      <c r="K22" s="756"/>
      <c r="L22" s="756"/>
      <c r="M22" s="756"/>
      <c r="N22" s="756"/>
      <c r="O22" s="756"/>
      <c r="P22" s="757"/>
      <c r="Q22" s="756"/>
      <c r="R22" s="756"/>
      <c r="S22" s="756"/>
      <c r="T22" s="756"/>
      <c r="U22" s="757"/>
      <c r="V22" s="756"/>
      <c r="W22" s="757"/>
      <c r="X22" s="758"/>
      <c r="Y22" s="756"/>
      <c r="Z22" s="683"/>
      <c r="AA22" s="683"/>
      <c r="AB22" s="683"/>
      <c r="AC22" s="759"/>
      <c r="AD22" s="759"/>
      <c r="AE22" s="760"/>
    </row>
    <row r="23" spans="1:31" ht="16.5">
      <c r="A23" s="670">
        <v>18</v>
      </c>
      <c r="B23" s="3303"/>
      <c r="C23" s="3287"/>
      <c r="D23" s="3307"/>
      <c r="E23" s="754"/>
      <c r="F23" s="755"/>
      <c r="G23" s="755"/>
      <c r="H23" s="755"/>
      <c r="I23" s="755"/>
      <c r="J23" s="756"/>
      <c r="K23" s="756"/>
      <c r="L23" s="756"/>
      <c r="M23" s="756"/>
      <c r="N23" s="756"/>
      <c r="O23" s="756"/>
      <c r="P23" s="757"/>
      <c r="Q23" s="756"/>
      <c r="R23" s="756"/>
      <c r="S23" s="756"/>
      <c r="T23" s="756"/>
      <c r="U23" s="757"/>
      <c r="V23" s="756"/>
      <c r="W23" s="757"/>
      <c r="X23" s="758"/>
      <c r="Y23" s="756"/>
      <c r="Z23" s="683"/>
      <c r="AA23" s="683"/>
      <c r="AB23" s="683"/>
      <c r="AC23" s="759"/>
      <c r="AD23" s="759"/>
      <c r="AE23" s="760"/>
    </row>
    <row r="24" spans="1:31" ht="16.5">
      <c r="A24" s="670">
        <v>19</v>
      </c>
      <c r="B24" s="3303"/>
      <c r="C24" s="3287"/>
      <c r="D24" s="3307"/>
      <c r="E24" s="754"/>
      <c r="F24" s="755"/>
      <c r="G24" s="755"/>
      <c r="H24" s="755"/>
      <c r="I24" s="755"/>
      <c r="J24" s="756"/>
      <c r="K24" s="756"/>
      <c r="L24" s="756"/>
      <c r="M24" s="756"/>
      <c r="N24" s="756"/>
      <c r="O24" s="756"/>
      <c r="P24" s="757"/>
      <c r="Q24" s="756"/>
      <c r="R24" s="756"/>
      <c r="S24" s="756"/>
      <c r="T24" s="756"/>
      <c r="U24" s="757"/>
      <c r="V24" s="756"/>
      <c r="W24" s="757"/>
      <c r="X24" s="758"/>
      <c r="Y24" s="756"/>
      <c r="Z24" s="683"/>
      <c r="AA24" s="683"/>
      <c r="AB24" s="683"/>
      <c r="AC24" s="759"/>
      <c r="AD24" s="759"/>
      <c r="AE24" s="760"/>
    </row>
    <row r="25" spans="1:31" ht="16.5">
      <c r="A25" s="670">
        <v>20</v>
      </c>
      <c r="B25" s="3303"/>
      <c r="C25" s="3287"/>
      <c r="D25" s="3307"/>
      <c r="E25" s="754"/>
      <c r="F25" s="755"/>
      <c r="G25" s="755"/>
      <c r="H25" s="755"/>
      <c r="I25" s="755"/>
      <c r="J25" s="756"/>
      <c r="K25" s="756"/>
      <c r="L25" s="756"/>
      <c r="M25" s="756"/>
      <c r="N25" s="756"/>
      <c r="O25" s="756"/>
      <c r="P25" s="757"/>
      <c r="Q25" s="756"/>
      <c r="R25" s="756"/>
      <c r="S25" s="756"/>
      <c r="T25" s="756"/>
      <c r="U25" s="757"/>
      <c r="V25" s="756"/>
      <c r="W25" s="757"/>
      <c r="X25" s="758"/>
      <c r="Y25" s="756"/>
      <c r="Z25" s="683"/>
      <c r="AA25" s="683"/>
      <c r="AB25" s="683"/>
      <c r="AC25" s="759"/>
      <c r="AD25" s="759"/>
      <c r="AE25" s="760"/>
    </row>
    <row r="26" spans="1:31" ht="16.5">
      <c r="A26" s="670">
        <v>21</v>
      </c>
      <c r="B26" s="3303"/>
      <c r="C26" s="3287"/>
      <c r="D26" s="3307"/>
      <c r="E26" s="754"/>
      <c r="F26" s="755"/>
      <c r="G26" s="755"/>
      <c r="H26" s="755"/>
      <c r="I26" s="755"/>
      <c r="J26" s="756"/>
      <c r="K26" s="756"/>
      <c r="L26" s="756"/>
      <c r="M26" s="756"/>
      <c r="N26" s="756"/>
      <c r="O26" s="756"/>
      <c r="P26" s="757"/>
      <c r="Q26" s="756"/>
      <c r="R26" s="756"/>
      <c r="S26" s="756"/>
      <c r="T26" s="756"/>
      <c r="U26" s="757"/>
      <c r="V26" s="756"/>
      <c r="W26" s="757"/>
      <c r="X26" s="758"/>
      <c r="Y26" s="756"/>
      <c r="Z26" s="683"/>
      <c r="AA26" s="683"/>
      <c r="AB26" s="683"/>
      <c r="AC26" s="759"/>
      <c r="AD26" s="759"/>
      <c r="AE26" s="760"/>
    </row>
    <row r="27" spans="1:31" ht="16.5">
      <c r="A27" s="670">
        <v>22</v>
      </c>
      <c r="B27" s="3303"/>
      <c r="C27" s="3287"/>
      <c r="D27" s="3307"/>
      <c r="E27" s="754"/>
      <c r="F27" s="755"/>
      <c r="G27" s="755"/>
      <c r="H27" s="755"/>
      <c r="I27" s="755"/>
      <c r="J27" s="756"/>
      <c r="K27" s="756"/>
      <c r="L27" s="756"/>
      <c r="M27" s="756"/>
      <c r="N27" s="756"/>
      <c r="O27" s="756"/>
      <c r="P27" s="757"/>
      <c r="Q27" s="756"/>
      <c r="R27" s="756"/>
      <c r="S27" s="756"/>
      <c r="T27" s="756"/>
      <c r="U27" s="757"/>
      <c r="V27" s="756"/>
      <c r="W27" s="757"/>
      <c r="X27" s="758"/>
      <c r="Y27" s="756"/>
      <c r="Z27" s="683"/>
      <c r="AA27" s="683"/>
      <c r="AB27" s="683"/>
      <c r="AC27" s="759"/>
      <c r="AD27" s="759"/>
      <c r="AE27" s="760"/>
    </row>
    <row r="28" spans="1:31" ht="16.5">
      <c r="A28" s="670">
        <v>23</v>
      </c>
      <c r="B28" s="3303"/>
      <c r="C28" s="3287"/>
      <c r="D28" s="3307"/>
      <c r="E28" s="754"/>
      <c r="F28" s="755"/>
      <c r="G28" s="755"/>
      <c r="H28" s="755"/>
      <c r="I28" s="755"/>
      <c r="J28" s="756"/>
      <c r="K28" s="756"/>
      <c r="L28" s="756"/>
      <c r="M28" s="756"/>
      <c r="N28" s="756"/>
      <c r="O28" s="756"/>
      <c r="P28" s="757"/>
      <c r="Q28" s="756"/>
      <c r="R28" s="756"/>
      <c r="S28" s="756"/>
      <c r="T28" s="756"/>
      <c r="U28" s="757"/>
      <c r="V28" s="756"/>
      <c r="W28" s="757"/>
      <c r="X28" s="758"/>
      <c r="Y28" s="756"/>
      <c r="Z28" s="683"/>
      <c r="AA28" s="683"/>
      <c r="AB28" s="683"/>
      <c r="AC28" s="759"/>
      <c r="AD28" s="759"/>
      <c r="AE28" s="760"/>
    </row>
    <row r="29" spans="1:31" ht="16.5">
      <c r="A29" s="670">
        <v>24</v>
      </c>
      <c r="B29" s="3303"/>
      <c r="C29" s="3287"/>
      <c r="D29" s="3307"/>
      <c r="E29" s="754"/>
      <c r="F29" s="755"/>
      <c r="G29" s="755"/>
      <c r="H29" s="755"/>
      <c r="I29" s="755"/>
      <c r="J29" s="756"/>
      <c r="K29" s="756"/>
      <c r="L29" s="756"/>
      <c r="M29" s="756"/>
      <c r="N29" s="756"/>
      <c r="O29" s="756"/>
      <c r="P29" s="757"/>
      <c r="Q29" s="756"/>
      <c r="R29" s="756"/>
      <c r="S29" s="756"/>
      <c r="T29" s="756"/>
      <c r="U29" s="757"/>
      <c r="V29" s="756"/>
      <c r="W29" s="757"/>
      <c r="X29" s="758"/>
      <c r="Y29" s="756"/>
      <c r="Z29" s="683"/>
      <c r="AA29" s="683"/>
      <c r="AB29" s="683"/>
      <c r="AC29" s="759"/>
      <c r="AD29" s="759"/>
      <c r="AE29" s="760"/>
    </row>
    <row r="30" spans="1:31" ht="16.5">
      <c r="A30" s="670">
        <v>25</v>
      </c>
      <c r="B30" s="3303"/>
      <c r="C30" s="3287"/>
      <c r="D30" s="3307"/>
      <c r="E30" s="754"/>
      <c r="F30" s="755"/>
      <c r="G30" s="755"/>
      <c r="H30" s="755"/>
      <c r="I30" s="755"/>
      <c r="J30" s="756"/>
      <c r="K30" s="756"/>
      <c r="L30" s="756"/>
      <c r="M30" s="756"/>
      <c r="N30" s="756"/>
      <c r="O30" s="756"/>
      <c r="P30" s="757"/>
      <c r="Q30" s="756"/>
      <c r="R30" s="756"/>
      <c r="S30" s="756"/>
      <c r="T30" s="756"/>
      <c r="U30" s="757"/>
      <c r="V30" s="756"/>
      <c r="W30" s="757"/>
      <c r="X30" s="758"/>
      <c r="Y30" s="756"/>
      <c r="Z30" s="683"/>
      <c r="AA30" s="683"/>
      <c r="AB30" s="683"/>
      <c r="AC30" s="759"/>
      <c r="AD30" s="759"/>
      <c r="AE30" s="760"/>
    </row>
    <row r="31" spans="1:31" ht="17.25" thickBot="1">
      <c r="A31" s="670">
        <v>26</v>
      </c>
      <c r="B31" s="3303"/>
      <c r="C31" s="3288"/>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689"/>
      <c r="AA31" s="689"/>
      <c r="AB31" s="689"/>
      <c r="AC31" s="767"/>
      <c r="AD31" s="767"/>
      <c r="AE31" s="803"/>
    </row>
    <row r="32" spans="1:31" ht="16.5" customHeight="1">
      <c r="A32" s="670">
        <v>27</v>
      </c>
      <c r="B32" s="3303"/>
      <c r="C32" s="3292" t="s">
        <v>3107</v>
      </c>
      <c r="D32" s="3331" t="s">
        <v>3108</v>
      </c>
      <c r="E32" s="747"/>
      <c r="F32" s="748"/>
      <c r="G32" s="748"/>
      <c r="H32" s="748"/>
      <c r="I32" s="748"/>
      <c r="J32" s="749"/>
      <c r="K32" s="749"/>
      <c r="L32" s="749"/>
      <c r="M32" s="749"/>
      <c r="N32" s="749"/>
      <c r="O32" s="749"/>
      <c r="P32" s="750"/>
      <c r="Q32" s="749"/>
      <c r="R32" s="749"/>
      <c r="S32" s="749"/>
      <c r="T32" s="749"/>
      <c r="U32" s="750"/>
      <c r="V32" s="749"/>
      <c r="W32" s="750"/>
      <c r="X32" s="751"/>
      <c r="Y32" s="749"/>
      <c r="Z32" s="683"/>
      <c r="AA32" s="683"/>
      <c r="AB32" s="683"/>
      <c r="AC32" s="752"/>
      <c r="AD32" s="752"/>
      <c r="AE32" s="769"/>
    </row>
    <row r="33" spans="1:31" ht="16.5">
      <c r="A33" s="670">
        <v>28</v>
      </c>
      <c r="B33" s="3303"/>
      <c r="C33" s="3287"/>
      <c r="D33" s="3307"/>
      <c r="E33" s="754"/>
      <c r="F33" s="755"/>
      <c r="G33" s="755"/>
      <c r="H33" s="755"/>
      <c r="I33" s="755"/>
      <c r="J33" s="756"/>
      <c r="K33" s="756"/>
      <c r="L33" s="756"/>
      <c r="M33" s="756"/>
      <c r="N33" s="756"/>
      <c r="O33" s="756"/>
      <c r="P33" s="757"/>
      <c r="Q33" s="756"/>
      <c r="R33" s="756"/>
      <c r="S33" s="756"/>
      <c r="T33" s="756"/>
      <c r="U33" s="757"/>
      <c r="V33" s="756"/>
      <c r="W33" s="757"/>
      <c r="X33" s="758"/>
      <c r="Y33" s="756"/>
      <c r="Z33" s="683"/>
      <c r="AA33" s="683"/>
      <c r="AB33" s="683"/>
      <c r="AC33" s="759"/>
      <c r="AD33" s="759"/>
      <c r="AE33" s="760"/>
    </row>
    <row r="34" spans="1:31" ht="16.5">
      <c r="A34" s="670">
        <v>29</v>
      </c>
      <c r="B34" s="3303"/>
      <c r="C34" s="3287"/>
      <c r="D34" s="3307"/>
      <c r="E34" s="754"/>
      <c r="F34" s="755"/>
      <c r="G34" s="755"/>
      <c r="H34" s="755"/>
      <c r="I34" s="755"/>
      <c r="J34" s="756"/>
      <c r="K34" s="756"/>
      <c r="L34" s="756"/>
      <c r="M34" s="756"/>
      <c r="N34" s="756"/>
      <c r="O34" s="756"/>
      <c r="P34" s="757"/>
      <c r="Q34" s="756"/>
      <c r="R34" s="756"/>
      <c r="S34" s="756"/>
      <c r="T34" s="756"/>
      <c r="U34" s="757"/>
      <c r="V34" s="756"/>
      <c r="W34" s="757"/>
      <c r="X34" s="758"/>
      <c r="Y34" s="756"/>
      <c r="Z34" s="683"/>
      <c r="AA34" s="683"/>
      <c r="AB34" s="683"/>
      <c r="AC34" s="759"/>
      <c r="AD34" s="759"/>
      <c r="AE34" s="760"/>
    </row>
    <row r="35" spans="1:31" ht="16.5">
      <c r="A35" s="670">
        <v>30</v>
      </c>
      <c r="B35" s="3303"/>
      <c r="C35" s="3287"/>
      <c r="D35" s="3307"/>
      <c r="E35" s="754"/>
      <c r="F35" s="755"/>
      <c r="G35" s="755"/>
      <c r="H35" s="755"/>
      <c r="I35" s="755"/>
      <c r="J35" s="756"/>
      <c r="K35" s="756"/>
      <c r="L35" s="756"/>
      <c r="M35" s="756"/>
      <c r="N35" s="756"/>
      <c r="O35" s="756"/>
      <c r="P35" s="757"/>
      <c r="Q35" s="756"/>
      <c r="R35" s="756"/>
      <c r="S35" s="756"/>
      <c r="T35" s="756"/>
      <c r="U35" s="757"/>
      <c r="V35" s="756"/>
      <c r="W35" s="757"/>
      <c r="X35" s="758"/>
      <c r="Y35" s="756"/>
      <c r="Z35" s="683"/>
      <c r="AA35" s="683"/>
      <c r="AB35" s="683"/>
      <c r="AC35" s="759"/>
      <c r="AD35" s="759"/>
      <c r="AE35" s="760"/>
    </row>
    <row r="36" spans="1:31" ht="16.5">
      <c r="A36" s="670">
        <v>31</v>
      </c>
      <c r="B36" s="3303"/>
      <c r="C36" s="3287"/>
      <c r="D36" s="3307"/>
      <c r="E36" s="754"/>
      <c r="F36" s="755"/>
      <c r="G36" s="755"/>
      <c r="H36" s="755"/>
      <c r="I36" s="755"/>
      <c r="J36" s="756"/>
      <c r="K36" s="756"/>
      <c r="L36" s="756"/>
      <c r="M36" s="756"/>
      <c r="N36" s="756"/>
      <c r="O36" s="756"/>
      <c r="P36" s="757"/>
      <c r="Q36" s="756"/>
      <c r="R36" s="756"/>
      <c r="S36" s="756"/>
      <c r="T36" s="756"/>
      <c r="U36" s="757"/>
      <c r="V36" s="756"/>
      <c r="W36" s="757"/>
      <c r="X36" s="758"/>
      <c r="Y36" s="756"/>
      <c r="Z36" s="683"/>
      <c r="AA36" s="683"/>
      <c r="AB36" s="683"/>
      <c r="AC36" s="759"/>
      <c r="AD36" s="759"/>
      <c r="AE36" s="760"/>
    </row>
    <row r="37" spans="1:31" ht="16.5">
      <c r="A37" s="670">
        <v>32</v>
      </c>
      <c r="B37" s="3303"/>
      <c r="C37" s="3287"/>
      <c r="D37" s="3307"/>
      <c r="E37" s="754"/>
      <c r="F37" s="755"/>
      <c r="G37" s="755"/>
      <c r="H37" s="755"/>
      <c r="I37" s="755"/>
      <c r="J37" s="756"/>
      <c r="K37" s="756"/>
      <c r="L37" s="756"/>
      <c r="M37" s="756"/>
      <c r="N37" s="756"/>
      <c r="O37" s="756"/>
      <c r="P37" s="757"/>
      <c r="Q37" s="756"/>
      <c r="R37" s="756"/>
      <c r="S37" s="756"/>
      <c r="T37" s="756"/>
      <c r="U37" s="757"/>
      <c r="V37" s="756"/>
      <c r="W37" s="757"/>
      <c r="X37" s="758"/>
      <c r="Y37" s="756"/>
      <c r="Z37" s="683"/>
      <c r="AA37" s="683"/>
      <c r="AB37" s="683"/>
      <c r="AC37" s="759"/>
      <c r="AD37" s="759"/>
      <c r="AE37" s="760"/>
    </row>
    <row r="38" spans="1:31" ht="16.5">
      <c r="A38" s="670">
        <v>33</v>
      </c>
      <c r="B38" s="3303"/>
      <c r="C38" s="3287"/>
      <c r="D38" s="3307"/>
      <c r="E38" s="754"/>
      <c r="F38" s="755"/>
      <c r="G38" s="755"/>
      <c r="H38" s="755"/>
      <c r="I38" s="755"/>
      <c r="J38" s="756"/>
      <c r="K38" s="756"/>
      <c r="L38" s="756"/>
      <c r="M38" s="756"/>
      <c r="N38" s="756"/>
      <c r="O38" s="756"/>
      <c r="P38" s="757"/>
      <c r="Q38" s="756"/>
      <c r="R38" s="756"/>
      <c r="S38" s="756"/>
      <c r="T38" s="756"/>
      <c r="U38" s="757"/>
      <c r="V38" s="756"/>
      <c r="W38" s="757"/>
      <c r="X38" s="758"/>
      <c r="Y38" s="756"/>
      <c r="Z38" s="683"/>
      <c r="AA38" s="683"/>
      <c r="AB38" s="683"/>
      <c r="AC38" s="759"/>
      <c r="AD38" s="759"/>
      <c r="AE38" s="760"/>
    </row>
    <row r="39" spans="1:31" ht="16.5">
      <c r="A39" s="670">
        <v>34</v>
      </c>
      <c r="B39" s="3303"/>
      <c r="C39" s="3287"/>
      <c r="D39" s="3307"/>
      <c r="E39" s="754"/>
      <c r="F39" s="755"/>
      <c r="G39" s="755"/>
      <c r="H39" s="755"/>
      <c r="I39" s="755"/>
      <c r="J39" s="756"/>
      <c r="K39" s="756"/>
      <c r="L39" s="756"/>
      <c r="M39" s="756"/>
      <c r="N39" s="756"/>
      <c r="O39" s="756"/>
      <c r="P39" s="757"/>
      <c r="Q39" s="756"/>
      <c r="R39" s="756"/>
      <c r="S39" s="756"/>
      <c r="T39" s="756"/>
      <c r="U39" s="757"/>
      <c r="V39" s="756"/>
      <c r="W39" s="757"/>
      <c r="X39" s="758"/>
      <c r="Y39" s="756"/>
      <c r="Z39" s="683"/>
      <c r="AA39" s="683"/>
      <c r="AB39" s="683"/>
      <c r="AC39" s="759"/>
      <c r="AD39" s="759"/>
      <c r="AE39" s="760"/>
    </row>
    <row r="40" spans="1:31" ht="16.5">
      <c r="A40" s="670">
        <v>35</v>
      </c>
      <c r="B40" s="3303"/>
      <c r="C40" s="3287"/>
      <c r="D40" s="3307"/>
      <c r="E40" s="754"/>
      <c r="F40" s="755"/>
      <c r="G40" s="755"/>
      <c r="H40" s="755"/>
      <c r="I40" s="755"/>
      <c r="J40" s="756"/>
      <c r="K40" s="756"/>
      <c r="L40" s="756"/>
      <c r="M40" s="756"/>
      <c r="N40" s="756"/>
      <c r="O40" s="756"/>
      <c r="P40" s="757"/>
      <c r="Q40" s="756"/>
      <c r="R40" s="756"/>
      <c r="S40" s="756"/>
      <c r="T40" s="756"/>
      <c r="U40" s="757"/>
      <c r="V40" s="756"/>
      <c r="W40" s="757"/>
      <c r="X40" s="758"/>
      <c r="Y40" s="756"/>
      <c r="Z40" s="683"/>
      <c r="AA40" s="683"/>
      <c r="AB40" s="683"/>
      <c r="AC40" s="759"/>
      <c r="AD40" s="759"/>
      <c r="AE40" s="760"/>
    </row>
    <row r="41" spans="1:31" ht="16.5">
      <c r="A41" s="670">
        <v>36</v>
      </c>
      <c r="B41" s="3303"/>
      <c r="C41" s="3287"/>
      <c r="D41" s="3307"/>
      <c r="E41" s="754"/>
      <c r="F41" s="755"/>
      <c r="G41" s="755"/>
      <c r="H41" s="755"/>
      <c r="I41" s="755"/>
      <c r="J41" s="756"/>
      <c r="K41" s="756"/>
      <c r="L41" s="756"/>
      <c r="M41" s="756"/>
      <c r="N41" s="756"/>
      <c r="O41" s="756"/>
      <c r="P41" s="757"/>
      <c r="Q41" s="756"/>
      <c r="R41" s="756"/>
      <c r="S41" s="756"/>
      <c r="T41" s="756"/>
      <c r="U41" s="757"/>
      <c r="V41" s="756"/>
      <c r="W41" s="757"/>
      <c r="X41" s="758"/>
      <c r="Y41" s="756"/>
      <c r="Z41" s="683"/>
      <c r="AA41" s="683"/>
      <c r="AB41" s="683"/>
      <c r="AC41" s="759"/>
      <c r="AD41" s="759"/>
      <c r="AE41" s="760"/>
    </row>
    <row r="42" spans="1:31" ht="16.5">
      <c r="A42" s="670">
        <v>37</v>
      </c>
      <c r="B42" s="3303"/>
      <c r="C42" s="3287"/>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683"/>
      <c r="AA42" s="683"/>
      <c r="AB42" s="683"/>
      <c r="AC42" s="763"/>
      <c r="AD42" s="763"/>
      <c r="AE42" s="803"/>
    </row>
    <row r="43" spans="1:31" ht="16.5" customHeight="1">
      <c r="A43" s="670">
        <v>38</v>
      </c>
      <c r="B43" s="3303"/>
      <c r="C43" s="3287"/>
      <c r="D43" s="3307" t="s">
        <v>3109</v>
      </c>
      <c r="E43" s="754"/>
      <c r="F43" s="755"/>
      <c r="G43" s="755"/>
      <c r="H43" s="755"/>
      <c r="I43" s="755"/>
      <c r="J43" s="756"/>
      <c r="K43" s="756"/>
      <c r="L43" s="756"/>
      <c r="M43" s="756"/>
      <c r="N43" s="756"/>
      <c r="O43" s="756"/>
      <c r="P43" s="757"/>
      <c r="Q43" s="756"/>
      <c r="R43" s="756"/>
      <c r="S43" s="756"/>
      <c r="T43" s="756"/>
      <c r="U43" s="757"/>
      <c r="V43" s="756"/>
      <c r="W43" s="757"/>
      <c r="X43" s="758"/>
      <c r="Y43" s="756"/>
      <c r="Z43" s="683"/>
      <c r="AA43" s="683"/>
      <c r="AB43" s="683"/>
      <c r="AC43" s="759"/>
      <c r="AD43" s="759"/>
      <c r="AE43" s="760"/>
    </row>
    <row r="44" spans="1:31" ht="16.5">
      <c r="A44" s="670">
        <v>39</v>
      </c>
      <c r="B44" s="3303"/>
      <c r="C44" s="3287"/>
      <c r="D44" s="3307"/>
      <c r="E44" s="754"/>
      <c r="F44" s="755"/>
      <c r="G44" s="755"/>
      <c r="H44" s="755"/>
      <c r="I44" s="755"/>
      <c r="J44" s="756"/>
      <c r="K44" s="756"/>
      <c r="L44" s="756"/>
      <c r="M44" s="756"/>
      <c r="N44" s="756"/>
      <c r="O44" s="756"/>
      <c r="P44" s="757"/>
      <c r="Q44" s="756"/>
      <c r="R44" s="756"/>
      <c r="S44" s="756"/>
      <c r="T44" s="756"/>
      <c r="U44" s="757"/>
      <c r="V44" s="756"/>
      <c r="W44" s="757"/>
      <c r="X44" s="758"/>
      <c r="Y44" s="756"/>
      <c r="Z44" s="683"/>
      <c r="AA44" s="683"/>
      <c r="AB44" s="683"/>
      <c r="AC44" s="759"/>
      <c r="AD44" s="759"/>
      <c r="AE44" s="760"/>
    </row>
    <row r="45" spans="1:31" ht="16.5">
      <c r="A45" s="670">
        <v>40</v>
      </c>
      <c r="B45" s="3303"/>
      <c r="C45" s="3287"/>
      <c r="D45" s="3307"/>
      <c r="E45" s="754"/>
      <c r="F45" s="755"/>
      <c r="G45" s="755"/>
      <c r="H45" s="755"/>
      <c r="I45" s="755"/>
      <c r="J45" s="756"/>
      <c r="K45" s="756"/>
      <c r="L45" s="756"/>
      <c r="M45" s="756"/>
      <c r="N45" s="756"/>
      <c r="O45" s="756"/>
      <c r="P45" s="757"/>
      <c r="Q45" s="756"/>
      <c r="R45" s="756"/>
      <c r="S45" s="756"/>
      <c r="T45" s="756"/>
      <c r="U45" s="757"/>
      <c r="V45" s="756"/>
      <c r="W45" s="757"/>
      <c r="X45" s="758"/>
      <c r="Y45" s="756"/>
      <c r="Z45" s="683"/>
      <c r="AA45" s="683"/>
      <c r="AB45" s="683"/>
      <c r="AC45" s="759"/>
      <c r="AD45" s="759"/>
      <c r="AE45" s="760"/>
    </row>
    <row r="46" spans="1:31" ht="16.5">
      <c r="A46" s="670">
        <v>41</v>
      </c>
      <c r="B46" s="3303"/>
      <c r="C46" s="3287"/>
      <c r="D46" s="3307"/>
      <c r="E46" s="754"/>
      <c r="F46" s="755"/>
      <c r="G46" s="755"/>
      <c r="H46" s="755"/>
      <c r="I46" s="755"/>
      <c r="J46" s="756"/>
      <c r="K46" s="756"/>
      <c r="L46" s="756"/>
      <c r="M46" s="756"/>
      <c r="N46" s="756"/>
      <c r="O46" s="756"/>
      <c r="P46" s="757"/>
      <c r="Q46" s="756"/>
      <c r="R46" s="756"/>
      <c r="S46" s="756"/>
      <c r="T46" s="756"/>
      <c r="U46" s="757"/>
      <c r="V46" s="756"/>
      <c r="W46" s="757"/>
      <c r="X46" s="758"/>
      <c r="Y46" s="756"/>
      <c r="Z46" s="683"/>
      <c r="AA46" s="683"/>
      <c r="AB46" s="683"/>
      <c r="AC46" s="759"/>
      <c r="AD46" s="759"/>
      <c r="AE46" s="760"/>
    </row>
    <row r="47" spans="1:31" ht="16.5">
      <c r="A47" s="670">
        <v>42</v>
      </c>
      <c r="B47" s="3303"/>
      <c r="C47" s="3287"/>
      <c r="D47" s="3307"/>
      <c r="E47" s="754"/>
      <c r="F47" s="755"/>
      <c r="G47" s="755"/>
      <c r="H47" s="755"/>
      <c r="I47" s="755"/>
      <c r="J47" s="756"/>
      <c r="K47" s="756"/>
      <c r="L47" s="756"/>
      <c r="M47" s="756"/>
      <c r="N47" s="756"/>
      <c r="O47" s="756"/>
      <c r="P47" s="757"/>
      <c r="Q47" s="756"/>
      <c r="R47" s="756"/>
      <c r="S47" s="756"/>
      <c r="T47" s="756"/>
      <c r="U47" s="757"/>
      <c r="V47" s="756"/>
      <c r="W47" s="757"/>
      <c r="X47" s="758"/>
      <c r="Y47" s="756"/>
      <c r="Z47" s="683"/>
      <c r="AA47" s="683"/>
      <c r="AB47" s="683"/>
      <c r="AC47" s="759"/>
      <c r="AD47" s="759"/>
      <c r="AE47" s="760"/>
    </row>
    <row r="48" spans="1:31" ht="16.5">
      <c r="A48" s="670">
        <v>43</v>
      </c>
      <c r="B48" s="3303"/>
      <c r="C48" s="3287"/>
      <c r="D48" s="3307"/>
      <c r="E48" s="754"/>
      <c r="F48" s="755"/>
      <c r="G48" s="755"/>
      <c r="H48" s="755"/>
      <c r="I48" s="755"/>
      <c r="J48" s="756"/>
      <c r="K48" s="756"/>
      <c r="L48" s="756"/>
      <c r="M48" s="756"/>
      <c r="N48" s="756"/>
      <c r="O48" s="756"/>
      <c r="P48" s="757"/>
      <c r="Q48" s="756"/>
      <c r="R48" s="756"/>
      <c r="S48" s="756"/>
      <c r="T48" s="756"/>
      <c r="U48" s="757"/>
      <c r="V48" s="756"/>
      <c r="W48" s="757"/>
      <c r="X48" s="758"/>
      <c r="Y48" s="756"/>
      <c r="Z48" s="683"/>
      <c r="AA48" s="683"/>
      <c r="AB48" s="683"/>
      <c r="AC48" s="759"/>
      <c r="AD48" s="759"/>
      <c r="AE48" s="760"/>
    </row>
    <row r="49" spans="1:33" ht="16.5">
      <c r="A49" s="670">
        <v>44</v>
      </c>
      <c r="B49" s="3303"/>
      <c r="C49" s="3287"/>
      <c r="D49" s="3307"/>
      <c r="E49" s="754"/>
      <c r="F49" s="755"/>
      <c r="G49" s="755"/>
      <c r="H49" s="755"/>
      <c r="I49" s="755"/>
      <c r="J49" s="756"/>
      <c r="K49" s="756"/>
      <c r="L49" s="756"/>
      <c r="M49" s="756"/>
      <c r="N49" s="756"/>
      <c r="O49" s="756"/>
      <c r="P49" s="757"/>
      <c r="Q49" s="756"/>
      <c r="R49" s="756"/>
      <c r="S49" s="756"/>
      <c r="T49" s="756"/>
      <c r="U49" s="757"/>
      <c r="V49" s="756"/>
      <c r="W49" s="757"/>
      <c r="X49" s="758"/>
      <c r="Y49" s="756"/>
      <c r="Z49" s="683"/>
      <c r="AA49" s="683"/>
      <c r="AB49" s="683"/>
      <c r="AC49" s="759"/>
      <c r="AD49" s="759"/>
      <c r="AE49" s="760"/>
    </row>
    <row r="50" spans="1:33" ht="16.5">
      <c r="A50" s="670">
        <v>45</v>
      </c>
      <c r="B50" s="3303"/>
      <c r="C50" s="3287"/>
      <c r="D50" s="3307"/>
      <c r="E50" s="754"/>
      <c r="F50" s="755"/>
      <c r="G50" s="755"/>
      <c r="H50" s="755"/>
      <c r="I50" s="755"/>
      <c r="J50" s="756"/>
      <c r="K50" s="756"/>
      <c r="L50" s="756"/>
      <c r="M50" s="756"/>
      <c r="N50" s="756"/>
      <c r="O50" s="756"/>
      <c r="P50" s="757"/>
      <c r="Q50" s="756"/>
      <c r="R50" s="756"/>
      <c r="S50" s="756"/>
      <c r="T50" s="756"/>
      <c r="U50" s="757"/>
      <c r="V50" s="756"/>
      <c r="W50" s="757"/>
      <c r="X50" s="758"/>
      <c r="Y50" s="756"/>
      <c r="Z50" s="683"/>
      <c r="AA50" s="683"/>
      <c r="AB50" s="683"/>
      <c r="AC50" s="759"/>
      <c r="AD50" s="759"/>
      <c r="AE50" s="760"/>
    </row>
    <row r="51" spans="1:33" ht="16.5">
      <c r="A51" s="670">
        <v>46</v>
      </c>
      <c r="B51" s="3303"/>
      <c r="C51" s="3287"/>
      <c r="D51" s="3307"/>
      <c r="E51" s="754"/>
      <c r="F51" s="755"/>
      <c r="G51" s="755"/>
      <c r="H51" s="755"/>
      <c r="I51" s="755"/>
      <c r="J51" s="756"/>
      <c r="K51" s="756"/>
      <c r="L51" s="756"/>
      <c r="M51" s="756"/>
      <c r="N51" s="756"/>
      <c r="O51" s="756"/>
      <c r="P51" s="757"/>
      <c r="Q51" s="756"/>
      <c r="R51" s="756"/>
      <c r="S51" s="756"/>
      <c r="T51" s="756"/>
      <c r="U51" s="757"/>
      <c r="V51" s="756"/>
      <c r="W51" s="757"/>
      <c r="X51" s="758"/>
      <c r="Y51" s="756"/>
      <c r="Z51" s="683"/>
      <c r="AA51" s="683"/>
      <c r="AB51" s="683"/>
      <c r="AC51" s="759"/>
      <c r="AD51" s="759"/>
      <c r="AE51" s="760"/>
    </row>
    <row r="52" spans="1:33" ht="16.5">
      <c r="A52" s="670">
        <v>47</v>
      </c>
      <c r="B52" s="3303"/>
      <c r="C52" s="3287"/>
      <c r="D52" s="3307"/>
      <c r="E52" s="754"/>
      <c r="F52" s="755"/>
      <c r="G52" s="755"/>
      <c r="H52" s="755"/>
      <c r="I52" s="755"/>
      <c r="J52" s="756"/>
      <c r="K52" s="756"/>
      <c r="L52" s="756"/>
      <c r="M52" s="756"/>
      <c r="N52" s="756"/>
      <c r="O52" s="756"/>
      <c r="P52" s="757"/>
      <c r="Q52" s="756"/>
      <c r="R52" s="756"/>
      <c r="S52" s="756"/>
      <c r="T52" s="756"/>
      <c r="U52" s="757"/>
      <c r="V52" s="756"/>
      <c r="W52" s="757"/>
      <c r="X52" s="758"/>
      <c r="Y52" s="756"/>
      <c r="Z52" s="683"/>
      <c r="AA52" s="683"/>
      <c r="AB52" s="683"/>
      <c r="AC52" s="759"/>
      <c r="AD52" s="759"/>
      <c r="AE52" s="760"/>
    </row>
    <row r="53" spans="1:33" ht="17.25" thickBot="1">
      <c r="A53" s="670">
        <v>48</v>
      </c>
      <c r="B53" s="3303"/>
      <c r="C53" s="3288"/>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7"/>
      <c r="T53" s="768">
        <f>SUM(T43:T52)</f>
        <v>0</v>
      </c>
      <c r="U53" s="768">
        <f>SUM(U43:U52)</f>
        <v>0</v>
      </c>
      <c r="V53" s="768">
        <f>SUM(V43:V52)</f>
        <v>0</v>
      </c>
      <c r="W53" s="768">
        <f>SUM(W43:W52)</f>
        <v>0</v>
      </c>
      <c r="X53" s="767"/>
      <c r="Y53" s="767"/>
      <c r="Z53" s="689"/>
      <c r="AA53" s="689"/>
      <c r="AB53" s="689"/>
      <c r="AC53" s="767"/>
      <c r="AD53" s="767"/>
      <c r="AE53" s="804"/>
    </row>
    <row r="54" spans="1:33" ht="16.5" customHeight="1">
      <c r="A54" s="670">
        <v>49</v>
      </c>
      <c r="B54" s="3303"/>
      <c r="C54" s="3338" t="s">
        <v>3154</v>
      </c>
      <c r="D54" s="3315" t="s">
        <v>3155</v>
      </c>
      <c r="E54" s="747"/>
      <c r="F54" s="748"/>
      <c r="G54" s="748"/>
      <c r="H54" s="748"/>
      <c r="I54" s="748"/>
      <c r="J54" s="805" t="s">
        <v>3156</v>
      </c>
      <c r="K54" s="749"/>
      <c r="L54" s="749"/>
      <c r="M54" s="749"/>
      <c r="N54" s="749"/>
      <c r="O54" s="749"/>
      <c r="P54" s="750"/>
      <c r="Q54" s="806" t="s">
        <v>3157</v>
      </c>
      <c r="R54" s="749"/>
      <c r="S54" s="807"/>
      <c r="T54" s="749"/>
      <c r="U54" s="750"/>
      <c r="V54" s="749"/>
      <c r="W54" s="750"/>
      <c r="X54" s="806" t="s">
        <v>3158</v>
      </c>
      <c r="Y54" s="749"/>
      <c r="Z54" s="749"/>
      <c r="AA54" s="749"/>
      <c r="AB54" s="749"/>
      <c r="AC54" s="752"/>
      <c r="AD54" s="752"/>
      <c r="AE54" s="769"/>
    </row>
    <row r="55" spans="1:33" ht="16.5">
      <c r="A55" s="670">
        <v>50</v>
      </c>
      <c r="B55" s="3303"/>
      <c r="C55" s="3339"/>
      <c r="D55" s="3316"/>
      <c r="E55" s="754"/>
      <c r="F55" s="755"/>
      <c r="G55" s="755"/>
      <c r="H55" s="755"/>
      <c r="I55" s="755"/>
      <c r="J55" s="808" t="s">
        <v>3159</v>
      </c>
      <c r="K55" s="756"/>
      <c r="L55" s="756"/>
      <c r="M55" s="756"/>
      <c r="N55" s="756"/>
      <c r="O55" s="756"/>
      <c r="P55" s="757"/>
      <c r="Q55" s="809" t="s">
        <v>3157</v>
      </c>
      <c r="R55" s="756"/>
      <c r="S55" s="807"/>
      <c r="T55" s="756"/>
      <c r="U55" s="757"/>
      <c r="V55" s="756"/>
      <c r="W55" s="757"/>
      <c r="X55" s="809" t="s">
        <v>3158</v>
      </c>
      <c r="Y55" s="756"/>
      <c r="Z55" s="756"/>
      <c r="AA55" s="756"/>
      <c r="AB55" s="756"/>
      <c r="AC55" s="759"/>
      <c r="AD55" s="759"/>
      <c r="AE55" s="760"/>
    </row>
    <row r="56" spans="1:33" ht="16.5">
      <c r="A56" s="670">
        <v>51</v>
      </c>
      <c r="B56" s="3303"/>
      <c r="C56" s="3339"/>
      <c r="D56" s="3316"/>
      <c r="E56" s="754"/>
      <c r="F56" s="755"/>
      <c r="G56" s="755"/>
      <c r="H56" s="755"/>
      <c r="I56" s="755"/>
      <c r="J56" s="808" t="s">
        <v>3159</v>
      </c>
      <c r="K56" s="756"/>
      <c r="L56" s="756"/>
      <c r="M56" s="756"/>
      <c r="N56" s="756"/>
      <c r="O56" s="756"/>
      <c r="P56" s="757"/>
      <c r="Q56" s="809" t="s">
        <v>3157</v>
      </c>
      <c r="R56" s="756"/>
      <c r="S56" s="807"/>
      <c r="T56" s="756"/>
      <c r="U56" s="757"/>
      <c r="V56" s="756"/>
      <c r="W56" s="757"/>
      <c r="X56" s="809" t="s">
        <v>3158</v>
      </c>
      <c r="Y56" s="756"/>
      <c r="Z56" s="756"/>
      <c r="AA56" s="756"/>
      <c r="AB56" s="756"/>
      <c r="AC56" s="759"/>
      <c r="AD56" s="759"/>
      <c r="AE56" s="760"/>
    </row>
    <row r="57" spans="1:33" ht="16.5">
      <c r="A57" s="670">
        <v>52</v>
      </c>
      <c r="B57" s="3303"/>
      <c r="C57" s="3339"/>
      <c r="D57" s="3316"/>
      <c r="E57" s="754"/>
      <c r="F57" s="755"/>
      <c r="G57" s="755"/>
      <c r="H57" s="755"/>
      <c r="I57" s="755"/>
      <c r="J57" s="808" t="s">
        <v>3159</v>
      </c>
      <c r="K57" s="756"/>
      <c r="L57" s="756"/>
      <c r="M57" s="756"/>
      <c r="N57" s="756"/>
      <c r="O57" s="756"/>
      <c r="P57" s="757"/>
      <c r="Q57" s="809" t="s">
        <v>3157</v>
      </c>
      <c r="R57" s="756"/>
      <c r="S57" s="807"/>
      <c r="T57" s="756"/>
      <c r="U57" s="757"/>
      <c r="V57" s="756"/>
      <c r="W57" s="757"/>
      <c r="X57" s="809" t="s">
        <v>3158</v>
      </c>
      <c r="Y57" s="756"/>
      <c r="Z57" s="756"/>
      <c r="AA57" s="756"/>
      <c r="AB57" s="756"/>
      <c r="AC57" s="759"/>
      <c r="AD57" s="759"/>
      <c r="AE57" s="760"/>
    </row>
    <row r="58" spans="1:33" ht="16.5">
      <c r="A58" s="670">
        <v>53</v>
      </c>
      <c r="B58" s="3303"/>
      <c r="C58" s="3339"/>
      <c r="D58" s="3316"/>
      <c r="E58" s="754"/>
      <c r="F58" s="755"/>
      <c r="G58" s="755"/>
      <c r="H58" s="755"/>
      <c r="I58" s="755"/>
      <c r="J58" s="808" t="s">
        <v>3159</v>
      </c>
      <c r="K58" s="756"/>
      <c r="L58" s="756"/>
      <c r="M58" s="756"/>
      <c r="N58" s="756"/>
      <c r="O58" s="756"/>
      <c r="P58" s="757"/>
      <c r="Q58" s="809" t="s">
        <v>3157</v>
      </c>
      <c r="R58" s="756"/>
      <c r="S58" s="807"/>
      <c r="T58" s="756"/>
      <c r="U58" s="757"/>
      <c r="V58" s="756"/>
      <c r="W58" s="757"/>
      <c r="X58" s="809" t="s">
        <v>3158</v>
      </c>
      <c r="Y58" s="756"/>
      <c r="Z58" s="756"/>
      <c r="AA58" s="756"/>
      <c r="AB58" s="756"/>
      <c r="AC58" s="759"/>
      <c r="AD58" s="759"/>
      <c r="AE58" s="760"/>
    </row>
    <row r="59" spans="1:33" ht="16.5">
      <c r="A59" s="670">
        <v>54</v>
      </c>
      <c r="B59" s="3303"/>
      <c r="C59" s="3339"/>
      <c r="D59" s="3316"/>
      <c r="E59" s="754"/>
      <c r="F59" s="755"/>
      <c r="G59" s="755"/>
      <c r="H59" s="755"/>
      <c r="I59" s="755"/>
      <c r="J59" s="808" t="s">
        <v>3159</v>
      </c>
      <c r="K59" s="756"/>
      <c r="L59" s="756"/>
      <c r="M59" s="756"/>
      <c r="N59" s="756"/>
      <c r="O59" s="756"/>
      <c r="P59" s="757"/>
      <c r="Q59" s="809" t="s">
        <v>3157</v>
      </c>
      <c r="R59" s="756"/>
      <c r="S59" s="807"/>
      <c r="T59" s="756"/>
      <c r="U59" s="757"/>
      <c r="V59" s="756"/>
      <c r="W59" s="757"/>
      <c r="X59" s="809" t="s">
        <v>3158</v>
      </c>
      <c r="Y59" s="756"/>
      <c r="Z59" s="756"/>
      <c r="AA59" s="756"/>
      <c r="AB59" s="756"/>
      <c r="AC59" s="759"/>
      <c r="AD59" s="759"/>
      <c r="AE59" s="760"/>
    </row>
    <row r="60" spans="1:33" ht="16.5">
      <c r="A60" s="670">
        <v>55</v>
      </c>
      <c r="B60" s="3303"/>
      <c r="C60" s="3339"/>
      <c r="D60" s="3316"/>
      <c r="E60" s="754"/>
      <c r="F60" s="755"/>
      <c r="G60" s="755"/>
      <c r="H60" s="755"/>
      <c r="I60" s="755"/>
      <c r="J60" s="808" t="s">
        <v>3159</v>
      </c>
      <c r="K60" s="756"/>
      <c r="L60" s="756"/>
      <c r="M60" s="756"/>
      <c r="N60" s="756"/>
      <c r="O60" s="756"/>
      <c r="P60" s="757"/>
      <c r="Q60" s="809" t="s">
        <v>3157</v>
      </c>
      <c r="R60" s="756"/>
      <c r="S60" s="807"/>
      <c r="T60" s="756"/>
      <c r="U60" s="757"/>
      <c r="V60" s="756"/>
      <c r="W60" s="757"/>
      <c r="X60" s="809" t="s">
        <v>3158</v>
      </c>
      <c r="Y60" s="756"/>
      <c r="Z60" s="756"/>
      <c r="AA60" s="756"/>
      <c r="AB60" s="756"/>
      <c r="AC60" s="759"/>
      <c r="AD60" s="759"/>
      <c r="AE60" s="760"/>
      <c r="AG60" s="810"/>
    </row>
    <row r="61" spans="1:33" ht="16.5">
      <c r="A61" s="670">
        <v>56</v>
      </c>
      <c r="B61" s="3303"/>
      <c r="C61" s="3339"/>
      <c r="D61" s="3316"/>
      <c r="E61" s="754"/>
      <c r="F61" s="755"/>
      <c r="G61" s="755"/>
      <c r="H61" s="755"/>
      <c r="I61" s="755"/>
      <c r="J61" s="808" t="s">
        <v>3159</v>
      </c>
      <c r="K61" s="756"/>
      <c r="L61" s="756"/>
      <c r="M61" s="756"/>
      <c r="N61" s="756"/>
      <c r="O61" s="756"/>
      <c r="P61" s="757"/>
      <c r="Q61" s="809" t="s">
        <v>3157</v>
      </c>
      <c r="R61" s="756"/>
      <c r="S61" s="807"/>
      <c r="T61" s="756"/>
      <c r="U61" s="757"/>
      <c r="V61" s="756"/>
      <c r="W61" s="757"/>
      <c r="X61" s="809" t="s">
        <v>3158</v>
      </c>
      <c r="Y61" s="756"/>
      <c r="Z61" s="756"/>
      <c r="AA61" s="756"/>
      <c r="AB61" s="756"/>
      <c r="AC61" s="759"/>
      <c r="AD61" s="759"/>
      <c r="AE61" s="760"/>
    </row>
    <row r="62" spans="1:33" ht="16.5">
      <c r="A62" s="670">
        <v>57</v>
      </c>
      <c r="B62" s="3303"/>
      <c r="C62" s="3339"/>
      <c r="D62" s="3316"/>
      <c r="E62" s="754"/>
      <c r="F62" s="755"/>
      <c r="G62" s="755"/>
      <c r="H62" s="755"/>
      <c r="I62" s="755"/>
      <c r="J62" s="808" t="s">
        <v>3159</v>
      </c>
      <c r="K62" s="756"/>
      <c r="L62" s="756"/>
      <c r="M62" s="756"/>
      <c r="N62" s="756"/>
      <c r="O62" s="756"/>
      <c r="P62" s="757"/>
      <c r="Q62" s="809" t="s">
        <v>3157</v>
      </c>
      <c r="R62" s="756"/>
      <c r="S62" s="807"/>
      <c r="T62" s="756"/>
      <c r="U62" s="757"/>
      <c r="V62" s="756"/>
      <c r="W62" s="757"/>
      <c r="X62" s="809" t="s">
        <v>3158</v>
      </c>
      <c r="Y62" s="756"/>
      <c r="Z62" s="756"/>
      <c r="AA62" s="756"/>
      <c r="AB62" s="756"/>
      <c r="AC62" s="759"/>
      <c r="AD62" s="759"/>
      <c r="AE62" s="760"/>
    </row>
    <row r="63" spans="1:33" ht="16.5">
      <c r="A63" s="670">
        <v>58</v>
      </c>
      <c r="B63" s="3303"/>
      <c r="C63" s="3339"/>
      <c r="D63" s="3317"/>
      <c r="E63" s="754"/>
      <c r="F63" s="755"/>
      <c r="G63" s="755"/>
      <c r="H63" s="755"/>
      <c r="I63" s="755"/>
      <c r="J63" s="808" t="s">
        <v>3159</v>
      </c>
      <c r="K63" s="756"/>
      <c r="L63" s="756"/>
      <c r="M63" s="756"/>
      <c r="N63" s="756"/>
      <c r="O63" s="756"/>
      <c r="P63" s="757"/>
      <c r="Q63" s="809" t="s">
        <v>3157</v>
      </c>
      <c r="R63" s="756"/>
      <c r="S63" s="807"/>
      <c r="T63" s="756"/>
      <c r="U63" s="757"/>
      <c r="V63" s="756"/>
      <c r="W63" s="757"/>
      <c r="X63" s="809" t="s">
        <v>3158</v>
      </c>
      <c r="Y63" s="756"/>
      <c r="Z63" s="756"/>
      <c r="AA63" s="756"/>
      <c r="AB63" s="756"/>
      <c r="AC63" s="759"/>
      <c r="AD63" s="759"/>
      <c r="AE63" s="760"/>
    </row>
    <row r="64" spans="1:33" ht="16.5">
      <c r="A64" s="670">
        <v>59</v>
      </c>
      <c r="B64" s="3303"/>
      <c r="C64" s="3339"/>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682"/>
      <c r="Y64" s="763"/>
      <c r="Z64" s="763"/>
      <c r="AA64" s="763"/>
      <c r="AB64" s="763"/>
      <c r="AC64" s="763"/>
      <c r="AD64" s="763"/>
      <c r="AE64" s="803"/>
    </row>
    <row r="65" spans="1:31" ht="16.5" customHeight="1">
      <c r="A65" s="670">
        <v>60</v>
      </c>
      <c r="B65" s="3303"/>
      <c r="C65" s="3339"/>
      <c r="D65" s="3316" t="s">
        <v>3160</v>
      </c>
      <c r="E65" s="811"/>
      <c r="F65" s="812"/>
      <c r="G65" s="812"/>
      <c r="H65" s="812"/>
      <c r="I65" s="812"/>
      <c r="J65" s="813" t="s">
        <v>3156</v>
      </c>
      <c r="K65" s="807"/>
      <c r="L65" s="807"/>
      <c r="M65" s="807"/>
      <c r="N65" s="807"/>
      <c r="O65" s="807"/>
      <c r="P65" s="814"/>
      <c r="Q65" s="815" t="s">
        <v>3157</v>
      </c>
      <c r="R65" s="807"/>
      <c r="S65" s="807"/>
      <c r="T65" s="807"/>
      <c r="U65" s="814"/>
      <c r="V65" s="807"/>
      <c r="W65" s="814"/>
      <c r="X65" s="815" t="s">
        <v>3158</v>
      </c>
      <c r="Y65" s="807"/>
      <c r="Z65" s="807"/>
      <c r="AA65" s="807"/>
      <c r="AB65" s="807"/>
      <c r="AC65" s="816"/>
      <c r="AD65" s="816"/>
      <c r="AE65" s="769"/>
    </row>
    <row r="66" spans="1:31" ht="16.5">
      <c r="A66" s="670">
        <v>61</v>
      </c>
      <c r="B66" s="3303"/>
      <c r="C66" s="3339"/>
      <c r="D66" s="3316"/>
      <c r="E66" s="754"/>
      <c r="F66" s="755"/>
      <c r="G66" s="755"/>
      <c r="H66" s="755"/>
      <c r="I66" s="755"/>
      <c r="J66" s="808" t="s">
        <v>3159</v>
      </c>
      <c r="K66" s="756"/>
      <c r="L66" s="756"/>
      <c r="M66" s="756"/>
      <c r="N66" s="756"/>
      <c r="O66" s="756"/>
      <c r="P66" s="757"/>
      <c r="Q66" s="809" t="s">
        <v>3157</v>
      </c>
      <c r="R66" s="756"/>
      <c r="S66" s="807"/>
      <c r="T66" s="756"/>
      <c r="U66" s="757"/>
      <c r="V66" s="756"/>
      <c r="W66" s="757"/>
      <c r="X66" s="809" t="s">
        <v>3158</v>
      </c>
      <c r="Y66" s="756"/>
      <c r="Z66" s="756"/>
      <c r="AA66" s="756"/>
      <c r="AB66" s="756"/>
      <c r="AC66" s="759"/>
      <c r="AD66" s="759"/>
      <c r="AE66" s="760"/>
    </row>
    <row r="67" spans="1:31" ht="16.5">
      <c r="A67" s="670">
        <v>62</v>
      </c>
      <c r="B67" s="3303"/>
      <c r="C67" s="3339"/>
      <c r="D67" s="3316"/>
      <c r="E67" s="754"/>
      <c r="F67" s="755"/>
      <c r="G67" s="755"/>
      <c r="H67" s="755"/>
      <c r="I67" s="755"/>
      <c r="J67" s="808" t="s">
        <v>3159</v>
      </c>
      <c r="K67" s="756"/>
      <c r="L67" s="756"/>
      <c r="M67" s="756"/>
      <c r="N67" s="756"/>
      <c r="O67" s="756"/>
      <c r="P67" s="757"/>
      <c r="Q67" s="809" t="s">
        <v>3157</v>
      </c>
      <c r="R67" s="756"/>
      <c r="S67" s="807"/>
      <c r="T67" s="756"/>
      <c r="U67" s="757"/>
      <c r="V67" s="756"/>
      <c r="W67" s="757"/>
      <c r="X67" s="809" t="s">
        <v>3158</v>
      </c>
      <c r="Y67" s="756"/>
      <c r="Z67" s="756"/>
      <c r="AA67" s="756"/>
      <c r="AB67" s="756"/>
      <c r="AC67" s="759"/>
      <c r="AD67" s="759"/>
      <c r="AE67" s="760"/>
    </row>
    <row r="68" spans="1:31" ht="16.5">
      <c r="A68" s="670">
        <v>63</v>
      </c>
      <c r="B68" s="3303"/>
      <c r="C68" s="3339"/>
      <c r="D68" s="3316"/>
      <c r="E68" s="754"/>
      <c r="F68" s="755"/>
      <c r="G68" s="755"/>
      <c r="H68" s="755"/>
      <c r="I68" s="755"/>
      <c r="J68" s="808" t="s">
        <v>3159</v>
      </c>
      <c r="K68" s="756"/>
      <c r="L68" s="756"/>
      <c r="M68" s="756"/>
      <c r="N68" s="756"/>
      <c r="O68" s="756"/>
      <c r="P68" s="757"/>
      <c r="Q68" s="809" t="s">
        <v>3157</v>
      </c>
      <c r="R68" s="756"/>
      <c r="S68" s="807"/>
      <c r="T68" s="756"/>
      <c r="U68" s="757"/>
      <c r="V68" s="756"/>
      <c r="W68" s="757"/>
      <c r="X68" s="809" t="s">
        <v>3158</v>
      </c>
      <c r="Y68" s="756"/>
      <c r="Z68" s="756"/>
      <c r="AA68" s="756"/>
      <c r="AB68" s="756"/>
      <c r="AC68" s="759"/>
      <c r="AD68" s="759"/>
      <c r="AE68" s="760"/>
    </row>
    <row r="69" spans="1:31" ht="16.5">
      <c r="A69" s="670">
        <v>64</v>
      </c>
      <c r="B69" s="3303"/>
      <c r="C69" s="3339"/>
      <c r="D69" s="3316"/>
      <c r="E69" s="754"/>
      <c r="F69" s="755"/>
      <c r="G69" s="755"/>
      <c r="H69" s="755"/>
      <c r="I69" s="755"/>
      <c r="J69" s="808" t="s">
        <v>3159</v>
      </c>
      <c r="K69" s="756"/>
      <c r="L69" s="756"/>
      <c r="M69" s="756"/>
      <c r="N69" s="756"/>
      <c r="O69" s="756"/>
      <c r="P69" s="757"/>
      <c r="Q69" s="809" t="s">
        <v>3157</v>
      </c>
      <c r="R69" s="756"/>
      <c r="S69" s="807"/>
      <c r="T69" s="756"/>
      <c r="U69" s="757"/>
      <c r="V69" s="756"/>
      <c r="W69" s="757"/>
      <c r="X69" s="809" t="s">
        <v>3158</v>
      </c>
      <c r="Y69" s="756"/>
      <c r="Z69" s="756"/>
      <c r="AA69" s="756"/>
      <c r="AB69" s="756"/>
      <c r="AC69" s="759"/>
      <c r="AD69" s="759"/>
      <c r="AE69" s="760"/>
    </row>
    <row r="70" spans="1:31" ht="16.5">
      <c r="A70" s="670">
        <v>65</v>
      </c>
      <c r="B70" s="3303"/>
      <c r="C70" s="3339"/>
      <c r="D70" s="3316"/>
      <c r="E70" s="754"/>
      <c r="F70" s="755"/>
      <c r="G70" s="755"/>
      <c r="H70" s="755"/>
      <c r="I70" s="755"/>
      <c r="J70" s="808" t="s">
        <v>3159</v>
      </c>
      <c r="K70" s="756"/>
      <c r="L70" s="756"/>
      <c r="M70" s="756"/>
      <c r="N70" s="756"/>
      <c r="O70" s="756"/>
      <c r="P70" s="757"/>
      <c r="Q70" s="809" t="s">
        <v>3157</v>
      </c>
      <c r="R70" s="756"/>
      <c r="S70" s="807"/>
      <c r="T70" s="756"/>
      <c r="U70" s="757"/>
      <c r="V70" s="756"/>
      <c r="W70" s="757"/>
      <c r="X70" s="809" t="s">
        <v>3158</v>
      </c>
      <c r="Y70" s="756"/>
      <c r="Z70" s="756"/>
      <c r="AA70" s="756"/>
      <c r="AB70" s="756"/>
      <c r="AC70" s="759"/>
      <c r="AD70" s="759"/>
      <c r="AE70" s="760"/>
    </row>
    <row r="71" spans="1:31" ht="16.5">
      <c r="A71" s="670">
        <v>66</v>
      </c>
      <c r="B71" s="3303"/>
      <c r="C71" s="3339"/>
      <c r="D71" s="3316"/>
      <c r="E71" s="754"/>
      <c r="F71" s="755"/>
      <c r="G71" s="755"/>
      <c r="H71" s="755"/>
      <c r="I71" s="755"/>
      <c r="J71" s="808" t="s">
        <v>3159</v>
      </c>
      <c r="K71" s="756"/>
      <c r="L71" s="756"/>
      <c r="M71" s="756"/>
      <c r="N71" s="756"/>
      <c r="O71" s="756"/>
      <c r="P71" s="757"/>
      <c r="Q71" s="809" t="s">
        <v>3157</v>
      </c>
      <c r="R71" s="756"/>
      <c r="S71" s="807"/>
      <c r="T71" s="756"/>
      <c r="U71" s="757"/>
      <c r="V71" s="756"/>
      <c r="W71" s="757"/>
      <c r="X71" s="809" t="s">
        <v>3158</v>
      </c>
      <c r="Y71" s="756"/>
      <c r="Z71" s="756"/>
      <c r="AA71" s="756"/>
      <c r="AB71" s="756"/>
      <c r="AC71" s="759"/>
      <c r="AD71" s="759"/>
      <c r="AE71" s="760"/>
    </row>
    <row r="72" spans="1:31" ht="16.5">
      <c r="A72" s="670">
        <v>67</v>
      </c>
      <c r="B72" s="3303"/>
      <c r="C72" s="3339"/>
      <c r="D72" s="3316"/>
      <c r="E72" s="754"/>
      <c r="F72" s="755"/>
      <c r="G72" s="755"/>
      <c r="H72" s="755"/>
      <c r="I72" s="755"/>
      <c r="J72" s="808" t="s">
        <v>3159</v>
      </c>
      <c r="K72" s="756"/>
      <c r="L72" s="756"/>
      <c r="M72" s="756"/>
      <c r="N72" s="756"/>
      <c r="O72" s="756"/>
      <c r="P72" s="757"/>
      <c r="Q72" s="809" t="s">
        <v>3157</v>
      </c>
      <c r="R72" s="756"/>
      <c r="S72" s="807"/>
      <c r="T72" s="756"/>
      <c r="U72" s="757"/>
      <c r="V72" s="756"/>
      <c r="W72" s="757"/>
      <c r="X72" s="809" t="s">
        <v>3158</v>
      </c>
      <c r="Y72" s="756"/>
      <c r="Z72" s="756"/>
      <c r="AA72" s="756"/>
      <c r="AB72" s="756"/>
      <c r="AC72" s="759"/>
      <c r="AD72" s="759"/>
      <c r="AE72" s="760"/>
    </row>
    <row r="73" spans="1:31" ht="16.5">
      <c r="A73" s="670">
        <v>68</v>
      </c>
      <c r="B73" s="3303"/>
      <c r="C73" s="3339"/>
      <c r="D73" s="3316"/>
      <c r="E73" s="754"/>
      <c r="F73" s="755"/>
      <c r="G73" s="755"/>
      <c r="H73" s="755"/>
      <c r="I73" s="755"/>
      <c r="J73" s="808" t="s">
        <v>3159</v>
      </c>
      <c r="K73" s="756"/>
      <c r="L73" s="756"/>
      <c r="M73" s="756"/>
      <c r="N73" s="756"/>
      <c r="O73" s="756"/>
      <c r="P73" s="757"/>
      <c r="Q73" s="809" t="s">
        <v>3157</v>
      </c>
      <c r="R73" s="756"/>
      <c r="S73" s="807"/>
      <c r="T73" s="756"/>
      <c r="U73" s="757"/>
      <c r="V73" s="756"/>
      <c r="W73" s="757"/>
      <c r="X73" s="809" t="s">
        <v>3158</v>
      </c>
      <c r="Y73" s="756"/>
      <c r="Z73" s="756"/>
      <c r="AA73" s="756"/>
      <c r="AB73" s="756"/>
      <c r="AC73" s="759"/>
      <c r="AD73" s="759"/>
      <c r="AE73" s="760"/>
    </row>
    <row r="74" spans="1:31" ht="16.5">
      <c r="A74" s="670">
        <v>69</v>
      </c>
      <c r="B74" s="3303"/>
      <c r="C74" s="3339"/>
      <c r="D74" s="3317"/>
      <c r="E74" s="754"/>
      <c r="F74" s="755"/>
      <c r="G74" s="755"/>
      <c r="H74" s="755"/>
      <c r="I74" s="755"/>
      <c r="J74" s="808" t="s">
        <v>3159</v>
      </c>
      <c r="K74" s="756"/>
      <c r="L74" s="756"/>
      <c r="M74" s="756"/>
      <c r="N74" s="756"/>
      <c r="O74" s="756"/>
      <c r="P74" s="757"/>
      <c r="Q74" s="809" t="s">
        <v>3157</v>
      </c>
      <c r="R74" s="756"/>
      <c r="S74" s="807"/>
      <c r="T74" s="756"/>
      <c r="U74" s="757"/>
      <c r="V74" s="756"/>
      <c r="W74" s="757"/>
      <c r="X74" s="809" t="s">
        <v>3158</v>
      </c>
      <c r="Y74" s="756"/>
      <c r="Z74" s="756"/>
      <c r="AA74" s="756"/>
      <c r="AB74" s="756"/>
      <c r="AC74" s="759"/>
      <c r="AD74" s="759"/>
      <c r="AE74" s="760"/>
    </row>
    <row r="75" spans="1:31" ht="17.25" thickBot="1">
      <c r="A75" s="670">
        <v>70</v>
      </c>
      <c r="B75" s="3303"/>
      <c r="C75" s="3340"/>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7"/>
      <c r="T75" s="756">
        <f>SUM(T65:T74)</f>
        <v>0</v>
      </c>
      <c r="U75" s="756">
        <f>SUM(U65:U74)</f>
        <v>0</v>
      </c>
      <c r="V75" s="756">
        <f>SUM(V65:V74)</f>
        <v>0</v>
      </c>
      <c r="W75" s="756">
        <f>SUM(W65:W74)</f>
        <v>0</v>
      </c>
      <c r="X75" s="763"/>
      <c r="Y75" s="763"/>
      <c r="Z75" s="767"/>
      <c r="AA75" s="767"/>
      <c r="AB75" s="767"/>
      <c r="AC75" s="763"/>
      <c r="AD75" s="763"/>
      <c r="AE75" s="817"/>
    </row>
    <row r="76" spans="1:31" ht="16.5" customHeight="1">
      <c r="A76" s="670">
        <v>71</v>
      </c>
      <c r="B76" s="3303"/>
      <c r="C76" s="3326" t="s">
        <v>3161</v>
      </c>
      <c r="D76" s="3298" t="s">
        <v>3111</v>
      </c>
      <c r="E76" s="747"/>
      <c r="F76" s="748"/>
      <c r="G76" s="748"/>
      <c r="H76" s="748"/>
      <c r="I76" s="748"/>
      <c r="J76" s="749"/>
      <c r="K76" s="749"/>
      <c r="L76" s="749"/>
      <c r="M76" s="749"/>
      <c r="N76" s="749"/>
      <c r="O76" s="749"/>
      <c r="P76" s="750"/>
      <c r="Q76" s="749"/>
      <c r="R76" s="749"/>
      <c r="S76" s="749"/>
      <c r="T76" s="749"/>
      <c r="U76" s="750"/>
      <c r="V76" s="749"/>
      <c r="W76" s="750"/>
      <c r="X76" s="751"/>
      <c r="Y76" s="749"/>
      <c r="Z76" s="802"/>
      <c r="AA76" s="802"/>
      <c r="AB76" s="802"/>
      <c r="AC76" s="752"/>
      <c r="AD76" s="752"/>
      <c r="AE76" s="753"/>
    </row>
    <row r="77" spans="1:31" ht="16.5">
      <c r="A77" s="670">
        <v>72</v>
      </c>
      <c r="B77" s="3303"/>
      <c r="C77" s="3335"/>
      <c r="D77" s="3300"/>
      <c r="E77" s="754"/>
      <c r="F77" s="755"/>
      <c r="G77" s="755"/>
      <c r="H77" s="755"/>
      <c r="I77" s="755"/>
      <c r="J77" s="756"/>
      <c r="K77" s="756"/>
      <c r="L77" s="756"/>
      <c r="M77" s="756"/>
      <c r="N77" s="756"/>
      <c r="O77" s="756"/>
      <c r="P77" s="757"/>
      <c r="Q77" s="756"/>
      <c r="R77" s="756"/>
      <c r="S77" s="756"/>
      <c r="T77" s="756"/>
      <c r="U77" s="757"/>
      <c r="V77" s="756"/>
      <c r="W77" s="757"/>
      <c r="X77" s="758"/>
      <c r="Y77" s="756"/>
      <c r="Z77" s="683"/>
      <c r="AA77" s="683"/>
      <c r="AB77" s="683"/>
      <c r="AC77" s="759"/>
      <c r="AD77" s="759"/>
      <c r="AE77" s="760"/>
    </row>
    <row r="78" spans="1:31" ht="16.5">
      <c r="A78" s="670">
        <v>73</v>
      </c>
      <c r="B78" s="3303"/>
      <c r="C78" s="3335"/>
      <c r="D78" s="3300"/>
      <c r="E78" s="754"/>
      <c r="F78" s="755"/>
      <c r="G78" s="755"/>
      <c r="H78" s="755"/>
      <c r="I78" s="755"/>
      <c r="J78" s="756"/>
      <c r="K78" s="756"/>
      <c r="L78" s="756"/>
      <c r="M78" s="756"/>
      <c r="N78" s="756"/>
      <c r="O78" s="756"/>
      <c r="P78" s="757"/>
      <c r="Q78" s="756"/>
      <c r="R78" s="756"/>
      <c r="S78" s="756"/>
      <c r="T78" s="756"/>
      <c r="U78" s="757"/>
      <c r="V78" s="756"/>
      <c r="W78" s="757"/>
      <c r="X78" s="758"/>
      <c r="Y78" s="756"/>
      <c r="Z78" s="683"/>
      <c r="AA78" s="683"/>
      <c r="AB78" s="683"/>
      <c r="AC78" s="759"/>
      <c r="AD78" s="759"/>
      <c r="AE78" s="760"/>
    </row>
    <row r="79" spans="1:31" ht="16.5">
      <c r="A79" s="670">
        <v>74</v>
      </c>
      <c r="B79" s="3303"/>
      <c r="C79" s="3335"/>
      <c r="D79" s="3300"/>
      <c r="E79" s="754"/>
      <c r="F79" s="755"/>
      <c r="G79" s="755"/>
      <c r="H79" s="755"/>
      <c r="I79" s="755"/>
      <c r="J79" s="756"/>
      <c r="K79" s="756"/>
      <c r="L79" s="756"/>
      <c r="M79" s="756"/>
      <c r="N79" s="756"/>
      <c r="O79" s="756"/>
      <c r="P79" s="757"/>
      <c r="Q79" s="756"/>
      <c r="R79" s="756"/>
      <c r="S79" s="756"/>
      <c r="T79" s="756"/>
      <c r="U79" s="757"/>
      <c r="V79" s="756"/>
      <c r="W79" s="757"/>
      <c r="X79" s="758"/>
      <c r="Y79" s="756"/>
      <c r="Z79" s="683"/>
      <c r="AA79" s="683"/>
      <c r="AB79" s="683"/>
      <c r="AC79" s="759"/>
      <c r="AD79" s="759"/>
      <c r="AE79" s="760"/>
    </row>
    <row r="80" spans="1:31" ht="16.5">
      <c r="A80" s="670">
        <v>75</v>
      </c>
      <c r="B80" s="3303"/>
      <c r="C80" s="3335"/>
      <c r="D80" s="3300"/>
      <c r="E80" s="754"/>
      <c r="F80" s="755"/>
      <c r="G80" s="755"/>
      <c r="H80" s="755"/>
      <c r="I80" s="755"/>
      <c r="J80" s="756"/>
      <c r="K80" s="756"/>
      <c r="L80" s="756"/>
      <c r="M80" s="756"/>
      <c r="N80" s="756"/>
      <c r="O80" s="756"/>
      <c r="P80" s="757"/>
      <c r="Q80" s="756"/>
      <c r="R80" s="756"/>
      <c r="S80" s="756"/>
      <c r="T80" s="756"/>
      <c r="U80" s="757"/>
      <c r="V80" s="756"/>
      <c r="W80" s="757"/>
      <c r="X80" s="758"/>
      <c r="Y80" s="756"/>
      <c r="Z80" s="683"/>
      <c r="AA80" s="683"/>
      <c r="AB80" s="683"/>
      <c r="AC80" s="759"/>
      <c r="AD80" s="759"/>
      <c r="AE80" s="760"/>
    </row>
    <row r="81" spans="1:31" ht="16.5">
      <c r="A81" s="670">
        <v>76</v>
      </c>
      <c r="B81" s="3303"/>
      <c r="C81" s="3335"/>
      <c r="D81" s="3300"/>
      <c r="E81" s="754"/>
      <c r="F81" s="755"/>
      <c r="G81" s="755"/>
      <c r="H81" s="755"/>
      <c r="I81" s="755"/>
      <c r="J81" s="756"/>
      <c r="K81" s="756"/>
      <c r="L81" s="756"/>
      <c r="M81" s="756"/>
      <c r="N81" s="756"/>
      <c r="O81" s="756"/>
      <c r="P81" s="757"/>
      <c r="Q81" s="756"/>
      <c r="R81" s="756"/>
      <c r="S81" s="756"/>
      <c r="T81" s="756"/>
      <c r="U81" s="757"/>
      <c r="V81" s="756"/>
      <c r="W81" s="757"/>
      <c r="X81" s="758"/>
      <c r="Y81" s="756"/>
      <c r="Z81" s="683"/>
      <c r="AA81" s="683"/>
      <c r="AB81" s="683"/>
      <c r="AC81" s="759"/>
      <c r="AD81" s="759"/>
      <c r="AE81" s="760"/>
    </row>
    <row r="82" spans="1:31" ht="16.5">
      <c r="A82" s="670">
        <v>77</v>
      </c>
      <c r="B82" s="3303"/>
      <c r="C82" s="3335"/>
      <c r="D82" s="3300"/>
      <c r="E82" s="754"/>
      <c r="F82" s="755"/>
      <c r="G82" s="755"/>
      <c r="H82" s="755"/>
      <c r="I82" s="755"/>
      <c r="J82" s="756"/>
      <c r="K82" s="756"/>
      <c r="L82" s="756"/>
      <c r="M82" s="756"/>
      <c r="N82" s="756"/>
      <c r="O82" s="756"/>
      <c r="P82" s="757"/>
      <c r="Q82" s="756"/>
      <c r="R82" s="756"/>
      <c r="S82" s="756"/>
      <c r="T82" s="756"/>
      <c r="U82" s="757"/>
      <c r="V82" s="756"/>
      <c r="W82" s="757"/>
      <c r="X82" s="758"/>
      <c r="Y82" s="756"/>
      <c r="Z82" s="683"/>
      <c r="AA82" s="683"/>
      <c r="AB82" s="683"/>
      <c r="AC82" s="759"/>
      <c r="AD82" s="759"/>
      <c r="AE82" s="760"/>
    </row>
    <row r="83" spans="1:31" ht="16.5">
      <c r="A83" s="670">
        <v>78</v>
      </c>
      <c r="B83" s="3303"/>
      <c r="C83" s="3335"/>
      <c r="D83" s="3300"/>
      <c r="E83" s="754"/>
      <c r="F83" s="755"/>
      <c r="G83" s="755"/>
      <c r="H83" s="755"/>
      <c r="I83" s="755"/>
      <c r="J83" s="756"/>
      <c r="K83" s="756"/>
      <c r="L83" s="756"/>
      <c r="M83" s="756"/>
      <c r="N83" s="756"/>
      <c r="O83" s="756"/>
      <c r="P83" s="757"/>
      <c r="Q83" s="756"/>
      <c r="R83" s="756"/>
      <c r="S83" s="756"/>
      <c r="T83" s="756"/>
      <c r="U83" s="757"/>
      <c r="V83" s="756"/>
      <c r="W83" s="757"/>
      <c r="X83" s="758"/>
      <c r="Y83" s="756"/>
      <c r="Z83" s="683"/>
      <c r="AA83" s="683"/>
      <c r="AB83" s="683"/>
      <c r="AC83" s="759"/>
      <c r="AD83" s="759"/>
      <c r="AE83" s="760"/>
    </row>
    <row r="84" spans="1:31" ht="16.5">
      <c r="A84" s="670">
        <v>79</v>
      </c>
      <c r="B84" s="3303"/>
      <c r="C84" s="3335"/>
      <c r="D84" s="3300"/>
      <c r="E84" s="754"/>
      <c r="F84" s="755"/>
      <c r="G84" s="755"/>
      <c r="H84" s="755"/>
      <c r="I84" s="755"/>
      <c r="J84" s="756"/>
      <c r="K84" s="756"/>
      <c r="L84" s="756"/>
      <c r="M84" s="756"/>
      <c r="N84" s="756"/>
      <c r="O84" s="756"/>
      <c r="P84" s="757"/>
      <c r="Q84" s="756"/>
      <c r="R84" s="756"/>
      <c r="S84" s="756"/>
      <c r="T84" s="756"/>
      <c r="U84" s="757"/>
      <c r="V84" s="756"/>
      <c r="W84" s="757"/>
      <c r="X84" s="758"/>
      <c r="Y84" s="756"/>
      <c r="Z84" s="683"/>
      <c r="AA84" s="683"/>
      <c r="AB84" s="683"/>
      <c r="AC84" s="759"/>
      <c r="AD84" s="759"/>
      <c r="AE84" s="760"/>
    </row>
    <row r="85" spans="1:31" ht="16.5">
      <c r="A85" s="670">
        <v>80</v>
      </c>
      <c r="B85" s="3303"/>
      <c r="C85" s="3335"/>
      <c r="D85" s="3300"/>
      <c r="E85" s="754"/>
      <c r="F85" s="755"/>
      <c r="G85" s="755"/>
      <c r="H85" s="755"/>
      <c r="I85" s="755"/>
      <c r="J85" s="756"/>
      <c r="K85" s="756"/>
      <c r="L85" s="756"/>
      <c r="M85" s="756"/>
      <c r="N85" s="756"/>
      <c r="O85" s="756"/>
      <c r="P85" s="757"/>
      <c r="Q85" s="756"/>
      <c r="R85" s="756"/>
      <c r="S85" s="756"/>
      <c r="T85" s="756"/>
      <c r="U85" s="757"/>
      <c r="V85" s="756"/>
      <c r="W85" s="757"/>
      <c r="X85" s="758"/>
      <c r="Y85" s="756"/>
      <c r="Z85" s="683"/>
      <c r="AA85" s="683"/>
      <c r="AB85" s="683"/>
      <c r="AC85" s="759"/>
      <c r="AD85" s="759"/>
      <c r="AE85" s="760"/>
    </row>
    <row r="86" spans="1:31" ht="16.5">
      <c r="A86" s="670">
        <v>81</v>
      </c>
      <c r="B86" s="3303"/>
      <c r="C86" s="3335"/>
      <c r="D86" s="657" t="s">
        <v>3105</v>
      </c>
      <c r="E86" s="763"/>
      <c r="F86" s="763"/>
      <c r="G86" s="763"/>
      <c r="H86" s="763"/>
      <c r="I86" s="763"/>
      <c r="J86" s="763"/>
      <c r="K86" s="763"/>
      <c r="L86" s="763"/>
      <c r="M86" s="756">
        <f>SUM(M76:M85)</f>
        <v>0</v>
      </c>
      <c r="N86" s="756">
        <f>SUM(N76:N85)</f>
        <v>0</v>
      </c>
      <c r="O86" s="756">
        <f>SUM(O76:O85)</f>
        <v>0</v>
      </c>
      <c r="P86" s="756">
        <f>SUM(P76:P85)</f>
        <v>0</v>
      </c>
      <c r="Q86" s="763"/>
      <c r="R86" s="756">
        <f>SUM(R76:R85)</f>
        <v>0</v>
      </c>
      <c r="S86" s="763"/>
      <c r="T86" s="756">
        <f>SUM(T76:T85)</f>
        <v>0</v>
      </c>
      <c r="U86" s="756">
        <f>SUM(U76:U85)</f>
        <v>0</v>
      </c>
      <c r="V86" s="756">
        <f>SUM(V76:V85)</f>
        <v>0</v>
      </c>
      <c r="W86" s="756">
        <f>SUM(W76:W85)</f>
        <v>0</v>
      </c>
      <c r="X86" s="763"/>
      <c r="Y86" s="763"/>
      <c r="Z86" s="682"/>
      <c r="AA86" s="682"/>
      <c r="AB86" s="682"/>
      <c r="AC86" s="763"/>
      <c r="AD86" s="763"/>
      <c r="AE86" s="803"/>
    </row>
    <row r="87" spans="1:31" ht="16.5" customHeight="1">
      <c r="A87" s="670">
        <v>82</v>
      </c>
      <c r="B87" s="3303"/>
      <c r="C87" s="3335"/>
      <c r="D87" s="3309" t="s">
        <v>3112</v>
      </c>
      <c r="E87" s="754"/>
      <c r="F87" s="755"/>
      <c r="G87" s="755"/>
      <c r="H87" s="755"/>
      <c r="I87" s="755"/>
      <c r="J87" s="756"/>
      <c r="K87" s="756"/>
      <c r="L87" s="756"/>
      <c r="M87" s="756"/>
      <c r="N87" s="756"/>
      <c r="O87" s="756"/>
      <c r="P87" s="757"/>
      <c r="Q87" s="756"/>
      <c r="R87" s="756"/>
      <c r="S87" s="756"/>
      <c r="T87" s="756"/>
      <c r="U87" s="757"/>
      <c r="V87" s="756"/>
      <c r="W87" s="757"/>
      <c r="X87" s="758"/>
      <c r="Y87" s="756"/>
      <c r="Z87" s="683"/>
      <c r="AA87" s="683"/>
      <c r="AB87" s="683"/>
      <c r="AC87" s="759"/>
      <c r="AD87" s="759"/>
      <c r="AE87" s="760"/>
    </row>
    <row r="88" spans="1:31" ht="16.5">
      <c r="A88" s="670">
        <v>83</v>
      </c>
      <c r="B88" s="3303"/>
      <c r="C88" s="3335"/>
      <c r="D88" s="3300"/>
      <c r="E88" s="754"/>
      <c r="F88" s="755"/>
      <c r="G88" s="755"/>
      <c r="H88" s="755"/>
      <c r="I88" s="755"/>
      <c r="J88" s="756"/>
      <c r="K88" s="756"/>
      <c r="L88" s="756"/>
      <c r="M88" s="756"/>
      <c r="N88" s="756"/>
      <c r="O88" s="756"/>
      <c r="P88" s="757"/>
      <c r="Q88" s="757"/>
      <c r="R88" s="756"/>
      <c r="S88" s="757"/>
      <c r="T88" s="756"/>
      <c r="U88" s="770"/>
      <c r="V88" s="756"/>
      <c r="W88" s="770"/>
      <c r="X88" s="758"/>
      <c r="Y88" s="756"/>
      <c r="Z88" s="683"/>
      <c r="AA88" s="683"/>
      <c r="AB88" s="683"/>
      <c r="AC88" s="759"/>
      <c r="AD88" s="759"/>
      <c r="AE88" s="760"/>
    </row>
    <row r="89" spans="1:31" ht="16.5">
      <c r="A89" s="670">
        <v>84</v>
      </c>
      <c r="B89" s="3303"/>
      <c r="C89" s="3335"/>
      <c r="D89" s="3300"/>
      <c r="E89" s="754"/>
      <c r="F89" s="755"/>
      <c r="G89" s="755"/>
      <c r="H89" s="755"/>
      <c r="I89" s="755"/>
      <c r="J89" s="756"/>
      <c r="K89" s="756"/>
      <c r="L89" s="756"/>
      <c r="M89" s="756"/>
      <c r="N89" s="756"/>
      <c r="O89" s="756"/>
      <c r="P89" s="757"/>
      <c r="Q89" s="757"/>
      <c r="R89" s="756"/>
      <c r="S89" s="757"/>
      <c r="T89" s="756"/>
      <c r="U89" s="770"/>
      <c r="V89" s="756"/>
      <c r="W89" s="770"/>
      <c r="X89" s="758"/>
      <c r="Y89" s="756"/>
      <c r="Z89" s="683"/>
      <c r="AA89" s="683"/>
      <c r="AB89" s="683"/>
      <c r="AC89" s="759"/>
      <c r="AD89" s="759"/>
      <c r="AE89" s="760"/>
    </row>
    <row r="90" spans="1:31" ht="16.5">
      <c r="A90" s="670">
        <v>85</v>
      </c>
      <c r="B90" s="3303"/>
      <c r="C90" s="3335"/>
      <c r="D90" s="3300"/>
      <c r="E90" s="754"/>
      <c r="F90" s="755"/>
      <c r="G90" s="755"/>
      <c r="H90" s="755"/>
      <c r="I90" s="755"/>
      <c r="J90" s="756"/>
      <c r="K90" s="756"/>
      <c r="L90" s="756"/>
      <c r="M90" s="756"/>
      <c r="N90" s="756"/>
      <c r="O90" s="756"/>
      <c r="P90" s="757"/>
      <c r="Q90" s="757"/>
      <c r="R90" s="756"/>
      <c r="S90" s="757"/>
      <c r="T90" s="756"/>
      <c r="U90" s="770"/>
      <c r="V90" s="756"/>
      <c r="W90" s="770"/>
      <c r="X90" s="758"/>
      <c r="Y90" s="756"/>
      <c r="Z90" s="683"/>
      <c r="AA90" s="683"/>
      <c r="AB90" s="683"/>
      <c r="AC90" s="759"/>
      <c r="AD90" s="759"/>
      <c r="AE90" s="760"/>
    </row>
    <row r="91" spans="1:31" ht="16.5">
      <c r="A91" s="670">
        <v>86</v>
      </c>
      <c r="B91" s="3303"/>
      <c r="C91" s="3335"/>
      <c r="D91" s="3300"/>
      <c r="E91" s="754"/>
      <c r="F91" s="755"/>
      <c r="G91" s="755"/>
      <c r="H91" s="755"/>
      <c r="I91" s="755"/>
      <c r="J91" s="756"/>
      <c r="K91" s="756"/>
      <c r="L91" s="756"/>
      <c r="M91" s="756"/>
      <c r="N91" s="756"/>
      <c r="O91" s="756"/>
      <c r="P91" s="757"/>
      <c r="Q91" s="757"/>
      <c r="R91" s="756"/>
      <c r="S91" s="757"/>
      <c r="T91" s="756"/>
      <c r="U91" s="770"/>
      <c r="V91" s="756"/>
      <c r="W91" s="770"/>
      <c r="X91" s="758"/>
      <c r="Y91" s="756"/>
      <c r="Z91" s="683"/>
      <c r="AA91" s="683"/>
      <c r="AB91" s="683"/>
      <c r="AC91" s="759"/>
      <c r="AD91" s="759"/>
      <c r="AE91" s="760"/>
    </row>
    <row r="92" spans="1:31" ht="16.5">
      <c r="A92" s="670">
        <v>87</v>
      </c>
      <c r="B92" s="3303"/>
      <c r="C92" s="3335"/>
      <c r="D92" s="3300"/>
      <c r="E92" s="754"/>
      <c r="F92" s="755"/>
      <c r="G92" s="755"/>
      <c r="H92" s="755"/>
      <c r="I92" s="755"/>
      <c r="J92" s="756"/>
      <c r="K92" s="756"/>
      <c r="L92" s="756"/>
      <c r="M92" s="756"/>
      <c r="N92" s="756"/>
      <c r="O92" s="756"/>
      <c r="P92" s="757"/>
      <c r="Q92" s="757"/>
      <c r="R92" s="756"/>
      <c r="S92" s="757"/>
      <c r="T92" s="756"/>
      <c r="U92" s="770"/>
      <c r="V92" s="756"/>
      <c r="W92" s="770"/>
      <c r="X92" s="758"/>
      <c r="Y92" s="756"/>
      <c r="Z92" s="683"/>
      <c r="AA92" s="683"/>
      <c r="AB92" s="683"/>
      <c r="AC92" s="759"/>
      <c r="AD92" s="759"/>
      <c r="AE92" s="760"/>
    </row>
    <row r="93" spans="1:31" ht="16.5">
      <c r="A93" s="670">
        <v>88</v>
      </c>
      <c r="B93" s="3303"/>
      <c r="C93" s="3335"/>
      <c r="D93" s="3300"/>
      <c r="E93" s="754"/>
      <c r="F93" s="755"/>
      <c r="G93" s="755"/>
      <c r="H93" s="755"/>
      <c r="I93" s="755"/>
      <c r="J93" s="756"/>
      <c r="K93" s="756"/>
      <c r="L93" s="756"/>
      <c r="M93" s="756"/>
      <c r="N93" s="756"/>
      <c r="O93" s="756"/>
      <c r="P93" s="757"/>
      <c r="Q93" s="757"/>
      <c r="R93" s="756"/>
      <c r="S93" s="757"/>
      <c r="T93" s="756"/>
      <c r="U93" s="770"/>
      <c r="V93" s="756"/>
      <c r="W93" s="770"/>
      <c r="X93" s="758"/>
      <c r="Y93" s="756"/>
      <c r="Z93" s="683"/>
      <c r="AA93" s="683"/>
      <c r="AB93" s="683"/>
      <c r="AC93" s="759"/>
      <c r="AD93" s="759"/>
      <c r="AE93" s="760"/>
    </row>
    <row r="94" spans="1:31" ht="16.5">
      <c r="A94" s="670">
        <v>89</v>
      </c>
      <c r="B94" s="3303"/>
      <c r="C94" s="3335"/>
      <c r="D94" s="3300"/>
      <c r="E94" s="754"/>
      <c r="F94" s="755"/>
      <c r="G94" s="755"/>
      <c r="H94" s="755"/>
      <c r="I94" s="755"/>
      <c r="J94" s="756"/>
      <c r="K94" s="756"/>
      <c r="L94" s="756"/>
      <c r="M94" s="756"/>
      <c r="N94" s="756"/>
      <c r="O94" s="756"/>
      <c r="P94" s="757"/>
      <c r="Q94" s="757"/>
      <c r="R94" s="756"/>
      <c r="S94" s="757"/>
      <c r="T94" s="756"/>
      <c r="U94" s="770"/>
      <c r="V94" s="756"/>
      <c r="W94" s="770"/>
      <c r="X94" s="758"/>
      <c r="Y94" s="756"/>
      <c r="Z94" s="683"/>
      <c r="AA94" s="683"/>
      <c r="AB94" s="683"/>
      <c r="AC94" s="759"/>
      <c r="AD94" s="759"/>
      <c r="AE94" s="760"/>
    </row>
    <row r="95" spans="1:31" ht="16.5">
      <c r="A95" s="670">
        <v>90</v>
      </c>
      <c r="B95" s="3303"/>
      <c r="C95" s="3335"/>
      <c r="D95" s="3300"/>
      <c r="E95" s="754"/>
      <c r="F95" s="755"/>
      <c r="G95" s="755"/>
      <c r="H95" s="755"/>
      <c r="I95" s="755"/>
      <c r="J95" s="756"/>
      <c r="K95" s="756"/>
      <c r="L95" s="756"/>
      <c r="M95" s="756"/>
      <c r="N95" s="756"/>
      <c r="O95" s="756"/>
      <c r="P95" s="757"/>
      <c r="Q95" s="757"/>
      <c r="R95" s="756"/>
      <c r="S95" s="757"/>
      <c r="T95" s="756"/>
      <c r="U95" s="770"/>
      <c r="V95" s="756"/>
      <c r="W95" s="770"/>
      <c r="X95" s="758"/>
      <c r="Y95" s="756"/>
      <c r="Z95" s="683"/>
      <c r="AA95" s="683"/>
      <c r="AB95" s="683"/>
      <c r="AC95" s="759"/>
      <c r="AD95" s="759"/>
      <c r="AE95" s="760"/>
    </row>
    <row r="96" spans="1:31" ht="16.5">
      <c r="A96" s="670">
        <v>91</v>
      </c>
      <c r="B96" s="3303"/>
      <c r="C96" s="3335"/>
      <c r="D96" s="3300"/>
      <c r="E96" s="754"/>
      <c r="F96" s="755"/>
      <c r="G96" s="755"/>
      <c r="H96" s="755"/>
      <c r="I96" s="755"/>
      <c r="J96" s="756"/>
      <c r="K96" s="756"/>
      <c r="L96" s="756"/>
      <c r="M96" s="756"/>
      <c r="N96" s="756"/>
      <c r="O96" s="756"/>
      <c r="P96" s="757"/>
      <c r="Q96" s="757"/>
      <c r="R96" s="756"/>
      <c r="S96" s="757"/>
      <c r="T96" s="756"/>
      <c r="U96" s="770"/>
      <c r="V96" s="756"/>
      <c r="W96" s="770"/>
      <c r="X96" s="758"/>
      <c r="Y96" s="756"/>
      <c r="Z96" s="683"/>
      <c r="AA96" s="683"/>
      <c r="AB96" s="683"/>
      <c r="AC96" s="759"/>
      <c r="AD96" s="759"/>
      <c r="AE96" s="760"/>
    </row>
    <row r="97" spans="1:31" ht="16.5">
      <c r="A97" s="670">
        <v>92</v>
      </c>
      <c r="B97" s="3303"/>
      <c r="C97" s="3335"/>
      <c r="D97" s="657" t="s">
        <v>3105</v>
      </c>
      <c r="E97" s="763"/>
      <c r="F97" s="763"/>
      <c r="G97" s="763"/>
      <c r="H97" s="763"/>
      <c r="I97" s="763"/>
      <c r="J97" s="763"/>
      <c r="K97" s="763"/>
      <c r="L97" s="763"/>
      <c r="M97" s="756">
        <f>SUM(M87:M96)</f>
        <v>0</v>
      </c>
      <c r="N97" s="756">
        <f>SUM(N87:N96)</f>
        <v>0</v>
      </c>
      <c r="O97" s="756">
        <f>SUM(O87:O96)</f>
        <v>0</v>
      </c>
      <c r="P97" s="756">
        <f>SUM(P87:P96)</f>
        <v>0</v>
      </c>
      <c r="Q97" s="763"/>
      <c r="R97" s="756">
        <f>SUM(R87:R96)</f>
        <v>0</v>
      </c>
      <c r="S97" s="763"/>
      <c r="T97" s="756">
        <f>SUM(T87:T96)</f>
        <v>0</v>
      </c>
      <c r="U97" s="756">
        <f>SUM(U87:U96)</f>
        <v>0</v>
      </c>
      <c r="V97" s="756">
        <f>SUM(V87:V96)</f>
        <v>0</v>
      </c>
      <c r="W97" s="756">
        <f>SUM(W87:W96)</f>
        <v>0</v>
      </c>
      <c r="X97" s="763"/>
      <c r="Y97" s="763"/>
      <c r="Z97" s="683"/>
      <c r="AA97" s="683"/>
      <c r="AB97" s="683"/>
      <c r="AC97" s="763"/>
      <c r="AD97" s="763"/>
      <c r="AE97" s="803"/>
    </row>
    <row r="98" spans="1:31" ht="16.5" customHeight="1">
      <c r="A98" s="670">
        <v>93</v>
      </c>
      <c r="B98" s="3303"/>
      <c r="C98" s="3335"/>
      <c r="D98" s="3307" t="s">
        <v>3109</v>
      </c>
      <c r="E98" s="754"/>
      <c r="F98" s="755"/>
      <c r="G98" s="755"/>
      <c r="H98" s="755"/>
      <c r="I98" s="755"/>
      <c r="J98" s="756"/>
      <c r="K98" s="756"/>
      <c r="L98" s="756"/>
      <c r="M98" s="756"/>
      <c r="N98" s="756"/>
      <c r="O98" s="756"/>
      <c r="P98" s="757"/>
      <c r="Q98" s="757"/>
      <c r="R98" s="756"/>
      <c r="S98" s="757"/>
      <c r="T98" s="756"/>
      <c r="U98" s="770"/>
      <c r="V98" s="756"/>
      <c r="W98" s="770"/>
      <c r="X98" s="758"/>
      <c r="Y98" s="756"/>
      <c r="Z98" s="683"/>
      <c r="AA98" s="683"/>
      <c r="AB98" s="683"/>
      <c r="AC98" s="759"/>
      <c r="AD98" s="759"/>
      <c r="AE98" s="760"/>
    </row>
    <row r="99" spans="1:31" ht="16.5">
      <c r="A99" s="670">
        <v>94</v>
      </c>
      <c r="B99" s="3303"/>
      <c r="C99" s="3335"/>
      <c r="D99" s="3307"/>
      <c r="E99" s="754"/>
      <c r="F99" s="755"/>
      <c r="G99" s="755"/>
      <c r="H99" s="755"/>
      <c r="I99" s="755"/>
      <c r="J99" s="756"/>
      <c r="K99" s="756"/>
      <c r="L99" s="756"/>
      <c r="M99" s="756"/>
      <c r="N99" s="756"/>
      <c r="O99" s="756"/>
      <c r="P99" s="757"/>
      <c r="Q99" s="757"/>
      <c r="R99" s="756"/>
      <c r="S99" s="757"/>
      <c r="T99" s="756"/>
      <c r="U99" s="770"/>
      <c r="V99" s="756"/>
      <c r="W99" s="770"/>
      <c r="X99" s="758"/>
      <c r="Y99" s="756"/>
      <c r="Z99" s="683"/>
      <c r="AA99" s="683"/>
      <c r="AB99" s="683"/>
      <c r="AC99" s="759"/>
      <c r="AD99" s="759"/>
      <c r="AE99" s="760"/>
    </row>
    <row r="100" spans="1:31" ht="16.5">
      <c r="A100" s="670">
        <v>95</v>
      </c>
      <c r="B100" s="3303"/>
      <c r="C100" s="3335"/>
      <c r="D100" s="3307"/>
      <c r="E100" s="754"/>
      <c r="F100" s="755"/>
      <c r="G100" s="755"/>
      <c r="H100" s="755"/>
      <c r="I100" s="755"/>
      <c r="J100" s="756"/>
      <c r="K100" s="756"/>
      <c r="L100" s="756"/>
      <c r="M100" s="756"/>
      <c r="N100" s="756"/>
      <c r="O100" s="756"/>
      <c r="P100" s="757"/>
      <c r="Q100" s="757"/>
      <c r="R100" s="756"/>
      <c r="S100" s="757"/>
      <c r="T100" s="756"/>
      <c r="U100" s="770"/>
      <c r="V100" s="756"/>
      <c r="W100" s="770"/>
      <c r="X100" s="758"/>
      <c r="Y100" s="756"/>
      <c r="Z100" s="683"/>
      <c r="AA100" s="683"/>
      <c r="AB100" s="683"/>
      <c r="AC100" s="759"/>
      <c r="AD100" s="759"/>
      <c r="AE100" s="760"/>
    </row>
    <row r="101" spans="1:31" ht="16.5">
      <c r="A101" s="670">
        <v>96</v>
      </c>
      <c r="B101" s="3303"/>
      <c r="C101" s="3335"/>
      <c r="D101" s="3307"/>
      <c r="E101" s="754"/>
      <c r="F101" s="755"/>
      <c r="G101" s="755"/>
      <c r="H101" s="755"/>
      <c r="I101" s="755"/>
      <c r="J101" s="756"/>
      <c r="K101" s="756"/>
      <c r="L101" s="756"/>
      <c r="M101" s="756"/>
      <c r="N101" s="756"/>
      <c r="O101" s="756"/>
      <c r="P101" s="757"/>
      <c r="Q101" s="757"/>
      <c r="R101" s="756"/>
      <c r="S101" s="757"/>
      <c r="T101" s="756"/>
      <c r="U101" s="770"/>
      <c r="V101" s="756"/>
      <c r="W101" s="770"/>
      <c r="X101" s="758"/>
      <c r="Y101" s="756"/>
      <c r="Z101" s="683"/>
      <c r="AA101" s="683"/>
      <c r="AB101" s="683"/>
      <c r="AC101" s="759"/>
      <c r="AD101" s="759"/>
      <c r="AE101" s="760"/>
    </row>
    <row r="102" spans="1:31" ht="16.5">
      <c r="A102" s="670">
        <v>97</v>
      </c>
      <c r="B102" s="3303"/>
      <c r="C102" s="3335"/>
      <c r="D102" s="3307"/>
      <c r="E102" s="754"/>
      <c r="F102" s="755"/>
      <c r="G102" s="755"/>
      <c r="H102" s="755"/>
      <c r="I102" s="755"/>
      <c r="J102" s="756"/>
      <c r="K102" s="756"/>
      <c r="L102" s="756"/>
      <c r="M102" s="756"/>
      <c r="N102" s="756"/>
      <c r="O102" s="756"/>
      <c r="P102" s="757"/>
      <c r="Q102" s="757"/>
      <c r="R102" s="756"/>
      <c r="S102" s="757"/>
      <c r="T102" s="756"/>
      <c r="U102" s="770"/>
      <c r="V102" s="756"/>
      <c r="W102" s="770"/>
      <c r="X102" s="758"/>
      <c r="Y102" s="756"/>
      <c r="Z102" s="683"/>
      <c r="AA102" s="683"/>
      <c r="AB102" s="683"/>
      <c r="AC102" s="759"/>
      <c r="AD102" s="759"/>
      <c r="AE102" s="760"/>
    </row>
    <row r="103" spans="1:31" ht="16.5">
      <c r="A103" s="670">
        <v>98</v>
      </c>
      <c r="B103" s="3303"/>
      <c r="C103" s="3335"/>
      <c r="D103" s="3307"/>
      <c r="E103" s="754"/>
      <c r="F103" s="755"/>
      <c r="G103" s="755"/>
      <c r="H103" s="755"/>
      <c r="I103" s="755"/>
      <c r="J103" s="756"/>
      <c r="K103" s="756"/>
      <c r="L103" s="756"/>
      <c r="M103" s="756"/>
      <c r="N103" s="756"/>
      <c r="O103" s="756"/>
      <c r="P103" s="757"/>
      <c r="Q103" s="757"/>
      <c r="R103" s="756"/>
      <c r="S103" s="757"/>
      <c r="T103" s="756"/>
      <c r="U103" s="770"/>
      <c r="V103" s="756"/>
      <c r="W103" s="770"/>
      <c r="X103" s="758"/>
      <c r="Y103" s="756"/>
      <c r="Z103" s="683"/>
      <c r="AA103" s="683"/>
      <c r="AB103" s="683"/>
      <c r="AC103" s="759"/>
      <c r="AD103" s="759"/>
      <c r="AE103" s="760"/>
    </row>
    <row r="104" spans="1:31" ht="16.5">
      <c r="A104" s="670">
        <v>99</v>
      </c>
      <c r="B104" s="3303"/>
      <c r="C104" s="3335"/>
      <c r="D104" s="3307"/>
      <c r="E104" s="754"/>
      <c r="F104" s="755"/>
      <c r="G104" s="755"/>
      <c r="H104" s="755"/>
      <c r="I104" s="755"/>
      <c r="J104" s="756"/>
      <c r="K104" s="756"/>
      <c r="L104" s="756"/>
      <c r="M104" s="756"/>
      <c r="N104" s="756"/>
      <c r="O104" s="756"/>
      <c r="P104" s="757"/>
      <c r="Q104" s="756"/>
      <c r="R104" s="756"/>
      <c r="S104" s="756"/>
      <c r="T104" s="756"/>
      <c r="U104" s="757"/>
      <c r="V104" s="756"/>
      <c r="W104" s="757"/>
      <c r="X104" s="758"/>
      <c r="Y104" s="756"/>
      <c r="Z104" s="683"/>
      <c r="AA104" s="683"/>
      <c r="AB104" s="683"/>
      <c r="AC104" s="759"/>
      <c r="AD104" s="759"/>
      <c r="AE104" s="760"/>
    </row>
    <row r="105" spans="1:31" ht="16.5">
      <c r="A105" s="670">
        <v>100</v>
      </c>
      <c r="B105" s="3303"/>
      <c r="C105" s="3335"/>
      <c r="D105" s="3307"/>
      <c r="E105" s="754"/>
      <c r="F105" s="755"/>
      <c r="G105" s="755"/>
      <c r="H105" s="755"/>
      <c r="I105" s="755"/>
      <c r="J105" s="756"/>
      <c r="K105" s="756"/>
      <c r="L105" s="756"/>
      <c r="M105" s="756"/>
      <c r="N105" s="756"/>
      <c r="O105" s="756"/>
      <c r="P105" s="757"/>
      <c r="Q105" s="756"/>
      <c r="R105" s="756"/>
      <c r="S105" s="756"/>
      <c r="T105" s="756"/>
      <c r="U105" s="757"/>
      <c r="V105" s="756"/>
      <c r="W105" s="757"/>
      <c r="X105" s="758"/>
      <c r="Y105" s="756"/>
      <c r="Z105" s="683"/>
      <c r="AA105" s="683"/>
      <c r="AB105" s="683"/>
      <c r="AC105" s="759"/>
      <c r="AD105" s="759"/>
      <c r="AE105" s="760"/>
    </row>
    <row r="106" spans="1:31" ht="16.5">
      <c r="A106" s="670">
        <v>101</v>
      </c>
      <c r="B106" s="3303"/>
      <c r="C106" s="3335"/>
      <c r="D106" s="3307"/>
      <c r="E106" s="754"/>
      <c r="F106" s="755"/>
      <c r="G106" s="755"/>
      <c r="H106" s="755"/>
      <c r="I106" s="755"/>
      <c r="J106" s="756"/>
      <c r="K106" s="756"/>
      <c r="L106" s="756"/>
      <c r="M106" s="756"/>
      <c r="N106" s="756"/>
      <c r="O106" s="756"/>
      <c r="P106" s="757"/>
      <c r="Q106" s="756"/>
      <c r="R106" s="756"/>
      <c r="S106" s="756"/>
      <c r="T106" s="756"/>
      <c r="U106" s="757"/>
      <c r="V106" s="756"/>
      <c r="W106" s="757"/>
      <c r="X106" s="758"/>
      <c r="Y106" s="756"/>
      <c r="Z106" s="683"/>
      <c r="AA106" s="683"/>
      <c r="AB106" s="683"/>
      <c r="AC106" s="759"/>
      <c r="AD106" s="759"/>
      <c r="AE106" s="760"/>
    </row>
    <row r="107" spans="1:31" ht="16.5">
      <c r="A107" s="670">
        <v>102</v>
      </c>
      <c r="B107" s="3303"/>
      <c r="C107" s="3335"/>
      <c r="D107" s="3307"/>
      <c r="E107" s="754"/>
      <c r="F107" s="755"/>
      <c r="G107" s="755"/>
      <c r="H107" s="755"/>
      <c r="I107" s="755"/>
      <c r="J107" s="756"/>
      <c r="K107" s="756"/>
      <c r="L107" s="756"/>
      <c r="M107" s="756"/>
      <c r="N107" s="756"/>
      <c r="O107" s="756"/>
      <c r="P107" s="757"/>
      <c r="Q107" s="756"/>
      <c r="R107" s="756"/>
      <c r="S107" s="756"/>
      <c r="T107" s="756"/>
      <c r="U107" s="757"/>
      <c r="V107" s="756"/>
      <c r="W107" s="757"/>
      <c r="X107" s="758"/>
      <c r="Y107" s="756"/>
      <c r="Z107" s="683"/>
      <c r="AA107" s="683"/>
      <c r="AB107" s="683"/>
      <c r="AC107" s="759"/>
      <c r="AD107" s="759"/>
      <c r="AE107" s="760"/>
    </row>
    <row r="108" spans="1:31" ht="17.25" thickBot="1">
      <c r="A108" s="670">
        <v>103</v>
      </c>
      <c r="B108" s="3303"/>
      <c r="C108" s="3336"/>
      <c r="D108" s="686" t="s">
        <v>3105</v>
      </c>
      <c r="E108" s="767"/>
      <c r="F108" s="767"/>
      <c r="G108" s="767"/>
      <c r="H108" s="767"/>
      <c r="I108" s="767"/>
      <c r="J108" s="767"/>
      <c r="K108" s="767"/>
      <c r="L108" s="767"/>
      <c r="M108" s="768">
        <f>SUM(M98:M107)</f>
        <v>0</v>
      </c>
      <c r="N108" s="768">
        <f>SUM(N98:N107)</f>
        <v>0</v>
      </c>
      <c r="O108" s="768">
        <f>SUM(O98:O107)</f>
        <v>0</v>
      </c>
      <c r="P108" s="768">
        <f>SUM(P98:P107)</f>
        <v>0</v>
      </c>
      <c r="Q108" s="767"/>
      <c r="R108" s="768">
        <f>SUM(R98:R107)</f>
        <v>0</v>
      </c>
      <c r="S108" s="763"/>
      <c r="T108" s="768">
        <f>SUM(T98:T107)</f>
        <v>0</v>
      </c>
      <c r="U108" s="768">
        <f>SUM(U98:U107)</f>
        <v>0</v>
      </c>
      <c r="V108" s="768">
        <f>SUM(V98:V107)</f>
        <v>0</v>
      </c>
      <c r="W108" s="768">
        <f>SUM(W98:W107)</f>
        <v>0</v>
      </c>
      <c r="X108" s="767"/>
      <c r="Y108" s="767"/>
      <c r="Z108" s="689"/>
      <c r="AA108" s="689"/>
      <c r="AB108" s="689"/>
      <c r="AC108" s="767"/>
      <c r="AD108" s="767"/>
      <c r="AE108" s="804"/>
    </row>
    <row r="109" spans="1:31" ht="16.5" customHeight="1">
      <c r="A109" s="670">
        <v>104</v>
      </c>
      <c r="B109" s="3303"/>
      <c r="C109" s="3286" t="s">
        <v>3113</v>
      </c>
      <c r="D109" s="3310" t="s">
        <v>3114</v>
      </c>
      <c r="E109" s="747"/>
      <c r="F109" s="748"/>
      <c r="G109" s="748"/>
      <c r="H109" s="748"/>
      <c r="I109" s="748"/>
      <c r="J109" s="749"/>
      <c r="K109" s="749"/>
      <c r="L109" s="749"/>
      <c r="M109" s="749"/>
      <c r="N109" s="749"/>
      <c r="O109" s="749"/>
      <c r="P109" s="750"/>
      <c r="Q109" s="749"/>
      <c r="R109" s="749"/>
      <c r="S109" s="749"/>
      <c r="T109" s="771"/>
      <c r="U109" s="750"/>
      <c r="V109" s="771"/>
      <c r="W109" s="750"/>
      <c r="X109" s="751"/>
      <c r="Y109" s="749"/>
      <c r="Z109" s="709"/>
      <c r="AA109" s="709"/>
      <c r="AB109" s="710"/>
      <c r="AC109" s="752"/>
      <c r="AD109" s="752"/>
      <c r="AE109" s="769"/>
    </row>
    <row r="110" spans="1:31" ht="16.5">
      <c r="A110" s="670">
        <v>105</v>
      </c>
      <c r="B110" s="3303"/>
      <c r="C110" s="3287"/>
      <c r="D110" s="3307"/>
      <c r="E110" s="754"/>
      <c r="F110" s="755"/>
      <c r="G110" s="755"/>
      <c r="H110" s="755"/>
      <c r="I110" s="755"/>
      <c r="J110" s="756"/>
      <c r="K110" s="756"/>
      <c r="L110" s="756"/>
      <c r="M110" s="756"/>
      <c r="N110" s="756"/>
      <c r="O110" s="756"/>
      <c r="P110" s="757"/>
      <c r="Q110" s="756"/>
      <c r="R110" s="756"/>
      <c r="S110" s="756"/>
      <c r="T110" s="770"/>
      <c r="U110" s="757"/>
      <c r="V110" s="770"/>
      <c r="W110" s="757"/>
      <c r="X110" s="758"/>
      <c r="Y110" s="756"/>
      <c r="Z110" s="683"/>
      <c r="AA110" s="683"/>
      <c r="AB110" s="683"/>
      <c r="AC110" s="759"/>
      <c r="AD110" s="759"/>
      <c r="AE110" s="760"/>
    </row>
    <row r="111" spans="1:31" ht="16.5">
      <c r="A111" s="670">
        <v>106</v>
      </c>
      <c r="B111" s="3303"/>
      <c r="C111" s="3287"/>
      <c r="D111" s="3307"/>
      <c r="E111" s="754"/>
      <c r="F111" s="755"/>
      <c r="G111" s="755"/>
      <c r="H111" s="755"/>
      <c r="I111" s="755"/>
      <c r="J111" s="756"/>
      <c r="K111" s="756"/>
      <c r="L111" s="756"/>
      <c r="M111" s="756"/>
      <c r="N111" s="756"/>
      <c r="O111" s="756"/>
      <c r="P111" s="757"/>
      <c r="Q111" s="756"/>
      <c r="R111" s="756"/>
      <c r="S111" s="756"/>
      <c r="T111" s="770"/>
      <c r="U111" s="757"/>
      <c r="V111" s="770"/>
      <c r="W111" s="757"/>
      <c r="X111" s="758"/>
      <c r="Y111" s="756"/>
      <c r="Z111" s="683"/>
      <c r="AA111" s="683"/>
      <c r="AB111" s="683"/>
      <c r="AC111" s="759"/>
      <c r="AD111" s="759"/>
      <c r="AE111" s="760"/>
    </row>
    <row r="112" spans="1:31" ht="16.5">
      <c r="A112" s="670">
        <v>107</v>
      </c>
      <c r="B112" s="3303"/>
      <c r="C112" s="3287"/>
      <c r="D112" s="3307"/>
      <c r="E112" s="754"/>
      <c r="F112" s="755"/>
      <c r="G112" s="755"/>
      <c r="H112" s="755"/>
      <c r="I112" s="755"/>
      <c r="J112" s="756"/>
      <c r="K112" s="756"/>
      <c r="L112" s="756"/>
      <c r="M112" s="756"/>
      <c r="N112" s="756"/>
      <c r="O112" s="756"/>
      <c r="P112" s="757"/>
      <c r="Q112" s="756"/>
      <c r="R112" s="756"/>
      <c r="S112" s="756"/>
      <c r="T112" s="770"/>
      <c r="U112" s="757"/>
      <c r="V112" s="770"/>
      <c r="W112" s="757"/>
      <c r="X112" s="758"/>
      <c r="Y112" s="756"/>
      <c r="Z112" s="683"/>
      <c r="AA112" s="683"/>
      <c r="AB112" s="683"/>
      <c r="AC112" s="759"/>
      <c r="AD112" s="759"/>
      <c r="AE112" s="760"/>
    </row>
    <row r="113" spans="1:31" ht="16.5">
      <c r="A113" s="670">
        <v>108</v>
      </c>
      <c r="B113" s="3303"/>
      <c r="C113" s="3287"/>
      <c r="D113" s="3307"/>
      <c r="E113" s="754"/>
      <c r="F113" s="755"/>
      <c r="G113" s="755"/>
      <c r="H113" s="755"/>
      <c r="I113" s="755"/>
      <c r="J113" s="756"/>
      <c r="K113" s="756"/>
      <c r="L113" s="756"/>
      <c r="M113" s="756"/>
      <c r="N113" s="756"/>
      <c r="O113" s="756"/>
      <c r="P113" s="757"/>
      <c r="Q113" s="756"/>
      <c r="R113" s="756"/>
      <c r="S113" s="756"/>
      <c r="T113" s="770"/>
      <c r="U113" s="757"/>
      <c r="V113" s="770"/>
      <c r="W113" s="757"/>
      <c r="X113" s="758"/>
      <c r="Y113" s="756"/>
      <c r="Z113" s="683"/>
      <c r="AA113" s="683"/>
      <c r="AB113" s="683"/>
      <c r="AC113" s="759"/>
      <c r="AD113" s="759"/>
      <c r="AE113" s="760"/>
    </row>
    <row r="114" spans="1:31" ht="16.5">
      <c r="A114" s="670">
        <v>109</v>
      </c>
      <c r="B114" s="3303"/>
      <c r="C114" s="3287"/>
      <c r="D114" s="3307"/>
      <c r="E114" s="754"/>
      <c r="F114" s="755"/>
      <c r="G114" s="755"/>
      <c r="H114" s="755"/>
      <c r="I114" s="755"/>
      <c r="J114" s="756"/>
      <c r="K114" s="756"/>
      <c r="L114" s="756"/>
      <c r="M114" s="756"/>
      <c r="N114" s="756"/>
      <c r="O114" s="756"/>
      <c r="P114" s="757"/>
      <c r="Q114" s="756"/>
      <c r="R114" s="756"/>
      <c r="S114" s="756"/>
      <c r="T114" s="770"/>
      <c r="U114" s="757"/>
      <c r="V114" s="770"/>
      <c r="W114" s="757"/>
      <c r="X114" s="758"/>
      <c r="Y114" s="756"/>
      <c r="Z114" s="683"/>
      <c r="AA114" s="683"/>
      <c r="AB114" s="683"/>
      <c r="AC114" s="759"/>
      <c r="AD114" s="759"/>
      <c r="AE114" s="760"/>
    </row>
    <row r="115" spans="1:31" ht="16.5">
      <c r="A115" s="670">
        <v>110</v>
      </c>
      <c r="B115" s="3303"/>
      <c r="C115" s="3287"/>
      <c r="D115" s="657"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63"/>
      <c r="Z115" s="683"/>
      <c r="AA115" s="683"/>
      <c r="AB115" s="683"/>
      <c r="AC115" s="763"/>
      <c r="AD115" s="763"/>
      <c r="AE115" s="803"/>
    </row>
    <row r="116" spans="1:31" ht="16.5" customHeight="1">
      <c r="A116" s="670">
        <v>111</v>
      </c>
      <c r="B116" s="3303"/>
      <c r="C116" s="3287"/>
      <c r="D116" s="3307" t="s">
        <v>3108</v>
      </c>
      <c r="E116" s="754"/>
      <c r="F116" s="755"/>
      <c r="G116" s="755"/>
      <c r="H116" s="755"/>
      <c r="I116" s="755"/>
      <c r="J116" s="756"/>
      <c r="K116" s="756"/>
      <c r="L116" s="756"/>
      <c r="M116" s="756"/>
      <c r="N116" s="756"/>
      <c r="O116" s="756"/>
      <c r="P116" s="757"/>
      <c r="Q116" s="756"/>
      <c r="R116" s="756"/>
      <c r="S116" s="756"/>
      <c r="T116" s="770"/>
      <c r="U116" s="757"/>
      <c r="V116" s="770"/>
      <c r="W116" s="757"/>
      <c r="X116" s="758"/>
      <c r="Y116" s="756"/>
      <c r="Z116" s="683"/>
      <c r="AA116" s="683"/>
      <c r="AB116" s="683"/>
      <c r="AC116" s="759"/>
      <c r="AD116" s="759"/>
      <c r="AE116" s="760"/>
    </row>
    <row r="117" spans="1:31" ht="16.5">
      <c r="A117" s="670">
        <v>112</v>
      </c>
      <c r="B117" s="3303"/>
      <c r="C117" s="3287"/>
      <c r="D117" s="3307"/>
      <c r="E117" s="754"/>
      <c r="F117" s="755"/>
      <c r="G117" s="755"/>
      <c r="H117" s="755"/>
      <c r="I117" s="755"/>
      <c r="J117" s="756"/>
      <c r="K117" s="756"/>
      <c r="L117" s="756"/>
      <c r="M117" s="756"/>
      <c r="N117" s="756"/>
      <c r="O117" s="756"/>
      <c r="P117" s="757"/>
      <c r="Q117" s="756"/>
      <c r="R117" s="756"/>
      <c r="S117" s="756"/>
      <c r="T117" s="770"/>
      <c r="U117" s="757"/>
      <c r="V117" s="770"/>
      <c r="W117" s="757"/>
      <c r="X117" s="758"/>
      <c r="Y117" s="756"/>
      <c r="Z117" s="683"/>
      <c r="AA117" s="683"/>
      <c r="AB117" s="683"/>
      <c r="AC117" s="759"/>
      <c r="AD117" s="759"/>
      <c r="AE117" s="760"/>
    </row>
    <row r="118" spans="1:31" ht="16.5">
      <c r="A118" s="670">
        <v>113</v>
      </c>
      <c r="B118" s="3303"/>
      <c r="C118" s="3287"/>
      <c r="D118" s="3307"/>
      <c r="E118" s="754"/>
      <c r="F118" s="755"/>
      <c r="G118" s="755"/>
      <c r="H118" s="755"/>
      <c r="I118" s="755"/>
      <c r="J118" s="756"/>
      <c r="K118" s="756"/>
      <c r="L118" s="756"/>
      <c r="M118" s="756"/>
      <c r="N118" s="756"/>
      <c r="O118" s="756"/>
      <c r="P118" s="757"/>
      <c r="Q118" s="756"/>
      <c r="R118" s="756"/>
      <c r="S118" s="756"/>
      <c r="T118" s="770"/>
      <c r="U118" s="757"/>
      <c r="V118" s="770"/>
      <c r="W118" s="757"/>
      <c r="X118" s="758"/>
      <c r="Y118" s="756"/>
      <c r="Z118" s="683"/>
      <c r="AA118" s="683"/>
      <c r="AB118" s="683"/>
      <c r="AC118" s="759"/>
      <c r="AD118" s="759"/>
      <c r="AE118" s="760"/>
    </row>
    <row r="119" spans="1:31" ht="16.5">
      <c r="A119" s="670">
        <v>114</v>
      </c>
      <c r="B119" s="3303"/>
      <c r="C119" s="3287"/>
      <c r="D119" s="3307"/>
      <c r="E119" s="754"/>
      <c r="F119" s="755"/>
      <c r="G119" s="755"/>
      <c r="H119" s="755"/>
      <c r="I119" s="755"/>
      <c r="J119" s="756"/>
      <c r="K119" s="756"/>
      <c r="L119" s="756"/>
      <c r="M119" s="756"/>
      <c r="N119" s="756"/>
      <c r="O119" s="756"/>
      <c r="P119" s="757"/>
      <c r="Q119" s="756"/>
      <c r="R119" s="756"/>
      <c r="S119" s="756"/>
      <c r="T119" s="770"/>
      <c r="U119" s="757"/>
      <c r="V119" s="770"/>
      <c r="W119" s="757"/>
      <c r="X119" s="758"/>
      <c r="Y119" s="756"/>
      <c r="Z119" s="683"/>
      <c r="AA119" s="683"/>
      <c r="AB119" s="683"/>
      <c r="AC119" s="759"/>
      <c r="AD119" s="759"/>
      <c r="AE119" s="760"/>
    </row>
    <row r="120" spans="1:31" ht="16.5" customHeight="1">
      <c r="A120" s="670">
        <v>115</v>
      </c>
      <c r="B120" s="3303"/>
      <c r="C120" s="3287"/>
      <c r="D120" s="3307"/>
      <c r="E120" s="754"/>
      <c r="F120" s="755"/>
      <c r="G120" s="755"/>
      <c r="H120" s="755"/>
      <c r="I120" s="755"/>
      <c r="J120" s="756"/>
      <c r="K120" s="756"/>
      <c r="L120" s="756"/>
      <c r="M120" s="756"/>
      <c r="N120" s="756"/>
      <c r="O120" s="756"/>
      <c r="P120" s="757"/>
      <c r="Q120" s="756"/>
      <c r="R120" s="756"/>
      <c r="S120" s="756"/>
      <c r="T120" s="770"/>
      <c r="U120" s="757"/>
      <c r="V120" s="770"/>
      <c r="W120" s="757"/>
      <c r="X120" s="758"/>
      <c r="Y120" s="756"/>
      <c r="Z120" s="683"/>
      <c r="AA120" s="683"/>
      <c r="AB120" s="683"/>
      <c r="AC120" s="759"/>
      <c r="AD120" s="759"/>
      <c r="AE120" s="760"/>
    </row>
    <row r="121" spans="1:31" ht="16.5" customHeight="1">
      <c r="A121" s="670">
        <v>116</v>
      </c>
      <c r="B121" s="3303"/>
      <c r="C121" s="3287"/>
      <c r="D121" s="3307"/>
      <c r="E121" s="754"/>
      <c r="F121" s="755"/>
      <c r="G121" s="755"/>
      <c r="H121" s="755"/>
      <c r="I121" s="755"/>
      <c r="J121" s="756"/>
      <c r="K121" s="756"/>
      <c r="L121" s="756"/>
      <c r="M121" s="756"/>
      <c r="N121" s="756"/>
      <c r="O121" s="756"/>
      <c r="P121" s="757"/>
      <c r="Q121" s="756"/>
      <c r="R121" s="756"/>
      <c r="S121" s="756"/>
      <c r="T121" s="770"/>
      <c r="U121" s="757"/>
      <c r="V121" s="770"/>
      <c r="W121" s="757"/>
      <c r="X121" s="758"/>
      <c r="Y121" s="756"/>
      <c r="Z121" s="683"/>
      <c r="AA121" s="683"/>
      <c r="AB121" s="683"/>
      <c r="AC121" s="759"/>
      <c r="AD121" s="759"/>
      <c r="AE121" s="760"/>
    </row>
    <row r="122" spans="1:31" ht="16.5">
      <c r="A122" s="670">
        <v>117</v>
      </c>
      <c r="B122" s="3303"/>
      <c r="C122" s="3287"/>
      <c r="D122" s="657" t="s">
        <v>3105</v>
      </c>
      <c r="E122" s="763"/>
      <c r="F122" s="763"/>
      <c r="G122" s="763"/>
      <c r="H122" s="763"/>
      <c r="I122" s="763"/>
      <c r="J122" s="763"/>
      <c r="K122" s="763"/>
      <c r="L122" s="763"/>
      <c r="M122" s="756">
        <f>SUM(M116:M121)</f>
        <v>0</v>
      </c>
      <c r="N122" s="756">
        <f>SUM(N116:N121)</f>
        <v>0</v>
      </c>
      <c r="O122" s="756">
        <f>SUM(O116:O121)</f>
        <v>0</v>
      </c>
      <c r="P122" s="756">
        <f>SUM(P116:P121)</f>
        <v>0</v>
      </c>
      <c r="Q122" s="763"/>
      <c r="R122" s="756">
        <f>SUM(R116:R121)</f>
        <v>0</v>
      </c>
      <c r="S122" s="763"/>
      <c r="T122" s="756">
        <f>SUM(T116:T121)</f>
        <v>0</v>
      </c>
      <c r="U122" s="756">
        <f>SUM(U116:U121)</f>
        <v>0</v>
      </c>
      <c r="V122" s="756">
        <f>SUM(V116:V121)</f>
        <v>0</v>
      </c>
      <c r="W122" s="756">
        <f>SUM(W116:W121)</f>
        <v>0</v>
      </c>
      <c r="X122" s="763"/>
      <c r="Y122" s="763"/>
      <c r="Z122" s="682"/>
      <c r="AA122" s="682"/>
      <c r="AB122" s="682"/>
      <c r="AC122" s="763"/>
      <c r="AD122" s="763"/>
      <c r="AE122" s="803"/>
    </row>
    <row r="123" spans="1:31" ht="16.5" customHeight="1">
      <c r="A123" s="670">
        <v>118</v>
      </c>
      <c r="B123" s="3303"/>
      <c r="C123" s="3287"/>
      <c r="D123" s="3307" t="s">
        <v>3109</v>
      </c>
      <c r="E123" s="754"/>
      <c r="F123" s="755"/>
      <c r="G123" s="755"/>
      <c r="H123" s="755"/>
      <c r="I123" s="755"/>
      <c r="J123" s="756"/>
      <c r="K123" s="756"/>
      <c r="L123" s="756"/>
      <c r="M123" s="756"/>
      <c r="N123" s="756"/>
      <c r="O123" s="756"/>
      <c r="P123" s="757"/>
      <c r="Q123" s="756"/>
      <c r="R123" s="756"/>
      <c r="S123" s="756"/>
      <c r="T123" s="770"/>
      <c r="U123" s="757"/>
      <c r="V123" s="770"/>
      <c r="W123" s="757"/>
      <c r="X123" s="758"/>
      <c r="Y123" s="756"/>
      <c r="Z123" s="683"/>
      <c r="AA123" s="683"/>
      <c r="AB123" s="683"/>
      <c r="AC123" s="759"/>
      <c r="AD123" s="759"/>
      <c r="AE123" s="760"/>
    </row>
    <row r="124" spans="1:31" ht="16.5">
      <c r="A124" s="670">
        <v>119</v>
      </c>
      <c r="B124" s="3303"/>
      <c r="C124" s="3287"/>
      <c r="D124" s="3307"/>
      <c r="E124" s="754"/>
      <c r="F124" s="755"/>
      <c r="G124" s="755"/>
      <c r="H124" s="755"/>
      <c r="I124" s="755"/>
      <c r="J124" s="756"/>
      <c r="K124" s="756"/>
      <c r="L124" s="756"/>
      <c r="M124" s="756"/>
      <c r="N124" s="756"/>
      <c r="O124" s="756"/>
      <c r="P124" s="757"/>
      <c r="Q124" s="756"/>
      <c r="R124" s="756"/>
      <c r="S124" s="756"/>
      <c r="T124" s="770"/>
      <c r="U124" s="757"/>
      <c r="V124" s="770"/>
      <c r="W124" s="757"/>
      <c r="X124" s="758"/>
      <c r="Y124" s="756"/>
      <c r="Z124" s="683"/>
      <c r="AA124" s="683"/>
      <c r="AB124" s="683"/>
      <c r="AC124" s="759"/>
      <c r="AD124" s="759"/>
      <c r="AE124" s="760"/>
    </row>
    <row r="125" spans="1:31" ht="16.5">
      <c r="A125" s="670">
        <v>120</v>
      </c>
      <c r="B125" s="3303"/>
      <c r="C125" s="3287"/>
      <c r="D125" s="3307"/>
      <c r="E125" s="754"/>
      <c r="F125" s="755"/>
      <c r="G125" s="755"/>
      <c r="H125" s="755"/>
      <c r="I125" s="755"/>
      <c r="J125" s="756"/>
      <c r="K125" s="756"/>
      <c r="L125" s="756"/>
      <c r="M125" s="756"/>
      <c r="N125" s="756"/>
      <c r="O125" s="756"/>
      <c r="P125" s="757"/>
      <c r="Q125" s="756"/>
      <c r="R125" s="756"/>
      <c r="S125" s="756"/>
      <c r="T125" s="770"/>
      <c r="U125" s="757"/>
      <c r="V125" s="770"/>
      <c r="W125" s="757"/>
      <c r="X125" s="758"/>
      <c r="Y125" s="756"/>
      <c r="Z125" s="683"/>
      <c r="AA125" s="683"/>
      <c r="AB125" s="683"/>
      <c r="AC125" s="759"/>
      <c r="AD125" s="759"/>
      <c r="AE125" s="760"/>
    </row>
    <row r="126" spans="1:31" ht="16.5">
      <c r="A126" s="670">
        <v>121</v>
      </c>
      <c r="B126" s="3303"/>
      <c r="C126" s="3287"/>
      <c r="D126" s="3307"/>
      <c r="E126" s="754"/>
      <c r="F126" s="755"/>
      <c r="G126" s="755"/>
      <c r="H126" s="755"/>
      <c r="I126" s="755"/>
      <c r="J126" s="756"/>
      <c r="K126" s="756"/>
      <c r="L126" s="756"/>
      <c r="M126" s="756"/>
      <c r="N126" s="756"/>
      <c r="O126" s="756"/>
      <c r="P126" s="757"/>
      <c r="Q126" s="756"/>
      <c r="R126" s="756"/>
      <c r="S126" s="756"/>
      <c r="T126" s="770"/>
      <c r="U126" s="757"/>
      <c r="V126" s="770"/>
      <c r="W126" s="757"/>
      <c r="X126" s="758"/>
      <c r="Y126" s="756"/>
      <c r="Z126" s="683"/>
      <c r="AA126" s="683"/>
      <c r="AB126" s="683"/>
      <c r="AC126" s="759"/>
      <c r="AD126" s="759"/>
      <c r="AE126" s="760"/>
    </row>
    <row r="127" spans="1:31" ht="16.5">
      <c r="A127" s="670">
        <v>122</v>
      </c>
      <c r="B127" s="3303"/>
      <c r="C127" s="3287"/>
      <c r="D127" s="3307"/>
      <c r="E127" s="754"/>
      <c r="F127" s="755"/>
      <c r="G127" s="755"/>
      <c r="H127" s="755"/>
      <c r="I127" s="755"/>
      <c r="J127" s="756"/>
      <c r="K127" s="756"/>
      <c r="L127" s="756"/>
      <c r="M127" s="756"/>
      <c r="N127" s="756"/>
      <c r="O127" s="756"/>
      <c r="P127" s="757"/>
      <c r="Q127" s="756"/>
      <c r="R127" s="756"/>
      <c r="S127" s="756"/>
      <c r="T127" s="770"/>
      <c r="U127" s="757"/>
      <c r="V127" s="770"/>
      <c r="W127" s="757"/>
      <c r="X127" s="758"/>
      <c r="Y127" s="756"/>
      <c r="Z127" s="683"/>
      <c r="AA127" s="683"/>
      <c r="AB127" s="683"/>
      <c r="AC127" s="759"/>
      <c r="AD127" s="759"/>
      <c r="AE127" s="760"/>
    </row>
    <row r="128" spans="1:31" ht="16.5">
      <c r="A128" s="670">
        <v>123</v>
      </c>
      <c r="B128" s="3303"/>
      <c r="C128" s="3287"/>
      <c r="D128" s="3307"/>
      <c r="E128" s="754"/>
      <c r="F128" s="755"/>
      <c r="G128" s="755"/>
      <c r="H128" s="755"/>
      <c r="I128" s="755"/>
      <c r="J128" s="756"/>
      <c r="K128" s="756"/>
      <c r="L128" s="756"/>
      <c r="M128" s="756"/>
      <c r="N128" s="756"/>
      <c r="O128" s="756"/>
      <c r="P128" s="757"/>
      <c r="Q128" s="756"/>
      <c r="R128" s="756"/>
      <c r="S128" s="756"/>
      <c r="T128" s="770"/>
      <c r="U128" s="757"/>
      <c r="V128" s="770"/>
      <c r="W128" s="757"/>
      <c r="X128" s="758"/>
      <c r="Y128" s="756"/>
      <c r="Z128" s="683"/>
      <c r="AA128" s="683"/>
      <c r="AB128" s="683"/>
      <c r="AC128" s="759"/>
      <c r="AD128" s="759"/>
      <c r="AE128" s="760"/>
    </row>
    <row r="129" spans="1:31" ht="17.25" thickBot="1">
      <c r="A129" s="695">
        <v>124</v>
      </c>
      <c r="B129" s="3304"/>
      <c r="C129" s="3337"/>
      <c r="D129" s="679" t="s">
        <v>3105</v>
      </c>
      <c r="E129" s="818"/>
      <c r="F129" s="819"/>
      <c r="G129" s="819"/>
      <c r="H129" s="819"/>
      <c r="I129" s="819"/>
      <c r="J129" s="820"/>
      <c r="K129" s="820"/>
      <c r="L129" s="820"/>
      <c r="M129" s="821">
        <f>SUM(M123:M128)</f>
        <v>0</v>
      </c>
      <c r="N129" s="821">
        <f>SUM(N123:N128)</f>
        <v>0</v>
      </c>
      <c r="O129" s="821">
        <f>SUM(O123:O128)</f>
        <v>0</v>
      </c>
      <c r="P129" s="821">
        <f>SUM(P123:P128)</f>
        <v>0</v>
      </c>
      <c r="Q129" s="820"/>
      <c r="R129" s="821">
        <f>SUM(R123:R128)</f>
        <v>0</v>
      </c>
      <c r="S129" s="820"/>
      <c r="T129" s="821">
        <f>SUM(T123:T128)</f>
        <v>0</v>
      </c>
      <c r="U129" s="821">
        <f>SUM(U123:U128)</f>
        <v>0</v>
      </c>
      <c r="V129" s="821">
        <f>SUM(V123:V128)</f>
        <v>0</v>
      </c>
      <c r="W129" s="821">
        <f>SUM(W123:W128)</f>
        <v>0</v>
      </c>
      <c r="X129" s="820"/>
      <c r="Y129" s="820"/>
      <c r="Z129" s="682"/>
      <c r="AA129" s="682"/>
      <c r="AB129" s="682"/>
      <c r="AC129" s="820"/>
      <c r="AD129" s="820"/>
      <c r="AE129" s="817"/>
    </row>
    <row r="130" spans="1:31" ht="17.25" thickBot="1">
      <c r="A130" s="822">
        <v>125</v>
      </c>
      <c r="B130" s="3322" t="s">
        <v>3115</v>
      </c>
      <c r="C130" s="3323"/>
      <c r="D130" s="823"/>
      <c r="E130" s="824"/>
      <c r="F130" s="825"/>
      <c r="G130" s="825"/>
      <c r="H130" s="825"/>
      <c r="I130" s="825"/>
      <c r="J130" s="826"/>
      <c r="K130" s="826"/>
      <c r="L130" s="826"/>
      <c r="M130" s="827">
        <f>M129+M122+M115+M108+M97+M86+M75+M64+M53+M42+M31+M18</f>
        <v>0</v>
      </c>
      <c r="N130" s="827">
        <f t="shared" ref="N130:V130" si="0">N129+N122+N115+N108+N97+N86+N75+N64+N53+N42+N31+N18</f>
        <v>0</v>
      </c>
      <c r="O130" s="827">
        <f t="shared" si="0"/>
        <v>0</v>
      </c>
      <c r="P130" s="827">
        <f t="shared" si="0"/>
        <v>0</v>
      </c>
      <c r="Q130" s="826"/>
      <c r="R130" s="827">
        <f t="shared" si="0"/>
        <v>0</v>
      </c>
      <c r="S130" s="826"/>
      <c r="T130" s="827">
        <f>T129+T122+T115+T108+T97+T86+T75+T64+T53+T42+T31+T18</f>
        <v>0</v>
      </c>
      <c r="U130" s="827">
        <f t="shared" si="0"/>
        <v>0</v>
      </c>
      <c r="V130" s="827">
        <f t="shared" si="0"/>
        <v>0</v>
      </c>
      <c r="W130" s="827">
        <f>W129+W122+W115+W108+W97+W86+W75+W64+W53+W42+W31+W18</f>
        <v>0</v>
      </c>
      <c r="X130" s="828"/>
      <c r="Y130" s="826"/>
      <c r="Z130" s="706"/>
      <c r="AA130" s="706"/>
      <c r="AB130" s="706"/>
      <c r="AC130" s="829"/>
      <c r="AD130" s="829"/>
      <c r="AE130" s="830"/>
    </row>
    <row r="131" spans="1:31" ht="16.5" customHeight="1">
      <c r="A131" s="831">
        <v>126</v>
      </c>
      <c r="B131" s="3359" t="s">
        <v>3144</v>
      </c>
      <c r="C131" s="3286" t="s">
        <v>3117</v>
      </c>
      <c r="D131" s="3331" t="s">
        <v>3118</v>
      </c>
      <c r="E131" s="747"/>
      <c r="F131" s="748"/>
      <c r="G131" s="748"/>
      <c r="H131" s="748"/>
      <c r="I131" s="748"/>
      <c r="J131" s="749"/>
      <c r="K131" s="749"/>
      <c r="L131" s="749"/>
      <c r="M131" s="749"/>
      <c r="N131" s="749"/>
      <c r="O131" s="749"/>
      <c r="P131" s="750"/>
      <c r="Q131" s="749"/>
      <c r="R131" s="749"/>
      <c r="S131" s="749"/>
      <c r="T131" s="752"/>
      <c r="U131" s="752"/>
      <c r="V131" s="752"/>
      <c r="W131" s="752"/>
      <c r="X131" s="783"/>
      <c r="Y131" s="784"/>
      <c r="Z131" s="709"/>
      <c r="AA131" s="709"/>
      <c r="AB131" s="710"/>
      <c r="AC131" s="752"/>
      <c r="AD131" s="752"/>
      <c r="AE131" s="753"/>
    </row>
    <row r="132" spans="1:31" ht="16.5" customHeight="1">
      <c r="A132" s="670">
        <v>127</v>
      </c>
      <c r="B132" s="3360"/>
      <c r="C132" s="3287"/>
      <c r="D132" s="3307"/>
      <c r="E132" s="754"/>
      <c r="F132" s="755"/>
      <c r="G132" s="755"/>
      <c r="H132" s="755"/>
      <c r="I132" s="755"/>
      <c r="J132" s="756"/>
      <c r="K132" s="756"/>
      <c r="L132" s="756"/>
      <c r="M132" s="756"/>
      <c r="N132" s="756"/>
      <c r="O132" s="756"/>
      <c r="P132" s="757"/>
      <c r="Q132" s="756"/>
      <c r="R132" s="756"/>
      <c r="S132" s="756"/>
      <c r="T132" s="759"/>
      <c r="U132" s="759"/>
      <c r="V132" s="759"/>
      <c r="W132" s="759"/>
      <c r="X132" s="763"/>
      <c r="Y132" s="786"/>
      <c r="Z132" s="682"/>
      <c r="AA132" s="682"/>
      <c r="AB132" s="683"/>
      <c r="AC132" s="759"/>
      <c r="AD132" s="759"/>
      <c r="AE132" s="760"/>
    </row>
    <row r="133" spans="1:31" ht="16.5" customHeight="1">
      <c r="A133" s="670">
        <v>128</v>
      </c>
      <c r="B133" s="3360"/>
      <c r="C133" s="3287"/>
      <c r="D133" s="3307"/>
      <c r="E133" s="754"/>
      <c r="F133" s="755"/>
      <c r="G133" s="755"/>
      <c r="H133" s="755"/>
      <c r="I133" s="755"/>
      <c r="J133" s="756"/>
      <c r="K133" s="756"/>
      <c r="L133" s="756"/>
      <c r="M133" s="756"/>
      <c r="N133" s="756"/>
      <c r="O133" s="756"/>
      <c r="P133" s="757"/>
      <c r="Q133" s="756"/>
      <c r="R133" s="756"/>
      <c r="S133" s="756"/>
      <c r="T133" s="759"/>
      <c r="U133" s="759"/>
      <c r="V133" s="759"/>
      <c r="W133" s="759"/>
      <c r="X133" s="763"/>
      <c r="Y133" s="786"/>
      <c r="Z133" s="682"/>
      <c r="AA133" s="682"/>
      <c r="AB133" s="683"/>
      <c r="AC133" s="759"/>
      <c r="AD133" s="759"/>
      <c r="AE133" s="760"/>
    </row>
    <row r="134" spans="1:31" ht="16.5" customHeight="1">
      <c r="A134" s="670">
        <v>129</v>
      </c>
      <c r="B134" s="3360"/>
      <c r="C134" s="3287"/>
      <c r="D134" s="3307"/>
      <c r="E134" s="754"/>
      <c r="F134" s="755"/>
      <c r="G134" s="755"/>
      <c r="H134" s="755"/>
      <c r="I134" s="755"/>
      <c r="J134" s="756"/>
      <c r="K134" s="756"/>
      <c r="L134" s="756"/>
      <c r="M134" s="756"/>
      <c r="N134" s="756"/>
      <c r="O134" s="756"/>
      <c r="P134" s="757"/>
      <c r="Q134" s="756"/>
      <c r="R134" s="756"/>
      <c r="S134" s="756"/>
      <c r="T134" s="759"/>
      <c r="U134" s="759"/>
      <c r="V134" s="759"/>
      <c r="W134" s="759"/>
      <c r="X134" s="763"/>
      <c r="Y134" s="786"/>
      <c r="Z134" s="682"/>
      <c r="AA134" s="682"/>
      <c r="AB134" s="683"/>
      <c r="AC134" s="759"/>
      <c r="AD134" s="759"/>
      <c r="AE134" s="760"/>
    </row>
    <row r="135" spans="1:31" ht="16.5" customHeight="1">
      <c r="A135" s="670">
        <v>130</v>
      </c>
      <c r="B135" s="3360"/>
      <c r="C135" s="3287"/>
      <c r="D135" s="3307"/>
      <c r="E135" s="754"/>
      <c r="F135" s="755"/>
      <c r="G135" s="755"/>
      <c r="H135" s="755"/>
      <c r="I135" s="755"/>
      <c r="J135" s="756"/>
      <c r="K135" s="756"/>
      <c r="L135" s="756"/>
      <c r="M135" s="756"/>
      <c r="N135" s="756"/>
      <c r="O135" s="756"/>
      <c r="P135" s="757"/>
      <c r="Q135" s="756"/>
      <c r="R135" s="756"/>
      <c r="S135" s="756"/>
      <c r="T135" s="759"/>
      <c r="U135" s="759"/>
      <c r="V135" s="759"/>
      <c r="W135" s="759"/>
      <c r="X135" s="763"/>
      <c r="Y135" s="786"/>
      <c r="Z135" s="682"/>
      <c r="AA135" s="682"/>
      <c r="AB135" s="683"/>
      <c r="AC135" s="759"/>
      <c r="AD135" s="759"/>
      <c r="AE135" s="760"/>
    </row>
    <row r="136" spans="1:31" ht="16.5" customHeight="1">
      <c r="A136" s="670">
        <v>131</v>
      </c>
      <c r="B136" s="3360"/>
      <c r="C136" s="3287"/>
      <c r="D136" s="3307"/>
      <c r="E136" s="754"/>
      <c r="F136" s="755"/>
      <c r="G136" s="755"/>
      <c r="H136" s="755"/>
      <c r="I136" s="755"/>
      <c r="J136" s="756"/>
      <c r="K136" s="756"/>
      <c r="L136" s="756"/>
      <c r="M136" s="756"/>
      <c r="N136" s="756"/>
      <c r="O136" s="756"/>
      <c r="P136" s="757"/>
      <c r="Q136" s="756"/>
      <c r="R136" s="756"/>
      <c r="S136" s="756"/>
      <c r="T136" s="759"/>
      <c r="U136" s="759"/>
      <c r="V136" s="759"/>
      <c r="W136" s="759"/>
      <c r="X136" s="763"/>
      <c r="Y136" s="786"/>
      <c r="Z136" s="682"/>
      <c r="AA136" s="682"/>
      <c r="AB136" s="683"/>
      <c r="AC136" s="759"/>
      <c r="AD136" s="759"/>
      <c r="AE136" s="760"/>
    </row>
    <row r="137" spans="1:31" ht="16.5" customHeight="1">
      <c r="A137" s="670">
        <v>132</v>
      </c>
      <c r="B137" s="3360"/>
      <c r="C137" s="3287"/>
      <c r="D137" s="711" t="s">
        <v>3105</v>
      </c>
      <c r="E137" s="763"/>
      <c r="F137" s="763"/>
      <c r="G137" s="763"/>
      <c r="H137" s="763"/>
      <c r="I137" s="763"/>
      <c r="J137" s="763"/>
      <c r="K137" s="763"/>
      <c r="L137" s="763"/>
      <c r="M137" s="756">
        <f>SUM(M131:M136)</f>
        <v>0</v>
      </c>
      <c r="N137" s="756">
        <f>SUM(N131:N136)</f>
        <v>0</v>
      </c>
      <c r="O137" s="756">
        <f>SUM(O131:O136)</f>
        <v>0</v>
      </c>
      <c r="P137" s="756">
        <f>SUM(P131:P136)</f>
        <v>0</v>
      </c>
      <c r="Q137" s="763"/>
      <c r="R137" s="756">
        <f>SUM(R131:R136)</f>
        <v>0</v>
      </c>
      <c r="S137" s="763"/>
      <c r="T137" s="756">
        <f>SUM(T131:T136)</f>
        <v>0</v>
      </c>
      <c r="U137" s="756">
        <f>SUM(U131:U136)</f>
        <v>0</v>
      </c>
      <c r="V137" s="756">
        <f>SUM(V131:V136)</f>
        <v>0</v>
      </c>
      <c r="W137" s="756">
        <f>SUM(W131:W136)</f>
        <v>0</v>
      </c>
      <c r="X137" s="763"/>
      <c r="Y137" s="786"/>
      <c r="Z137" s="682"/>
      <c r="AA137" s="682"/>
      <c r="AB137" s="683"/>
      <c r="AC137" s="786"/>
      <c r="AD137" s="786"/>
      <c r="AE137" s="832"/>
    </row>
    <row r="138" spans="1:31" ht="16.5" customHeight="1">
      <c r="A138" s="670">
        <v>133</v>
      </c>
      <c r="B138" s="3360"/>
      <c r="C138" s="3287"/>
      <c r="D138" s="3307" t="s">
        <v>3119</v>
      </c>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682"/>
      <c r="AA138" s="682"/>
      <c r="AB138" s="683"/>
      <c r="AC138" s="759"/>
      <c r="AD138" s="759"/>
      <c r="AE138" s="760"/>
    </row>
    <row r="139" spans="1:31" ht="16.5" customHeight="1">
      <c r="A139" s="670">
        <v>134</v>
      </c>
      <c r="B139" s="3360"/>
      <c r="C139" s="3287"/>
      <c r="D139" s="3307"/>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682"/>
      <c r="AA139" s="682"/>
      <c r="AB139" s="683"/>
      <c r="AC139" s="759"/>
      <c r="AD139" s="759"/>
      <c r="AE139" s="760"/>
    </row>
    <row r="140" spans="1:31" ht="16.5" customHeight="1">
      <c r="A140" s="670">
        <v>135</v>
      </c>
      <c r="B140" s="3360"/>
      <c r="C140" s="3287"/>
      <c r="D140" s="3307"/>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682"/>
      <c r="AA140" s="682"/>
      <c r="AB140" s="683"/>
      <c r="AC140" s="759"/>
      <c r="AD140" s="759"/>
      <c r="AE140" s="760"/>
    </row>
    <row r="141" spans="1:31" ht="16.5" customHeight="1">
      <c r="A141" s="670">
        <v>136</v>
      </c>
      <c r="B141" s="3360"/>
      <c r="C141" s="3287"/>
      <c r="D141" s="3307"/>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682"/>
      <c r="AA141" s="682"/>
      <c r="AB141" s="683"/>
      <c r="AC141" s="759"/>
      <c r="AD141" s="759"/>
      <c r="AE141" s="760"/>
    </row>
    <row r="142" spans="1:31" ht="16.5">
      <c r="A142" s="670">
        <v>137</v>
      </c>
      <c r="B142" s="3360"/>
      <c r="C142" s="3287"/>
      <c r="D142" s="3307"/>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682"/>
      <c r="AA142" s="682"/>
      <c r="AB142" s="683"/>
      <c r="AC142" s="759"/>
      <c r="AD142" s="759"/>
      <c r="AE142" s="760"/>
    </row>
    <row r="143" spans="1:31" ht="16.5">
      <c r="A143" s="670">
        <v>138</v>
      </c>
      <c r="B143" s="3360"/>
      <c r="C143" s="3287"/>
      <c r="D143" s="3307"/>
      <c r="E143" s="754"/>
      <c r="F143" s="755"/>
      <c r="G143" s="755"/>
      <c r="H143" s="755"/>
      <c r="I143" s="755"/>
      <c r="J143" s="756"/>
      <c r="K143" s="756"/>
      <c r="L143" s="756"/>
      <c r="M143" s="756"/>
      <c r="N143" s="756"/>
      <c r="O143" s="756"/>
      <c r="P143" s="757"/>
      <c r="Q143" s="756"/>
      <c r="R143" s="756"/>
      <c r="S143" s="756"/>
      <c r="T143" s="759"/>
      <c r="U143" s="759"/>
      <c r="V143" s="759"/>
      <c r="W143" s="759"/>
      <c r="X143" s="763"/>
      <c r="Y143" s="786"/>
      <c r="Z143" s="682"/>
      <c r="AA143" s="682"/>
      <c r="AB143" s="683"/>
      <c r="AC143" s="759"/>
      <c r="AD143" s="759"/>
      <c r="AE143" s="760"/>
    </row>
    <row r="144" spans="1:31" ht="17.25" thickBot="1">
      <c r="A144" s="670">
        <v>139</v>
      </c>
      <c r="B144" s="3360"/>
      <c r="C144" s="3288"/>
      <c r="D144" s="787" t="s">
        <v>3105</v>
      </c>
      <c r="E144" s="767"/>
      <c r="F144" s="767"/>
      <c r="G144" s="767"/>
      <c r="H144" s="767"/>
      <c r="I144" s="767"/>
      <c r="J144" s="767"/>
      <c r="K144" s="767"/>
      <c r="L144" s="767"/>
      <c r="M144" s="768">
        <f>SUM(M138:M143)</f>
        <v>0</v>
      </c>
      <c r="N144" s="768">
        <f>SUM(N138:N143)</f>
        <v>0</v>
      </c>
      <c r="O144" s="768">
        <f>SUM(O138:O143)</f>
        <v>0</v>
      </c>
      <c r="P144" s="768">
        <f>SUM(P138:P143)</f>
        <v>0</v>
      </c>
      <c r="Q144" s="767"/>
      <c r="R144" s="768">
        <f>SUM(R138:R143)</f>
        <v>0</v>
      </c>
      <c r="S144" s="763"/>
      <c r="T144" s="768">
        <f>SUM(T138:T143)</f>
        <v>0</v>
      </c>
      <c r="U144" s="768">
        <f>SUM(U138:U143)</f>
        <v>0</v>
      </c>
      <c r="V144" s="768">
        <f>SUM(V138:V143)</f>
        <v>0</v>
      </c>
      <c r="W144" s="768">
        <f>SUM(W138:W143)</f>
        <v>0</v>
      </c>
      <c r="X144" s="767"/>
      <c r="Y144" s="788"/>
      <c r="Z144" s="689"/>
      <c r="AA144" s="689"/>
      <c r="AB144" s="714"/>
      <c r="AC144" s="788"/>
      <c r="AD144" s="788"/>
      <c r="AE144" s="833"/>
    </row>
    <row r="145" spans="1:31" ht="16.5" customHeight="1">
      <c r="A145" s="670">
        <v>140</v>
      </c>
      <c r="B145" s="3360"/>
      <c r="C145" s="3326" t="s">
        <v>3110</v>
      </c>
      <c r="D145" s="3310" t="s">
        <v>3120</v>
      </c>
      <c r="E145" s="747"/>
      <c r="F145" s="748"/>
      <c r="G145" s="748"/>
      <c r="H145" s="748"/>
      <c r="I145" s="748"/>
      <c r="J145" s="749"/>
      <c r="K145" s="749"/>
      <c r="L145" s="749"/>
      <c r="M145" s="749"/>
      <c r="N145" s="749"/>
      <c r="O145" s="749"/>
      <c r="P145" s="750"/>
      <c r="Q145" s="749"/>
      <c r="R145" s="749"/>
      <c r="S145" s="749"/>
      <c r="T145" s="752"/>
      <c r="U145" s="752"/>
      <c r="V145" s="752"/>
      <c r="W145" s="752"/>
      <c r="X145" s="789"/>
      <c r="Y145" s="784"/>
      <c r="Z145" s="715"/>
      <c r="AA145" s="715"/>
      <c r="AB145" s="710"/>
      <c r="AC145" s="752"/>
      <c r="AD145" s="752"/>
      <c r="AE145" s="769"/>
    </row>
    <row r="146" spans="1:31" ht="16.5">
      <c r="A146" s="670">
        <v>141</v>
      </c>
      <c r="B146" s="3360"/>
      <c r="C146" s="3327"/>
      <c r="D146" s="3329"/>
      <c r="E146" s="754"/>
      <c r="F146" s="755"/>
      <c r="G146" s="755"/>
      <c r="H146" s="755"/>
      <c r="I146" s="755"/>
      <c r="J146" s="756"/>
      <c r="K146" s="756"/>
      <c r="L146" s="756"/>
      <c r="M146" s="756"/>
      <c r="N146" s="756"/>
      <c r="O146" s="756"/>
      <c r="P146" s="757"/>
      <c r="Q146" s="757"/>
      <c r="R146" s="756"/>
      <c r="S146" s="757"/>
      <c r="T146" s="759"/>
      <c r="U146" s="759"/>
      <c r="V146" s="759"/>
      <c r="W146" s="759"/>
      <c r="X146" s="763"/>
      <c r="Y146" s="790"/>
      <c r="Z146" s="682"/>
      <c r="AA146" s="682"/>
      <c r="AB146" s="716"/>
      <c r="AC146" s="759"/>
      <c r="AD146" s="759"/>
      <c r="AE146" s="760"/>
    </row>
    <row r="147" spans="1:31" ht="16.5">
      <c r="A147" s="670">
        <v>142</v>
      </c>
      <c r="B147" s="3360"/>
      <c r="C147" s="3327"/>
      <c r="D147" s="3329"/>
      <c r="E147" s="754"/>
      <c r="F147" s="755"/>
      <c r="G147" s="755"/>
      <c r="H147" s="755"/>
      <c r="I147" s="755"/>
      <c r="J147" s="756"/>
      <c r="K147" s="756"/>
      <c r="L147" s="756"/>
      <c r="M147" s="756"/>
      <c r="N147" s="756"/>
      <c r="O147" s="756"/>
      <c r="P147" s="757"/>
      <c r="Q147" s="757"/>
      <c r="R147" s="756"/>
      <c r="S147" s="757"/>
      <c r="T147" s="759"/>
      <c r="U147" s="759"/>
      <c r="V147" s="759"/>
      <c r="W147" s="759"/>
      <c r="X147" s="763"/>
      <c r="Y147" s="790"/>
      <c r="Z147" s="682"/>
      <c r="AA147" s="682"/>
      <c r="AB147" s="716"/>
      <c r="AC147" s="759"/>
      <c r="AD147" s="759"/>
      <c r="AE147" s="760"/>
    </row>
    <row r="148" spans="1:31" ht="16.5">
      <c r="A148" s="670">
        <v>143</v>
      </c>
      <c r="B148" s="3360"/>
      <c r="C148" s="3327"/>
      <c r="D148" s="3329"/>
      <c r="E148" s="754"/>
      <c r="F148" s="755"/>
      <c r="G148" s="755"/>
      <c r="H148" s="755"/>
      <c r="I148" s="755"/>
      <c r="J148" s="756"/>
      <c r="K148" s="756"/>
      <c r="L148" s="756"/>
      <c r="M148" s="756"/>
      <c r="N148" s="756"/>
      <c r="O148" s="756"/>
      <c r="P148" s="757"/>
      <c r="Q148" s="757"/>
      <c r="R148" s="756"/>
      <c r="S148" s="757"/>
      <c r="T148" s="759"/>
      <c r="U148" s="759"/>
      <c r="V148" s="759"/>
      <c r="W148" s="759"/>
      <c r="X148" s="763"/>
      <c r="Y148" s="790"/>
      <c r="Z148" s="682"/>
      <c r="AA148" s="682"/>
      <c r="AB148" s="716"/>
      <c r="AC148" s="759"/>
      <c r="AD148" s="759"/>
      <c r="AE148" s="760"/>
    </row>
    <row r="149" spans="1:31" ht="16.5">
      <c r="A149" s="670">
        <v>144</v>
      </c>
      <c r="B149" s="3360"/>
      <c r="C149" s="3327"/>
      <c r="D149" s="3329"/>
      <c r="E149" s="754"/>
      <c r="F149" s="755"/>
      <c r="G149" s="755"/>
      <c r="H149" s="755"/>
      <c r="I149" s="755"/>
      <c r="J149" s="756"/>
      <c r="K149" s="756"/>
      <c r="L149" s="756"/>
      <c r="M149" s="756"/>
      <c r="N149" s="756"/>
      <c r="O149" s="756"/>
      <c r="P149" s="757"/>
      <c r="Q149" s="757"/>
      <c r="R149" s="756"/>
      <c r="S149" s="757"/>
      <c r="T149" s="759"/>
      <c r="U149" s="759"/>
      <c r="V149" s="759"/>
      <c r="W149" s="759"/>
      <c r="X149" s="763"/>
      <c r="Y149" s="790"/>
      <c r="Z149" s="682"/>
      <c r="AA149" s="682"/>
      <c r="AB149" s="716"/>
      <c r="AC149" s="759"/>
      <c r="AD149" s="759"/>
      <c r="AE149" s="760"/>
    </row>
    <row r="150" spans="1:31" ht="16.5">
      <c r="A150" s="670">
        <v>145</v>
      </c>
      <c r="B150" s="3360"/>
      <c r="C150" s="3327"/>
      <c r="D150" s="3329"/>
      <c r="E150" s="754"/>
      <c r="F150" s="755"/>
      <c r="G150" s="755"/>
      <c r="H150" s="755"/>
      <c r="I150" s="755"/>
      <c r="J150" s="756"/>
      <c r="K150" s="756"/>
      <c r="L150" s="756"/>
      <c r="M150" s="756"/>
      <c r="N150" s="756"/>
      <c r="O150" s="756"/>
      <c r="P150" s="757"/>
      <c r="Q150" s="757"/>
      <c r="R150" s="756"/>
      <c r="S150" s="757"/>
      <c r="T150" s="759"/>
      <c r="U150" s="759"/>
      <c r="V150" s="759"/>
      <c r="W150" s="759"/>
      <c r="X150" s="763"/>
      <c r="Y150" s="790"/>
      <c r="Z150" s="682"/>
      <c r="AA150" s="682"/>
      <c r="AB150" s="716"/>
      <c r="AC150" s="759"/>
      <c r="AD150" s="759"/>
      <c r="AE150" s="760"/>
    </row>
    <row r="151" spans="1:31" ht="16.5">
      <c r="A151" s="670">
        <v>146</v>
      </c>
      <c r="B151" s="3360"/>
      <c r="C151" s="3327"/>
      <c r="D151" s="717" t="s">
        <v>3121</v>
      </c>
      <c r="E151" s="763"/>
      <c r="F151" s="763"/>
      <c r="G151" s="763"/>
      <c r="H151" s="763"/>
      <c r="I151" s="763"/>
      <c r="J151" s="763"/>
      <c r="K151" s="763"/>
      <c r="L151" s="763"/>
      <c r="M151" s="756">
        <f>SUM(M145:M150)</f>
        <v>0</v>
      </c>
      <c r="N151" s="756">
        <f>SUM(N145:N150)</f>
        <v>0</v>
      </c>
      <c r="O151" s="756">
        <f>SUM(O145:O150)</f>
        <v>0</v>
      </c>
      <c r="P151" s="756">
        <f>SUM(P145:P150)</f>
        <v>0</v>
      </c>
      <c r="Q151" s="763"/>
      <c r="R151" s="756">
        <f>SUM(R145:R150)</f>
        <v>0</v>
      </c>
      <c r="S151" s="763"/>
      <c r="T151" s="756">
        <f>SUM(T145:T150)</f>
        <v>0</v>
      </c>
      <c r="U151" s="756">
        <f>SUM(U145:U150)</f>
        <v>0</v>
      </c>
      <c r="V151" s="756">
        <f>SUM(V145:V150)</f>
        <v>0</v>
      </c>
      <c r="W151" s="756">
        <f>SUM(W145:W150)</f>
        <v>0</v>
      </c>
      <c r="X151" s="763"/>
      <c r="Y151" s="790"/>
      <c r="Z151" s="682"/>
      <c r="AA151" s="682"/>
      <c r="AB151" s="716"/>
      <c r="AC151" s="790"/>
      <c r="AD151" s="790"/>
      <c r="AE151" s="834"/>
    </row>
    <row r="152" spans="1:31" ht="17.649999999999999" customHeight="1">
      <c r="A152" s="670">
        <v>147</v>
      </c>
      <c r="B152" s="3360"/>
      <c r="C152" s="3327"/>
      <c r="D152" s="3300" t="s">
        <v>3118</v>
      </c>
      <c r="E152" s="754"/>
      <c r="F152" s="755"/>
      <c r="G152" s="755"/>
      <c r="H152" s="755"/>
      <c r="I152" s="755"/>
      <c r="J152" s="756"/>
      <c r="K152" s="756"/>
      <c r="L152" s="756"/>
      <c r="M152" s="756"/>
      <c r="N152" s="756"/>
      <c r="O152" s="756"/>
      <c r="P152" s="757"/>
      <c r="Q152" s="757"/>
      <c r="R152" s="756"/>
      <c r="S152" s="757"/>
      <c r="T152" s="759"/>
      <c r="U152" s="759"/>
      <c r="V152" s="759"/>
      <c r="W152" s="759"/>
      <c r="X152" s="763"/>
      <c r="Y152" s="790"/>
      <c r="Z152" s="682"/>
      <c r="AA152" s="682"/>
      <c r="AB152" s="716"/>
      <c r="AC152" s="759"/>
      <c r="AD152" s="759"/>
      <c r="AE152" s="760"/>
    </row>
    <row r="153" spans="1:31" ht="16.5">
      <c r="A153" s="670">
        <v>148</v>
      </c>
      <c r="B153" s="3360"/>
      <c r="C153" s="3327"/>
      <c r="D153" s="3300"/>
      <c r="E153" s="754"/>
      <c r="F153" s="755"/>
      <c r="G153" s="755"/>
      <c r="H153" s="755"/>
      <c r="I153" s="755"/>
      <c r="J153" s="756"/>
      <c r="K153" s="756"/>
      <c r="L153" s="756"/>
      <c r="M153" s="756"/>
      <c r="N153" s="756"/>
      <c r="O153" s="756"/>
      <c r="P153" s="757"/>
      <c r="Q153" s="757"/>
      <c r="R153" s="756"/>
      <c r="S153" s="757"/>
      <c r="T153" s="759"/>
      <c r="U153" s="759"/>
      <c r="V153" s="759"/>
      <c r="W153" s="759"/>
      <c r="X153" s="763"/>
      <c r="Y153" s="790"/>
      <c r="Z153" s="682"/>
      <c r="AA153" s="682"/>
      <c r="AB153" s="716"/>
      <c r="AC153" s="759"/>
      <c r="AD153" s="759"/>
      <c r="AE153" s="760"/>
    </row>
    <row r="154" spans="1:31" ht="16.5">
      <c r="A154" s="670">
        <v>149</v>
      </c>
      <c r="B154" s="3360"/>
      <c r="C154" s="3327"/>
      <c r="D154" s="3300"/>
      <c r="E154" s="754"/>
      <c r="F154" s="755"/>
      <c r="G154" s="755"/>
      <c r="H154" s="755"/>
      <c r="I154" s="755"/>
      <c r="J154" s="756"/>
      <c r="K154" s="756"/>
      <c r="L154" s="756"/>
      <c r="M154" s="756"/>
      <c r="N154" s="756"/>
      <c r="O154" s="756"/>
      <c r="P154" s="757"/>
      <c r="Q154" s="757"/>
      <c r="R154" s="756"/>
      <c r="S154" s="757"/>
      <c r="T154" s="759"/>
      <c r="U154" s="759"/>
      <c r="V154" s="759"/>
      <c r="W154" s="759"/>
      <c r="X154" s="763"/>
      <c r="Y154" s="790"/>
      <c r="Z154" s="682"/>
      <c r="AA154" s="682"/>
      <c r="AB154" s="716"/>
      <c r="AC154" s="759"/>
      <c r="AD154" s="759"/>
      <c r="AE154" s="760"/>
    </row>
    <row r="155" spans="1:31" ht="16.5">
      <c r="A155" s="670">
        <v>150</v>
      </c>
      <c r="B155" s="3360"/>
      <c r="C155" s="3327"/>
      <c r="D155" s="3300"/>
      <c r="E155" s="754"/>
      <c r="F155" s="755"/>
      <c r="G155" s="755"/>
      <c r="H155" s="755"/>
      <c r="I155" s="755"/>
      <c r="J155" s="756"/>
      <c r="K155" s="756"/>
      <c r="L155" s="756"/>
      <c r="M155" s="756"/>
      <c r="N155" s="756"/>
      <c r="O155" s="756"/>
      <c r="P155" s="757"/>
      <c r="Q155" s="757"/>
      <c r="R155" s="756"/>
      <c r="S155" s="757"/>
      <c r="T155" s="759"/>
      <c r="U155" s="759"/>
      <c r="V155" s="759"/>
      <c r="W155" s="759"/>
      <c r="X155" s="763"/>
      <c r="Y155" s="790"/>
      <c r="Z155" s="682"/>
      <c r="AA155" s="682"/>
      <c r="AB155" s="716"/>
      <c r="AC155" s="759"/>
      <c r="AD155" s="759"/>
      <c r="AE155" s="760"/>
    </row>
    <row r="156" spans="1:31" ht="16.5">
      <c r="A156" s="670">
        <v>151</v>
      </c>
      <c r="B156" s="3360"/>
      <c r="C156" s="3327"/>
      <c r="D156" s="3300"/>
      <c r="E156" s="754"/>
      <c r="F156" s="755"/>
      <c r="G156" s="755"/>
      <c r="H156" s="755"/>
      <c r="I156" s="755"/>
      <c r="J156" s="756"/>
      <c r="K156" s="756"/>
      <c r="L156" s="756"/>
      <c r="M156" s="756"/>
      <c r="N156" s="756"/>
      <c r="O156" s="756"/>
      <c r="P156" s="757"/>
      <c r="Q156" s="757"/>
      <c r="R156" s="756"/>
      <c r="S156" s="757"/>
      <c r="T156" s="759"/>
      <c r="U156" s="759"/>
      <c r="V156" s="759"/>
      <c r="W156" s="759"/>
      <c r="X156" s="763"/>
      <c r="Y156" s="790"/>
      <c r="Z156" s="682"/>
      <c r="AA156" s="682"/>
      <c r="AB156" s="716"/>
      <c r="AC156" s="759"/>
      <c r="AD156" s="759"/>
      <c r="AE156" s="760"/>
    </row>
    <row r="157" spans="1:31" ht="16.5">
      <c r="A157" s="670">
        <v>152</v>
      </c>
      <c r="B157" s="3360"/>
      <c r="C157" s="3327"/>
      <c r="D157" s="3300"/>
      <c r="E157" s="754"/>
      <c r="F157" s="755"/>
      <c r="G157" s="755"/>
      <c r="H157" s="755"/>
      <c r="I157" s="755"/>
      <c r="J157" s="756"/>
      <c r="K157" s="756"/>
      <c r="L157" s="756"/>
      <c r="M157" s="756"/>
      <c r="N157" s="756"/>
      <c r="O157" s="756"/>
      <c r="P157" s="757"/>
      <c r="Q157" s="757"/>
      <c r="R157" s="756"/>
      <c r="S157" s="757"/>
      <c r="T157" s="759"/>
      <c r="U157" s="759"/>
      <c r="V157" s="759"/>
      <c r="W157" s="759"/>
      <c r="X157" s="763"/>
      <c r="Y157" s="790"/>
      <c r="Z157" s="682"/>
      <c r="AA157" s="682"/>
      <c r="AB157" s="716"/>
      <c r="AC157" s="759"/>
      <c r="AD157" s="759"/>
      <c r="AE157" s="760"/>
    </row>
    <row r="158" spans="1:31" ht="16.5">
      <c r="A158" s="670">
        <v>153</v>
      </c>
      <c r="B158" s="3360"/>
      <c r="C158" s="3327"/>
      <c r="D158" s="711" t="s">
        <v>3105</v>
      </c>
      <c r="E158" s="763"/>
      <c r="F158" s="763"/>
      <c r="G158" s="763"/>
      <c r="H158" s="763"/>
      <c r="I158" s="763"/>
      <c r="J158" s="763"/>
      <c r="K158" s="763"/>
      <c r="L158" s="763"/>
      <c r="M158" s="756">
        <f>SUM(M152:M157)</f>
        <v>0</v>
      </c>
      <c r="N158" s="756">
        <f>SUM(N152:N157)</f>
        <v>0</v>
      </c>
      <c r="O158" s="756">
        <f>SUM(O152:O157)</f>
        <v>0</v>
      </c>
      <c r="P158" s="756">
        <f>SUM(P152:P157)</f>
        <v>0</v>
      </c>
      <c r="Q158" s="763"/>
      <c r="R158" s="756">
        <f>SUM(R152:R157)</f>
        <v>0</v>
      </c>
      <c r="S158" s="763"/>
      <c r="T158" s="756">
        <f>SUM(T152:T157)</f>
        <v>0</v>
      </c>
      <c r="U158" s="756">
        <f>SUM(U152:U157)</f>
        <v>0</v>
      </c>
      <c r="V158" s="756">
        <f>SUM(V152:V157)</f>
        <v>0</v>
      </c>
      <c r="W158" s="756">
        <f>SUM(W152:W157)</f>
        <v>0</v>
      </c>
      <c r="X158" s="763"/>
      <c r="Y158" s="790"/>
      <c r="Z158" s="682"/>
      <c r="AA158" s="682"/>
      <c r="AB158" s="716"/>
      <c r="AC158" s="790"/>
      <c r="AD158" s="790"/>
      <c r="AE158" s="834"/>
    </row>
    <row r="159" spans="1:31" ht="16.5" customHeight="1">
      <c r="A159" s="670">
        <v>154</v>
      </c>
      <c r="B159" s="3360"/>
      <c r="C159" s="3327"/>
      <c r="D159" s="3300" t="s">
        <v>3119</v>
      </c>
      <c r="E159" s="754"/>
      <c r="F159" s="755"/>
      <c r="G159" s="755"/>
      <c r="H159" s="755"/>
      <c r="I159" s="755"/>
      <c r="J159" s="756"/>
      <c r="K159" s="756"/>
      <c r="L159" s="756"/>
      <c r="M159" s="756"/>
      <c r="N159" s="756"/>
      <c r="O159" s="756"/>
      <c r="P159" s="757"/>
      <c r="Q159" s="757"/>
      <c r="R159" s="756"/>
      <c r="S159" s="757"/>
      <c r="T159" s="759"/>
      <c r="U159" s="759"/>
      <c r="V159" s="759"/>
      <c r="W159" s="759"/>
      <c r="X159" s="763"/>
      <c r="Y159" s="790"/>
      <c r="Z159" s="682"/>
      <c r="AA159" s="682"/>
      <c r="AB159" s="716"/>
      <c r="AC159" s="759"/>
      <c r="AD159" s="759"/>
      <c r="AE159" s="760"/>
    </row>
    <row r="160" spans="1:31" ht="15.75" customHeight="1">
      <c r="A160" s="670">
        <v>155</v>
      </c>
      <c r="B160" s="3360"/>
      <c r="C160" s="3327"/>
      <c r="D160" s="3300"/>
      <c r="E160" s="754"/>
      <c r="F160" s="755"/>
      <c r="G160" s="755"/>
      <c r="H160" s="755"/>
      <c r="I160" s="755"/>
      <c r="J160" s="756"/>
      <c r="K160" s="756"/>
      <c r="L160" s="756"/>
      <c r="M160" s="756"/>
      <c r="N160" s="756"/>
      <c r="O160" s="756"/>
      <c r="P160" s="757"/>
      <c r="Q160" s="756"/>
      <c r="R160" s="756"/>
      <c r="S160" s="756"/>
      <c r="T160" s="759"/>
      <c r="U160" s="759"/>
      <c r="V160" s="759"/>
      <c r="W160" s="759"/>
      <c r="X160" s="763"/>
      <c r="Y160" s="786"/>
      <c r="Z160" s="682"/>
      <c r="AA160" s="682"/>
      <c r="AB160" s="683"/>
      <c r="AC160" s="759"/>
      <c r="AD160" s="759"/>
      <c r="AE160" s="760"/>
    </row>
    <row r="161" spans="1:31" ht="15.75" customHeight="1">
      <c r="A161" s="670">
        <v>156</v>
      </c>
      <c r="B161" s="3360"/>
      <c r="C161" s="3327"/>
      <c r="D161" s="3300"/>
      <c r="E161" s="754"/>
      <c r="F161" s="755"/>
      <c r="G161" s="755"/>
      <c r="H161" s="755"/>
      <c r="I161" s="755"/>
      <c r="J161" s="756"/>
      <c r="K161" s="756"/>
      <c r="L161" s="756"/>
      <c r="M161" s="756"/>
      <c r="N161" s="756"/>
      <c r="O161" s="756"/>
      <c r="P161" s="757"/>
      <c r="Q161" s="756"/>
      <c r="R161" s="756"/>
      <c r="S161" s="756"/>
      <c r="T161" s="759"/>
      <c r="U161" s="759"/>
      <c r="V161" s="759"/>
      <c r="W161" s="759"/>
      <c r="X161" s="763"/>
      <c r="Y161" s="786"/>
      <c r="Z161" s="682"/>
      <c r="AA161" s="682"/>
      <c r="AB161" s="683"/>
      <c r="AC161" s="759"/>
      <c r="AD161" s="759"/>
      <c r="AE161" s="760"/>
    </row>
    <row r="162" spans="1:31" ht="16.5" customHeight="1">
      <c r="A162" s="670">
        <v>157</v>
      </c>
      <c r="B162" s="3360"/>
      <c r="C162" s="3327"/>
      <c r="D162" s="3300"/>
      <c r="E162" s="754"/>
      <c r="F162" s="755"/>
      <c r="G162" s="755"/>
      <c r="H162" s="755"/>
      <c r="I162" s="755"/>
      <c r="J162" s="756"/>
      <c r="K162" s="756"/>
      <c r="L162" s="756"/>
      <c r="M162" s="756"/>
      <c r="N162" s="756"/>
      <c r="O162" s="756"/>
      <c r="P162" s="757"/>
      <c r="Q162" s="756"/>
      <c r="R162" s="756"/>
      <c r="S162" s="756"/>
      <c r="T162" s="759"/>
      <c r="U162" s="759"/>
      <c r="V162" s="759"/>
      <c r="W162" s="759"/>
      <c r="X162" s="763"/>
      <c r="Y162" s="786"/>
      <c r="Z162" s="682"/>
      <c r="AA162" s="682"/>
      <c r="AB162" s="683"/>
      <c r="AC162" s="759"/>
      <c r="AD162" s="759"/>
      <c r="AE162" s="760"/>
    </row>
    <row r="163" spans="1:31" ht="16.5">
      <c r="A163" s="670">
        <v>158</v>
      </c>
      <c r="B163" s="3360"/>
      <c r="C163" s="3327"/>
      <c r="D163" s="3300"/>
      <c r="E163" s="754"/>
      <c r="F163" s="755"/>
      <c r="G163" s="755"/>
      <c r="H163" s="755"/>
      <c r="I163" s="755"/>
      <c r="J163" s="756"/>
      <c r="K163" s="756"/>
      <c r="L163" s="756"/>
      <c r="M163" s="756"/>
      <c r="N163" s="756"/>
      <c r="O163" s="756"/>
      <c r="P163" s="757"/>
      <c r="Q163" s="756"/>
      <c r="R163" s="756"/>
      <c r="S163" s="756"/>
      <c r="T163" s="759"/>
      <c r="U163" s="759"/>
      <c r="V163" s="759"/>
      <c r="W163" s="759"/>
      <c r="X163" s="763"/>
      <c r="Y163" s="786"/>
      <c r="Z163" s="682"/>
      <c r="AA163" s="682"/>
      <c r="AB163" s="683"/>
      <c r="AC163" s="759"/>
      <c r="AD163" s="759"/>
      <c r="AE163" s="760"/>
    </row>
    <row r="164" spans="1:31" ht="16.5">
      <c r="A164" s="670">
        <v>159</v>
      </c>
      <c r="B164" s="3360"/>
      <c r="C164" s="3327"/>
      <c r="D164" s="3300"/>
      <c r="E164" s="754"/>
      <c r="F164" s="755"/>
      <c r="G164" s="755"/>
      <c r="H164" s="755"/>
      <c r="I164" s="755"/>
      <c r="J164" s="756"/>
      <c r="K164" s="756"/>
      <c r="L164" s="756"/>
      <c r="M164" s="756"/>
      <c r="N164" s="756"/>
      <c r="O164" s="756"/>
      <c r="P164" s="757"/>
      <c r="Q164" s="756"/>
      <c r="R164" s="756"/>
      <c r="S164" s="756"/>
      <c r="T164" s="759"/>
      <c r="U164" s="759"/>
      <c r="V164" s="759"/>
      <c r="W164" s="759"/>
      <c r="X164" s="763"/>
      <c r="Y164" s="786"/>
      <c r="Z164" s="682"/>
      <c r="AA164" s="682"/>
      <c r="AB164" s="683"/>
      <c r="AC164" s="759"/>
      <c r="AD164" s="759"/>
      <c r="AE164" s="760"/>
    </row>
    <row r="165" spans="1:31" ht="17.25" thickBot="1">
      <c r="A165" s="670">
        <v>160</v>
      </c>
      <c r="B165" s="3360"/>
      <c r="C165" s="3328"/>
      <c r="D165" s="787" t="s">
        <v>3105</v>
      </c>
      <c r="E165" s="767"/>
      <c r="F165" s="767"/>
      <c r="G165" s="767"/>
      <c r="H165" s="767"/>
      <c r="I165" s="767"/>
      <c r="J165" s="767"/>
      <c r="K165" s="767"/>
      <c r="L165" s="767"/>
      <c r="M165" s="768">
        <f>SUM(M159:M164)</f>
        <v>0</v>
      </c>
      <c r="N165" s="768">
        <f>SUM(N159:N164)</f>
        <v>0</v>
      </c>
      <c r="O165" s="768">
        <f>SUM(O159:O164)</f>
        <v>0</v>
      </c>
      <c r="P165" s="768">
        <f>SUM(P159:P164)</f>
        <v>0</v>
      </c>
      <c r="Q165" s="767"/>
      <c r="R165" s="768">
        <f>SUM(R159:R164)</f>
        <v>0</v>
      </c>
      <c r="S165" s="763"/>
      <c r="T165" s="768">
        <f>SUM(T159:T164)</f>
        <v>0</v>
      </c>
      <c r="U165" s="768">
        <f>SUM(U159:U164)</f>
        <v>0</v>
      </c>
      <c r="V165" s="768">
        <f>SUM(V159:V164)</f>
        <v>0</v>
      </c>
      <c r="W165" s="768">
        <f>SUM(W159:W164)</f>
        <v>0</v>
      </c>
      <c r="X165" s="767"/>
      <c r="Y165" s="788"/>
      <c r="Z165" s="689"/>
      <c r="AA165" s="689"/>
      <c r="AB165" s="714"/>
      <c r="AC165" s="788"/>
      <c r="AD165" s="788"/>
      <c r="AE165" s="835"/>
    </row>
    <row r="166" spans="1:31" ht="16.5" customHeight="1">
      <c r="A166" s="670">
        <v>161</v>
      </c>
      <c r="B166" s="3360"/>
      <c r="C166" s="3286" t="s">
        <v>3113</v>
      </c>
      <c r="D166" s="3298" t="s">
        <v>3122</v>
      </c>
      <c r="E166" s="747"/>
      <c r="F166" s="748"/>
      <c r="G166" s="748"/>
      <c r="H166" s="748"/>
      <c r="I166" s="748"/>
      <c r="J166" s="749"/>
      <c r="K166" s="749"/>
      <c r="L166" s="749"/>
      <c r="M166" s="749"/>
      <c r="N166" s="749"/>
      <c r="O166" s="749"/>
      <c r="P166" s="750"/>
      <c r="Q166" s="749"/>
      <c r="R166" s="749"/>
      <c r="S166" s="749"/>
      <c r="T166" s="752"/>
      <c r="U166" s="752"/>
      <c r="V166" s="752"/>
      <c r="W166" s="752"/>
      <c r="X166" s="783"/>
      <c r="Y166" s="784"/>
      <c r="Z166" s="715"/>
      <c r="AA166" s="715"/>
      <c r="AB166" s="710"/>
      <c r="AC166" s="752"/>
      <c r="AD166" s="752"/>
      <c r="AE166" s="753"/>
    </row>
    <row r="167" spans="1:31" ht="16.5">
      <c r="A167" s="670">
        <v>162</v>
      </c>
      <c r="B167" s="3360"/>
      <c r="C167" s="3320"/>
      <c r="D167" s="3309"/>
      <c r="E167" s="754"/>
      <c r="F167" s="755"/>
      <c r="G167" s="755"/>
      <c r="H167" s="755"/>
      <c r="I167" s="755"/>
      <c r="J167" s="756"/>
      <c r="K167" s="756"/>
      <c r="L167" s="756"/>
      <c r="M167" s="756"/>
      <c r="N167" s="756"/>
      <c r="O167" s="756"/>
      <c r="P167" s="757"/>
      <c r="Q167" s="756"/>
      <c r="R167" s="756"/>
      <c r="S167" s="756"/>
      <c r="T167" s="759"/>
      <c r="U167" s="759"/>
      <c r="V167" s="759"/>
      <c r="W167" s="759"/>
      <c r="X167" s="790"/>
      <c r="Y167" s="786"/>
      <c r="Z167" s="682"/>
      <c r="AA167" s="682"/>
      <c r="AB167" s="716"/>
      <c r="AC167" s="759"/>
      <c r="AD167" s="759"/>
      <c r="AE167" s="760"/>
    </row>
    <row r="168" spans="1:31" ht="16.5">
      <c r="A168" s="670">
        <v>163</v>
      </c>
      <c r="B168" s="3360"/>
      <c r="C168" s="3320"/>
      <c r="D168" s="3309"/>
      <c r="E168" s="754"/>
      <c r="F168" s="755"/>
      <c r="G168" s="755"/>
      <c r="H168" s="755"/>
      <c r="I168" s="755"/>
      <c r="J168" s="756"/>
      <c r="K168" s="756"/>
      <c r="L168" s="756"/>
      <c r="M168" s="756"/>
      <c r="N168" s="756"/>
      <c r="O168" s="756"/>
      <c r="P168" s="757"/>
      <c r="Q168" s="756"/>
      <c r="R168" s="756"/>
      <c r="S168" s="756"/>
      <c r="T168" s="759"/>
      <c r="U168" s="759"/>
      <c r="V168" s="759"/>
      <c r="W168" s="759"/>
      <c r="X168" s="790"/>
      <c r="Y168" s="786"/>
      <c r="Z168" s="682"/>
      <c r="AA168" s="682"/>
      <c r="AB168" s="716"/>
      <c r="AC168" s="759"/>
      <c r="AD168" s="759"/>
      <c r="AE168" s="760"/>
    </row>
    <row r="169" spans="1:31" ht="16.5">
      <c r="A169" s="670">
        <v>164</v>
      </c>
      <c r="B169" s="3360"/>
      <c r="C169" s="3320"/>
      <c r="D169" s="3309"/>
      <c r="E169" s="754"/>
      <c r="F169" s="755"/>
      <c r="G169" s="755"/>
      <c r="H169" s="755"/>
      <c r="I169" s="755"/>
      <c r="J169" s="756"/>
      <c r="K169" s="756"/>
      <c r="L169" s="756"/>
      <c r="M169" s="756"/>
      <c r="N169" s="756"/>
      <c r="O169" s="756"/>
      <c r="P169" s="757"/>
      <c r="Q169" s="756"/>
      <c r="R169" s="756"/>
      <c r="S169" s="756"/>
      <c r="T169" s="759"/>
      <c r="U169" s="759"/>
      <c r="V169" s="759"/>
      <c r="W169" s="759"/>
      <c r="X169" s="790"/>
      <c r="Y169" s="786"/>
      <c r="Z169" s="682"/>
      <c r="AA169" s="682"/>
      <c r="AB169" s="716"/>
      <c r="AC169" s="759"/>
      <c r="AD169" s="759"/>
      <c r="AE169" s="760"/>
    </row>
    <row r="170" spans="1:31" ht="16.5">
      <c r="A170" s="670">
        <v>165</v>
      </c>
      <c r="B170" s="3360"/>
      <c r="C170" s="3320"/>
      <c r="D170" s="3309"/>
      <c r="E170" s="754"/>
      <c r="F170" s="755"/>
      <c r="G170" s="755"/>
      <c r="H170" s="755"/>
      <c r="I170" s="755"/>
      <c r="J170" s="756"/>
      <c r="K170" s="756"/>
      <c r="L170" s="756"/>
      <c r="M170" s="756"/>
      <c r="N170" s="756"/>
      <c r="O170" s="756"/>
      <c r="P170" s="757"/>
      <c r="Q170" s="756"/>
      <c r="R170" s="756"/>
      <c r="S170" s="756"/>
      <c r="T170" s="759"/>
      <c r="U170" s="759"/>
      <c r="V170" s="759"/>
      <c r="W170" s="759"/>
      <c r="X170" s="790"/>
      <c r="Y170" s="786"/>
      <c r="Z170" s="682"/>
      <c r="AA170" s="682"/>
      <c r="AB170" s="716"/>
      <c r="AC170" s="759"/>
      <c r="AD170" s="759"/>
      <c r="AE170" s="760"/>
    </row>
    <row r="171" spans="1:31" ht="16.5">
      <c r="A171" s="670">
        <v>166</v>
      </c>
      <c r="B171" s="3360"/>
      <c r="C171" s="3320"/>
      <c r="D171" s="3309"/>
      <c r="E171" s="754"/>
      <c r="F171" s="755"/>
      <c r="G171" s="755"/>
      <c r="H171" s="755"/>
      <c r="I171" s="755"/>
      <c r="J171" s="756"/>
      <c r="K171" s="756"/>
      <c r="L171" s="756"/>
      <c r="M171" s="756"/>
      <c r="N171" s="756"/>
      <c r="O171" s="756"/>
      <c r="P171" s="757"/>
      <c r="Q171" s="756"/>
      <c r="R171" s="756"/>
      <c r="S171" s="756"/>
      <c r="T171" s="759"/>
      <c r="U171" s="759"/>
      <c r="V171" s="759"/>
      <c r="W171" s="759"/>
      <c r="X171" s="790"/>
      <c r="Y171" s="786"/>
      <c r="Z171" s="682"/>
      <c r="AA171" s="682"/>
      <c r="AB171" s="716"/>
      <c r="AC171" s="759"/>
      <c r="AD171" s="759"/>
      <c r="AE171" s="760"/>
    </row>
    <row r="172" spans="1:31" ht="16.5">
      <c r="A172" s="670">
        <v>167</v>
      </c>
      <c r="B172" s="3360"/>
      <c r="C172" s="3320"/>
      <c r="D172" s="659" t="s">
        <v>3121</v>
      </c>
      <c r="E172" s="763"/>
      <c r="F172" s="763"/>
      <c r="G172" s="763"/>
      <c r="H172" s="763"/>
      <c r="I172" s="763"/>
      <c r="J172" s="763"/>
      <c r="K172" s="763"/>
      <c r="L172" s="763"/>
      <c r="M172" s="756">
        <f>SUM(M166:M171)</f>
        <v>0</v>
      </c>
      <c r="N172" s="756">
        <f>SUM(N166:N171)</f>
        <v>0</v>
      </c>
      <c r="O172" s="756">
        <f>SUM(O166:O171)</f>
        <v>0</v>
      </c>
      <c r="P172" s="756">
        <f>SUM(P166:P171)</f>
        <v>0</v>
      </c>
      <c r="Q172" s="763"/>
      <c r="R172" s="756">
        <f>SUM(R166:R171)</f>
        <v>0</v>
      </c>
      <c r="S172" s="763"/>
      <c r="T172" s="756">
        <f>SUM(T166:T171)</f>
        <v>0</v>
      </c>
      <c r="U172" s="756">
        <f>SUM(U166:U171)</f>
        <v>0</v>
      </c>
      <c r="V172" s="756">
        <f>SUM(V166:V171)</f>
        <v>0</v>
      </c>
      <c r="W172" s="756">
        <f>SUM(W166:W171)</f>
        <v>0</v>
      </c>
      <c r="X172" s="790"/>
      <c r="Y172" s="786"/>
      <c r="Z172" s="682"/>
      <c r="AA172" s="682"/>
      <c r="AB172" s="683"/>
      <c r="AC172" s="786"/>
      <c r="AD172" s="786"/>
      <c r="AE172" s="832"/>
    </row>
    <row r="173" spans="1:31" ht="16.5" customHeight="1">
      <c r="A173" s="670">
        <v>168</v>
      </c>
      <c r="B173" s="3360"/>
      <c r="C173" s="3320"/>
      <c r="D173" s="3300" t="s">
        <v>3118</v>
      </c>
      <c r="E173" s="754"/>
      <c r="F173" s="755"/>
      <c r="G173" s="755"/>
      <c r="H173" s="755"/>
      <c r="I173" s="755"/>
      <c r="J173" s="756"/>
      <c r="K173" s="756"/>
      <c r="L173" s="756"/>
      <c r="M173" s="756"/>
      <c r="N173" s="756"/>
      <c r="O173" s="756"/>
      <c r="P173" s="757"/>
      <c r="Q173" s="756"/>
      <c r="R173" s="756"/>
      <c r="S173" s="756"/>
      <c r="T173" s="759"/>
      <c r="U173" s="759"/>
      <c r="V173" s="759"/>
      <c r="W173" s="759"/>
      <c r="X173" s="790"/>
      <c r="Y173" s="786"/>
      <c r="Z173" s="682"/>
      <c r="AA173" s="682"/>
      <c r="AB173" s="683"/>
      <c r="AC173" s="759"/>
      <c r="AD173" s="759"/>
      <c r="AE173" s="760"/>
    </row>
    <row r="174" spans="1:31" ht="16.5">
      <c r="A174" s="670">
        <v>169</v>
      </c>
      <c r="B174" s="3360"/>
      <c r="C174" s="3320"/>
      <c r="D174" s="3300"/>
      <c r="E174" s="754"/>
      <c r="F174" s="755"/>
      <c r="G174" s="755"/>
      <c r="H174" s="755"/>
      <c r="I174" s="755"/>
      <c r="J174" s="756"/>
      <c r="K174" s="756"/>
      <c r="L174" s="756"/>
      <c r="M174" s="756"/>
      <c r="N174" s="756"/>
      <c r="O174" s="756"/>
      <c r="P174" s="757"/>
      <c r="Q174" s="756"/>
      <c r="R174" s="756"/>
      <c r="S174" s="756"/>
      <c r="T174" s="759"/>
      <c r="U174" s="759"/>
      <c r="V174" s="759"/>
      <c r="W174" s="759"/>
      <c r="X174" s="790"/>
      <c r="Y174" s="786"/>
      <c r="Z174" s="682"/>
      <c r="AA174" s="682"/>
      <c r="AB174" s="683"/>
      <c r="AC174" s="759"/>
      <c r="AD174" s="759"/>
      <c r="AE174" s="760"/>
    </row>
    <row r="175" spans="1:31" ht="16.5">
      <c r="A175" s="670">
        <v>170</v>
      </c>
      <c r="B175" s="3360"/>
      <c r="C175" s="3320"/>
      <c r="D175" s="3300"/>
      <c r="E175" s="754"/>
      <c r="F175" s="755"/>
      <c r="G175" s="755"/>
      <c r="H175" s="755"/>
      <c r="I175" s="755"/>
      <c r="J175" s="756"/>
      <c r="K175" s="756"/>
      <c r="L175" s="756"/>
      <c r="M175" s="756"/>
      <c r="N175" s="756"/>
      <c r="O175" s="756"/>
      <c r="P175" s="757"/>
      <c r="Q175" s="756"/>
      <c r="R175" s="756"/>
      <c r="S175" s="756"/>
      <c r="T175" s="759"/>
      <c r="U175" s="759"/>
      <c r="V175" s="759"/>
      <c r="W175" s="759"/>
      <c r="X175" s="790"/>
      <c r="Y175" s="786"/>
      <c r="Z175" s="682"/>
      <c r="AA175" s="682"/>
      <c r="AB175" s="683"/>
      <c r="AC175" s="759"/>
      <c r="AD175" s="759"/>
      <c r="AE175" s="760"/>
    </row>
    <row r="176" spans="1:31" ht="16.5">
      <c r="A176" s="670">
        <v>171</v>
      </c>
      <c r="B176" s="3360"/>
      <c r="C176" s="3320"/>
      <c r="D176" s="3300"/>
      <c r="E176" s="754"/>
      <c r="F176" s="755"/>
      <c r="G176" s="755"/>
      <c r="H176" s="755"/>
      <c r="I176" s="755"/>
      <c r="J176" s="756"/>
      <c r="K176" s="756"/>
      <c r="L176" s="756"/>
      <c r="M176" s="756"/>
      <c r="N176" s="756"/>
      <c r="O176" s="756"/>
      <c r="P176" s="757"/>
      <c r="Q176" s="756"/>
      <c r="R176" s="756"/>
      <c r="S176" s="756"/>
      <c r="T176" s="759"/>
      <c r="U176" s="759"/>
      <c r="V176" s="759"/>
      <c r="W176" s="759"/>
      <c r="X176" s="790"/>
      <c r="Y176" s="786"/>
      <c r="Z176" s="682"/>
      <c r="AA176" s="682"/>
      <c r="AB176" s="716"/>
      <c r="AC176" s="759"/>
      <c r="AD176" s="759"/>
      <c r="AE176" s="760"/>
    </row>
    <row r="177" spans="1:31" ht="16.5">
      <c r="A177" s="670">
        <v>172</v>
      </c>
      <c r="B177" s="3360"/>
      <c r="C177" s="3320"/>
      <c r="D177" s="3300"/>
      <c r="E177" s="754"/>
      <c r="F177" s="755"/>
      <c r="G177" s="755"/>
      <c r="H177" s="755"/>
      <c r="I177" s="755"/>
      <c r="J177" s="756"/>
      <c r="K177" s="756"/>
      <c r="L177" s="756"/>
      <c r="M177" s="756"/>
      <c r="N177" s="756"/>
      <c r="O177" s="756"/>
      <c r="P177" s="757"/>
      <c r="Q177" s="756"/>
      <c r="R177" s="756"/>
      <c r="S177" s="756"/>
      <c r="T177" s="759"/>
      <c r="U177" s="759"/>
      <c r="V177" s="759"/>
      <c r="W177" s="759"/>
      <c r="X177" s="790"/>
      <c r="Y177" s="786"/>
      <c r="Z177" s="682"/>
      <c r="AA177" s="682"/>
      <c r="AB177" s="716"/>
      <c r="AC177" s="759"/>
      <c r="AD177" s="759"/>
      <c r="AE177" s="760"/>
    </row>
    <row r="178" spans="1:31" ht="16.5">
      <c r="A178" s="670">
        <v>173</v>
      </c>
      <c r="B178" s="3360"/>
      <c r="C178" s="3320"/>
      <c r="D178" s="3300"/>
      <c r="E178" s="754"/>
      <c r="F178" s="755"/>
      <c r="G178" s="755"/>
      <c r="H178" s="755"/>
      <c r="I178" s="755"/>
      <c r="J178" s="756"/>
      <c r="K178" s="756"/>
      <c r="L178" s="756"/>
      <c r="M178" s="756"/>
      <c r="N178" s="756"/>
      <c r="O178" s="756"/>
      <c r="P178" s="757"/>
      <c r="Q178" s="756"/>
      <c r="R178" s="756"/>
      <c r="S178" s="756"/>
      <c r="T178" s="759"/>
      <c r="U178" s="759"/>
      <c r="V178" s="759"/>
      <c r="W178" s="759"/>
      <c r="X178" s="790"/>
      <c r="Y178" s="786"/>
      <c r="Z178" s="682"/>
      <c r="AA178" s="682"/>
      <c r="AB178" s="716"/>
      <c r="AC178" s="759"/>
      <c r="AD178" s="759"/>
      <c r="AE178" s="760"/>
    </row>
    <row r="179" spans="1:31" ht="16.5">
      <c r="A179" s="670">
        <v>174</v>
      </c>
      <c r="B179" s="3360"/>
      <c r="C179" s="3320"/>
      <c r="D179" s="711" t="s">
        <v>3105</v>
      </c>
      <c r="E179" s="763"/>
      <c r="F179" s="763"/>
      <c r="G179" s="763"/>
      <c r="H179" s="763"/>
      <c r="I179" s="763"/>
      <c r="J179" s="763"/>
      <c r="K179" s="763"/>
      <c r="L179" s="763"/>
      <c r="M179" s="756">
        <f>SUM(M173:M178)</f>
        <v>0</v>
      </c>
      <c r="N179" s="756">
        <f>SUM(N173:N178)</f>
        <v>0</v>
      </c>
      <c r="O179" s="756">
        <f>SUM(O173:O178)</f>
        <v>0</v>
      </c>
      <c r="P179" s="756">
        <f>SUM(P173:P178)</f>
        <v>0</v>
      </c>
      <c r="Q179" s="763"/>
      <c r="R179" s="756">
        <f>SUM(R173:R178)</f>
        <v>0</v>
      </c>
      <c r="S179" s="763"/>
      <c r="T179" s="756">
        <f>SUM(T173:T178)</f>
        <v>0</v>
      </c>
      <c r="U179" s="756">
        <f>SUM(U173:U178)</f>
        <v>0</v>
      </c>
      <c r="V179" s="756">
        <f>SUM(V173:V178)</f>
        <v>0</v>
      </c>
      <c r="W179" s="756">
        <f>SUM(W173:W178)</f>
        <v>0</v>
      </c>
      <c r="X179" s="790"/>
      <c r="Y179" s="786"/>
      <c r="Z179" s="682"/>
      <c r="AA179" s="682"/>
      <c r="AB179" s="716"/>
      <c r="AC179" s="786"/>
      <c r="AD179" s="786"/>
      <c r="AE179" s="832"/>
    </row>
    <row r="180" spans="1:31" ht="16.5" customHeight="1">
      <c r="A180" s="670">
        <v>175</v>
      </c>
      <c r="B180" s="3360"/>
      <c r="C180" s="3320"/>
      <c r="D180" s="3300" t="s">
        <v>3119</v>
      </c>
      <c r="E180" s="754"/>
      <c r="F180" s="755"/>
      <c r="G180" s="755"/>
      <c r="H180" s="755"/>
      <c r="I180" s="755"/>
      <c r="J180" s="756"/>
      <c r="K180" s="756"/>
      <c r="L180" s="756"/>
      <c r="M180" s="756"/>
      <c r="N180" s="756"/>
      <c r="O180" s="756"/>
      <c r="P180" s="757"/>
      <c r="Q180" s="756"/>
      <c r="R180" s="756"/>
      <c r="S180" s="756"/>
      <c r="T180" s="759"/>
      <c r="U180" s="759"/>
      <c r="V180" s="759"/>
      <c r="W180" s="759"/>
      <c r="X180" s="790"/>
      <c r="Y180" s="786"/>
      <c r="Z180" s="682"/>
      <c r="AA180" s="682"/>
      <c r="AB180" s="716"/>
      <c r="AC180" s="759"/>
      <c r="AD180" s="759"/>
      <c r="AE180" s="760"/>
    </row>
    <row r="181" spans="1:31" ht="16.5">
      <c r="A181" s="670">
        <v>176</v>
      </c>
      <c r="B181" s="3360"/>
      <c r="C181" s="3320"/>
      <c r="D181" s="3300"/>
      <c r="E181" s="754"/>
      <c r="F181" s="755"/>
      <c r="G181" s="755"/>
      <c r="H181" s="755"/>
      <c r="I181" s="755"/>
      <c r="J181" s="756"/>
      <c r="K181" s="756"/>
      <c r="L181" s="756"/>
      <c r="M181" s="756"/>
      <c r="N181" s="756"/>
      <c r="O181" s="756"/>
      <c r="P181" s="757"/>
      <c r="Q181" s="756"/>
      <c r="R181" s="756"/>
      <c r="S181" s="756"/>
      <c r="T181" s="759"/>
      <c r="U181" s="759"/>
      <c r="V181" s="759"/>
      <c r="W181" s="759"/>
      <c r="X181" s="790"/>
      <c r="Y181" s="786"/>
      <c r="Z181" s="682"/>
      <c r="AA181" s="682"/>
      <c r="AB181" s="683"/>
      <c r="AC181" s="759"/>
      <c r="AD181" s="759"/>
      <c r="AE181" s="760"/>
    </row>
    <row r="182" spans="1:31" ht="16.5">
      <c r="A182" s="670">
        <v>177</v>
      </c>
      <c r="B182" s="3360"/>
      <c r="C182" s="3320"/>
      <c r="D182" s="3300"/>
      <c r="E182" s="754"/>
      <c r="F182" s="755"/>
      <c r="G182" s="755"/>
      <c r="H182" s="755"/>
      <c r="I182" s="755"/>
      <c r="J182" s="756"/>
      <c r="K182" s="756"/>
      <c r="L182" s="756"/>
      <c r="M182" s="756"/>
      <c r="N182" s="756"/>
      <c r="O182" s="756"/>
      <c r="P182" s="757"/>
      <c r="Q182" s="756"/>
      <c r="R182" s="756"/>
      <c r="S182" s="756"/>
      <c r="T182" s="759"/>
      <c r="U182" s="759"/>
      <c r="V182" s="759"/>
      <c r="W182" s="759"/>
      <c r="X182" s="790"/>
      <c r="Y182" s="786"/>
      <c r="Z182" s="682"/>
      <c r="AA182" s="682"/>
      <c r="AB182" s="683"/>
      <c r="AC182" s="759"/>
      <c r="AD182" s="759"/>
      <c r="AE182" s="760"/>
    </row>
    <row r="183" spans="1:31" ht="16.5">
      <c r="A183" s="670">
        <v>178</v>
      </c>
      <c r="B183" s="3360"/>
      <c r="C183" s="3320"/>
      <c r="D183" s="3300"/>
      <c r="E183" s="754"/>
      <c r="F183" s="755"/>
      <c r="G183" s="755"/>
      <c r="H183" s="755"/>
      <c r="I183" s="755"/>
      <c r="J183" s="756"/>
      <c r="K183" s="756"/>
      <c r="L183" s="756"/>
      <c r="M183" s="756"/>
      <c r="N183" s="756"/>
      <c r="O183" s="756"/>
      <c r="P183" s="757"/>
      <c r="Q183" s="756"/>
      <c r="R183" s="756"/>
      <c r="S183" s="756"/>
      <c r="T183" s="759"/>
      <c r="U183" s="759"/>
      <c r="V183" s="759"/>
      <c r="W183" s="759"/>
      <c r="X183" s="790"/>
      <c r="Y183" s="786"/>
      <c r="Z183" s="682"/>
      <c r="AA183" s="682"/>
      <c r="AB183" s="683"/>
      <c r="AC183" s="759"/>
      <c r="AD183" s="759"/>
      <c r="AE183" s="760"/>
    </row>
    <row r="184" spans="1:31" ht="16.5">
      <c r="A184" s="670">
        <v>179</v>
      </c>
      <c r="B184" s="3360"/>
      <c r="C184" s="3320"/>
      <c r="D184" s="3300"/>
      <c r="E184" s="754"/>
      <c r="F184" s="755"/>
      <c r="G184" s="755"/>
      <c r="H184" s="755"/>
      <c r="I184" s="755"/>
      <c r="J184" s="756"/>
      <c r="K184" s="756"/>
      <c r="L184" s="756"/>
      <c r="M184" s="756"/>
      <c r="N184" s="756"/>
      <c r="O184" s="756"/>
      <c r="P184" s="757"/>
      <c r="Q184" s="756"/>
      <c r="R184" s="756"/>
      <c r="S184" s="756"/>
      <c r="T184" s="759"/>
      <c r="U184" s="759"/>
      <c r="V184" s="759"/>
      <c r="W184" s="759"/>
      <c r="X184" s="790"/>
      <c r="Y184" s="786"/>
      <c r="Z184" s="682"/>
      <c r="AA184" s="682"/>
      <c r="AB184" s="683"/>
      <c r="AC184" s="759"/>
      <c r="AD184" s="759"/>
      <c r="AE184" s="760"/>
    </row>
    <row r="185" spans="1:31" ht="16.5">
      <c r="A185" s="670">
        <v>180</v>
      </c>
      <c r="B185" s="3360"/>
      <c r="C185" s="3320"/>
      <c r="D185" s="3300"/>
      <c r="E185" s="754"/>
      <c r="F185" s="755"/>
      <c r="G185" s="755"/>
      <c r="H185" s="755"/>
      <c r="I185" s="755"/>
      <c r="J185" s="756"/>
      <c r="K185" s="756"/>
      <c r="L185" s="756"/>
      <c r="M185" s="756"/>
      <c r="N185" s="756"/>
      <c r="O185" s="756"/>
      <c r="P185" s="757"/>
      <c r="Q185" s="756"/>
      <c r="R185" s="756"/>
      <c r="S185" s="756"/>
      <c r="T185" s="759"/>
      <c r="U185" s="759"/>
      <c r="V185" s="759"/>
      <c r="W185" s="759"/>
      <c r="X185" s="790"/>
      <c r="Y185" s="786"/>
      <c r="Z185" s="682"/>
      <c r="AA185" s="682"/>
      <c r="AB185" s="683"/>
      <c r="AC185" s="759"/>
      <c r="AD185" s="759"/>
      <c r="AE185" s="760"/>
    </row>
    <row r="186" spans="1:31" ht="17.25" thickBot="1">
      <c r="A186" s="695">
        <v>181</v>
      </c>
      <c r="B186" s="3361"/>
      <c r="C186" s="3321"/>
      <c r="D186" s="679" t="s">
        <v>3105</v>
      </c>
      <c r="E186" s="820"/>
      <c r="F186" s="820"/>
      <c r="G186" s="820"/>
      <c r="H186" s="820"/>
      <c r="I186" s="820"/>
      <c r="J186" s="820"/>
      <c r="K186" s="820"/>
      <c r="L186" s="820"/>
      <c r="M186" s="821">
        <f>SUM(M180:M185)</f>
        <v>0</v>
      </c>
      <c r="N186" s="821">
        <f>SUM(N180:N185)</f>
        <v>0</v>
      </c>
      <c r="O186" s="821">
        <f>SUM(O180:O185)</f>
        <v>0</v>
      </c>
      <c r="P186" s="821">
        <f>SUM(P180:P185)</f>
        <v>0</v>
      </c>
      <c r="Q186" s="820"/>
      <c r="R186" s="821">
        <f>SUM(R180:R185)</f>
        <v>0</v>
      </c>
      <c r="S186" s="820"/>
      <c r="T186" s="821">
        <f>SUM(T180:T185)</f>
        <v>0</v>
      </c>
      <c r="U186" s="821">
        <f>SUM(U180:U185)</f>
        <v>0</v>
      </c>
      <c r="V186" s="821">
        <f>SUM(V180:V185)</f>
        <v>0</v>
      </c>
      <c r="W186" s="821">
        <f>SUM(W180:W185)</f>
        <v>0</v>
      </c>
      <c r="X186" s="836"/>
      <c r="Y186" s="837"/>
      <c r="Z186" s="837"/>
      <c r="AA186" s="837"/>
      <c r="AB186" s="837"/>
      <c r="AC186" s="837"/>
      <c r="AD186" s="837"/>
      <c r="AE186" s="835"/>
    </row>
    <row r="187" spans="1:31" ht="17.25" thickBot="1">
      <c r="A187" s="838">
        <v>182</v>
      </c>
      <c r="B187" s="3365" t="s">
        <v>3145</v>
      </c>
      <c r="C187" s="3323"/>
      <c r="D187" s="3323"/>
      <c r="E187" s="824"/>
      <c r="F187" s="825"/>
      <c r="G187" s="825"/>
      <c r="H187" s="825"/>
      <c r="I187" s="825"/>
      <c r="J187" s="826"/>
      <c r="K187" s="826"/>
      <c r="L187" s="826"/>
      <c r="M187" s="839">
        <f>M137+M144+M151+M158+M165+M172+M179+M186</f>
        <v>0</v>
      </c>
      <c r="N187" s="839">
        <f>N137+N144+N151+N158+N165+N172+N179+N186</f>
        <v>0</v>
      </c>
      <c r="O187" s="839">
        <f>O137+O144+O151+O158+O165+O172+O179+O186</f>
        <v>0</v>
      </c>
      <c r="P187" s="839">
        <f>P137+P144+P151+P158+P165+P172+P179+P186</f>
        <v>0</v>
      </c>
      <c r="Q187" s="826"/>
      <c r="R187" s="839">
        <f>R137+R144+R151+R158+R165+R172+R179+R186</f>
        <v>0</v>
      </c>
      <c r="S187" s="826"/>
      <c r="T187" s="839">
        <f>T137+T144+T151+T158+T165+T172+T179+T186</f>
        <v>0</v>
      </c>
      <c r="U187" s="839">
        <f>U137+U144+U151+U158+U165+U172+U179+U186</f>
        <v>0</v>
      </c>
      <c r="V187" s="839">
        <f>V137+V144+V151+V158+V165+V172+V179+V186</f>
        <v>0</v>
      </c>
      <c r="W187" s="839">
        <f>W137+W144+W151+W158+W165+W172+W179+W186</f>
        <v>0</v>
      </c>
      <c r="X187" s="840"/>
      <c r="Y187" s="841"/>
      <c r="Z187" s="841"/>
      <c r="AA187" s="841"/>
      <c r="AB187" s="841"/>
      <c r="AC187" s="841"/>
      <c r="AD187" s="841"/>
      <c r="AE187" s="842"/>
    </row>
    <row r="188" spans="1:31" ht="17.25" thickBot="1">
      <c r="A188" s="701">
        <v>183</v>
      </c>
      <c r="B188" s="3318" t="s">
        <v>3126</v>
      </c>
      <c r="C188" s="3319"/>
      <c r="D188" s="3319"/>
      <c r="E188" s="775"/>
      <c r="F188" s="776"/>
      <c r="G188" s="776"/>
      <c r="H188" s="776"/>
      <c r="I188" s="776"/>
      <c r="J188" s="777"/>
      <c r="K188" s="777"/>
      <c r="L188" s="777"/>
      <c r="M188" s="793">
        <f>M187+M130</f>
        <v>0</v>
      </c>
      <c r="N188" s="793">
        <f>N187+N130</f>
        <v>0</v>
      </c>
      <c r="O188" s="793">
        <f>O187+O130</f>
        <v>0</v>
      </c>
      <c r="P188" s="793">
        <f>P187+P130</f>
        <v>0</v>
      </c>
      <c r="Q188" s="777"/>
      <c r="R188" s="793">
        <f>R187+R130</f>
        <v>0</v>
      </c>
      <c r="S188" s="797"/>
      <c r="T188" s="793">
        <f>T187+T130</f>
        <v>0</v>
      </c>
      <c r="U188" s="793">
        <f>U187+U130</f>
        <v>0</v>
      </c>
      <c r="V188" s="793">
        <f>V187+V130</f>
        <v>0</v>
      </c>
      <c r="W188" s="793">
        <f>W187+W130</f>
        <v>0</v>
      </c>
      <c r="X188" s="794"/>
      <c r="Y188" s="795"/>
      <c r="Z188" s="795"/>
      <c r="AA188" s="795"/>
      <c r="AB188" s="795"/>
      <c r="AC188" s="795"/>
      <c r="AD188" s="795"/>
      <c r="AE188" s="843"/>
    </row>
    <row r="189" spans="1:31">
      <c r="AE189" s="844"/>
    </row>
    <row r="191" spans="1:31" ht="16.5">
      <c r="A191" s="798" t="s">
        <v>3146</v>
      </c>
      <c r="B191" s="734"/>
      <c r="C191" s="735"/>
      <c r="D191" s="736"/>
      <c r="E191" s="736"/>
      <c r="F191" s="736"/>
      <c r="G191" s="736"/>
      <c r="H191" s="736"/>
      <c r="I191" s="736"/>
      <c r="J191" s="736"/>
      <c r="K191" s="736"/>
      <c r="L191" s="736"/>
      <c r="M191" s="736"/>
      <c r="N191" s="736"/>
      <c r="O191" s="736"/>
    </row>
    <row r="192" spans="1:31" ht="16.5">
      <c r="A192" s="557">
        <v>1</v>
      </c>
      <c r="B192" s="735" t="s">
        <v>3162</v>
      </c>
      <c r="C192" s="735"/>
      <c r="D192" s="736"/>
      <c r="E192" s="736"/>
      <c r="F192" s="736"/>
      <c r="G192" s="736"/>
      <c r="H192" s="736"/>
      <c r="I192" s="736"/>
      <c r="J192" s="736"/>
      <c r="K192" s="736"/>
      <c r="L192" s="736"/>
      <c r="M192" s="736"/>
      <c r="N192" s="736"/>
      <c r="O192" s="736"/>
    </row>
    <row r="193" spans="1:15" ht="16.5">
      <c r="A193" s="734" t="s">
        <v>202</v>
      </c>
      <c r="B193" s="735" t="s">
        <v>3148</v>
      </c>
      <c r="C193" s="735"/>
      <c r="D193" s="736"/>
      <c r="E193" s="736"/>
      <c r="F193" s="736"/>
      <c r="G193" s="736"/>
      <c r="H193" s="736"/>
      <c r="I193" s="736"/>
      <c r="J193" s="736"/>
      <c r="K193" s="736"/>
      <c r="L193" s="736"/>
      <c r="M193" s="736"/>
      <c r="N193" s="736"/>
      <c r="O193" s="736"/>
    </row>
    <row r="194" spans="1:15" ht="16.5">
      <c r="A194" s="739" t="s">
        <v>570</v>
      </c>
      <c r="B194" s="285" t="s">
        <v>3163</v>
      </c>
      <c r="C194" s="735"/>
      <c r="D194" s="736"/>
      <c r="E194" s="736"/>
      <c r="F194" s="736"/>
      <c r="G194" s="736"/>
      <c r="H194" s="736"/>
      <c r="I194" s="736"/>
      <c r="J194" s="736"/>
      <c r="K194" s="736"/>
      <c r="L194" s="736"/>
      <c r="M194" s="736"/>
      <c r="N194" s="736"/>
      <c r="O194" s="736"/>
    </row>
    <row r="195" spans="1:15" ht="16.5">
      <c r="A195" s="739"/>
      <c r="B195" s="285" t="s">
        <v>3164</v>
      </c>
      <c r="C195" s="735"/>
      <c r="D195" s="736"/>
      <c r="E195" s="736"/>
      <c r="F195" s="736"/>
      <c r="G195" s="736"/>
      <c r="H195" s="736"/>
      <c r="I195" s="736"/>
      <c r="J195" s="736"/>
      <c r="K195" s="736"/>
      <c r="L195" s="736"/>
      <c r="M195" s="736"/>
      <c r="N195" s="736"/>
      <c r="O195" s="736"/>
    </row>
    <row r="196" spans="1:15" ht="16.5">
      <c r="A196" s="739"/>
      <c r="B196" s="285" t="s">
        <v>3165</v>
      </c>
      <c r="C196" s="735"/>
      <c r="D196" s="736"/>
      <c r="E196" s="736"/>
      <c r="F196" s="736"/>
      <c r="G196" s="736"/>
      <c r="H196" s="736"/>
      <c r="I196" s="736"/>
      <c r="J196" s="736"/>
      <c r="K196" s="736"/>
      <c r="L196" s="736"/>
      <c r="M196" s="736"/>
      <c r="N196" s="736"/>
      <c r="O196" s="736"/>
    </row>
    <row r="197" spans="1:15" ht="16.5">
      <c r="A197" s="739"/>
      <c r="B197" s="285" t="s">
        <v>3166</v>
      </c>
      <c r="C197" s="735"/>
      <c r="D197" s="736"/>
      <c r="E197" s="736"/>
      <c r="F197" s="736"/>
      <c r="G197" s="736"/>
      <c r="H197" s="736"/>
      <c r="I197" s="736"/>
      <c r="J197" s="736"/>
      <c r="K197" s="736"/>
      <c r="L197" s="736"/>
      <c r="M197" s="736"/>
      <c r="N197" s="736"/>
      <c r="O197" s="736"/>
    </row>
    <row r="198" spans="1:15">
      <c r="A198" s="291">
        <v>4</v>
      </c>
      <c r="B198" s="252" t="s">
        <v>3167</v>
      </c>
      <c r="C198" s="252"/>
      <c r="D198" s="252"/>
      <c r="E198" s="252"/>
      <c r="F198" s="252"/>
      <c r="G198" s="252"/>
      <c r="H198" s="252"/>
      <c r="I198" s="252"/>
      <c r="J198" s="252"/>
      <c r="K198" s="252"/>
      <c r="L198" s="252"/>
      <c r="M198" s="252"/>
      <c r="N198" s="252"/>
      <c r="O198" s="252"/>
    </row>
    <row r="199" spans="1:15">
      <c r="A199" s="291">
        <v>5</v>
      </c>
      <c r="B199" s="252" t="s">
        <v>3130</v>
      </c>
      <c r="C199" s="252"/>
      <c r="D199" s="252"/>
      <c r="E199" s="252"/>
      <c r="F199" s="252"/>
      <c r="G199" s="252"/>
      <c r="H199" s="252"/>
      <c r="I199" s="252"/>
      <c r="J199" s="252"/>
      <c r="K199" s="252"/>
      <c r="L199" s="252"/>
      <c r="M199" s="252"/>
      <c r="N199" s="252"/>
      <c r="O199" s="252"/>
    </row>
    <row r="200" spans="1:15" ht="16.5">
      <c r="A200" s="739" t="s">
        <v>7</v>
      </c>
      <c r="B200" s="285" t="s">
        <v>3168</v>
      </c>
      <c r="C200" s="285"/>
      <c r="D200" s="736"/>
      <c r="E200" s="736"/>
      <c r="F200" s="736"/>
      <c r="G200" s="736"/>
      <c r="H200" s="736"/>
      <c r="I200" s="736"/>
      <c r="J200" s="736"/>
      <c r="K200" s="736"/>
      <c r="L200" s="736"/>
      <c r="M200" s="736"/>
      <c r="N200" s="736"/>
      <c r="O200" s="736"/>
    </row>
    <row r="201" spans="1:15" ht="16.5">
      <c r="A201" s="557">
        <v>7</v>
      </c>
      <c r="B201" s="845" t="s">
        <v>3169</v>
      </c>
      <c r="C201" s="735"/>
      <c r="D201" s="736"/>
      <c r="E201" s="736"/>
      <c r="F201" s="736"/>
      <c r="G201" s="736"/>
      <c r="H201" s="736"/>
      <c r="I201" s="736"/>
      <c r="J201" s="736"/>
      <c r="K201" s="736"/>
      <c r="L201" s="736"/>
      <c r="M201" s="736"/>
      <c r="N201" s="736"/>
      <c r="O201" s="736"/>
    </row>
    <row r="202" spans="1:15" ht="16.5">
      <c r="A202" s="557"/>
      <c r="B202" s="285"/>
      <c r="C202" s="735"/>
      <c r="D202" s="736"/>
      <c r="E202" s="736"/>
      <c r="F202" s="736"/>
      <c r="G202" s="736"/>
      <c r="H202" s="736"/>
      <c r="I202" s="736"/>
      <c r="J202" s="736"/>
      <c r="K202" s="736"/>
      <c r="L202" s="736"/>
      <c r="M202" s="736"/>
      <c r="N202" s="736"/>
      <c r="O202" s="736"/>
    </row>
    <row r="203" spans="1:15" ht="16.5">
      <c r="A203" s="734"/>
      <c r="B203" s="285"/>
      <c r="C203" s="741"/>
      <c r="D203" s="736"/>
      <c r="E203" s="736"/>
      <c r="F203" s="736"/>
      <c r="G203" s="736"/>
      <c r="H203" s="736"/>
      <c r="I203" s="736"/>
      <c r="J203" s="736"/>
      <c r="K203" s="736"/>
      <c r="L203" s="736"/>
      <c r="M203" s="736"/>
      <c r="N203" s="736"/>
      <c r="O203" s="736"/>
    </row>
    <row r="204" spans="1:15" ht="16.5">
      <c r="A204" s="557"/>
      <c r="B204" s="285"/>
      <c r="C204" s="735"/>
      <c r="D204" s="736"/>
      <c r="E204" s="736"/>
      <c r="F204" s="736"/>
      <c r="G204" s="736"/>
      <c r="H204" s="736"/>
      <c r="I204" s="736"/>
      <c r="J204" s="736"/>
      <c r="K204" s="736"/>
      <c r="L204" s="736"/>
      <c r="M204" s="736"/>
      <c r="N204" s="736"/>
      <c r="O204" s="736"/>
    </row>
    <row r="205" spans="1:15" ht="16.5">
      <c r="A205" s="557"/>
      <c r="B205" s="285"/>
      <c r="C205" s="735"/>
      <c r="D205" s="736"/>
      <c r="E205" s="736"/>
      <c r="F205" s="736"/>
      <c r="G205" s="736"/>
      <c r="H205" s="736"/>
      <c r="I205" s="736"/>
      <c r="J205" s="736"/>
      <c r="K205" s="736"/>
      <c r="L205" s="736"/>
      <c r="M205" s="736"/>
      <c r="N205" s="736"/>
      <c r="O205" s="736"/>
    </row>
    <row r="206" spans="1:15" ht="16.5">
      <c r="A206" s="557"/>
      <c r="B206" s="285"/>
      <c r="C206" s="735"/>
      <c r="D206" s="736"/>
      <c r="E206" s="736"/>
      <c r="F206" s="736"/>
      <c r="G206" s="736"/>
      <c r="H206" s="736"/>
      <c r="I206" s="736"/>
      <c r="J206" s="736"/>
      <c r="K206" s="736"/>
      <c r="L206" s="736"/>
      <c r="M206" s="736"/>
      <c r="N206" s="736"/>
      <c r="O206" s="736"/>
    </row>
    <row r="207" spans="1:15" ht="16.5">
      <c r="A207" s="734"/>
      <c r="B207" s="285"/>
      <c r="C207" s="736"/>
      <c r="D207" s="740"/>
      <c r="E207" s="743"/>
      <c r="F207" s="740"/>
      <c r="G207" s="740"/>
      <c r="H207" s="740"/>
      <c r="I207" s="740"/>
      <c r="J207" s="737"/>
      <c r="K207" s="737"/>
      <c r="L207" s="740"/>
      <c r="M207" s="740"/>
      <c r="N207" s="737"/>
      <c r="O207" s="737"/>
    </row>
    <row r="208" spans="1:15" ht="16.5">
      <c r="A208" s="557"/>
      <c r="B208" s="734"/>
      <c r="C208" s="735"/>
      <c r="D208" s="736"/>
      <c r="E208" s="736"/>
      <c r="F208" s="736"/>
      <c r="G208" s="736"/>
      <c r="H208" s="736"/>
      <c r="I208" s="736"/>
      <c r="J208" s="736"/>
      <c r="K208" s="736"/>
      <c r="L208" s="736"/>
      <c r="M208" s="736"/>
      <c r="N208" s="736"/>
      <c r="O208" s="736"/>
    </row>
    <row r="209" spans="1:15" ht="16.5">
      <c r="A209" s="557"/>
      <c r="B209" s="734"/>
      <c r="C209" s="735"/>
      <c r="D209" s="736"/>
      <c r="E209" s="736"/>
      <c r="F209" s="736"/>
      <c r="G209" s="736"/>
      <c r="H209" s="736"/>
      <c r="I209" s="736"/>
      <c r="J209" s="736"/>
      <c r="K209" s="736"/>
      <c r="L209" s="736"/>
      <c r="M209" s="736"/>
      <c r="N209" s="736"/>
      <c r="O209" s="736"/>
    </row>
    <row r="210" spans="1:15" ht="16.5">
      <c r="A210" s="734"/>
      <c r="B210" s="734"/>
      <c r="C210" s="735"/>
      <c r="D210" s="736"/>
      <c r="E210" s="736"/>
      <c r="F210" s="736"/>
      <c r="G210" s="736"/>
      <c r="H210" s="736"/>
      <c r="I210" s="736"/>
      <c r="J210" s="736"/>
      <c r="K210" s="736"/>
      <c r="L210" s="736"/>
      <c r="M210" s="736"/>
      <c r="N210" s="736"/>
      <c r="O210" s="736"/>
    </row>
    <row r="211" spans="1:15" ht="16.5">
      <c r="A211" s="557"/>
      <c r="B211" s="734"/>
      <c r="C211" s="735"/>
      <c r="D211" s="736"/>
      <c r="E211" s="736"/>
      <c r="F211" s="736"/>
      <c r="G211" s="736"/>
      <c r="H211" s="736"/>
      <c r="I211" s="736"/>
      <c r="J211" s="736"/>
      <c r="K211" s="736"/>
      <c r="L211" s="736"/>
      <c r="M211" s="736"/>
      <c r="N211" s="736"/>
      <c r="O211" s="736"/>
    </row>
    <row r="212" spans="1:15" ht="16.5">
      <c r="A212" s="734"/>
      <c r="B212" s="734"/>
      <c r="C212" s="736"/>
      <c r="D212" s="736"/>
      <c r="E212" s="736"/>
      <c r="F212" s="736"/>
      <c r="G212" s="736"/>
      <c r="H212" s="736"/>
      <c r="I212" s="736"/>
      <c r="J212" s="736"/>
      <c r="K212" s="736"/>
      <c r="L212" s="742"/>
      <c r="M212" s="742"/>
      <c r="N212" s="736"/>
      <c r="O212" s="736"/>
    </row>
    <row r="213" spans="1:15" ht="16.5">
      <c r="A213" s="557"/>
      <c r="B213" s="734"/>
      <c r="C213" s="654"/>
      <c r="D213" s="736"/>
      <c r="E213" s="736"/>
      <c r="F213" s="736"/>
      <c r="G213" s="736"/>
      <c r="H213" s="736"/>
      <c r="I213" s="736"/>
      <c r="J213" s="736"/>
      <c r="K213" s="736"/>
      <c r="L213" s="742"/>
      <c r="M213" s="742"/>
      <c r="N213" s="736"/>
      <c r="O213" s="736"/>
    </row>
    <row r="214" spans="1:15" ht="16.5">
      <c r="A214" s="557"/>
      <c r="B214" s="734"/>
      <c r="C214" s="736"/>
      <c r="D214" s="742"/>
      <c r="E214" s="742"/>
      <c r="F214" s="742"/>
      <c r="G214" s="742"/>
      <c r="H214" s="742"/>
      <c r="I214" s="742"/>
      <c r="J214" s="742"/>
      <c r="K214" s="742"/>
      <c r="L214" s="737"/>
      <c r="M214" s="737"/>
      <c r="N214" s="742"/>
      <c r="O214" s="742"/>
    </row>
    <row r="215" spans="1:15" ht="16.5">
      <c r="A215" s="734"/>
      <c r="B215" s="734"/>
      <c r="C215" s="735"/>
      <c r="D215" s="742"/>
      <c r="E215" s="742"/>
      <c r="F215" s="742"/>
      <c r="G215" s="742"/>
      <c r="H215" s="742"/>
      <c r="I215" s="742"/>
      <c r="J215" s="742"/>
      <c r="K215" s="742"/>
      <c r="L215" s="740"/>
      <c r="M215" s="740"/>
      <c r="N215" s="742"/>
      <c r="O215" s="742"/>
    </row>
    <row r="216" spans="1:15" ht="16.5">
      <c r="A216" s="557"/>
      <c r="B216" s="734"/>
      <c r="C216" s="736"/>
      <c r="D216" s="740"/>
      <c r="E216" s="743"/>
      <c r="F216" s="740"/>
      <c r="G216" s="740"/>
      <c r="H216" s="740"/>
      <c r="I216" s="740"/>
      <c r="J216" s="740"/>
      <c r="K216" s="740"/>
      <c r="L216" s="740"/>
      <c r="M216" s="740"/>
      <c r="N216" s="740"/>
      <c r="O216" s="740"/>
    </row>
  </sheetData>
  <mergeCells count="57">
    <mergeCell ref="V3:W4"/>
    <mergeCell ref="N3:N4"/>
    <mergeCell ref="O3:O4"/>
    <mergeCell ref="P3:P4"/>
    <mergeCell ref="R3:R4"/>
    <mergeCell ref="S3:S4"/>
    <mergeCell ref="T3:U4"/>
    <mergeCell ref="Q3:Q4"/>
    <mergeCell ref="B187:D187"/>
    <mergeCell ref="D87:D96"/>
    <mergeCell ref="D98:D107"/>
    <mergeCell ref="C76:C108"/>
    <mergeCell ref="D145:D150"/>
    <mergeCell ref="C166:C186"/>
    <mergeCell ref="D116:D121"/>
    <mergeCell ref="D123:D128"/>
    <mergeCell ref="B188:D188"/>
    <mergeCell ref="B6:B129"/>
    <mergeCell ref="C3:D4"/>
    <mergeCell ref="C5:D5"/>
    <mergeCell ref="C6:C31"/>
    <mergeCell ref="D6:D17"/>
    <mergeCell ref="D19:D30"/>
    <mergeCell ref="C32:C53"/>
    <mergeCell ref="D76:D85"/>
    <mergeCell ref="D32:D41"/>
    <mergeCell ref="D166:D171"/>
    <mergeCell ref="D173:D178"/>
    <mergeCell ref="D180:D185"/>
    <mergeCell ref="D152:D157"/>
    <mergeCell ref="D159:D164"/>
    <mergeCell ref="D131:D136"/>
    <mergeCell ref="AE3:AE4"/>
    <mergeCell ref="AC3:AC4"/>
    <mergeCell ref="Y3:Y4"/>
    <mergeCell ref="X3:X4"/>
    <mergeCell ref="AD3:AD4"/>
    <mergeCell ref="Z3:Z4"/>
    <mergeCell ref="AA3:AA4"/>
    <mergeCell ref="AB3:AB4"/>
    <mergeCell ref="K3:K4"/>
    <mergeCell ref="D43:D52"/>
    <mergeCell ref="D54:D63"/>
    <mergeCell ref="D65:D74"/>
    <mergeCell ref="M3:M4"/>
    <mergeCell ref="L3:L4"/>
    <mergeCell ref="E3:I3"/>
    <mergeCell ref="C54:C75"/>
    <mergeCell ref="D138:D143"/>
    <mergeCell ref="C145:C165"/>
    <mergeCell ref="D109:D114"/>
    <mergeCell ref="A3:A5"/>
    <mergeCell ref="B3:B4"/>
    <mergeCell ref="C109:C129"/>
    <mergeCell ref="B130:C130"/>
    <mergeCell ref="B131:B186"/>
    <mergeCell ref="C131:C144"/>
  </mergeCells>
  <phoneticPr fontId="9" type="noConversion"/>
  <pageMargins left="0.51181102362204722" right="0.35433070866141736" top="0.39370078740157483" bottom="0.27559055118110237" header="0.15748031496062992" footer="0.23622047244094491"/>
  <pageSetup paperSize="9" scale="26" fitToHeight="2" orientation="portrait" r:id="rId1"/>
  <headerFooter alignWithMargins="0">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B190"/>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1.875"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16384" width="9" style="514"/>
  </cols>
  <sheetData>
    <row r="1" spans="1:28"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651"/>
      <c r="AA1" s="653" t="s">
        <v>3078</v>
      </c>
      <c r="AB1" s="654"/>
    </row>
    <row r="2" spans="1:28" ht="17.25" thickBot="1">
      <c r="A2" s="653" t="s">
        <v>3132</v>
      </c>
      <c r="B2" s="653"/>
      <c r="C2" s="653"/>
      <c r="D2" s="651"/>
      <c r="E2" s="651"/>
      <c r="F2" s="652"/>
      <c r="G2" s="651"/>
      <c r="H2" s="651"/>
      <c r="I2" s="651"/>
      <c r="J2" s="651"/>
      <c r="K2" s="651"/>
      <c r="L2" s="651"/>
      <c r="M2" s="651"/>
      <c r="N2" s="651"/>
      <c r="O2" s="651"/>
      <c r="P2" s="651"/>
      <c r="Q2" s="651"/>
      <c r="R2" s="651"/>
      <c r="S2" s="651"/>
      <c r="T2" s="651"/>
      <c r="U2" s="651"/>
      <c r="V2" s="651"/>
      <c r="W2" s="651"/>
      <c r="X2" s="651"/>
      <c r="Y2" s="746"/>
      <c r="Z2" s="651"/>
      <c r="AA2" s="651"/>
      <c r="AB2" s="654"/>
    </row>
    <row r="3" spans="1:28" ht="16.5" customHeight="1">
      <c r="A3" s="3293" t="s">
        <v>3080</v>
      </c>
      <c r="B3" s="3296" t="s">
        <v>3081</v>
      </c>
      <c r="C3" s="3298" t="s">
        <v>3082</v>
      </c>
      <c r="D3" s="3299"/>
      <c r="E3" s="3296" t="s">
        <v>3083</v>
      </c>
      <c r="F3" s="3296"/>
      <c r="G3" s="3296"/>
      <c r="H3" s="3296"/>
      <c r="I3" s="3296"/>
      <c r="J3" s="655"/>
      <c r="K3" s="3296" t="s">
        <v>3085</v>
      </c>
      <c r="L3" s="3296" t="s">
        <v>3086</v>
      </c>
      <c r="M3" s="3362" t="s">
        <v>3133</v>
      </c>
      <c r="N3" s="3332" t="s">
        <v>3032</v>
      </c>
      <c r="O3" s="3332" t="s">
        <v>3134</v>
      </c>
      <c r="P3" s="3296" t="s">
        <v>3135</v>
      </c>
      <c r="Q3" s="3366" t="s">
        <v>3136</v>
      </c>
      <c r="R3" s="3366" t="s">
        <v>3137</v>
      </c>
      <c r="S3" s="3299" t="s">
        <v>3138</v>
      </c>
      <c r="T3" s="3299" t="s">
        <v>3139</v>
      </c>
      <c r="U3" s="3331"/>
      <c r="V3" s="3299" t="s">
        <v>3140</v>
      </c>
      <c r="W3" s="3331"/>
      <c r="X3" s="3296" t="s">
        <v>3093</v>
      </c>
      <c r="Y3" s="3311" t="s">
        <v>666</v>
      </c>
      <c r="Z3" s="3296" t="s">
        <v>3094</v>
      </c>
      <c r="AA3" s="3296" t="s">
        <v>3095</v>
      </c>
      <c r="AB3" s="3305" t="s">
        <v>3096</v>
      </c>
    </row>
    <row r="4" spans="1:28" ht="31.9" customHeight="1">
      <c r="A4" s="3294"/>
      <c r="B4" s="3297"/>
      <c r="C4" s="3300"/>
      <c r="D4" s="3300"/>
      <c r="E4" s="656" t="s">
        <v>3097</v>
      </c>
      <c r="F4" s="656" t="s">
        <v>3098</v>
      </c>
      <c r="G4" s="658" t="s">
        <v>3099</v>
      </c>
      <c r="H4" s="658" t="s">
        <v>3100</v>
      </c>
      <c r="I4" s="658" t="s">
        <v>3101</v>
      </c>
      <c r="J4" s="658" t="s">
        <v>3141</v>
      </c>
      <c r="K4" s="3297"/>
      <c r="L4" s="3300"/>
      <c r="M4" s="3314"/>
      <c r="N4" s="3300"/>
      <c r="O4" s="3300"/>
      <c r="P4" s="3297"/>
      <c r="Q4" s="3300"/>
      <c r="R4" s="3333"/>
      <c r="S4" s="3300"/>
      <c r="T4" s="3307"/>
      <c r="U4" s="3307"/>
      <c r="V4" s="3307"/>
      <c r="W4" s="3307"/>
      <c r="X4" s="3297"/>
      <c r="Y4" s="3312"/>
      <c r="Z4" s="3297"/>
      <c r="AA4" s="3297"/>
      <c r="AB4" s="3306"/>
    </row>
    <row r="5" spans="1:28" ht="17.25" thickBot="1">
      <c r="A5" s="3295"/>
      <c r="B5" s="660" t="s">
        <v>422</v>
      </c>
      <c r="C5" s="3301" t="s">
        <v>423</v>
      </c>
      <c r="D5" s="3363"/>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660" t="s">
        <v>433</v>
      </c>
      <c r="AA5" s="661" t="s">
        <v>434</v>
      </c>
      <c r="AB5" s="661" t="s">
        <v>435</v>
      </c>
    </row>
    <row r="6" spans="1:28" ht="16.5" customHeight="1">
      <c r="A6" s="662">
        <v>1</v>
      </c>
      <c r="B6" s="3302" t="s">
        <v>3102</v>
      </c>
      <c r="C6" s="3286" t="s">
        <v>3103</v>
      </c>
      <c r="D6" s="3310" t="s">
        <v>3104</v>
      </c>
      <c r="E6" s="747"/>
      <c r="F6" s="748"/>
      <c r="G6" s="748"/>
      <c r="H6" s="748"/>
      <c r="I6" s="748"/>
      <c r="J6" s="749"/>
      <c r="K6" s="749"/>
      <c r="L6" s="749"/>
      <c r="M6" s="749"/>
      <c r="N6" s="749"/>
      <c r="O6" s="749"/>
      <c r="P6" s="750"/>
      <c r="Q6" s="749"/>
      <c r="R6" s="749"/>
      <c r="S6" s="749"/>
      <c r="T6" s="749"/>
      <c r="U6" s="750"/>
      <c r="V6" s="749"/>
      <c r="W6" s="750"/>
      <c r="X6" s="751"/>
      <c r="Y6" s="749"/>
      <c r="Z6" s="752"/>
      <c r="AA6" s="752"/>
      <c r="AB6" s="753"/>
    </row>
    <row r="7" spans="1:28" ht="16.5">
      <c r="A7" s="670">
        <v>2</v>
      </c>
      <c r="B7" s="3303"/>
      <c r="C7" s="3287"/>
      <c r="D7" s="3307"/>
      <c r="E7" s="754"/>
      <c r="F7" s="755"/>
      <c r="G7" s="755"/>
      <c r="H7" s="755"/>
      <c r="I7" s="755"/>
      <c r="J7" s="756"/>
      <c r="K7" s="756"/>
      <c r="L7" s="756"/>
      <c r="M7" s="756"/>
      <c r="N7" s="756"/>
      <c r="O7" s="756"/>
      <c r="P7" s="757"/>
      <c r="Q7" s="756"/>
      <c r="R7" s="756"/>
      <c r="S7" s="756"/>
      <c r="T7" s="756"/>
      <c r="U7" s="757"/>
      <c r="V7" s="756"/>
      <c r="W7" s="757"/>
      <c r="X7" s="758"/>
      <c r="Y7" s="756"/>
      <c r="Z7" s="759"/>
      <c r="AA7" s="759"/>
      <c r="AB7" s="760"/>
    </row>
    <row r="8" spans="1:28" ht="16.5">
      <c r="A8" s="670">
        <v>3</v>
      </c>
      <c r="B8" s="3303"/>
      <c r="C8" s="3287"/>
      <c r="D8" s="3307"/>
      <c r="E8" s="754"/>
      <c r="F8" s="755"/>
      <c r="G8" s="755"/>
      <c r="H8" s="755"/>
      <c r="I8" s="755"/>
      <c r="J8" s="756"/>
      <c r="K8" s="756"/>
      <c r="L8" s="756"/>
      <c r="M8" s="756"/>
      <c r="N8" s="756"/>
      <c r="O8" s="756"/>
      <c r="P8" s="757"/>
      <c r="Q8" s="756"/>
      <c r="R8" s="756"/>
      <c r="S8" s="756"/>
      <c r="T8" s="756"/>
      <c r="U8" s="757"/>
      <c r="V8" s="756"/>
      <c r="W8" s="757"/>
      <c r="X8" s="758"/>
      <c r="Y8" s="756"/>
      <c r="Z8" s="759"/>
      <c r="AA8" s="759"/>
      <c r="AB8" s="760"/>
    </row>
    <row r="9" spans="1:28" ht="16.5">
      <c r="A9" s="670">
        <v>4</v>
      </c>
      <c r="B9" s="3303"/>
      <c r="C9" s="3287"/>
      <c r="D9" s="3307"/>
      <c r="E9" s="754"/>
      <c r="F9" s="755"/>
      <c r="G9" s="755"/>
      <c r="H9" s="755"/>
      <c r="I9" s="755"/>
      <c r="J9" s="756"/>
      <c r="K9" s="756"/>
      <c r="L9" s="756"/>
      <c r="M9" s="756"/>
      <c r="N9" s="756"/>
      <c r="O9" s="756"/>
      <c r="P9" s="757"/>
      <c r="Q9" s="756"/>
      <c r="R9" s="756"/>
      <c r="S9" s="756"/>
      <c r="T9" s="756"/>
      <c r="U9" s="757"/>
      <c r="V9" s="756"/>
      <c r="W9" s="757"/>
      <c r="X9" s="758"/>
      <c r="Y9" s="756"/>
      <c r="Z9" s="759"/>
      <c r="AA9" s="759"/>
      <c r="AB9" s="760"/>
    </row>
    <row r="10" spans="1:28" ht="16.5">
      <c r="A10" s="670">
        <v>5</v>
      </c>
      <c r="B10" s="3303"/>
      <c r="C10" s="3287"/>
      <c r="D10" s="3307"/>
      <c r="E10" s="754"/>
      <c r="F10" s="755"/>
      <c r="G10" s="755"/>
      <c r="H10" s="755"/>
      <c r="I10" s="755"/>
      <c r="J10" s="756"/>
      <c r="K10" s="756"/>
      <c r="L10" s="756"/>
      <c r="M10" s="756"/>
      <c r="N10" s="756"/>
      <c r="O10" s="756"/>
      <c r="P10" s="757"/>
      <c r="Q10" s="756"/>
      <c r="R10" s="756"/>
      <c r="S10" s="756"/>
      <c r="T10" s="756"/>
      <c r="U10" s="757"/>
      <c r="V10" s="756"/>
      <c r="W10" s="757"/>
      <c r="X10" s="758"/>
      <c r="Y10" s="756"/>
      <c r="Z10" s="759"/>
      <c r="AA10" s="759"/>
      <c r="AB10" s="760"/>
    </row>
    <row r="11" spans="1:28" ht="16.5">
      <c r="A11" s="670">
        <v>6</v>
      </c>
      <c r="B11" s="3303"/>
      <c r="C11" s="3287"/>
      <c r="D11" s="3307"/>
      <c r="E11" s="754"/>
      <c r="F11" s="755"/>
      <c r="G11" s="755"/>
      <c r="H11" s="755"/>
      <c r="I11" s="755"/>
      <c r="J11" s="756"/>
      <c r="K11" s="756"/>
      <c r="L11" s="756"/>
      <c r="M11" s="756"/>
      <c r="N11" s="756"/>
      <c r="O11" s="756"/>
      <c r="P11" s="757"/>
      <c r="Q11" s="756"/>
      <c r="R11" s="756"/>
      <c r="S11" s="756"/>
      <c r="T11" s="756"/>
      <c r="U11" s="757"/>
      <c r="V11" s="756"/>
      <c r="W11" s="757"/>
      <c r="X11" s="758"/>
      <c r="Y11" s="756"/>
      <c r="Z11" s="759"/>
      <c r="AA11" s="759"/>
      <c r="AB11" s="760"/>
    </row>
    <row r="12" spans="1:28" ht="16.5">
      <c r="A12" s="670">
        <v>7</v>
      </c>
      <c r="B12" s="3303"/>
      <c r="C12" s="3287"/>
      <c r="D12" s="3307"/>
      <c r="E12" s="754"/>
      <c r="F12" s="755"/>
      <c r="G12" s="755"/>
      <c r="H12" s="755"/>
      <c r="I12" s="755"/>
      <c r="J12" s="756"/>
      <c r="K12" s="756"/>
      <c r="L12" s="756"/>
      <c r="M12" s="756"/>
      <c r="N12" s="756"/>
      <c r="O12" s="756"/>
      <c r="P12" s="757"/>
      <c r="Q12" s="756"/>
      <c r="R12" s="756"/>
      <c r="S12" s="756"/>
      <c r="T12" s="756"/>
      <c r="U12" s="757"/>
      <c r="V12" s="756"/>
      <c r="W12" s="757"/>
      <c r="X12" s="758"/>
      <c r="Y12" s="756"/>
      <c r="Z12" s="759"/>
      <c r="AA12" s="759"/>
      <c r="AB12" s="760"/>
    </row>
    <row r="13" spans="1:28" ht="16.5">
      <c r="A13" s="670">
        <v>8</v>
      </c>
      <c r="B13" s="3303"/>
      <c r="C13" s="3287"/>
      <c r="D13" s="3307"/>
      <c r="E13" s="754"/>
      <c r="F13" s="755"/>
      <c r="G13" s="755"/>
      <c r="H13" s="755"/>
      <c r="I13" s="755"/>
      <c r="J13" s="756"/>
      <c r="K13" s="756"/>
      <c r="L13" s="756"/>
      <c r="M13" s="756"/>
      <c r="N13" s="756"/>
      <c r="O13" s="756"/>
      <c r="P13" s="757"/>
      <c r="Q13" s="756"/>
      <c r="R13" s="756"/>
      <c r="S13" s="756"/>
      <c r="T13" s="756"/>
      <c r="U13" s="757"/>
      <c r="V13" s="756"/>
      <c r="W13" s="757"/>
      <c r="X13" s="758"/>
      <c r="Y13" s="756"/>
      <c r="Z13" s="759"/>
      <c r="AA13" s="759"/>
      <c r="AB13" s="760"/>
    </row>
    <row r="14" spans="1:28" ht="16.5">
      <c r="A14" s="670">
        <v>9</v>
      </c>
      <c r="B14" s="3303"/>
      <c r="C14" s="3287"/>
      <c r="D14" s="3307"/>
      <c r="E14" s="754"/>
      <c r="F14" s="755"/>
      <c r="G14" s="755"/>
      <c r="H14" s="755"/>
      <c r="I14" s="755"/>
      <c r="J14" s="756"/>
      <c r="K14" s="756"/>
      <c r="L14" s="756"/>
      <c r="M14" s="756"/>
      <c r="N14" s="756"/>
      <c r="O14" s="756"/>
      <c r="P14" s="757"/>
      <c r="Q14" s="756"/>
      <c r="R14" s="756"/>
      <c r="S14" s="756"/>
      <c r="T14" s="756"/>
      <c r="U14" s="757"/>
      <c r="V14" s="756"/>
      <c r="W14" s="757"/>
      <c r="X14" s="758"/>
      <c r="Y14" s="756"/>
      <c r="Z14" s="759"/>
      <c r="AA14" s="759"/>
      <c r="AB14" s="760"/>
    </row>
    <row r="15" spans="1:28" ht="16.5">
      <c r="A15" s="670">
        <v>10</v>
      </c>
      <c r="B15" s="3303"/>
      <c r="C15" s="3287"/>
      <c r="D15" s="3307"/>
      <c r="E15" s="754"/>
      <c r="F15" s="755"/>
      <c r="G15" s="755"/>
      <c r="H15" s="755"/>
      <c r="I15" s="755"/>
      <c r="J15" s="756"/>
      <c r="K15" s="756"/>
      <c r="L15" s="756"/>
      <c r="M15" s="756"/>
      <c r="N15" s="756"/>
      <c r="O15" s="756"/>
      <c r="P15" s="757"/>
      <c r="Q15" s="756"/>
      <c r="R15" s="756"/>
      <c r="S15" s="756"/>
      <c r="T15" s="756"/>
      <c r="U15" s="757"/>
      <c r="V15" s="756"/>
      <c r="W15" s="757"/>
      <c r="X15" s="758"/>
      <c r="Y15" s="756"/>
      <c r="Z15" s="759"/>
      <c r="AA15" s="759"/>
      <c r="AB15" s="760"/>
    </row>
    <row r="16" spans="1:28" ht="16.5">
      <c r="A16" s="670">
        <v>11</v>
      </c>
      <c r="B16" s="3303"/>
      <c r="C16" s="3287"/>
      <c r="D16" s="3307"/>
      <c r="E16" s="754"/>
      <c r="F16" s="755"/>
      <c r="G16" s="755"/>
      <c r="H16" s="755"/>
      <c r="I16" s="755"/>
      <c r="J16" s="756"/>
      <c r="K16" s="756"/>
      <c r="L16" s="756"/>
      <c r="M16" s="756"/>
      <c r="N16" s="756"/>
      <c r="O16" s="756"/>
      <c r="P16" s="757"/>
      <c r="Q16" s="756"/>
      <c r="R16" s="756"/>
      <c r="S16" s="756"/>
      <c r="T16" s="756"/>
      <c r="U16" s="757"/>
      <c r="V16" s="756"/>
      <c r="W16" s="757"/>
      <c r="X16" s="758"/>
      <c r="Y16" s="756"/>
      <c r="Z16" s="759"/>
      <c r="AA16" s="759"/>
      <c r="AB16" s="760"/>
    </row>
    <row r="17" spans="1:28" ht="16.5">
      <c r="A17" s="670">
        <v>12</v>
      </c>
      <c r="B17" s="3303"/>
      <c r="C17" s="3287"/>
      <c r="D17" s="3307"/>
      <c r="E17" s="754"/>
      <c r="F17" s="755"/>
      <c r="G17" s="755"/>
      <c r="H17" s="755"/>
      <c r="I17" s="755"/>
      <c r="J17" s="756"/>
      <c r="K17" s="756"/>
      <c r="L17" s="756"/>
      <c r="M17" s="756"/>
      <c r="N17" s="756"/>
      <c r="O17" s="756"/>
      <c r="P17" s="757"/>
      <c r="Q17" s="756"/>
      <c r="R17" s="756"/>
      <c r="S17" s="756"/>
      <c r="T17" s="756"/>
      <c r="U17" s="757"/>
      <c r="V17" s="756"/>
      <c r="W17" s="757"/>
      <c r="X17" s="758"/>
      <c r="Y17" s="756"/>
      <c r="Z17" s="759"/>
      <c r="AA17" s="759"/>
      <c r="AB17" s="760"/>
    </row>
    <row r="18" spans="1:28" ht="17.25" thickBot="1">
      <c r="A18" s="670">
        <v>13</v>
      </c>
      <c r="B18" s="3303"/>
      <c r="C18" s="3287"/>
      <c r="D18" s="686"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763"/>
      <c r="AA18" s="763"/>
      <c r="AB18" s="765"/>
    </row>
    <row r="19" spans="1:28" ht="16.5" customHeight="1">
      <c r="A19" s="670">
        <v>14</v>
      </c>
      <c r="B19" s="3303"/>
      <c r="C19" s="3287"/>
      <c r="D19" s="3334" t="s">
        <v>3106</v>
      </c>
      <c r="E19" s="754"/>
      <c r="F19" s="755"/>
      <c r="G19" s="755"/>
      <c r="H19" s="755"/>
      <c r="I19" s="755"/>
      <c r="J19" s="756"/>
      <c r="K19" s="756"/>
      <c r="L19" s="756"/>
      <c r="M19" s="756"/>
      <c r="N19" s="756"/>
      <c r="O19" s="756"/>
      <c r="P19" s="757"/>
      <c r="Q19" s="756"/>
      <c r="R19" s="756"/>
      <c r="S19" s="756"/>
      <c r="T19" s="756"/>
      <c r="U19" s="757"/>
      <c r="V19" s="756"/>
      <c r="W19" s="757"/>
      <c r="X19" s="758"/>
      <c r="Y19" s="756"/>
      <c r="Z19" s="759"/>
      <c r="AA19" s="759"/>
      <c r="AB19" s="760"/>
    </row>
    <row r="20" spans="1:28" ht="16.5">
      <c r="A20" s="670">
        <v>15</v>
      </c>
      <c r="B20" s="3303"/>
      <c r="C20" s="3287"/>
      <c r="D20" s="3307"/>
      <c r="E20" s="754"/>
      <c r="F20" s="755"/>
      <c r="G20" s="755"/>
      <c r="H20" s="755"/>
      <c r="I20" s="755"/>
      <c r="J20" s="756"/>
      <c r="K20" s="756"/>
      <c r="L20" s="756"/>
      <c r="M20" s="756"/>
      <c r="N20" s="756"/>
      <c r="O20" s="756"/>
      <c r="P20" s="757"/>
      <c r="Q20" s="756"/>
      <c r="R20" s="756"/>
      <c r="S20" s="756"/>
      <c r="T20" s="756"/>
      <c r="U20" s="757"/>
      <c r="V20" s="756"/>
      <c r="W20" s="757"/>
      <c r="X20" s="758"/>
      <c r="Y20" s="756"/>
      <c r="Z20" s="759"/>
      <c r="AA20" s="759"/>
      <c r="AB20" s="760"/>
    </row>
    <row r="21" spans="1:28" ht="16.5">
      <c r="A21" s="670">
        <v>16</v>
      </c>
      <c r="B21" s="3303"/>
      <c r="C21" s="3287"/>
      <c r="D21" s="3307"/>
      <c r="E21" s="754"/>
      <c r="F21" s="755"/>
      <c r="G21" s="755"/>
      <c r="H21" s="755"/>
      <c r="I21" s="755"/>
      <c r="J21" s="756"/>
      <c r="K21" s="756"/>
      <c r="L21" s="756"/>
      <c r="M21" s="756"/>
      <c r="N21" s="756"/>
      <c r="O21" s="756"/>
      <c r="P21" s="757"/>
      <c r="Q21" s="756"/>
      <c r="R21" s="756"/>
      <c r="S21" s="756"/>
      <c r="T21" s="756"/>
      <c r="U21" s="757"/>
      <c r="V21" s="756"/>
      <c r="W21" s="757"/>
      <c r="X21" s="758"/>
      <c r="Y21" s="756"/>
      <c r="Z21" s="759"/>
      <c r="AA21" s="759"/>
      <c r="AB21" s="760"/>
    </row>
    <row r="22" spans="1:28" ht="16.5">
      <c r="A22" s="670">
        <v>17</v>
      </c>
      <c r="B22" s="3303"/>
      <c r="C22" s="3287"/>
      <c r="D22" s="3307"/>
      <c r="E22" s="754"/>
      <c r="F22" s="755"/>
      <c r="G22" s="755"/>
      <c r="H22" s="755"/>
      <c r="I22" s="755"/>
      <c r="J22" s="756"/>
      <c r="K22" s="756"/>
      <c r="L22" s="756"/>
      <c r="M22" s="756"/>
      <c r="N22" s="756"/>
      <c r="O22" s="756"/>
      <c r="P22" s="757"/>
      <c r="Q22" s="756"/>
      <c r="R22" s="756"/>
      <c r="S22" s="756"/>
      <c r="T22" s="756"/>
      <c r="U22" s="757"/>
      <c r="V22" s="756"/>
      <c r="W22" s="757"/>
      <c r="X22" s="758"/>
      <c r="Y22" s="756"/>
      <c r="Z22" s="759"/>
      <c r="AA22" s="759"/>
      <c r="AB22" s="760"/>
    </row>
    <row r="23" spans="1:28" ht="16.5">
      <c r="A23" s="670">
        <v>18</v>
      </c>
      <c r="B23" s="3303"/>
      <c r="C23" s="3287"/>
      <c r="D23" s="3307"/>
      <c r="E23" s="754"/>
      <c r="F23" s="755"/>
      <c r="G23" s="755"/>
      <c r="H23" s="755"/>
      <c r="I23" s="755"/>
      <c r="J23" s="756"/>
      <c r="K23" s="756"/>
      <c r="L23" s="756"/>
      <c r="M23" s="756"/>
      <c r="N23" s="756"/>
      <c r="O23" s="756"/>
      <c r="P23" s="757"/>
      <c r="Q23" s="756"/>
      <c r="R23" s="756"/>
      <c r="S23" s="756"/>
      <c r="T23" s="756"/>
      <c r="U23" s="757"/>
      <c r="V23" s="756"/>
      <c r="W23" s="757"/>
      <c r="X23" s="758"/>
      <c r="Y23" s="756"/>
      <c r="Z23" s="759"/>
      <c r="AA23" s="759"/>
      <c r="AB23" s="760"/>
    </row>
    <row r="24" spans="1:28" ht="16.5">
      <c r="A24" s="670">
        <v>19</v>
      </c>
      <c r="B24" s="3303"/>
      <c r="C24" s="3287"/>
      <c r="D24" s="3307"/>
      <c r="E24" s="754"/>
      <c r="F24" s="755"/>
      <c r="G24" s="755"/>
      <c r="H24" s="755"/>
      <c r="I24" s="755"/>
      <c r="J24" s="756"/>
      <c r="K24" s="756"/>
      <c r="L24" s="756"/>
      <c r="M24" s="756"/>
      <c r="N24" s="756"/>
      <c r="O24" s="756"/>
      <c r="P24" s="757"/>
      <c r="Q24" s="756"/>
      <c r="R24" s="756"/>
      <c r="S24" s="756"/>
      <c r="T24" s="756"/>
      <c r="U24" s="757"/>
      <c r="V24" s="756"/>
      <c r="W24" s="757"/>
      <c r="X24" s="758"/>
      <c r="Y24" s="756"/>
      <c r="Z24" s="759"/>
      <c r="AA24" s="759"/>
      <c r="AB24" s="760"/>
    </row>
    <row r="25" spans="1:28" ht="16.5">
      <c r="A25" s="670">
        <v>20</v>
      </c>
      <c r="B25" s="3303"/>
      <c r="C25" s="3287"/>
      <c r="D25" s="3307"/>
      <c r="E25" s="754"/>
      <c r="F25" s="755"/>
      <c r="G25" s="755"/>
      <c r="H25" s="755"/>
      <c r="I25" s="755"/>
      <c r="J25" s="756"/>
      <c r="K25" s="756"/>
      <c r="L25" s="756"/>
      <c r="M25" s="756"/>
      <c r="N25" s="756"/>
      <c r="O25" s="756"/>
      <c r="P25" s="757"/>
      <c r="Q25" s="756"/>
      <c r="R25" s="756"/>
      <c r="S25" s="756"/>
      <c r="T25" s="756"/>
      <c r="U25" s="757"/>
      <c r="V25" s="756"/>
      <c r="W25" s="757"/>
      <c r="X25" s="758"/>
      <c r="Y25" s="756"/>
      <c r="Z25" s="759"/>
      <c r="AA25" s="759"/>
      <c r="AB25" s="760"/>
    </row>
    <row r="26" spans="1:28" ht="16.5">
      <c r="A26" s="670">
        <v>21</v>
      </c>
      <c r="B26" s="3303"/>
      <c r="C26" s="3287"/>
      <c r="D26" s="3307"/>
      <c r="E26" s="754"/>
      <c r="F26" s="755"/>
      <c r="G26" s="755"/>
      <c r="H26" s="755"/>
      <c r="I26" s="755"/>
      <c r="J26" s="756"/>
      <c r="K26" s="756"/>
      <c r="L26" s="756"/>
      <c r="M26" s="756"/>
      <c r="N26" s="756"/>
      <c r="O26" s="756"/>
      <c r="P26" s="757"/>
      <c r="Q26" s="756"/>
      <c r="R26" s="756"/>
      <c r="S26" s="756"/>
      <c r="T26" s="756"/>
      <c r="U26" s="757"/>
      <c r="V26" s="756"/>
      <c r="W26" s="757"/>
      <c r="X26" s="758"/>
      <c r="Y26" s="756"/>
      <c r="Z26" s="759"/>
      <c r="AA26" s="759"/>
      <c r="AB26" s="760"/>
    </row>
    <row r="27" spans="1:28" ht="16.5">
      <c r="A27" s="670">
        <v>22</v>
      </c>
      <c r="B27" s="3303"/>
      <c r="C27" s="3287"/>
      <c r="D27" s="3307"/>
      <c r="E27" s="754"/>
      <c r="F27" s="755"/>
      <c r="G27" s="755"/>
      <c r="H27" s="755"/>
      <c r="I27" s="755"/>
      <c r="J27" s="756"/>
      <c r="K27" s="756"/>
      <c r="L27" s="756"/>
      <c r="M27" s="756"/>
      <c r="N27" s="756"/>
      <c r="O27" s="756"/>
      <c r="P27" s="757"/>
      <c r="Q27" s="756"/>
      <c r="R27" s="756"/>
      <c r="S27" s="756"/>
      <c r="T27" s="756"/>
      <c r="U27" s="757"/>
      <c r="V27" s="756"/>
      <c r="W27" s="757"/>
      <c r="X27" s="758"/>
      <c r="Y27" s="756"/>
      <c r="Z27" s="759"/>
      <c r="AA27" s="759"/>
      <c r="AB27" s="760"/>
    </row>
    <row r="28" spans="1:28" ht="16.5">
      <c r="A28" s="670">
        <v>23</v>
      </c>
      <c r="B28" s="3303"/>
      <c r="C28" s="3287"/>
      <c r="D28" s="3307"/>
      <c r="E28" s="754"/>
      <c r="F28" s="755"/>
      <c r="G28" s="755"/>
      <c r="H28" s="755"/>
      <c r="I28" s="755"/>
      <c r="J28" s="756"/>
      <c r="K28" s="756"/>
      <c r="L28" s="756"/>
      <c r="M28" s="756"/>
      <c r="N28" s="756"/>
      <c r="O28" s="756"/>
      <c r="P28" s="757"/>
      <c r="Q28" s="756"/>
      <c r="R28" s="756"/>
      <c r="S28" s="756"/>
      <c r="T28" s="756"/>
      <c r="U28" s="757"/>
      <c r="V28" s="756"/>
      <c r="W28" s="757"/>
      <c r="X28" s="758"/>
      <c r="Y28" s="756"/>
      <c r="Z28" s="759"/>
      <c r="AA28" s="759"/>
      <c r="AB28" s="760"/>
    </row>
    <row r="29" spans="1:28" ht="16.5">
      <c r="A29" s="670">
        <v>24</v>
      </c>
      <c r="B29" s="3303"/>
      <c r="C29" s="3287"/>
      <c r="D29" s="3307"/>
      <c r="E29" s="754"/>
      <c r="F29" s="755"/>
      <c r="G29" s="755"/>
      <c r="H29" s="755"/>
      <c r="I29" s="755"/>
      <c r="J29" s="756"/>
      <c r="K29" s="756"/>
      <c r="L29" s="756"/>
      <c r="M29" s="756"/>
      <c r="N29" s="756"/>
      <c r="O29" s="756"/>
      <c r="P29" s="757"/>
      <c r="Q29" s="756"/>
      <c r="R29" s="756"/>
      <c r="S29" s="756"/>
      <c r="T29" s="756"/>
      <c r="U29" s="757"/>
      <c r="V29" s="756"/>
      <c r="W29" s="757"/>
      <c r="X29" s="758"/>
      <c r="Y29" s="756"/>
      <c r="Z29" s="759"/>
      <c r="AA29" s="759"/>
      <c r="AB29" s="760"/>
    </row>
    <row r="30" spans="1:28" ht="16.5">
      <c r="A30" s="670">
        <v>25</v>
      </c>
      <c r="B30" s="3303"/>
      <c r="C30" s="3287"/>
      <c r="D30" s="3307"/>
      <c r="E30" s="754"/>
      <c r="F30" s="755"/>
      <c r="G30" s="755"/>
      <c r="H30" s="755"/>
      <c r="I30" s="755"/>
      <c r="J30" s="756"/>
      <c r="K30" s="756"/>
      <c r="L30" s="756"/>
      <c r="M30" s="756"/>
      <c r="N30" s="756"/>
      <c r="O30" s="756"/>
      <c r="P30" s="757"/>
      <c r="Q30" s="756"/>
      <c r="R30" s="756"/>
      <c r="S30" s="756"/>
      <c r="T30" s="756"/>
      <c r="U30" s="757"/>
      <c r="V30" s="756"/>
      <c r="W30" s="757"/>
      <c r="X30" s="758"/>
      <c r="Y30" s="756"/>
      <c r="Z30" s="759"/>
      <c r="AA30" s="759"/>
      <c r="AB30" s="760"/>
    </row>
    <row r="31" spans="1:28" ht="17.25" thickBot="1">
      <c r="A31" s="670">
        <v>26</v>
      </c>
      <c r="B31" s="3303"/>
      <c r="C31" s="3288"/>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767"/>
      <c r="AA31" s="767"/>
      <c r="AB31" s="765"/>
    </row>
    <row r="32" spans="1:28" ht="16.5" customHeight="1">
      <c r="A32" s="670">
        <v>27</v>
      </c>
      <c r="B32" s="3303"/>
      <c r="C32" s="3292" t="s">
        <v>3107</v>
      </c>
      <c r="D32" s="3331" t="s">
        <v>3108</v>
      </c>
      <c r="E32" s="747"/>
      <c r="F32" s="748"/>
      <c r="G32" s="748"/>
      <c r="H32" s="748"/>
      <c r="I32" s="748"/>
      <c r="J32" s="749"/>
      <c r="K32" s="749"/>
      <c r="L32" s="749"/>
      <c r="M32" s="749"/>
      <c r="N32" s="749"/>
      <c r="O32" s="749"/>
      <c r="P32" s="750"/>
      <c r="Q32" s="749"/>
      <c r="R32" s="749"/>
      <c r="S32" s="749"/>
      <c r="T32" s="749"/>
      <c r="U32" s="750"/>
      <c r="V32" s="749"/>
      <c r="W32" s="750"/>
      <c r="X32" s="751"/>
      <c r="Y32" s="749"/>
      <c r="Z32" s="752"/>
      <c r="AA32" s="752"/>
      <c r="AB32" s="769"/>
    </row>
    <row r="33" spans="1:28" ht="16.5">
      <c r="A33" s="670">
        <v>28</v>
      </c>
      <c r="B33" s="3303"/>
      <c r="C33" s="3287"/>
      <c r="D33" s="3307"/>
      <c r="E33" s="754"/>
      <c r="F33" s="755"/>
      <c r="G33" s="755"/>
      <c r="H33" s="755"/>
      <c r="I33" s="755"/>
      <c r="J33" s="756"/>
      <c r="K33" s="756"/>
      <c r="L33" s="756"/>
      <c r="M33" s="756"/>
      <c r="N33" s="756"/>
      <c r="O33" s="756"/>
      <c r="P33" s="757"/>
      <c r="Q33" s="756"/>
      <c r="R33" s="756"/>
      <c r="S33" s="756"/>
      <c r="T33" s="756"/>
      <c r="U33" s="757"/>
      <c r="V33" s="756"/>
      <c r="W33" s="757"/>
      <c r="X33" s="758"/>
      <c r="Y33" s="756"/>
      <c r="Z33" s="759"/>
      <c r="AA33" s="759"/>
      <c r="AB33" s="760"/>
    </row>
    <row r="34" spans="1:28" ht="16.5">
      <c r="A34" s="670">
        <v>29</v>
      </c>
      <c r="B34" s="3303"/>
      <c r="C34" s="3287"/>
      <c r="D34" s="3307"/>
      <c r="E34" s="754"/>
      <c r="F34" s="755"/>
      <c r="G34" s="755"/>
      <c r="H34" s="755"/>
      <c r="I34" s="755"/>
      <c r="J34" s="756"/>
      <c r="K34" s="756"/>
      <c r="L34" s="756"/>
      <c r="M34" s="756"/>
      <c r="N34" s="756"/>
      <c r="O34" s="756"/>
      <c r="P34" s="757"/>
      <c r="Q34" s="756"/>
      <c r="R34" s="756"/>
      <c r="S34" s="756"/>
      <c r="T34" s="756"/>
      <c r="U34" s="757"/>
      <c r="V34" s="756"/>
      <c r="W34" s="757"/>
      <c r="X34" s="758"/>
      <c r="Y34" s="756"/>
      <c r="Z34" s="759"/>
      <c r="AA34" s="759"/>
      <c r="AB34" s="760"/>
    </row>
    <row r="35" spans="1:28" ht="16.5">
      <c r="A35" s="670">
        <v>30</v>
      </c>
      <c r="B35" s="3303"/>
      <c r="C35" s="3287"/>
      <c r="D35" s="3307"/>
      <c r="E35" s="754"/>
      <c r="F35" s="755"/>
      <c r="G35" s="755"/>
      <c r="H35" s="755"/>
      <c r="I35" s="755"/>
      <c r="J35" s="756"/>
      <c r="K35" s="756"/>
      <c r="L35" s="756"/>
      <c r="M35" s="756"/>
      <c r="N35" s="756"/>
      <c r="O35" s="756"/>
      <c r="P35" s="757"/>
      <c r="Q35" s="756"/>
      <c r="R35" s="756"/>
      <c r="S35" s="756"/>
      <c r="T35" s="756"/>
      <c r="U35" s="757"/>
      <c r="V35" s="756"/>
      <c r="W35" s="757"/>
      <c r="X35" s="758"/>
      <c r="Y35" s="756"/>
      <c r="Z35" s="759"/>
      <c r="AA35" s="759"/>
      <c r="AB35" s="760"/>
    </row>
    <row r="36" spans="1:28" ht="16.5">
      <c r="A36" s="670">
        <v>31</v>
      </c>
      <c r="B36" s="3303"/>
      <c r="C36" s="3287"/>
      <c r="D36" s="3307"/>
      <c r="E36" s="754"/>
      <c r="F36" s="755"/>
      <c r="G36" s="755"/>
      <c r="H36" s="755"/>
      <c r="I36" s="755"/>
      <c r="J36" s="756"/>
      <c r="K36" s="756"/>
      <c r="L36" s="756"/>
      <c r="M36" s="756"/>
      <c r="N36" s="756"/>
      <c r="O36" s="756"/>
      <c r="P36" s="757"/>
      <c r="Q36" s="756"/>
      <c r="R36" s="756"/>
      <c r="S36" s="756"/>
      <c r="T36" s="756"/>
      <c r="U36" s="757"/>
      <c r="V36" s="756"/>
      <c r="W36" s="757"/>
      <c r="X36" s="758"/>
      <c r="Y36" s="756"/>
      <c r="Z36" s="759"/>
      <c r="AA36" s="759"/>
      <c r="AB36" s="760"/>
    </row>
    <row r="37" spans="1:28" ht="16.5">
      <c r="A37" s="670">
        <v>32</v>
      </c>
      <c r="B37" s="3303"/>
      <c r="C37" s="3287"/>
      <c r="D37" s="3307"/>
      <c r="E37" s="754"/>
      <c r="F37" s="755"/>
      <c r="G37" s="755"/>
      <c r="H37" s="755"/>
      <c r="I37" s="755"/>
      <c r="J37" s="756"/>
      <c r="K37" s="756"/>
      <c r="L37" s="756"/>
      <c r="M37" s="756"/>
      <c r="N37" s="756"/>
      <c r="O37" s="756"/>
      <c r="P37" s="757"/>
      <c r="Q37" s="756"/>
      <c r="R37" s="756"/>
      <c r="S37" s="756"/>
      <c r="T37" s="756"/>
      <c r="U37" s="757"/>
      <c r="V37" s="756"/>
      <c r="W37" s="757"/>
      <c r="X37" s="758"/>
      <c r="Y37" s="756"/>
      <c r="Z37" s="759"/>
      <c r="AA37" s="759"/>
      <c r="AB37" s="760"/>
    </row>
    <row r="38" spans="1:28" ht="16.5">
      <c r="A38" s="670">
        <v>33</v>
      </c>
      <c r="B38" s="3303"/>
      <c r="C38" s="3287"/>
      <c r="D38" s="3307"/>
      <c r="E38" s="754"/>
      <c r="F38" s="755"/>
      <c r="G38" s="755"/>
      <c r="H38" s="755"/>
      <c r="I38" s="755"/>
      <c r="J38" s="756"/>
      <c r="K38" s="756"/>
      <c r="L38" s="756"/>
      <c r="M38" s="756"/>
      <c r="N38" s="756"/>
      <c r="O38" s="756"/>
      <c r="P38" s="757"/>
      <c r="Q38" s="756"/>
      <c r="R38" s="756"/>
      <c r="S38" s="756"/>
      <c r="T38" s="756"/>
      <c r="U38" s="757"/>
      <c r="V38" s="756"/>
      <c r="W38" s="757"/>
      <c r="X38" s="758"/>
      <c r="Y38" s="756"/>
      <c r="Z38" s="759"/>
      <c r="AA38" s="759"/>
      <c r="AB38" s="760"/>
    </row>
    <row r="39" spans="1:28" ht="16.5">
      <c r="A39" s="670">
        <v>34</v>
      </c>
      <c r="B39" s="3303"/>
      <c r="C39" s="3287"/>
      <c r="D39" s="3307"/>
      <c r="E39" s="754"/>
      <c r="F39" s="755"/>
      <c r="G39" s="755"/>
      <c r="H39" s="755"/>
      <c r="I39" s="755"/>
      <c r="J39" s="756"/>
      <c r="K39" s="756"/>
      <c r="L39" s="756"/>
      <c r="M39" s="756"/>
      <c r="N39" s="756"/>
      <c r="O39" s="756"/>
      <c r="P39" s="757"/>
      <c r="Q39" s="756"/>
      <c r="R39" s="756"/>
      <c r="S39" s="756"/>
      <c r="T39" s="756"/>
      <c r="U39" s="757"/>
      <c r="V39" s="756"/>
      <c r="W39" s="757"/>
      <c r="X39" s="758"/>
      <c r="Y39" s="756"/>
      <c r="Z39" s="759"/>
      <c r="AA39" s="759"/>
      <c r="AB39" s="760"/>
    </row>
    <row r="40" spans="1:28" ht="16.5">
      <c r="A40" s="670">
        <v>35</v>
      </c>
      <c r="B40" s="3303"/>
      <c r="C40" s="3287"/>
      <c r="D40" s="3307"/>
      <c r="E40" s="754"/>
      <c r="F40" s="755"/>
      <c r="G40" s="755"/>
      <c r="H40" s="755"/>
      <c r="I40" s="755"/>
      <c r="J40" s="756"/>
      <c r="K40" s="756"/>
      <c r="L40" s="756"/>
      <c r="M40" s="756"/>
      <c r="N40" s="756"/>
      <c r="O40" s="756"/>
      <c r="P40" s="757"/>
      <c r="Q40" s="756"/>
      <c r="R40" s="756"/>
      <c r="S40" s="756"/>
      <c r="T40" s="756"/>
      <c r="U40" s="757"/>
      <c r="V40" s="756"/>
      <c r="W40" s="757"/>
      <c r="X40" s="758"/>
      <c r="Y40" s="756"/>
      <c r="Z40" s="759"/>
      <c r="AA40" s="759"/>
      <c r="AB40" s="760"/>
    </row>
    <row r="41" spans="1:28" ht="16.5">
      <c r="A41" s="670">
        <v>36</v>
      </c>
      <c r="B41" s="3303"/>
      <c r="C41" s="3287"/>
      <c r="D41" s="3307"/>
      <c r="E41" s="754"/>
      <c r="F41" s="755"/>
      <c r="G41" s="755"/>
      <c r="H41" s="755"/>
      <c r="I41" s="755"/>
      <c r="J41" s="756"/>
      <c r="K41" s="756"/>
      <c r="L41" s="756"/>
      <c r="M41" s="756"/>
      <c r="N41" s="756"/>
      <c r="O41" s="756"/>
      <c r="P41" s="757"/>
      <c r="Q41" s="756"/>
      <c r="R41" s="756"/>
      <c r="S41" s="756"/>
      <c r="T41" s="756"/>
      <c r="U41" s="757"/>
      <c r="V41" s="756"/>
      <c r="W41" s="757"/>
      <c r="X41" s="758"/>
      <c r="Y41" s="756"/>
      <c r="Z41" s="759"/>
      <c r="AA41" s="759"/>
      <c r="AB41" s="760"/>
    </row>
    <row r="42" spans="1:28" ht="16.5">
      <c r="A42" s="670">
        <v>37</v>
      </c>
      <c r="B42" s="3303"/>
      <c r="C42" s="3287"/>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763"/>
      <c r="AA42" s="763"/>
      <c r="AB42" s="765"/>
    </row>
    <row r="43" spans="1:28" ht="16.5" customHeight="1">
      <c r="A43" s="670">
        <v>38</v>
      </c>
      <c r="B43" s="3303"/>
      <c r="C43" s="3287"/>
      <c r="D43" s="3307" t="s">
        <v>3109</v>
      </c>
      <c r="E43" s="754"/>
      <c r="F43" s="755"/>
      <c r="G43" s="755"/>
      <c r="H43" s="755"/>
      <c r="I43" s="755"/>
      <c r="J43" s="756"/>
      <c r="K43" s="756"/>
      <c r="L43" s="756"/>
      <c r="M43" s="756"/>
      <c r="N43" s="756"/>
      <c r="O43" s="756"/>
      <c r="P43" s="757"/>
      <c r="Q43" s="756"/>
      <c r="R43" s="756"/>
      <c r="S43" s="756"/>
      <c r="T43" s="756"/>
      <c r="U43" s="757"/>
      <c r="V43" s="756"/>
      <c r="W43" s="757"/>
      <c r="X43" s="758"/>
      <c r="Y43" s="756"/>
      <c r="Z43" s="759"/>
      <c r="AA43" s="759"/>
      <c r="AB43" s="760"/>
    </row>
    <row r="44" spans="1:28" ht="16.5">
      <c r="A44" s="670">
        <v>39</v>
      </c>
      <c r="B44" s="3303"/>
      <c r="C44" s="3287"/>
      <c r="D44" s="3307"/>
      <c r="E44" s="754"/>
      <c r="F44" s="755"/>
      <c r="G44" s="755"/>
      <c r="H44" s="755"/>
      <c r="I44" s="755"/>
      <c r="J44" s="756"/>
      <c r="K44" s="756"/>
      <c r="L44" s="756"/>
      <c r="M44" s="756"/>
      <c r="N44" s="756"/>
      <c r="O44" s="756"/>
      <c r="P44" s="757"/>
      <c r="Q44" s="756"/>
      <c r="R44" s="756"/>
      <c r="S44" s="756"/>
      <c r="T44" s="756"/>
      <c r="U44" s="757"/>
      <c r="V44" s="756"/>
      <c r="W44" s="757"/>
      <c r="X44" s="758"/>
      <c r="Y44" s="756"/>
      <c r="Z44" s="759"/>
      <c r="AA44" s="759"/>
      <c r="AB44" s="760"/>
    </row>
    <row r="45" spans="1:28" ht="16.5">
      <c r="A45" s="670">
        <v>40</v>
      </c>
      <c r="B45" s="3303"/>
      <c r="C45" s="3287"/>
      <c r="D45" s="3307"/>
      <c r="E45" s="754"/>
      <c r="F45" s="755"/>
      <c r="G45" s="755"/>
      <c r="H45" s="755"/>
      <c r="I45" s="755"/>
      <c r="J45" s="756"/>
      <c r="K45" s="756"/>
      <c r="L45" s="756"/>
      <c r="M45" s="756"/>
      <c r="N45" s="756"/>
      <c r="O45" s="756"/>
      <c r="P45" s="757"/>
      <c r="Q45" s="756"/>
      <c r="R45" s="756"/>
      <c r="S45" s="756"/>
      <c r="T45" s="756"/>
      <c r="U45" s="757"/>
      <c r="V45" s="756"/>
      <c r="W45" s="757"/>
      <c r="X45" s="758"/>
      <c r="Y45" s="756"/>
      <c r="Z45" s="759"/>
      <c r="AA45" s="759"/>
      <c r="AB45" s="760"/>
    </row>
    <row r="46" spans="1:28" ht="16.5">
      <c r="A46" s="670">
        <v>41</v>
      </c>
      <c r="B46" s="3303"/>
      <c r="C46" s="3287"/>
      <c r="D46" s="3307"/>
      <c r="E46" s="754"/>
      <c r="F46" s="755"/>
      <c r="G46" s="755"/>
      <c r="H46" s="755"/>
      <c r="I46" s="755"/>
      <c r="J46" s="756"/>
      <c r="K46" s="756"/>
      <c r="L46" s="756"/>
      <c r="M46" s="756"/>
      <c r="N46" s="756"/>
      <c r="O46" s="756"/>
      <c r="P46" s="757"/>
      <c r="Q46" s="756"/>
      <c r="R46" s="756"/>
      <c r="S46" s="756"/>
      <c r="T46" s="756"/>
      <c r="U46" s="757"/>
      <c r="V46" s="756"/>
      <c r="W46" s="757"/>
      <c r="X46" s="758"/>
      <c r="Y46" s="756"/>
      <c r="Z46" s="759"/>
      <c r="AA46" s="759"/>
      <c r="AB46" s="760"/>
    </row>
    <row r="47" spans="1:28" ht="16.5">
      <c r="A47" s="670">
        <v>42</v>
      </c>
      <c r="B47" s="3303"/>
      <c r="C47" s="3287"/>
      <c r="D47" s="3307"/>
      <c r="E47" s="754"/>
      <c r="F47" s="755"/>
      <c r="G47" s="755"/>
      <c r="H47" s="755"/>
      <c r="I47" s="755"/>
      <c r="J47" s="756"/>
      <c r="K47" s="756"/>
      <c r="L47" s="756"/>
      <c r="M47" s="756"/>
      <c r="N47" s="756"/>
      <c r="O47" s="756"/>
      <c r="P47" s="757"/>
      <c r="Q47" s="756"/>
      <c r="R47" s="756"/>
      <c r="S47" s="756"/>
      <c r="T47" s="756"/>
      <c r="U47" s="757"/>
      <c r="V47" s="756"/>
      <c r="W47" s="757"/>
      <c r="X47" s="758"/>
      <c r="Y47" s="756"/>
      <c r="Z47" s="759"/>
      <c r="AA47" s="759"/>
      <c r="AB47" s="760"/>
    </row>
    <row r="48" spans="1:28" ht="16.5">
      <c r="A48" s="670">
        <v>43</v>
      </c>
      <c r="B48" s="3303"/>
      <c r="C48" s="3287"/>
      <c r="D48" s="3307"/>
      <c r="E48" s="754"/>
      <c r="F48" s="755"/>
      <c r="G48" s="755"/>
      <c r="H48" s="755"/>
      <c r="I48" s="755"/>
      <c r="J48" s="756"/>
      <c r="K48" s="756"/>
      <c r="L48" s="756"/>
      <c r="M48" s="756"/>
      <c r="N48" s="756"/>
      <c r="O48" s="756"/>
      <c r="P48" s="757"/>
      <c r="Q48" s="756"/>
      <c r="R48" s="756"/>
      <c r="S48" s="756"/>
      <c r="T48" s="756"/>
      <c r="U48" s="757"/>
      <c r="V48" s="756"/>
      <c r="W48" s="757"/>
      <c r="X48" s="758"/>
      <c r="Y48" s="756"/>
      <c r="Z48" s="759"/>
      <c r="AA48" s="759"/>
      <c r="AB48" s="760"/>
    </row>
    <row r="49" spans="1:28" ht="16.5">
      <c r="A49" s="670">
        <v>44</v>
      </c>
      <c r="B49" s="3303"/>
      <c r="C49" s="3287"/>
      <c r="D49" s="3307"/>
      <c r="E49" s="754"/>
      <c r="F49" s="755"/>
      <c r="G49" s="755"/>
      <c r="H49" s="755"/>
      <c r="I49" s="755"/>
      <c r="J49" s="756"/>
      <c r="K49" s="756"/>
      <c r="L49" s="756"/>
      <c r="M49" s="756"/>
      <c r="N49" s="756"/>
      <c r="O49" s="756"/>
      <c r="P49" s="757"/>
      <c r="Q49" s="756"/>
      <c r="R49" s="756"/>
      <c r="S49" s="756"/>
      <c r="T49" s="756"/>
      <c r="U49" s="757"/>
      <c r="V49" s="756"/>
      <c r="W49" s="757"/>
      <c r="X49" s="758"/>
      <c r="Y49" s="756"/>
      <c r="Z49" s="759"/>
      <c r="AA49" s="759"/>
      <c r="AB49" s="760"/>
    </row>
    <row r="50" spans="1:28" ht="16.5">
      <c r="A50" s="670">
        <v>45</v>
      </c>
      <c r="B50" s="3303"/>
      <c r="C50" s="3287"/>
      <c r="D50" s="3307"/>
      <c r="E50" s="754"/>
      <c r="F50" s="755"/>
      <c r="G50" s="755"/>
      <c r="H50" s="755"/>
      <c r="I50" s="755"/>
      <c r="J50" s="756"/>
      <c r="K50" s="756"/>
      <c r="L50" s="756"/>
      <c r="M50" s="756"/>
      <c r="N50" s="756"/>
      <c r="O50" s="756"/>
      <c r="P50" s="757"/>
      <c r="Q50" s="756"/>
      <c r="R50" s="756"/>
      <c r="S50" s="756"/>
      <c r="T50" s="756"/>
      <c r="U50" s="757"/>
      <c r="V50" s="756"/>
      <c r="W50" s="757"/>
      <c r="X50" s="758"/>
      <c r="Y50" s="756"/>
      <c r="Z50" s="759"/>
      <c r="AA50" s="759"/>
      <c r="AB50" s="760"/>
    </row>
    <row r="51" spans="1:28" ht="16.5">
      <c r="A51" s="670">
        <v>46</v>
      </c>
      <c r="B51" s="3303"/>
      <c r="C51" s="3287"/>
      <c r="D51" s="3307"/>
      <c r="E51" s="754"/>
      <c r="F51" s="755"/>
      <c r="G51" s="755"/>
      <c r="H51" s="755"/>
      <c r="I51" s="755"/>
      <c r="J51" s="756"/>
      <c r="K51" s="756"/>
      <c r="L51" s="756"/>
      <c r="M51" s="756"/>
      <c r="N51" s="756"/>
      <c r="O51" s="756"/>
      <c r="P51" s="757"/>
      <c r="Q51" s="756"/>
      <c r="R51" s="756"/>
      <c r="S51" s="756"/>
      <c r="T51" s="756"/>
      <c r="U51" s="757"/>
      <c r="V51" s="756"/>
      <c r="W51" s="757"/>
      <c r="X51" s="758"/>
      <c r="Y51" s="756"/>
      <c r="Z51" s="759"/>
      <c r="AA51" s="759"/>
      <c r="AB51" s="760"/>
    </row>
    <row r="52" spans="1:28" ht="16.5">
      <c r="A52" s="670">
        <v>47</v>
      </c>
      <c r="B52" s="3303"/>
      <c r="C52" s="3287"/>
      <c r="D52" s="3307"/>
      <c r="E52" s="754"/>
      <c r="F52" s="755"/>
      <c r="G52" s="755"/>
      <c r="H52" s="755"/>
      <c r="I52" s="755"/>
      <c r="J52" s="756"/>
      <c r="K52" s="756"/>
      <c r="L52" s="756"/>
      <c r="M52" s="756"/>
      <c r="N52" s="756"/>
      <c r="O52" s="756"/>
      <c r="P52" s="757"/>
      <c r="Q52" s="756"/>
      <c r="R52" s="756"/>
      <c r="S52" s="756"/>
      <c r="T52" s="756"/>
      <c r="U52" s="757"/>
      <c r="V52" s="756"/>
      <c r="W52" s="757"/>
      <c r="X52" s="758"/>
      <c r="Y52" s="756"/>
      <c r="Z52" s="759"/>
      <c r="AA52" s="759"/>
      <c r="AB52" s="760"/>
    </row>
    <row r="53" spans="1:28" ht="17.25" thickBot="1">
      <c r="A53" s="670">
        <v>48</v>
      </c>
      <c r="B53" s="3303"/>
      <c r="C53" s="3288"/>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3"/>
      <c r="T53" s="768">
        <f>SUM(T43:T52)</f>
        <v>0</v>
      </c>
      <c r="U53" s="768">
        <f>SUM(U43:U52)</f>
        <v>0</v>
      </c>
      <c r="V53" s="768">
        <f>SUM(V43:V52)</f>
        <v>0</v>
      </c>
      <c r="W53" s="768">
        <f>SUM(W43:W52)</f>
        <v>0</v>
      </c>
      <c r="X53" s="767"/>
      <c r="Y53" s="767"/>
      <c r="Z53" s="767"/>
      <c r="AA53" s="767"/>
      <c r="AB53" s="765"/>
    </row>
    <row r="54" spans="1:28" ht="16.5">
      <c r="A54" s="670">
        <v>49</v>
      </c>
      <c r="B54" s="3303"/>
      <c r="C54" s="3326" t="s">
        <v>3110</v>
      </c>
      <c r="D54" s="3298" t="s">
        <v>3111</v>
      </c>
      <c r="E54" s="747"/>
      <c r="F54" s="748"/>
      <c r="G54" s="748"/>
      <c r="H54" s="748"/>
      <c r="I54" s="748"/>
      <c r="J54" s="749"/>
      <c r="K54" s="749"/>
      <c r="L54" s="749"/>
      <c r="M54" s="749"/>
      <c r="N54" s="749"/>
      <c r="O54" s="749"/>
      <c r="P54" s="750"/>
      <c r="Q54" s="749"/>
      <c r="R54" s="749"/>
      <c r="S54" s="749"/>
      <c r="T54" s="749"/>
      <c r="U54" s="750"/>
      <c r="V54" s="749"/>
      <c r="W54" s="750"/>
      <c r="X54" s="751"/>
      <c r="Y54" s="749"/>
      <c r="Z54" s="752"/>
      <c r="AA54" s="752"/>
      <c r="AB54" s="769"/>
    </row>
    <row r="55" spans="1:28" ht="16.5">
      <c r="A55" s="670">
        <v>50</v>
      </c>
      <c r="B55" s="3303"/>
      <c r="C55" s="3327"/>
      <c r="D55" s="3300"/>
      <c r="E55" s="754"/>
      <c r="F55" s="755"/>
      <c r="G55" s="755"/>
      <c r="H55" s="755"/>
      <c r="I55" s="755"/>
      <c r="J55" s="756"/>
      <c r="K55" s="756"/>
      <c r="L55" s="756"/>
      <c r="M55" s="756"/>
      <c r="N55" s="756"/>
      <c r="O55" s="756"/>
      <c r="P55" s="757"/>
      <c r="Q55" s="756"/>
      <c r="R55" s="756"/>
      <c r="S55" s="756"/>
      <c r="T55" s="756"/>
      <c r="U55" s="757"/>
      <c r="V55" s="756"/>
      <c r="W55" s="757"/>
      <c r="X55" s="758"/>
      <c r="Y55" s="756"/>
      <c r="Z55" s="759"/>
      <c r="AA55" s="759"/>
      <c r="AB55" s="760"/>
    </row>
    <row r="56" spans="1:28" ht="16.5">
      <c r="A56" s="670">
        <v>51</v>
      </c>
      <c r="B56" s="3303"/>
      <c r="C56" s="3327"/>
      <c r="D56" s="3300"/>
      <c r="E56" s="754"/>
      <c r="F56" s="755"/>
      <c r="G56" s="755"/>
      <c r="H56" s="755"/>
      <c r="I56" s="755"/>
      <c r="J56" s="756"/>
      <c r="K56" s="756"/>
      <c r="L56" s="756"/>
      <c r="M56" s="756"/>
      <c r="N56" s="756"/>
      <c r="O56" s="756"/>
      <c r="P56" s="757"/>
      <c r="Q56" s="756"/>
      <c r="R56" s="756"/>
      <c r="S56" s="756"/>
      <c r="T56" s="756"/>
      <c r="U56" s="757"/>
      <c r="V56" s="756"/>
      <c r="W56" s="757"/>
      <c r="X56" s="758"/>
      <c r="Y56" s="756"/>
      <c r="Z56" s="759"/>
      <c r="AA56" s="759"/>
      <c r="AB56" s="760"/>
    </row>
    <row r="57" spans="1:28" ht="16.5">
      <c r="A57" s="670">
        <v>52</v>
      </c>
      <c r="B57" s="3303"/>
      <c r="C57" s="3327"/>
      <c r="D57" s="3300"/>
      <c r="E57" s="754"/>
      <c r="F57" s="755"/>
      <c r="G57" s="755"/>
      <c r="H57" s="755"/>
      <c r="I57" s="755"/>
      <c r="J57" s="756"/>
      <c r="K57" s="756"/>
      <c r="L57" s="756"/>
      <c r="M57" s="756"/>
      <c r="N57" s="756"/>
      <c r="O57" s="756"/>
      <c r="P57" s="757"/>
      <c r="Q57" s="756"/>
      <c r="R57" s="756"/>
      <c r="S57" s="756"/>
      <c r="T57" s="756"/>
      <c r="U57" s="757"/>
      <c r="V57" s="756"/>
      <c r="W57" s="757"/>
      <c r="X57" s="758"/>
      <c r="Y57" s="756"/>
      <c r="Z57" s="759"/>
      <c r="AA57" s="759"/>
      <c r="AB57" s="760"/>
    </row>
    <row r="58" spans="1:28" ht="16.5">
      <c r="A58" s="670">
        <v>53</v>
      </c>
      <c r="B58" s="3303"/>
      <c r="C58" s="3327"/>
      <c r="D58" s="3300"/>
      <c r="E58" s="754"/>
      <c r="F58" s="755"/>
      <c r="G58" s="755"/>
      <c r="H58" s="755"/>
      <c r="I58" s="755"/>
      <c r="J58" s="756"/>
      <c r="K58" s="756"/>
      <c r="L58" s="756"/>
      <c r="M58" s="756"/>
      <c r="N58" s="756"/>
      <c r="O58" s="756"/>
      <c r="P58" s="757"/>
      <c r="Q58" s="756"/>
      <c r="R58" s="756"/>
      <c r="S58" s="756"/>
      <c r="T58" s="756"/>
      <c r="U58" s="757"/>
      <c r="V58" s="756"/>
      <c r="W58" s="757"/>
      <c r="X58" s="758"/>
      <c r="Y58" s="756"/>
      <c r="Z58" s="759"/>
      <c r="AA58" s="759"/>
      <c r="AB58" s="760"/>
    </row>
    <row r="59" spans="1:28" ht="16.5">
      <c r="A59" s="670">
        <v>54</v>
      </c>
      <c r="B59" s="3303"/>
      <c r="C59" s="3327"/>
      <c r="D59" s="3300"/>
      <c r="E59" s="754"/>
      <c r="F59" s="755"/>
      <c r="G59" s="755"/>
      <c r="H59" s="755"/>
      <c r="I59" s="755"/>
      <c r="J59" s="756"/>
      <c r="K59" s="756"/>
      <c r="L59" s="756"/>
      <c r="M59" s="756"/>
      <c r="N59" s="756"/>
      <c r="O59" s="756"/>
      <c r="P59" s="757"/>
      <c r="Q59" s="756"/>
      <c r="R59" s="756"/>
      <c r="S59" s="756"/>
      <c r="T59" s="756"/>
      <c r="U59" s="757"/>
      <c r="V59" s="756"/>
      <c r="W59" s="757"/>
      <c r="X59" s="758"/>
      <c r="Y59" s="756"/>
      <c r="Z59" s="759"/>
      <c r="AA59" s="759"/>
      <c r="AB59" s="760"/>
    </row>
    <row r="60" spans="1:28" ht="16.5">
      <c r="A60" s="670">
        <v>55</v>
      </c>
      <c r="B60" s="3303"/>
      <c r="C60" s="3327"/>
      <c r="D60" s="3300"/>
      <c r="E60" s="754"/>
      <c r="F60" s="755"/>
      <c r="G60" s="755"/>
      <c r="H60" s="755"/>
      <c r="I60" s="755"/>
      <c r="J60" s="756"/>
      <c r="K60" s="756"/>
      <c r="L60" s="756"/>
      <c r="M60" s="756"/>
      <c r="N60" s="756"/>
      <c r="O60" s="756"/>
      <c r="P60" s="757"/>
      <c r="Q60" s="756"/>
      <c r="R60" s="756"/>
      <c r="S60" s="756"/>
      <c r="T60" s="756"/>
      <c r="U60" s="757"/>
      <c r="V60" s="756"/>
      <c r="W60" s="757"/>
      <c r="X60" s="758"/>
      <c r="Y60" s="756"/>
      <c r="Z60" s="759"/>
      <c r="AA60" s="759"/>
      <c r="AB60" s="760"/>
    </row>
    <row r="61" spans="1:28" ht="16.5">
      <c r="A61" s="670">
        <v>56</v>
      </c>
      <c r="B61" s="3303"/>
      <c r="C61" s="3327"/>
      <c r="D61" s="3300"/>
      <c r="E61" s="754"/>
      <c r="F61" s="755"/>
      <c r="G61" s="755"/>
      <c r="H61" s="755"/>
      <c r="I61" s="755"/>
      <c r="J61" s="756"/>
      <c r="K61" s="756"/>
      <c r="L61" s="756"/>
      <c r="M61" s="756"/>
      <c r="N61" s="756"/>
      <c r="O61" s="756"/>
      <c r="P61" s="757"/>
      <c r="Q61" s="756"/>
      <c r="R61" s="756"/>
      <c r="S61" s="756"/>
      <c r="T61" s="756"/>
      <c r="U61" s="757"/>
      <c r="V61" s="756"/>
      <c r="W61" s="757"/>
      <c r="X61" s="758"/>
      <c r="Y61" s="756"/>
      <c r="Z61" s="759"/>
      <c r="AA61" s="759"/>
      <c r="AB61" s="760"/>
    </row>
    <row r="62" spans="1:28" ht="16.5">
      <c r="A62" s="670">
        <v>57</v>
      </c>
      <c r="B62" s="3303"/>
      <c r="C62" s="3327"/>
      <c r="D62" s="3300"/>
      <c r="E62" s="754"/>
      <c r="F62" s="755"/>
      <c r="G62" s="755"/>
      <c r="H62" s="755"/>
      <c r="I62" s="755"/>
      <c r="J62" s="756"/>
      <c r="K62" s="756"/>
      <c r="L62" s="756"/>
      <c r="M62" s="756"/>
      <c r="N62" s="756"/>
      <c r="O62" s="756"/>
      <c r="P62" s="757"/>
      <c r="Q62" s="756"/>
      <c r="R62" s="756"/>
      <c r="S62" s="756"/>
      <c r="T62" s="756"/>
      <c r="U62" s="757"/>
      <c r="V62" s="756"/>
      <c r="W62" s="757"/>
      <c r="X62" s="758"/>
      <c r="Y62" s="756"/>
      <c r="Z62" s="759"/>
      <c r="AA62" s="759"/>
      <c r="AB62" s="760"/>
    </row>
    <row r="63" spans="1:28" ht="16.5">
      <c r="A63" s="670">
        <v>58</v>
      </c>
      <c r="B63" s="3303"/>
      <c r="C63" s="3327"/>
      <c r="D63" s="3300"/>
      <c r="E63" s="754"/>
      <c r="F63" s="755"/>
      <c r="G63" s="755"/>
      <c r="H63" s="755"/>
      <c r="I63" s="755"/>
      <c r="J63" s="756"/>
      <c r="K63" s="756"/>
      <c r="L63" s="756"/>
      <c r="M63" s="756"/>
      <c r="N63" s="756"/>
      <c r="O63" s="756"/>
      <c r="P63" s="757"/>
      <c r="Q63" s="756"/>
      <c r="R63" s="756"/>
      <c r="S63" s="756"/>
      <c r="T63" s="756"/>
      <c r="U63" s="757"/>
      <c r="V63" s="756"/>
      <c r="W63" s="757"/>
      <c r="X63" s="758"/>
      <c r="Y63" s="756"/>
      <c r="Z63" s="759"/>
      <c r="AA63" s="759"/>
      <c r="AB63" s="760"/>
    </row>
    <row r="64" spans="1:28" ht="16.5">
      <c r="A64" s="670">
        <v>59</v>
      </c>
      <c r="B64" s="3303"/>
      <c r="C64" s="3327"/>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763"/>
      <c r="Y64" s="763"/>
      <c r="Z64" s="763"/>
      <c r="AA64" s="763"/>
      <c r="AB64" s="765"/>
    </row>
    <row r="65" spans="1:28" ht="16.5" customHeight="1">
      <c r="A65" s="670">
        <v>60</v>
      </c>
      <c r="B65" s="3303"/>
      <c r="C65" s="3327"/>
      <c r="D65" s="3309" t="s">
        <v>3112</v>
      </c>
      <c r="E65" s="754"/>
      <c r="F65" s="755"/>
      <c r="G65" s="755"/>
      <c r="H65" s="755"/>
      <c r="I65" s="755"/>
      <c r="J65" s="756"/>
      <c r="K65" s="756"/>
      <c r="L65" s="756"/>
      <c r="M65" s="756"/>
      <c r="N65" s="756"/>
      <c r="O65" s="756"/>
      <c r="P65" s="757"/>
      <c r="Q65" s="756"/>
      <c r="R65" s="756"/>
      <c r="S65" s="756"/>
      <c r="T65" s="756"/>
      <c r="U65" s="757"/>
      <c r="V65" s="756"/>
      <c r="W65" s="757"/>
      <c r="X65" s="758"/>
      <c r="Y65" s="756"/>
      <c r="Z65" s="759"/>
      <c r="AA65" s="759"/>
      <c r="AB65" s="760"/>
    </row>
    <row r="66" spans="1:28" ht="16.5">
      <c r="A66" s="670">
        <v>61</v>
      </c>
      <c r="B66" s="3303"/>
      <c r="C66" s="3352"/>
      <c r="D66" s="3300"/>
      <c r="E66" s="754"/>
      <c r="F66" s="755"/>
      <c r="G66" s="755"/>
      <c r="H66" s="755"/>
      <c r="I66" s="755"/>
      <c r="J66" s="756"/>
      <c r="K66" s="756"/>
      <c r="L66" s="756"/>
      <c r="M66" s="756"/>
      <c r="N66" s="756"/>
      <c r="O66" s="756"/>
      <c r="P66" s="757"/>
      <c r="Q66" s="757"/>
      <c r="R66" s="756"/>
      <c r="S66" s="757"/>
      <c r="T66" s="756"/>
      <c r="U66" s="770"/>
      <c r="V66" s="756"/>
      <c r="W66" s="770"/>
      <c r="X66" s="758"/>
      <c r="Y66" s="756"/>
      <c r="Z66" s="759"/>
      <c r="AA66" s="759"/>
      <c r="AB66" s="760"/>
    </row>
    <row r="67" spans="1:28" ht="16.5">
      <c r="A67" s="670">
        <v>62</v>
      </c>
      <c r="B67" s="3303"/>
      <c r="C67" s="3352"/>
      <c r="D67" s="3300"/>
      <c r="E67" s="754"/>
      <c r="F67" s="755"/>
      <c r="G67" s="755"/>
      <c r="H67" s="755"/>
      <c r="I67" s="755"/>
      <c r="J67" s="756"/>
      <c r="K67" s="756"/>
      <c r="L67" s="756"/>
      <c r="M67" s="756"/>
      <c r="N67" s="756"/>
      <c r="O67" s="756"/>
      <c r="P67" s="757"/>
      <c r="Q67" s="757"/>
      <c r="R67" s="756"/>
      <c r="S67" s="757"/>
      <c r="T67" s="756"/>
      <c r="U67" s="770"/>
      <c r="V67" s="756"/>
      <c r="W67" s="770"/>
      <c r="X67" s="758"/>
      <c r="Y67" s="756"/>
      <c r="Z67" s="759"/>
      <c r="AA67" s="759"/>
      <c r="AB67" s="760"/>
    </row>
    <row r="68" spans="1:28" ht="16.5">
      <c r="A68" s="670">
        <v>63</v>
      </c>
      <c r="B68" s="3303"/>
      <c r="C68" s="3352"/>
      <c r="D68" s="3300"/>
      <c r="E68" s="754"/>
      <c r="F68" s="755"/>
      <c r="G68" s="755"/>
      <c r="H68" s="755"/>
      <c r="I68" s="755"/>
      <c r="J68" s="756"/>
      <c r="K68" s="756"/>
      <c r="L68" s="756"/>
      <c r="M68" s="756"/>
      <c r="N68" s="756"/>
      <c r="O68" s="756"/>
      <c r="P68" s="757"/>
      <c r="Q68" s="757"/>
      <c r="R68" s="756"/>
      <c r="S68" s="757"/>
      <c r="T68" s="756"/>
      <c r="U68" s="770"/>
      <c r="V68" s="756"/>
      <c r="W68" s="770"/>
      <c r="X68" s="758"/>
      <c r="Y68" s="756"/>
      <c r="Z68" s="759"/>
      <c r="AA68" s="759"/>
      <c r="AB68" s="760"/>
    </row>
    <row r="69" spans="1:28" ht="16.5">
      <c r="A69" s="670">
        <v>64</v>
      </c>
      <c r="B69" s="3303"/>
      <c r="C69" s="3352"/>
      <c r="D69" s="3300"/>
      <c r="E69" s="754"/>
      <c r="F69" s="755"/>
      <c r="G69" s="755"/>
      <c r="H69" s="755"/>
      <c r="I69" s="755"/>
      <c r="J69" s="756"/>
      <c r="K69" s="756"/>
      <c r="L69" s="756"/>
      <c r="M69" s="756"/>
      <c r="N69" s="756"/>
      <c r="O69" s="756"/>
      <c r="P69" s="757"/>
      <c r="Q69" s="757"/>
      <c r="R69" s="756"/>
      <c r="S69" s="757"/>
      <c r="T69" s="756"/>
      <c r="U69" s="770"/>
      <c r="V69" s="756"/>
      <c r="W69" s="770"/>
      <c r="X69" s="758"/>
      <c r="Y69" s="756"/>
      <c r="Z69" s="759"/>
      <c r="AA69" s="759"/>
      <c r="AB69" s="760"/>
    </row>
    <row r="70" spans="1:28" ht="16.5">
      <c r="A70" s="670">
        <v>65</v>
      </c>
      <c r="B70" s="3303"/>
      <c r="C70" s="3352"/>
      <c r="D70" s="3300"/>
      <c r="E70" s="754"/>
      <c r="F70" s="755"/>
      <c r="G70" s="755"/>
      <c r="H70" s="755"/>
      <c r="I70" s="755"/>
      <c r="J70" s="756"/>
      <c r="K70" s="756"/>
      <c r="L70" s="756"/>
      <c r="M70" s="756"/>
      <c r="N70" s="756"/>
      <c r="O70" s="756"/>
      <c r="P70" s="757"/>
      <c r="Q70" s="757"/>
      <c r="R70" s="756"/>
      <c r="S70" s="757"/>
      <c r="T70" s="756"/>
      <c r="U70" s="770"/>
      <c r="V70" s="756"/>
      <c r="W70" s="770"/>
      <c r="X70" s="758"/>
      <c r="Y70" s="756"/>
      <c r="Z70" s="759"/>
      <c r="AA70" s="759"/>
      <c r="AB70" s="760"/>
    </row>
    <row r="71" spans="1:28" ht="16.5">
      <c r="A71" s="670">
        <v>66</v>
      </c>
      <c r="B71" s="3303"/>
      <c r="C71" s="3352"/>
      <c r="D71" s="3300"/>
      <c r="E71" s="754"/>
      <c r="F71" s="755"/>
      <c r="G71" s="755"/>
      <c r="H71" s="755"/>
      <c r="I71" s="755"/>
      <c r="J71" s="756"/>
      <c r="K71" s="756"/>
      <c r="L71" s="756"/>
      <c r="M71" s="756"/>
      <c r="N71" s="756"/>
      <c r="O71" s="756"/>
      <c r="P71" s="757"/>
      <c r="Q71" s="757"/>
      <c r="R71" s="756"/>
      <c r="S71" s="757"/>
      <c r="T71" s="756"/>
      <c r="U71" s="770"/>
      <c r="V71" s="756"/>
      <c r="W71" s="770"/>
      <c r="X71" s="758"/>
      <c r="Y71" s="756"/>
      <c r="Z71" s="759"/>
      <c r="AA71" s="759"/>
      <c r="AB71" s="760"/>
    </row>
    <row r="72" spans="1:28" ht="16.5">
      <c r="A72" s="670">
        <v>67</v>
      </c>
      <c r="B72" s="3303"/>
      <c r="C72" s="3352"/>
      <c r="D72" s="3300"/>
      <c r="E72" s="754"/>
      <c r="F72" s="755"/>
      <c r="G72" s="755"/>
      <c r="H72" s="755"/>
      <c r="I72" s="755"/>
      <c r="J72" s="756"/>
      <c r="K72" s="756"/>
      <c r="L72" s="756"/>
      <c r="M72" s="756"/>
      <c r="N72" s="756"/>
      <c r="O72" s="756"/>
      <c r="P72" s="757"/>
      <c r="Q72" s="757"/>
      <c r="R72" s="756"/>
      <c r="S72" s="757"/>
      <c r="T72" s="756"/>
      <c r="U72" s="770"/>
      <c r="V72" s="756"/>
      <c r="W72" s="770"/>
      <c r="X72" s="758"/>
      <c r="Y72" s="756"/>
      <c r="Z72" s="759"/>
      <c r="AA72" s="759"/>
      <c r="AB72" s="760"/>
    </row>
    <row r="73" spans="1:28" ht="16.5">
      <c r="A73" s="670">
        <v>68</v>
      </c>
      <c r="B73" s="3303"/>
      <c r="C73" s="3352"/>
      <c r="D73" s="3300"/>
      <c r="E73" s="754"/>
      <c r="F73" s="755"/>
      <c r="G73" s="755"/>
      <c r="H73" s="755"/>
      <c r="I73" s="755"/>
      <c r="J73" s="756"/>
      <c r="K73" s="756"/>
      <c r="L73" s="756"/>
      <c r="M73" s="756"/>
      <c r="N73" s="756"/>
      <c r="O73" s="756"/>
      <c r="P73" s="757"/>
      <c r="Q73" s="757"/>
      <c r="R73" s="756"/>
      <c r="S73" s="757"/>
      <c r="T73" s="756"/>
      <c r="U73" s="770"/>
      <c r="V73" s="756"/>
      <c r="W73" s="770"/>
      <c r="X73" s="758"/>
      <c r="Y73" s="756"/>
      <c r="Z73" s="759"/>
      <c r="AA73" s="759"/>
      <c r="AB73" s="760"/>
    </row>
    <row r="74" spans="1:28" ht="16.5">
      <c r="A74" s="670">
        <v>69</v>
      </c>
      <c r="B74" s="3303"/>
      <c r="C74" s="3352"/>
      <c r="D74" s="3300"/>
      <c r="E74" s="754"/>
      <c r="F74" s="755"/>
      <c r="G74" s="755"/>
      <c r="H74" s="755"/>
      <c r="I74" s="755"/>
      <c r="J74" s="756"/>
      <c r="K74" s="756"/>
      <c r="L74" s="756"/>
      <c r="M74" s="756"/>
      <c r="N74" s="756"/>
      <c r="O74" s="756"/>
      <c r="P74" s="757"/>
      <c r="Q74" s="757"/>
      <c r="R74" s="756"/>
      <c r="S74" s="757"/>
      <c r="T74" s="756"/>
      <c r="U74" s="770"/>
      <c r="V74" s="756"/>
      <c r="W74" s="770"/>
      <c r="X74" s="758"/>
      <c r="Y74" s="756"/>
      <c r="Z74" s="759"/>
      <c r="AA74" s="759"/>
      <c r="AB74" s="760"/>
    </row>
    <row r="75" spans="1:28" ht="16.5">
      <c r="A75" s="670">
        <v>70</v>
      </c>
      <c r="B75" s="3303"/>
      <c r="C75" s="3352"/>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3"/>
      <c r="T75" s="756">
        <f>SUM(T65:T74)</f>
        <v>0</v>
      </c>
      <c r="U75" s="756">
        <f>SUM(U65:U74)</f>
        <v>0</v>
      </c>
      <c r="V75" s="756">
        <f>SUM(V65:V74)</f>
        <v>0</v>
      </c>
      <c r="W75" s="756">
        <f>SUM(W65:W74)</f>
        <v>0</v>
      </c>
      <c r="X75" s="763"/>
      <c r="Y75" s="763"/>
      <c r="Z75" s="763"/>
      <c r="AA75" s="763"/>
      <c r="AB75" s="765"/>
    </row>
    <row r="76" spans="1:28" ht="16.5" customHeight="1">
      <c r="A76" s="670">
        <v>71</v>
      </c>
      <c r="B76" s="3303"/>
      <c r="C76" s="3352"/>
      <c r="D76" s="3307" t="s">
        <v>3109</v>
      </c>
      <c r="E76" s="754"/>
      <c r="F76" s="755"/>
      <c r="G76" s="755"/>
      <c r="H76" s="755"/>
      <c r="I76" s="755"/>
      <c r="J76" s="756"/>
      <c r="K76" s="756"/>
      <c r="L76" s="756"/>
      <c r="M76" s="756"/>
      <c r="N76" s="756"/>
      <c r="O76" s="756"/>
      <c r="P76" s="757"/>
      <c r="Q76" s="757"/>
      <c r="R76" s="756"/>
      <c r="S76" s="757"/>
      <c r="T76" s="756"/>
      <c r="U76" s="770"/>
      <c r="V76" s="756"/>
      <c r="W76" s="770"/>
      <c r="X76" s="758"/>
      <c r="Y76" s="756"/>
      <c r="Z76" s="759"/>
      <c r="AA76" s="759"/>
      <c r="AB76" s="760"/>
    </row>
    <row r="77" spans="1:28" ht="16.5">
      <c r="A77" s="670">
        <v>72</v>
      </c>
      <c r="B77" s="3303"/>
      <c r="C77" s="3352"/>
      <c r="D77" s="3307"/>
      <c r="E77" s="754"/>
      <c r="F77" s="755"/>
      <c r="G77" s="755"/>
      <c r="H77" s="755"/>
      <c r="I77" s="755"/>
      <c r="J77" s="756"/>
      <c r="K77" s="756"/>
      <c r="L77" s="756"/>
      <c r="M77" s="756"/>
      <c r="N77" s="756"/>
      <c r="O77" s="756"/>
      <c r="P77" s="757"/>
      <c r="Q77" s="757"/>
      <c r="R77" s="756"/>
      <c r="S77" s="757"/>
      <c r="T77" s="756"/>
      <c r="U77" s="770"/>
      <c r="V77" s="756"/>
      <c r="W77" s="770"/>
      <c r="X77" s="758"/>
      <c r="Y77" s="756"/>
      <c r="Z77" s="759"/>
      <c r="AA77" s="759"/>
      <c r="AB77" s="760"/>
    </row>
    <row r="78" spans="1:28" ht="16.5">
      <c r="A78" s="670">
        <v>73</v>
      </c>
      <c r="B78" s="3303"/>
      <c r="C78" s="3352"/>
      <c r="D78" s="3307"/>
      <c r="E78" s="754"/>
      <c r="F78" s="755"/>
      <c r="G78" s="755"/>
      <c r="H78" s="755"/>
      <c r="I78" s="755"/>
      <c r="J78" s="756"/>
      <c r="K78" s="756"/>
      <c r="L78" s="756"/>
      <c r="M78" s="756"/>
      <c r="N78" s="756"/>
      <c r="O78" s="756"/>
      <c r="P78" s="757"/>
      <c r="Q78" s="757"/>
      <c r="R78" s="756"/>
      <c r="S78" s="757"/>
      <c r="T78" s="756"/>
      <c r="U78" s="770"/>
      <c r="V78" s="756"/>
      <c r="W78" s="770"/>
      <c r="X78" s="758"/>
      <c r="Y78" s="756"/>
      <c r="Z78" s="759"/>
      <c r="AA78" s="759"/>
      <c r="AB78" s="760"/>
    </row>
    <row r="79" spans="1:28" ht="16.5">
      <c r="A79" s="670">
        <v>74</v>
      </c>
      <c r="B79" s="3303"/>
      <c r="C79" s="3352"/>
      <c r="D79" s="3307"/>
      <c r="E79" s="754"/>
      <c r="F79" s="755"/>
      <c r="G79" s="755"/>
      <c r="H79" s="755"/>
      <c r="I79" s="755"/>
      <c r="J79" s="756"/>
      <c r="K79" s="756"/>
      <c r="L79" s="756"/>
      <c r="M79" s="756"/>
      <c r="N79" s="756"/>
      <c r="O79" s="756"/>
      <c r="P79" s="757"/>
      <c r="Q79" s="757"/>
      <c r="R79" s="756"/>
      <c r="S79" s="757"/>
      <c r="T79" s="756"/>
      <c r="U79" s="770"/>
      <c r="V79" s="756"/>
      <c r="W79" s="770"/>
      <c r="X79" s="758"/>
      <c r="Y79" s="756"/>
      <c r="Z79" s="759"/>
      <c r="AA79" s="759"/>
      <c r="AB79" s="760"/>
    </row>
    <row r="80" spans="1:28" ht="16.5">
      <c r="A80" s="670">
        <v>75</v>
      </c>
      <c r="B80" s="3303"/>
      <c r="C80" s="3352"/>
      <c r="D80" s="3307"/>
      <c r="E80" s="754"/>
      <c r="F80" s="755"/>
      <c r="G80" s="755"/>
      <c r="H80" s="755"/>
      <c r="I80" s="755"/>
      <c r="J80" s="756"/>
      <c r="K80" s="756"/>
      <c r="L80" s="756"/>
      <c r="M80" s="756"/>
      <c r="N80" s="756"/>
      <c r="O80" s="756"/>
      <c r="P80" s="757"/>
      <c r="Q80" s="757"/>
      <c r="R80" s="756"/>
      <c r="S80" s="757"/>
      <c r="T80" s="756"/>
      <c r="U80" s="770"/>
      <c r="V80" s="756"/>
      <c r="W80" s="770"/>
      <c r="X80" s="758"/>
      <c r="Y80" s="756"/>
      <c r="Z80" s="759"/>
      <c r="AA80" s="759"/>
      <c r="AB80" s="760"/>
    </row>
    <row r="81" spans="1:28" ht="16.5">
      <c r="A81" s="670">
        <v>76</v>
      </c>
      <c r="B81" s="3303"/>
      <c r="C81" s="3352"/>
      <c r="D81" s="3307"/>
      <c r="E81" s="754"/>
      <c r="F81" s="755"/>
      <c r="G81" s="755"/>
      <c r="H81" s="755"/>
      <c r="I81" s="755"/>
      <c r="J81" s="756"/>
      <c r="K81" s="756"/>
      <c r="L81" s="756"/>
      <c r="M81" s="756"/>
      <c r="N81" s="756"/>
      <c r="O81" s="756"/>
      <c r="P81" s="757"/>
      <c r="Q81" s="757"/>
      <c r="R81" s="756"/>
      <c r="S81" s="757"/>
      <c r="T81" s="756"/>
      <c r="U81" s="770"/>
      <c r="V81" s="756"/>
      <c r="W81" s="770"/>
      <c r="X81" s="758"/>
      <c r="Y81" s="756"/>
      <c r="Z81" s="759"/>
      <c r="AA81" s="759"/>
      <c r="AB81" s="760"/>
    </row>
    <row r="82" spans="1:28" ht="16.5">
      <c r="A82" s="670">
        <v>77</v>
      </c>
      <c r="B82" s="3303"/>
      <c r="C82" s="3352"/>
      <c r="D82" s="3307"/>
      <c r="E82" s="754"/>
      <c r="F82" s="755"/>
      <c r="G82" s="755"/>
      <c r="H82" s="755"/>
      <c r="I82" s="755"/>
      <c r="J82" s="756"/>
      <c r="K82" s="756"/>
      <c r="L82" s="756"/>
      <c r="M82" s="756"/>
      <c r="N82" s="756"/>
      <c r="O82" s="756"/>
      <c r="P82" s="757"/>
      <c r="Q82" s="756"/>
      <c r="R82" s="756"/>
      <c r="S82" s="756"/>
      <c r="T82" s="756"/>
      <c r="U82" s="757"/>
      <c r="V82" s="756"/>
      <c r="W82" s="757"/>
      <c r="X82" s="758"/>
      <c r="Y82" s="756"/>
      <c r="Z82" s="759"/>
      <c r="AA82" s="759"/>
      <c r="AB82" s="760"/>
    </row>
    <row r="83" spans="1:28" ht="16.5">
      <c r="A83" s="670">
        <v>78</v>
      </c>
      <c r="B83" s="3303"/>
      <c r="C83" s="3352"/>
      <c r="D83" s="3307"/>
      <c r="E83" s="754"/>
      <c r="F83" s="755"/>
      <c r="G83" s="755"/>
      <c r="H83" s="755"/>
      <c r="I83" s="755"/>
      <c r="J83" s="756"/>
      <c r="K83" s="756"/>
      <c r="L83" s="756"/>
      <c r="M83" s="756"/>
      <c r="N83" s="756"/>
      <c r="O83" s="756"/>
      <c r="P83" s="757"/>
      <c r="Q83" s="756"/>
      <c r="R83" s="756"/>
      <c r="S83" s="756"/>
      <c r="T83" s="756"/>
      <c r="U83" s="757"/>
      <c r="V83" s="756"/>
      <c r="W83" s="757"/>
      <c r="X83" s="758"/>
      <c r="Y83" s="756"/>
      <c r="Z83" s="759"/>
      <c r="AA83" s="759"/>
      <c r="AB83" s="760"/>
    </row>
    <row r="84" spans="1:28" ht="16.5">
      <c r="A84" s="670">
        <v>79</v>
      </c>
      <c r="B84" s="3303"/>
      <c r="C84" s="3352"/>
      <c r="D84" s="3307"/>
      <c r="E84" s="754"/>
      <c r="F84" s="755"/>
      <c r="G84" s="755"/>
      <c r="H84" s="755"/>
      <c r="I84" s="755"/>
      <c r="J84" s="756"/>
      <c r="K84" s="756"/>
      <c r="L84" s="756"/>
      <c r="M84" s="756"/>
      <c r="N84" s="756"/>
      <c r="O84" s="756"/>
      <c r="P84" s="757"/>
      <c r="Q84" s="756"/>
      <c r="R84" s="756"/>
      <c r="S84" s="756"/>
      <c r="T84" s="756"/>
      <c r="U84" s="757"/>
      <c r="V84" s="756"/>
      <c r="W84" s="757"/>
      <c r="X84" s="758"/>
      <c r="Y84" s="756"/>
      <c r="Z84" s="759"/>
      <c r="AA84" s="759"/>
      <c r="AB84" s="760"/>
    </row>
    <row r="85" spans="1:28" ht="16.5">
      <c r="A85" s="670">
        <v>80</v>
      </c>
      <c r="B85" s="3303"/>
      <c r="C85" s="3352"/>
      <c r="D85" s="3307"/>
      <c r="E85" s="754"/>
      <c r="F85" s="755"/>
      <c r="G85" s="755"/>
      <c r="H85" s="755"/>
      <c r="I85" s="755"/>
      <c r="J85" s="756"/>
      <c r="K85" s="756"/>
      <c r="L85" s="756"/>
      <c r="M85" s="756"/>
      <c r="N85" s="756"/>
      <c r="O85" s="756"/>
      <c r="P85" s="757"/>
      <c r="Q85" s="756"/>
      <c r="R85" s="756"/>
      <c r="S85" s="756"/>
      <c r="T85" s="756"/>
      <c r="U85" s="757"/>
      <c r="V85" s="756"/>
      <c r="W85" s="757"/>
      <c r="X85" s="758"/>
      <c r="Y85" s="756"/>
      <c r="Z85" s="759"/>
      <c r="AA85" s="759"/>
      <c r="AB85" s="760"/>
    </row>
    <row r="86" spans="1:28" ht="17.25" thickBot="1">
      <c r="A86" s="670">
        <v>81</v>
      </c>
      <c r="B86" s="3303"/>
      <c r="C86" s="3353"/>
      <c r="D86" s="686" t="s">
        <v>3105</v>
      </c>
      <c r="E86" s="767"/>
      <c r="F86" s="767"/>
      <c r="G86" s="767"/>
      <c r="H86" s="767"/>
      <c r="I86" s="767"/>
      <c r="J86" s="767"/>
      <c r="K86" s="767"/>
      <c r="L86" s="767"/>
      <c r="M86" s="768">
        <f>SUM(M76:M85)</f>
        <v>0</v>
      </c>
      <c r="N86" s="768">
        <f>SUM(N76:N85)</f>
        <v>0</v>
      </c>
      <c r="O86" s="768">
        <f>SUM(O76:O85)</f>
        <v>0</v>
      </c>
      <c r="P86" s="768">
        <f>SUM(P76:P85)</f>
        <v>0</v>
      </c>
      <c r="Q86" s="767"/>
      <c r="R86" s="768">
        <f>SUM(R76:R85)</f>
        <v>0</v>
      </c>
      <c r="S86" s="763"/>
      <c r="T86" s="768">
        <f>SUM(T76:T85)</f>
        <v>0</v>
      </c>
      <c r="U86" s="768">
        <f>SUM(U76:U85)</f>
        <v>0</v>
      </c>
      <c r="V86" s="768">
        <f>SUM(V76:V85)</f>
        <v>0</v>
      </c>
      <c r="W86" s="768">
        <f>SUM(W76:W85)</f>
        <v>0</v>
      </c>
      <c r="X86" s="767"/>
      <c r="Y86" s="767"/>
      <c r="Z86" s="767"/>
      <c r="AA86" s="767"/>
      <c r="AB86" s="765"/>
    </row>
    <row r="87" spans="1:28" ht="16.5" customHeight="1">
      <c r="A87" s="670">
        <v>82</v>
      </c>
      <c r="B87" s="3303"/>
      <c r="C87" s="3286" t="s">
        <v>3113</v>
      </c>
      <c r="D87" s="3310" t="s">
        <v>3114</v>
      </c>
      <c r="E87" s="747"/>
      <c r="F87" s="748"/>
      <c r="G87" s="748"/>
      <c r="H87" s="748"/>
      <c r="I87" s="748"/>
      <c r="J87" s="749"/>
      <c r="K87" s="749"/>
      <c r="L87" s="749"/>
      <c r="M87" s="749"/>
      <c r="N87" s="749"/>
      <c r="O87" s="749"/>
      <c r="P87" s="750"/>
      <c r="Q87" s="749"/>
      <c r="R87" s="749"/>
      <c r="S87" s="749"/>
      <c r="T87" s="771"/>
      <c r="U87" s="750"/>
      <c r="V87" s="771"/>
      <c r="W87" s="750"/>
      <c r="X87" s="751"/>
      <c r="Y87" s="749"/>
      <c r="Z87" s="752"/>
      <c r="AA87" s="752"/>
      <c r="AB87" s="769"/>
    </row>
    <row r="88" spans="1:28" ht="16.5">
      <c r="A88" s="670">
        <v>83</v>
      </c>
      <c r="B88" s="3303"/>
      <c r="C88" s="3287"/>
      <c r="D88" s="3307"/>
      <c r="E88" s="754"/>
      <c r="F88" s="755"/>
      <c r="G88" s="755"/>
      <c r="H88" s="755"/>
      <c r="I88" s="755"/>
      <c r="J88" s="756"/>
      <c r="K88" s="756"/>
      <c r="L88" s="756"/>
      <c r="M88" s="756"/>
      <c r="N88" s="756"/>
      <c r="O88" s="756"/>
      <c r="P88" s="757"/>
      <c r="Q88" s="756"/>
      <c r="R88" s="756"/>
      <c r="S88" s="756"/>
      <c r="T88" s="770"/>
      <c r="U88" s="757"/>
      <c r="V88" s="770"/>
      <c r="W88" s="757"/>
      <c r="X88" s="758"/>
      <c r="Y88" s="756"/>
      <c r="Z88" s="759"/>
      <c r="AA88" s="759"/>
      <c r="AB88" s="760"/>
    </row>
    <row r="89" spans="1:28" ht="16.5">
      <c r="A89" s="670">
        <v>84</v>
      </c>
      <c r="B89" s="3303"/>
      <c r="C89" s="3287"/>
      <c r="D89" s="3307"/>
      <c r="E89" s="754"/>
      <c r="F89" s="755"/>
      <c r="G89" s="755"/>
      <c r="H89" s="755"/>
      <c r="I89" s="755"/>
      <c r="J89" s="756"/>
      <c r="K89" s="756"/>
      <c r="L89" s="756"/>
      <c r="M89" s="756"/>
      <c r="N89" s="756"/>
      <c r="O89" s="756"/>
      <c r="P89" s="757"/>
      <c r="Q89" s="756"/>
      <c r="R89" s="756"/>
      <c r="S89" s="756"/>
      <c r="T89" s="770"/>
      <c r="U89" s="757"/>
      <c r="V89" s="770"/>
      <c r="W89" s="757"/>
      <c r="X89" s="758"/>
      <c r="Y89" s="756"/>
      <c r="Z89" s="759"/>
      <c r="AA89" s="759"/>
      <c r="AB89" s="760"/>
    </row>
    <row r="90" spans="1:28" ht="16.5">
      <c r="A90" s="670">
        <v>85</v>
      </c>
      <c r="B90" s="3303"/>
      <c r="C90" s="3287"/>
      <c r="D90" s="3307"/>
      <c r="E90" s="754"/>
      <c r="F90" s="755"/>
      <c r="G90" s="755"/>
      <c r="H90" s="755"/>
      <c r="I90" s="755"/>
      <c r="J90" s="756"/>
      <c r="K90" s="756"/>
      <c r="L90" s="756"/>
      <c r="M90" s="756"/>
      <c r="N90" s="756"/>
      <c r="O90" s="756"/>
      <c r="P90" s="757"/>
      <c r="Q90" s="756"/>
      <c r="R90" s="756"/>
      <c r="S90" s="756"/>
      <c r="T90" s="770"/>
      <c r="U90" s="757"/>
      <c r="V90" s="770"/>
      <c r="W90" s="757"/>
      <c r="X90" s="758"/>
      <c r="Y90" s="756"/>
      <c r="Z90" s="759"/>
      <c r="AA90" s="759"/>
      <c r="AB90" s="760"/>
    </row>
    <row r="91" spans="1:28" ht="16.5">
      <c r="A91" s="670">
        <v>86</v>
      </c>
      <c r="B91" s="3303"/>
      <c r="C91" s="3287"/>
      <c r="D91" s="3307"/>
      <c r="E91" s="754"/>
      <c r="F91" s="755"/>
      <c r="G91" s="755"/>
      <c r="H91" s="755"/>
      <c r="I91" s="755"/>
      <c r="J91" s="756"/>
      <c r="K91" s="756"/>
      <c r="L91" s="756"/>
      <c r="M91" s="756"/>
      <c r="N91" s="756"/>
      <c r="O91" s="756"/>
      <c r="P91" s="757"/>
      <c r="Q91" s="756"/>
      <c r="R91" s="756"/>
      <c r="S91" s="756"/>
      <c r="T91" s="770"/>
      <c r="U91" s="757"/>
      <c r="V91" s="770"/>
      <c r="W91" s="757"/>
      <c r="X91" s="758"/>
      <c r="Y91" s="756"/>
      <c r="Z91" s="759"/>
      <c r="AA91" s="759"/>
      <c r="AB91" s="760"/>
    </row>
    <row r="92" spans="1:28" ht="16.5">
      <c r="A92" s="670">
        <v>87</v>
      </c>
      <c r="B92" s="3303"/>
      <c r="C92" s="3287"/>
      <c r="D92" s="3307"/>
      <c r="E92" s="754"/>
      <c r="F92" s="755"/>
      <c r="G92" s="755"/>
      <c r="H92" s="755"/>
      <c r="I92" s="755"/>
      <c r="J92" s="756"/>
      <c r="K92" s="756"/>
      <c r="L92" s="756"/>
      <c r="M92" s="756"/>
      <c r="N92" s="756"/>
      <c r="O92" s="756"/>
      <c r="P92" s="757"/>
      <c r="Q92" s="756"/>
      <c r="R92" s="756"/>
      <c r="S92" s="756"/>
      <c r="T92" s="770"/>
      <c r="U92" s="757"/>
      <c r="V92" s="770"/>
      <c r="W92" s="757"/>
      <c r="X92" s="758"/>
      <c r="Y92" s="756"/>
      <c r="Z92" s="759"/>
      <c r="AA92" s="759"/>
      <c r="AB92" s="760"/>
    </row>
    <row r="93" spans="1:28" ht="16.5">
      <c r="A93" s="670">
        <v>88</v>
      </c>
      <c r="B93" s="3303"/>
      <c r="C93" s="3287"/>
      <c r="D93" s="657" t="s">
        <v>3105</v>
      </c>
      <c r="E93" s="763"/>
      <c r="F93" s="763"/>
      <c r="G93" s="763"/>
      <c r="H93" s="763"/>
      <c r="I93" s="763"/>
      <c r="J93" s="763"/>
      <c r="K93" s="763"/>
      <c r="L93" s="763"/>
      <c r="M93" s="756">
        <f>SUM(M87:M92)</f>
        <v>0</v>
      </c>
      <c r="N93" s="756">
        <f>SUM(N87:N92)</f>
        <v>0</v>
      </c>
      <c r="O93" s="756">
        <f>SUM(O87:O92)</f>
        <v>0</v>
      </c>
      <c r="P93" s="756">
        <f>SUM(P87:P92)</f>
        <v>0</v>
      </c>
      <c r="Q93" s="763"/>
      <c r="R93" s="756">
        <f>SUM(R87:R92)</f>
        <v>0</v>
      </c>
      <c r="S93" s="763"/>
      <c r="T93" s="756">
        <f>SUM(T87:T92)</f>
        <v>0</v>
      </c>
      <c r="U93" s="756">
        <f>SUM(U87:U92)</f>
        <v>0</v>
      </c>
      <c r="V93" s="756">
        <f>SUM(V87:V92)</f>
        <v>0</v>
      </c>
      <c r="W93" s="756">
        <f>SUM(W87:W92)</f>
        <v>0</v>
      </c>
      <c r="X93" s="763"/>
      <c r="Y93" s="763"/>
      <c r="Z93" s="763"/>
      <c r="AA93" s="763"/>
      <c r="AB93" s="765"/>
    </row>
    <row r="94" spans="1:28" ht="16.5" customHeight="1">
      <c r="A94" s="670">
        <v>89</v>
      </c>
      <c r="B94" s="3303"/>
      <c r="C94" s="3287"/>
      <c r="D94" s="3307" t="s">
        <v>3108</v>
      </c>
      <c r="E94" s="754"/>
      <c r="F94" s="755"/>
      <c r="G94" s="755"/>
      <c r="H94" s="755"/>
      <c r="I94" s="755"/>
      <c r="J94" s="756"/>
      <c r="K94" s="756"/>
      <c r="L94" s="756"/>
      <c r="M94" s="756"/>
      <c r="N94" s="756"/>
      <c r="O94" s="756"/>
      <c r="P94" s="757"/>
      <c r="Q94" s="756"/>
      <c r="R94" s="756"/>
      <c r="S94" s="756"/>
      <c r="T94" s="770"/>
      <c r="U94" s="757"/>
      <c r="V94" s="770"/>
      <c r="W94" s="757"/>
      <c r="X94" s="758"/>
      <c r="Y94" s="756"/>
      <c r="Z94" s="759"/>
      <c r="AA94" s="759"/>
      <c r="AB94" s="760"/>
    </row>
    <row r="95" spans="1:28" ht="16.5">
      <c r="A95" s="670">
        <v>90</v>
      </c>
      <c r="B95" s="3303"/>
      <c r="C95" s="3287"/>
      <c r="D95" s="3307"/>
      <c r="E95" s="754"/>
      <c r="F95" s="755"/>
      <c r="G95" s="755"/>
      <c r="H95" s="755"/>
      <c r="I95" s="755"/>
      <c r="J95" s="756"/>
      <c r="K95" s="756"/>
      <c r="L95" s="756"/>
      <c r="M95" s="756"/>
      <c r="N95" s="756"/>
      <c r="O95" s="756"/>
      <c r="P95" s="757"/>
      <c r="Q95" s="756"/>
      <c r="R95" s="756"/>
      <c r="S95" s="756"/>
      <c r="T95" s="770"/>
      <c r="U95" s="757"/>
      <c r="V95" s="770"/>
      <c r="W95" s="757"/>
      <c r="X95" s="758"/>
      <c r="Y95" s="756"/>
      <c r="Z95" s="759"/>
      <c r="AA95" s="759"/>
      <c r="AB95" s="760"/>
    </row>
    <row r="96" spans="1:28" ht="16.5">
      <c r="A96" s="670">
        <v>91</v>
      </c>
      <c r="B96" s="3303"/>
      <c r="C96" s="3287"/>
      <c r="D96" s="3307"/>
      <c r="E96" s="754"/>
      <c r="F96" s="755"/>
      <c r="G96" s="755"/>
      <c r="H96" s="755"/>
      <c r="I96" s="755"/>
      <c r="J96" s="756"/>
      <c r="K96" s="756"/>
      <c r="L96" s="756"/>
      <c r="M96" s="756"/>
      <c r="N96" s="756"/>
      <c r="O96" s="756"/>
      <c r="P96" s="757"/>
      <c r="Q96" s="756"/>
      <c r="R96" s="756"/>
      <c r="S96" s="756"/>
      <c r="T96" s="770"/>
      <c r="U96" s="757"/>
      <c r="V96" s="770"/>
      <c r="W96" s="757"/>
      <c r="X96" s="758"/>
      <c r="Y96" s="756"/>
      <c r="Z96" s="759"/>
      <c r="AA96" s="759"/>
      <c r="AB96" s="760"/>
    </row>
    <row r="97" spans="1:28" ht="16.5">
      <c r="A97" s="670">
        <v>92</v>
      </c>
      <c r="B97" s="3303"/>
      <c r="C97" s="3287"/>
      <c r="D97" s="3307"/>
      <c r="E97" s="754"/>
      <c r="F97" s="755"/>
      <c r="G97" s="755"/>
      <c r="H97" s="755"/>
      <c r="I97" s="755"/>
      <c r="J97" s="756"/>
      <c r="K97" s="756"/>
      <c r="L97" s="756"/>
      <c r="M97" s="756"/>
      <c r="N97" s="756"/>
      <c r="O97" s="756"/>
      <c r="P97" s="757"/>
      <c r="Q97" s="756"/>
      <c r="R97" s="756"/>
      <c r="S97" s="756"/>
      <c r="T97" s="770"/>
      <c r="U97" s="757"/>
      <c r="V97" s="770"/>
      <c r="W97" s="757"/>
      <c r="X97" s="758"/>
      <c r="Y97" s="756"/>
      <c r="Z97" s="759"/>
      <c r="AA97" s="759"/>
      <c r="AB97" s="760"/>
    </row>
    <row r="98" spans="1:28" ht="16.5" customHeight="1">
      <c r="A98" s="670">
        <v>93</v>
      </c>
      <c r="B98" s="3303"/>
      <c r="C98" s="3287"/>
      <c r="D98" s="3307"/>
      <c r="E98" s="754"/>
      <c r="F98" s="755"/>
      <c r="G98" s="755"/>
      <c r="H98" s="755"/>
      <c r="I98" s="755"/>
      <c r="J98" s="756"/>
      <c r="K98" s="756"/>
      <c r="L98" s="756"/>
      <c r="M98" s="756"/>
      <c r="N98" s="756"/>
      <c r="O98" s="756"/>
      <c r="P98" s="757"/>
      <c r="Q98" s="756"/>
      <c r="R98" s="756"/>
      <c r="S98" s="756"/>
      <c r="T98" s="770"/>
      <c r="U98" s="757"/>
      <c r="V98" s="770"/>
      <c r="W98" s="757"/>
      <c r="X98" s="758"/>
      <c r="Y98" s="756"/>
      <c r="Z98" s="759"/>
      <c r="AA98" s="759"/>
      <c r="AB98" s="760"/>
    </row>
    <row r="99" spans="1:28" ht="16.5" customHeight="1">
      <c r="A99" s="670">
        <v>94</v>
      </c>
      <c r="B99" s="3303"/>
      <c r="C99" s="3287"/>
      <c r="D99" s="3307"/>
      <c r="E99" s="754"/>
      <c r="F99" s="755"/>
      <c r="G99" s="755"/>
      <c r="H99" s="755"/>
      <c r="I99" s="755"/>
      <c r="J99" s="756"/>
      <c r="K99" s="756"/>
      <c r="L99" s="756"/>
      <c r="M99" s="756"/>
      <c r="N99" s="756"/>
      <c r="O99" s="756"/>
      <c r="P99" s="757"/>
      <c r="Q99" s="756"/>
      <c r="R99" s="756"/>
      <c r="S99" s="756"/>
      <c r="T99" s="770"/>
      <c r="U99" s="757"/>
      <c r="V99" s="770"/>
      <c r="W99" s="757"/>
      <c r="X99" s="758"/>
      <c r="Y99" s="756"/>
      <c r="Z99" s="759"/>
      <c r="AA99" s="759"/>
      <c r="AB99" s="760"/>
    </row>
    <row r="100" spans="1:28" ht="16.5">
      <c r="A100" s="670">
        <v>95</v>
      </c>
      <c r="B100" s="3303"/>
      <c r="C100" s="3287"/>
      <c r="D100" s="657" t="s">
        <v>3105</v>
      </c>
      <c r="E100" s="763"/>
      <c r="F100" s="763"/>
      <c r="G100" s="763"/>
      <c r="H100" s="763"/>
      <c r="I100" s="763"/>
      <c r="J100" s="763"/>
      <c r="K100" s="763"/>
      <c r="L100" s="763"/>
      <c r="M100" s="756">
        <f>SUM(M94:M99)</f>
        <v>0</v>
      </c>
      <c r="N100" s="756">
        <f>SUM(N94:N99)</f>
        <v>0</v>
      </c>
      <c r="O100" s="756">
        <f>SUM(O94:O99)</f>
        <v>0</v>
      </c>
      <c r="P100" s="756">
        <f>SUM(P94:P99)</f>
        <v>0</v>
      </c>
      <c r="Q100" s="763"/>
      <c r="R100" s="756">
        <f>SUM(R94:R99)</f>
        <v>0</v>
      </c>
      <c r="S100" s="763"/>
      <c r="T100" s="756">
        <f>SUM(T94:T99)</f>
        <v>0</v>
      </c>
      <c r="U100" s="756">
        <f>SUM(U94:U99)</f>
        <v>0</v>
      </c>
      <c r="V100" s="756">
        <f>SUM(V94:V99)</f>
        <v>0</v>
      </c>
      <c r="W100" s="756">
        <f>SUM(W94:W99)</f>
        <v>0</v>
      </c>
      <c r="X100" s="763"/>
      <c r="Y100" s="763"/>
      <c r="Z100" s="763"/>
      <c r="AA100" s="763"/>
      <c r="AB100" s="765"/>
    </row>
    <row r="101" spans="1:28" ht="16.5" customHeight="1">
      <c r="A101" s="670">
        <v>96</v>
      </c>
      <c r="B101" s="3303"/>
      <c r="C101" s="3287"/>
      <c r="D101" s="3307" t="s">
        <v>3109</v>
      </c>
      <c r="E101" s="754"/>
      <c r="F101" s="755"/>
      <c r="G101" s="755"/>
      <c r="H101" s="755"/>
      <c r="I101" s="755"/>
      <c r="J101" s="756"/>
      <c r="K101" s="756"/>
      <c r="L101" s="756"/>
      <c r="M101" s="756"/>
      <c r="N101" s="756"/>
      <c r="O101" s="756"/>
      <c r="P101" s="757"/>
      <c r="Q101" s="756"/>
      <c r="R101" s="756"/>
      <c r="S101" s="756"/>
      <c r="T101" s="770"/>
      <c r="U101" s="757"/>
      <c r="V101" s="770"/>
      <c r="W101" s="757"/>
      <c r="X101" s="758"/>
      <c r="Y101" s="756"/>
      <c r="Z101" s="759"/>
      <c r="AA101" s="759"/>
      <c r="AB101" s="760"/>
    </row>
    <row r="102" spans="1:28" ht="16.5">
      <c r="A102" s="670">
        <v>97</v>
      </c>
      <c r="B102" s="3303"/>
      <c r="C102" s="3287"/>
      <c r="D102" s="3307"/>
      <c r="E102" s="754"/>
      <c r="F102" s="755"/>
      <c r="G102" s="755"/>
      <c r="H102" s="755"/>
      <c r="I102" s="755"/>
      <c r="J102" s="756"/>
      <c r="K102" s="756"/>
      <c r="L102" s="756"/>
      <c r="M102" s="756"/>
      <c r="N102" s="756"/>
      <c r="O102" s="756"/>
      <c r="P102" s="757"/>
      <c r="Q102" s="756"/>
      <c r="R102" s="756"/>
      <c r="S102" s="756"/>
      <c r="T102" s="770"/>
      <c r="U102" s="757"/>
      <c r="V102" s="770"/>
      <c r="W102" s="757"/>
      <c r="X102" s="758"/>
      <c r="Y102" s="756"/>
      <c r="Z102" s="759"/>
      <c r="AA102" s="759"/>
      <c r="AB102" s="760"/>
    </row>
    <row r="103" spans="1:28" ht="16.5">
      <c r="A103" s="670">
        <v>98</v>
      </c>
      <c r="B103" s="3303"/>
      <c r="C103" s="3287"/>
      <c r="D103" s="3307"/>
      <c r="E103" s="754"/>
      <c r="F103" s="755"/>
      <c r="G103" s="755"/>
      <c r="H103" s="755"/>
      <c r="I103" s="755"/>
      <c r="J103" s="756"/>
      <c r="K103" s="756"/>
      <c r="L103" s="756"/>
      <c r="M103" s="756"/>
      <c r="N103" s="756"/>
      <c r="O103" s="756"/>
      <c r="P103" s="757"/>
      <c r="Q103" s="756"/>
      <c r="R103" s="756"/>
      <c r="S103" s="756"/>
      <c r="T103" s="770"/>
      <c r="U103" s="757"/>
      <c r="V103" s="770"/>
      <c r="W103" s="757"/>
      <c r="X103" s="758"/>
      <c r="Y103" s="756"/>
      <c r="Z103" s="759"/>
      <c r="AA103" s="759"/>
      <c r="AB103" s="760"/>
    </row>
    <row r="104" spans="1:28" ht="16.5">
      <c r="A104" s="670">
        <v>99</v>
      </c>
      <c r="B104" s="3303"/>
      <c r="C104" s="3287"/>
      <c r="D104" s="3307"/>
      <c r="E104" s="754"/>
      <c r="F104" s="755"/>
      <c r="G104" s="755"/>
      <c r="H104" s="755"/>
      <c r="I104" s="755"/>
      <c r="J104" s="756"/>
      <c r="K104" s="756"/>
      <c r="L104" s="756"/>
      <c r="M104" s="756"/>
      <c r="N104" s="756"/>
      <c r="O104" s="756"/>
      <c r="P104" s="757"/>
      <c r="Q104" s="756"/>
      <c r="R104" s="756"/>
      <c r="S104" s="756"/>
      <c r="T104" s="770"/>
      <c r="U104" s="757"/>
      <c r="V104" s="770"/>
      <c r="W104" s="757"/>
      <c r="X104" s="758"/>
      <c r="Y104" s="756"/>
      <c r="Z104" s="759"/>
      <c r="AA104" s="759"/>
      <c r="AB104" s="760"/>
    </row>
    <row r="105" spans="1:28" ht="16.5">
      <c r="A105" s="670">
        <v>100</v>
      </c>
      <c r="B105" s="3303"/>
      <c r="C105" s="3287"/>
      <c r="D105" s="3307"/>
      <c r="E105" s="754"/>
      <c r="F105" s="755"/>
      <c r="G105" s="755"/>
      <c r="H105" s="755"/>
      <c r="I105" s="755"/>
      <c r="J105" s="756"/>
      <c r="K105" s="756"/>
      <c r="L105" s="756"/>
      <c r="M105" s="756"/>
      <c r="N105" s="756"/>
      <c r="O105" s="756"/>
      <c r="P105" s="757"/>
      <c r="Q105" s="756"/>
      <c r="R105" s="756"/>
      <c r="S105" s="756"/>
      <c r="T105" s="770"/>
      <c r="U105" s="757"/>
      <c r="V105" s="770"/>
      <c r="W105" s="757"/>
      <c r="X105" s="758"/>
      <c r="Y105" s="756"/>
      <c r="Z105" s="759"/>
      <c r="AA105" s="759"/>
      <c r="AB105" s="760"/>
    </row>
    <row r="106" spans="1:28" ht="16.5">
      <c r="A106" s="670">
        <v>101</v>
      </c>
      <c r="B106" s="3303"/>
      <c r="C106" s="3287"/>
      <c r="D106" s="3307"/>
      <c r="E106" s="754"/>
      <c r="F106" s="755"/>
      <c r="G106" s="755"/>
      <c r="H106" s="755"/>
      <c r="I106" s="755"/>
      <c r="J106" s="756"/>
      <c r="K106" s="756"/>
      <c r="L106" s="756"/>
      <c r="M106" s="756"/>
      <c r="N106" s="756"/>
      <c r="O106" s="756"/>
      <c r="P106" s="757"/>
      <c r="Q106" s="756"/>
      <c r="R106" s="756"/>
      <c r="S106" s="756"/>
      <c r="T106" s="770"/>
      <c r="U106" s="757"/>
      <c r="V106" s="770"/>
      <c r="W106" s="757"/>
      <c r="X106" s="758"/>
      <c r="Y106" s="756"/>
      <c r="Z106" s="759"/>
      <c r="AA106" s="759"/>
      <c r="AB106" s="760"/>
    </row>
    <row r="107" spans="1:28" ht="17.25" thickBot="1">
      <c r="A107" s="670">
        <v>102</v>
      </c>
      <c r="B107" s="3303"/>
      <c r="C107" s="3288"/>
      <c r="D107" s="686" t="s">
        <v>3105</v>
      </c>
      <c r="E107" s="766"/>
      <c r="F107" s="772"/>
      <c r="G107" s="772"/>
      <c r="H107" s="772"/>
      <c r="I107" s="772"/>
      <c r="J107" s="767"/>
      <c r="K107" s="767"/>
      <c r="L107" s="767"/>
      <c r="M107" s="768">
        <f>SUM(M101:M106)</f>
        <v>0</v>
      </c>
      <c r="N107" s="768">
        <f>SUM(N101:N106)</f>
        <v>0</v>
      </c>
      <c r="O107" s="768">
        <f>SUM(O101:O106)</f>
        <v>0</v>
      </c>
      <c r="P107" s="768">
        <f>SUM(P101:P106)</f>
        <v>0</v>
      </c>
      <c r="Q107" s="767"/>
      <c r="R107" s="768">
        <f>SUM(R101:R106)</f>
        <v>0</v>
      </c>
      <c r="S107" s="763"/>
      <c r="T107" s="768">
        <f>SUM(T101:T106)</f>
        <v>0</v>
      </c>
      <c r="U107" s="768">
        <f>SUM(U101:U106)</f>
        <v>0</v>
      </c>
      <c r="V107" s="768">
        <f>SUM(V101:V106)</f>
        <v>0</v>
      </c>
      <c r="W107" s="768">
        <f>SUM(W101:W106)</f>
        <v>0</v>
      </c>
      <c r="X107" s="767"/>
      <c r="Y107" s="767"/>
      <c r="Z107" s="767"/>
      <c r="AA107" s="767"/>
      <c r="AB107" s="765"/>
    </row>
    <row r="108" spans="1:28" ht="17.25" thickBot="1">
      <c r="A108" s="773">
        <v>103</v>
      </c>
      <c r="B108" s="3349" t="s">
        <v>3115</v>
      </c>
      <c r="C108" s="3319"/>
      <c r="D108" s="774"/>
      <c r="E108" s="775"/>
      <c r="F108" s="776"/>
      <c r="G108" s="776"/>
      <c r="H108" s="776"/>
      <c r="I108" s="776"/>
      <c r="J108" s="777"/>
      <c r="K108" s="777"/>
      <c r="L108" s="777"/>
      <c r="M108" s="778">
        <f>M107+M100+M93+M86+M75+M64+M53+M42+M31+M18</f>
        <v>0</v>
      </c>
      <c r="N108" s="778">
        <f>N107+N100+N93+N86+N75+N64+N53+N42+N31+N18</f>
        <v>0</v>
      </c>
      <c r="O108" s="778">
        <f>O107+O100+O93+O86+O75+O64+O53+O42+O31+O18</f>
        <v>0</v>
      </c>
      <c r="P108" s="778">
        <f>P107+P100+P93+P86+P75+P64+P53+P42+P31+P18</f>
        <v>0</v>
      </c>
      <c r="Q108" s="777"/>
      <c r="R108" s="778">
        <f>R107+R100+R93+R86+R75+R64+R53+R42+R31+R18</f>
        <v>0</v>
      </c>
      <c r="S108" s="763"/>
      <c r="T108" s="778">
        <f>T107+T100+T93+T86+T75+T64+T53+T42+T31+T18</f>
        <v>0</v>
      </c>
      <c r="U108" s="778">
        <f>U107+U100+U93+U86+U75+U64+U53+U42+U31+U18</f>
        <v>0</v>
      </c>
      <c r="V108" s="778">
        <f>V107+V100+V93+V86+V75+V64+V53+V42+V31+V18</f>
        <v>0</v>
      </c>
      <c r="W108" s="778">
        <f>W107+W100+W93+W86+W75+W64+W53+W42+W31+W18</f>
        <v>0</v>
      </c>
      <c r="X108" s="779"/>
      <c r="Y108" s="777"/>
      <c r="Z108" s="780"/>
      <c r="AA108" s="780"/>
      <c r="AB108" s="781"/>
    </row>
    <row r="109" spans="1:28" ht="16.5" customHeight="1">
      <c r="A109" s="782">
        <v>104</v>
      </c>
      <c r="B109" s="3359" t="s">
        <v>3144</v>
      </c>
      <c r="C109" s="3286" t="s">
        <v>3117</v>
      </c>
      <c r="D109" s="3331" t="s">
        <v>3118</v>
      </c>
      <c r="E109" s="747"/>
      <c r="F109" s="748"/>
      <c r="G109" s="748"/>
      <c r="H109" s="748"/>
      <c r="I109" s="748"/>
      <c r="J109" s="749"/>
      <c r="K109" s="749"/>
      <c r="L109" s="749"/>
      <c r="M109" s="749"/>
      <c r="N109" s="749"/>
      <c r="O109" s="749"/>
      <c r="P109" s="750"/>
      <c r="Q109" s="749"/>
      <c r="R109" s="749"/>
      <c r="S109" s="749"/>
      <c r="T109" s="752"/>
      <c r="U109" s="752"/>
      <c r="V109" s="752"/>
      <c r="W109" s="752"/>
      <c r="X109" s="783"/>
      <c r="Y109" s="784"/>
      <c r="Z109" s="752"/>
      <c r="AA109" s="752"/>
      <c r="AB109" s="753"/>
    </row>
    <row r="110" spans="1:28" ht="16.5" customHeight="1">
      <c r="A110" s="785">
        <v>105</v>
      </c>
      <c r="B110" s="3360"/>
      <c r="C110" s="3287"/>
      <c r="D110" s="3307"/>
      <c r="E110" s="754"/>
      <c r="F110" s="755"/>
      <c r="G110" s="755"/>
      <c r="H110" s="755"/>
      <c r="I110" s="755"/>
      <c r="J110" s="756"/>
      <c r="K110" s="756"/>
      <c r="L110" s="756"/>
      <c r="M110" s="756"/>
      <c r="N110" s="756"/>
      <c r="O110" s="756"/>
      <c r="P110" s="757"/>
      <c r="Q110" s="756"/>
      <c r="R110" s="756"/>
      <c r="S110" s="756"/>
      <c r="T110" s="759"/>
      <c r="U110" s="759"/>
      <c r="V110" s="759"/>
      <c r="W110" s="759"/>
      <c r="X110" s="763"/>
      <c r="Y110" s="786"/>
      <c r="Z110" s="759"/>
      <c r="AA110" s="759"/>
      <c r="AB110" s="760"/>
    </row>
    <row r="111" spans="1:28" ht="16.5" customHeight="1">
      <c r="A111" s="785">
        <v>106</v>
      </c>
      <c r="B111" s="3360"/>
      <c r="C111" s="3287"/>
      <c r="D111" s="3307"/>
      <c r="E111" s="754"/>
      <c r="F111" s="755"/>
      <c r="G111" s="755"/>
      <c r="H111" s="755"/>
      <c r="I111" s="755"/>
      <c r="J111" s="756"/>
      <c r="K111" s="756"/>
      <c r="L111" s="756"/>
      <c r="M111" s="756"/>
      <c r="N111" s="756"/>
      <c r="O111" s="756"/>
      <c r="P111" s="757"/>
      <c r="Q111" s="756"/>
      <c r="R111" s="756"/>
      <c r="S111" s="756"/>
      <c r="T111" s="759"/>
      <c r="U111" s="759"/>
      <c r="V111" s="759"/>
      <c r="W111" s="759"/>
      <c r="X111" s="763"/>
      <c r="Y111" s="786"/>
      <c r="Z111" s="759"/>
      <c r="AA111" s="759"/>
      <c r="AB111" s="760"/>
    </row>
    <row r="112" spans="1:28" ht="16.5" customHeight="1">
      <c r="A112" s="785">
        <v>107</v>
      </c>
      <c r="B112" s="3360"/>
      <c r="C112" s="3287"/>
      <c r="D112" s="3307"/>
      <c r="E112" s="754"/>
      <c r="F112" s="755"/>
      <c r="G112" s="755"/>
      <c r="H112" s="755"/>
      <c r="I112" s="755"/>
      <c r="J112" s="756"/>
      <c r="K112" s="756"/>
      <c r="L112" s="756"/>
      <c r="M112" s="756"/>
      <c r="N112" s="756"/>
      <c r="O112" s="756"/>
      <c r="P112" s="757"/>
      <c r="Q112" s="756"/>
      <c r="R112" s="756"/>
      <c r="S112" s="756"/>
      <c r="T112" s="759"/>
      <c r="U112" s="759"/>
      <c r="V112" s="759"/>
      <c r="W112" s="759"/>
      <c r="X112" s="763"/>
      <c r="Y112" s="786"/>
      <c r="Z112" s="759"/>
      <c r="AA112" s="759"/>
      <c r="AB112" s="760"/>
    </row>
    <row r="113" spans="1:28" ht="16.5" customHeight="1">
      <c r="A113" s="785">
        <v>108</v>
      </c>
      <c r="B113" s="3360"/>
      <c r="C113" s="3287"/>
      <c r="D113" s="3307"/>
      <c r="E113" s="754"/>
      <c r="F113" s="755"/>
      <c r="G113" s="755"/>
      <c r="H113" s="755"/>
      <c r="I113" s="755"/>
      <c r="J113" s="756"/>
      <c r="K113" s="756"/>
      <c r="L113" s="756"/>
      <c r="M113" s="756"/>
      <c r="N113" s="756"/>
      <c r="O113" s="756"/>
      <c r="P113" s="757"/>
      <c r="Q113" s="756"/>
      <c r="R113" s="756"/>
      <c r="S113" s="756"/>
      <c r="T113" s="759"/>
      <c r="U113" s="759"/>
      <c r="V113" s="759"/>
      <c r="W113" s="759"/>
      <c r="X113" s="763"/>
      <c r="Y113" s="786"/>
      <c r="Z113" s="759"/>
      <c r="AA113" s="759"/>
      <c r="AB113" s="760"/>
    </row>
    <row r="114" spans="1:28" ht="16.5" customHeight="1">
      <c r="A114" s="785">
        <v>109</v>
      </c>
      <c r="B114" s="3360"/>
      <c r="C114" s="3287"/>
      <c r="D114" s="3307"/>
      <c r="E114" s="754"/>
      <c r="F114" s="755"/>
      <c r="G114" s="755"/>
      <c r="H114" s="755"/>
      <c r="I114" s="755"/>
      <c r="J114" s="756"/>
      <c r="K114" s="756"/>
      <c r="L114" s="756"/>
      <c r="M114" s="756"/>
      <c r="N114" s="756"/>
      <c r="O114" s="756"/>
      <c r="P114" s="757"/>
      <c r="Q114" s="756"/>
      <c r="R114" s="756"/>
      <c r="S114" s="756"/>
      <c r="T114" s="759"/>
      <c r="U114" s="759"/>
      <c r="V114" s="759"/>
      <c r="W114" s="759"/>
      <c r="X114" s="763"/>
      <c r="Y114" s="786"/>
      <c r="Z114" s="759"/>
      <c r="AA114" s="759"/>
      <c r="AB114" s="760"/>
    </row>
    <row r="115" spans="1:28" ht="16.5" customHeight="1">
      <c r="A115" s="785">
        <v>110</v>
      </c>
      <c r="B115" s="3360"/>
      <c r="C115" s="3287"/>
      <c r="D115" s="711"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86"/>
      <c r="Z115" s="786"/>
      <c r="AA115" s="786"/>
      <c r="AB115" s="765"/>
    </row>
    <row r="116" spans="1:28" ht="16.5" customHeight="1">
      <c r="A116" s="785">
        <v>111</v>
      </c>
      <c r="B116" s="3360"/>
      <c r="C116" s="3287"/>
      <c r="D116" s="3307" t="s">
        <v>3119</v>
      </c>
      <c r="E116" s="754"/>
      <c r="F116" s="755"/>
      <c r="G116" s="755"/>
      <c r="H116" s="755"/>
      <c r="I116" s="755"/>
      <c r="J116" s="756"/>
      <c r="K116" s="756"/>
      <c r="L116" s="756"/>
      <c r="M116" s="756"/>
      <c r="N116" s="756"/>
      <c r="O116" s="756"/>
      <c r="P116" s="757"/>
      <c r="Q116" s="756"/>
      <c r="R116" s="756"/>
      <c r="S116" s="756"/>
      <c r="T116" s="759"/>
      <c r="U116" s="759"/>
      <c r="V116" s="759"/>
      <c r="W116" s="759"/>
      <c r="X116" s="763"/>
      <c r="Y116" s="786"/>
      <c r="Z116" s="759"/>
      <c r="AA116" s="759"/>
      <c r="AB116" s="760"/>
    </row>
    <row r="117" spans="1:28" ht="16.5" customHeight="1">
      <c r="A117" s="785">
        <v>112</v>
      </c>
      <c r="B117" s="3360"/>
      <c r="C117" s="3287"/>
      <c r="D117" s="3307"/>
      <c r="E117" s="754"/>
      <c r="F117" s="755"/>
      <c r="G117" s="755"/>
      <c r="H117" s="755"/>
      <c r="I117" s="755"/>
      <c r="J117" s="756"/>
      <c r="K117" s="756"/>
      <c r="L117" s="756"/>
      <c r="M117" s="756"/>
      <c r="N117" s="756"/>
      <c r="O117" s="756"/>
      <c r="P117" s="757"/>
      <c r="Q117" s="756"/>
      <c r="R117" s="756"/>
      <c r="S117" s="756"/>
      <c r="T117" s="759"/>
      <c r="U117" s="759"/>
      <c r="V117" s="759"/>
      <c r="W117" s="759"/>
      <c r="X117" s="763"/>
      <c r="Y117" s="786"/>
      <c r="Z117" s="759"/>
      <c r="AA117" s="759"/>
      <c r="AB117" s="760"/>
    </row>
    <row r="118" spans="1:28" ht="16.5" customHeight="1">
      <c r="A118" s="785">
        <v>113</v>
      </c>
      <c r="B118" s="3360"/>
      <c r="C118" s="3287"/>
      <c r="D118" s="3307"/>
      <c r="E118" s="754"/>
      <c r="F118" s="755"/>
      <c r="G118" s="755"/>
      <c r="H118" s="755"/>
      <c r="I118" s="755"/>
      <c r="J118" s="756"/>
      <c r="K118" s="756"/>
      <c r="L118" s="756"/>
      <c r="M118" s="756"/>
      <c r="N118" s="756"/>
      <c r="O118" s="756"/>
      <c r="P118" s="757"/>
      <c r="Q118" s="756"/>
      <c r="R118" s="756"/>
      <c r="S118" s="756"/>
      <c r="T118" s="759"/>
      <c r="U118" s="759"/>
      <c r="V118" s="759"/>
      <c r="W118" s="759"/>
      <c r="X118" s="763"/>
      <c r="Y118" s="786"/>
      <c r="Z118" s="759"/>
      <c r="AA118" s="759"/>
      <c r="AB118" s="760"/>
    </row>
    <row r="119" spans="1:28" ht="16.5" customHeight="1">
      <c r="A119" s="785">
        <v>114</v>
      </c>
      <c r="B119" s="3360"/>
      <c r="C119" s="3287"/>
      <c r="D119" s="3307"/>
      <c r="E119" s="754"/>
      <c r="F119" s="755"/>
      <c r="G119" s="755"/>
      <c r="H119" s="755"/>
      <c r="I119" s="755"/>
      <c r="J119" s="756"/>
      <c r="K119" s="756"/>
      <c r="L119" s="756"/>
      <c r="M119" s="756"/>
      <c r="N119" s="756"/>
      <c r="O119" s="756"/>
      <c r="P119" s="757"/>
      <c r="Q119" s="756"/>
      <c r="R119" s="756"/>
      <c r="S119" s="756"/>
      <c r="T119" s="759"/>
      <c r="U119" s="759"/>
      <c r="V119" s="759"/>
      <c r="W119" s="759"/>
      <c r="X119" s="763"/>
      <c r="Y119" s="786"/>
      <c r="Z119" s="759"/>
      <c r="AA119" s="759"/>
      <c r="AB119" s="760"/>
    </row>
    <row r="120" spans="1:28" ht="16.5">
      <c r="A120" s="785">
        <v>115</v>
      </c>
      <c r="B120" s="3360"/>
      <c r="C120" s="3287"/>
      <c r="D120" s="3307"/>
      <c r="E120" s="754"/>
      <c r="F120" s="755"/>
      <c r="G120" s="755"/>
      <c r="H120" s="755"/>
      <c r="I120" s="755"/>
      <c r="J120" s="756"/>
      <c r="K120" s="756"/>
      <c r="L120" s="756"/>
      <c r="M120" s="756"/>
      <c r="N120" s="756"/>
      <c r="O120" s="756"/>
      <c r="P120" s="757"/>
      <c r="Q120" s="756"/>
      <c r="R120" s="756"/>
      <c r="S120" s="756"/>
      <c r="T120" s="759"/>
      <c r="U120" s="759"/>
      <c r="V120" s="759"/>
      <c r="W120" s="759"/>
      <c r="X120" s="763"/>
      <c r="Y120" s="786"/>
      <c r="Z120" s="759"/>
      <c r="AA120" s="759"/>
      <c r="AB120" s="760"/>
    </row>
    <row r="121" spans="1:28" ht="16.5">
      <c r="A121" s="785">
        <v>116</v>
      </c>
      <c r="B121" s="3360"/>
      <c r="C121" s="3287"/>
      <c r="D121" s="3307"/>
      <c r="E121" s="754"/>
      <c r="F121" s="755"/>
      <c r="G121" s="755"/>
      <c r="H121" s="755"/>
      <c r="I121" s="755"/>
      <c r="J121" s="756"/>
      <c r="K121" s="756"/>
      <c r="L121" s="756"/>
      <c r="M121" s="756"/>
      <c r="N121" s="756"/>
      <c r="O121" s="756"/>
      <c r="P121" s="757"/>
      <c r="Q121" s="756"/>
      <c r="R121" s="756"/>
      <c r="S121" s="756"/>
      <c r="T121" s="759"/>
      <c r="U121" s="759"/>
      <c r="V121" s="759"/>
      <c r="W121" s="759"/>
      <c r="X121" s="763"/>
      <c r="Y121" s="786"/>
      <c r="Z121" s="759"/>
      <c r="AA121" s="759"/>
      <c r="AB121" s="760"/>
    </row>
    <row r="122" spans="1:28" ht="17.25" thickBot="1">
      <c r="A122" s="785">
        <v>117</v>
      </c>
      <c r="B122" s="3360"/>
      <c r="C122" s="3288"/>
      <c r="D122" s="787" t="s">
        <v>3105</v>
      </c>
      <c r="E122" s="767"/>
      <c r="F122" s="767"/>
      <c r="G122" s="767"/>
      <c r="H122" s="767"/>
      <c r="I122" s="767"/>
      <c r="J122" s="767"/>
      <c r="K122" s="767"/>
      <c r="L122" s="767"/>
      <c r="M122" s="768">
        <f>SUM(M116:M121)</f>
        <v>0</v>
      </c>
      <c r="N122" s="768">
        <f>SUM(N116:N121)</f>
        <v>0</v>
      </c>
      <c r="O122" s="768">
        <f>SUM(O116:O121)</f>
        <v>0</v>
      </c>
      <c r="P122" s="768">
        <f>SUM(P116:P121)</f>
        <v>0</v>
      </c>
      <c r="Q122" s="767"/>
      <c r="R122" s="768">
        <f>SUM(R116:R121)</f>
        <v>0</v>
      </c>
      <c r="S122" s="763"/>
      <c r="T122" s="768">
        <f>SUM(T116:T121)</f>
        <v>0</v>
      </c>
      <c r="U122" s="768">
        <f>SUM(U116:U121)</f>
        <v>0</v>
      </c>
      <c r="V122" s="768">
        <f>SUM(V116:V121)</f>
        <v>0</v>
      </c>
      <c r="W122" s="768">
        <f>SUM(W116:W121)</f>
        <v>0</v>
      </c>
      <c r="X122" s="767"/>
      <c r="Y122" s="788"/>
      <c r="Z122" s="788"/>
      <c r="AA122" s="788"/>
      <c r="AB122" s="765"/>
    </row>
    <row r="123" spans="1:28" ht="16.5" customHeight="1">
      <c r="A123" s="785">
        <v>118</v>
      </c>
      <c r="B123" s="3360"/>
      <c r="C123" s="3326" t="s">
        <v>3110</v>
      </c>
      <c r="D123" s="3310" t="s">
        <v>3120</v>
      </c>
      <c r="E123" s="747"/>
      <c r="F123" s="748"/>
      <c r="G123" s="748"/>
      <c r="H123" s="748"/>
      <c r="I123" s="748"/>
      <c r="J123" s="749"/>
      <c r="K123" s="749"/>
      <c r="L123" s="749"/>
      <c r="M123" s="749"/>
      <c r="N123" s="749"/>
      <c r="O123" s="749"/>
      <c r="P123" s="750"/>
      <c r="Q123" s="749"/>
      <c r="R123" s="749"/>
      <c r="S123" s="749"/>
      <c r="T123" s="752"/>
      <c r="U123" s="752"/>
      <c r="V123" s="752"/>
      <c r="W123" s="752"/>
      <c r="X123" s="789"/>
      <c r="Y123" s="784"/>
      <c r="Z123" s="752"/>
      <c r="AA123" s="752"/>
      <c r="AB123" s="769"/>
    </row>
    <row r="124" spans="1:28" ht="16.5">
      <c r="A124" s="785">
        <v>119</v>
      </c>
      <c r="B124" s="3360"/>
      <c r="C124" s="3327"/>
      <c r="D124" s="3329"/>
      <c r="E124" s="754"/>
      <c r="F124" s="755"/>
      <c r="G124" s="755"/>
      <c r="H124" s="755"/>
      <c r="I124" s="755"/>
      <c r="J124" s="756"/>
      <c r="K124" s="756"/>
      <c r="L124" s="756"/>
      <c r="M124" s="756"/>
      <c r="N124" s="756"/>
      <c r="O124" s="756"/>
      <c r="P124" s="757"/>
      <c r="Q124" s="757"/>
      <c r="R124" s="756"/>
      <c r="S124" s="757"/>
      <c r="T124" s="759"/>
      <c r="U124" s="759"/>
      <c r="V124" s="759"/>
      <c r="W124" s="759"/>
      <c r="X124" s="763"/>
      <c r="Y124" s="790"/>
      <c r="Z124" s="759"/>
      <c r="AA124" s="759"/>
      <c r="AB124" s="760"/>
    </row>
    <row r="125" spans="1:28" ht="16.5">
      <c r="A125" s="785">
        <v>120</v>
      </c>
      <c r="B125" s="3360"/>
      <c r="C125" s="3327"/>
      <c r="D125" s="3329"/>
      <c r="E125" s="754"/>
      <c r="F125" s="755"/>
      <c r="G125" s="755"/>
      <c r="H125" s="755"/>
      <c r="I125" s="755"/>
      <c r="J125" s="756"/>
      <c r="K125" s="756"/>
      <c r="L125" s="756"/>
      <c r="M125" s="756"/>
      <c r="N125" s="756"/>
      <c r="O125" s="756"/>
      <c r="P125" s="757"/>
      <c r="Q125" s="757"/>
      <c r="R125" s="756"/>
      <c r="S125" s="757"/>
      <c r="T125" s="759"/>
      <c r="U125" s="759"/>
      <c r="V125" s="759"/>
      <c r="W125" s="759"/>
      <c r="X125" s="763"/>
      <c r="Y125" s="790"/>
      <c r="Z125" s="759"/>
      <c r="AA125" s="759"/>
      <c r="AB125" s="760"/>
    </row>
    <row r="126" spans="1:28" ht="16.5">
      <c r="A126" s="785">
        <v>121</v>
      </c>
      <c r="B126" s="3360"/>
      <c r="C126" s="3327"/>
      <c r="D126" s="3329"/>
      <c r="E126" s="754"/>
      <c r="F126" s="755"/>
      <c r="G126" s="755"/>
      <c r="H126" s="755"/>
      <c r="I126" s="755"/>
      <c r="J126" s="756"/>
      <c r="K126" s="756"/>
      <c r="L126" s="756"/>
      <c r="M126" s="756"/>
      <c r="N126" s="756"/>
      <c r="O126" s="756"/>
      <c r="P126" s="757"/>
      <c r="Q126" s="757"/>
      <c r="R126" s="756"/>
      <c r="S126" s="757"/>
      <c r="T126" s="759"/>
      <c r="U126" s="759"/>
      <c r="V126" s="759"/>
      <c r="W126" s="759"/>
      <c r="X126" s="763"/>
      <c r="Y126" s="790"/>
      <c r="Z126" s="759"/>
      <c r="AA126" s="759"/>
      <c r="AB126" s="760"/>
    </row>
    <row r="127" spans="1:28" ht="16.5">
      <c r="A127" s="785">
        <v>122</v>
      </c>
      <c r="B127" s="3360"/>
      <c r="C127" s="3327"/>
      <c r="D127" s="3329"/>
      <c r="E127" s="754"/>
      <c r="F127" s="755"/>
      <c r="G127" s="755"/>
      <c r="H127" s="755"/>
      <c r="I127" s="755"/>
      <c r="J127" s="756"/>
      <c r="K127" s="756"/>
      <c r="L127" s="756"/>
      <c r="M127" s="756"/>
      <c r="N127" s="756"/>
      <c r="O127" s="756"/>
      <c r="P127" s="757"/>
      <c r="Q127" s="757"/>
      <c r="R127" s="756"/>
      <c r="S127" s="757"/>
      <c r="T127" s="759"/>
      <c r="U127" s="759"/>
      <c r="V127" s="759"/>
      <c r="W127" s="759"/>
      <c r="X127" s="763"/>
      <c r="Y127" s="790"/>
      <c r="Z127" s="759"/>
      <c r="AA127" s="759"/>
      <c r="AB127" s="760"/>
    </row>
    <row r="128" spans="1:28" ht="16.5">
      <c r="A128" s="785">
        <v>123</v>
      </c>
      <c r="B128" s="3360"/>
      <c r="C128" s="3327"/>
      <c r="D128" s="3329"/>
      <c r="E128" s="754"/>
      <c r="F128" s="755"/>
      <c r="G128" s="755"/>
      <c r="H128" s="755"/>
      <c r="I128" s="755"/>
      <c r="J128" s="756"/>
      <c r="K128" s="756"/>
      <c r="L128" s="756"/>
      <c r="M128" s="756"/>
      <c r="N128" s="756"/>
      <c r="O128" s="756"/>
      <c r="P128" s="757"/>
      <c r="Q128" s="757"/>
      <c r="R128" s="756"/>
      <c r="S128" s="757"/>
      <c r="T128" s="759"/>
      <c r="U128" s="759"/>
      <c r="V128" s="759"/>
      <c r="W128" s="759"/>
      <c r="X128" s="763"/>
      <c r="Y128" s="790"/>
      <c r="Z128" s="759"/>
      <c r="AA128" s="759"/>
      <c r="AB128" s="760"/>
    </row>
    <row r="129" spans="1:28" ht="16.5">
      <c r="A129" s="785">
        <v>124</v>
      </c>
      <c r="B129" s="3360"/>
      <c r="C129" s="3327"/>
      <c r="D129" s="717" t="s">
        <v>3121</v>
      </c>
      <c r="E129" s="763"/>
      <c r="F129" s="763"/>
      <c r="G129" s="763"/>
      <c r="H129" s="763"/>
      <c r="I129" s="763"/>
      <c r="J129" s="763"/>
      <c r="K129" s="763"/>
      <c r="L129" s="763"/>
      <c r="M129" s="756">
        <f>SUM(M123:M128)</f>
        <v>0</v>
      </c>
      <c r="N129" s="756">
        <f>SUM(N123:N128)</f>
        <v>0</v>
      </c>
      <c r="O129" s="756">
        <f>SUM(O123:O128)</f>
        <v>0</v>
      </c>
      <c r="P129" s="756">
        <f>SUM(P123:P128)</f>
        <v>0</v>
      </c>
      <c r="Q129" s="763"/>
      <c r="R129" s="756">
        <f>SUM(R123:R128)</f>
        <v>0</v>
      </c>
      <c r="S129" s="763"/>
      <c r="T129" s="756">
        <f>SUM(T123:T128)</f>
        <v>0</v>
      </c>
      <c r="U129" s="756">
        <f>SUM(U123:U128)</f>
        <v>0</v>
      </c>
      <c r="V129" s="756">
        <f>SUM(V123:V128)</f>
        <v>0</v>
      </c>
      <c r="W129" s="756">
        <f>SUM(W123:W128)</f>
        <v>0</v>
      </c>
      <c r="X129" s="763"/>
      <c r="Y129" s="790"/>
      <c r="Z129" s="790"/>
      <c r="AA129" s="790"/>
      <c r="AB129" s="765"/>
    </row>
    <row r="130" spans="1:28" ht="17.649999999999999" customHeight="1">
      <c r="A130" s="785">
        <v>125</v>
      </c>
      <c r="B130" s="3360"/>
      <c r="C130" s="3327"/>
      <c r="D130" s="3300" t="s">
        <v>3118</v>
      </c>
      <c r="E130" s="754"/>
      <c r="F130" s="755"/>
      <c r="G130" s="755"/>
      <c r="H130" s="755"/>
      <c r="I130" s="755"/>
      <c r="J130" s="756"/>
      <c r="K130" s="756"/>
      <c r="L130" s="756"/>
      <c r="M130" s="756"/>
      <c r="N130" s="756"/>
      <c r="O130" s="756"/>
      <c r="P130" s="757"/>
      <c r="Q130" s="757"/>
      <c r="R130" s="756"/>
      <c r="S130" s="757"/>
      <c r="T130" s="759"/>
      <c r="U130" s="759"/>
      <c r="V130" s="759"/>
      <c r="W130" s="759"/>
      <c r="X130" s="763"/>
      <c r="Y130" s="790"/>
      <c r="Z130" s="759"/>
      <c r="AA130" s="759"/>
      <c r="AB130" s="760"/>
    </row>
    <row r="131" spans="1:28" ht="16.5">
      <c r="A131" s="785">
        <v>126</v>
      </c>
      <c r="B131" s="3360"/>
      <c r="C131" s="3327"/>
      <c r="D131" s="3300"/>
      <c r="E131" s="754"/>
      <c r="F131" s="755"/>
      <c r="G131" s="755"/>
      <c r="H131" s="755"/>
      <c r="I131" s="755"/>
      <c r="J131" s="756"/>
      <c r="K131" s="756"/>
      <c r="L131" s="756"/>
      <c r="M131" s="756"/>
      <c r="N131" s="756"/>
      <c r="O131" s="756"/>
      <c r="P131" s="757"/>
      <c r="Q131" s="757"/>
      <c r="R131" s="756"/>
      <c r="S131" s="757"/>
      <c r="T131" s="759"/>
      <c r="U131" s="759"/>
      <c r="V131" s="759"/>
      <c r="W131" s="759"/>
      <c r="X131" s="763"/>
      <c r="Y131" s="790"/>
      <c r="Z131" s="759"/>
      <c r="AA131" s="759"/>
      <c r="AB131" s="760"/>
    </row>
    <row r="132" spans="1:28" ht="16.5">
      <c r="A132" s="785">
        <v>127</v>
      </c>
      <c r="B132" s="3360"/>
      <c r="C132" s="3327"/>
      <c r="D132" s="3300"/>
      <c r="E132" s="754"/>
      <c r="F132" s="755"/>
      <c r="G132" s="755"/>
      <c r="H132" s="755"/>
      <c r="I132" s="755"/>
      <c r="J132" s="756"/>
      <c r="K132" s="756"/>
      <c r="L132" s="756"/>
      <c r="M132" s="756"/>
      <c r="N132" s="756"/>
      <c r="O132" s="756"/>
      <c r="P132" s="757"/>
      <c r="Q132" s="757"/>
      <c r="R132" s="756"/>
      <c r="S132" s="757"/>
      <c r="T132" s="759"/>
      <c r="U132" s="759"/>
      <c r="V132" s="759"/>
      <c r="W132" s="759"/>
      <c r="X132" s="763"/>
      <c r="Y132" s="790"/>
      <c r="Z132" s="759"/>
      <c r="AA132" s="759"/>
      <c r="AB132" s="760"/>
    </row>
    <row r="133" spans="1:28" ht="16.5">
      <c r="A133" s="785">
        <v>128</v>
      </c>
      <c r="B133" s="3360"/>
      <c r="C133" s="3327"/>
      <c r="D133" s="3300"/>
      <c r="E133" s="754"/>
      <c r="F133" s="755"/>
      <c r="G133" s="755"/>
      <c r="H133" s="755"/>
      <c r="I133" s="755"/>
      <c r="J133" s="756"/>
      <c r="K133" s="756"/>
      <c r="L133" s="756"/>
      <c r="M133" s="756"/>
      <c r="N133" s="756"/>
      <c r="O133" s="756"/>
      <c r="P133" s="757"/>
      <c r="Q133" s="757"/>
      <c r="R133" s="756"/>
      <c r="S133" s="757"/>
      <c r="T133" s="759"/>
      <c r="U133" s="759"/>
      <c r="V133" s="759"/>
      <c r="W133" s="759"/>
      <c r="X133" s="763"/>
      <c r="Y133" s="790"/>
      <c r="Z133" s="759"/>
      <c r="AA133" s="759"/>
      <c r="AB133" s="760"/>
    </row>
    <row r="134" spans="1:28" ht="16.5">
      <c r="A134" s="785">
        <v>129</v>
      </c>
      <c r="B134" s="3360"/>
      <c r="C134" s="3327"/>
      <c r="D134" s="3300"/>
      <c r="E134" s="754"/>
      <c r="F134" s="755"/>
      <c r="G134" s="755"/>
      <c r="H134" s="755"/>
      <c r="I134" s="755"/>
      <c r="J134" s="756"/>
      <c r="K134" s="756"/>
      <c r="L134" s="756"/>
      <c r="M134" s="756"/>
      <c r="N134" s="756"/>
      <c r="O134" s="756"/>
      <c r="P134" s="757"/>
      <c r="Q134" s="757"/>
      <c r="R134" s="756"/>
      <c r="S134" s="757"/>
      <c r="T134" s="759"/>
      <c r="U134" s="759"/>
      <c r="V134" s="759"/>
      <c r="W134" s="759"/>
      <c r="X134" s="763"/>
      <c r="Y134" s="790"/>
      <c r="Z134" s="759"/>
      <c r="AA134" s="759"/>
      <c r="AB134" s="760"/>
    </row>
    <row r="135" spans="1:28" ht="16.5">
      <c r="A135" s="785">
        <v>130</v>
      </c>
      <c r="B135" s="3360"/>
      <c r="C135" s="3327"/>
      <c r="D135" s="3300"/>
      <c r="E135" s="754"/>
      <c r="F135" s="755"/>
      <c r="G135" s="755"/>
      <c r="H135" s="755"/>
      <c r="I135" s="755"/>
      <c r="J135" s="756"/>
      <c r="K135" s="756"/>
      <c r="L135" s="756"/>
      <c r="M135" s="756"/>
      <c r="N135" s="756"/>
      <c r="O135" s="756"/>
      <c r="P135" s="757"/>
      <c r="Q135" s="757"/>
      <c r="R135" s="756"/>
      <c r="S135" s="757"/>
      <c r="T135" s="759"/>
      <c r="U135" s="759"/>
      <c r="V135" s="759"/>
      <c r="W135" s="759"/>
      <c r="X135" s="763"/>
      <c r="Y135" s="790"/>
      <c r="Z135" s="759"/>
      <c r="AA135" s="759"/>
      <c r="AB135" s="760"/>
    </row>
    <row r="136" spans="1:28" ht="16.5">
      <c r="A136" s="785">
        <v>131</v>
      </c>
      <c r="B136" s="3360"/>
      <c r="C136" s="3327"/>
      <c r="D136" s="711" t="s">
        <v>3105</v>
      </c>
      <c r="E136" s="763"/>
      <c r="F136" s="763"/>
      <c r="G136" s="763"/>
      <c r="H136" s="763"/>
      <c r="I136" s="763"/>
      <c r="J136" s="763"/>
      <c r="K136" s="763"/>
      <c r="L136" s="763"/>
      <c r="M136" s="756">
        <f>SUM(M130:M135)</f>
        <v>0</v>
      </c>
      <c r="N136" s="756">
        <f>SUM(N130:N135)</f>
        <v>0</v>
      </c>
      <c r="O136" s="756">
        <f>SUM(O130:O135)</f>
        <v>0</v>
      </c>
      <c r="P136" s="756">
        <f>SUM(P130:P135)</f>
        <v>0</v>
      </c>
      <c r="Q136" s="763"/>
      <c r="R136" s="756">
        <f>SUM(R130:R135)</f>
        <v>0</v>
      </c>
      <c r="S136" s="763"/>
      <c r="T136" s="756">
        <f>SUM(T130:T135)</f>
        <v>0</v>
      </c>
      <c r="U136" s="756">
        <f>SUM(U130:U135)</f>
        <v>0</v>
      </c>
      <c r="V136" s="756">
        <f>SUM(V130:V135)</f>
        <v>0</v>
      </c>
      <c r="W136" s="756">
        <f>SUM(W130:W135)</f>
        <v>0</v>
      </c>
      <c r="X136" s="763"/>
      <c r="Y136" s="790"/>
      <c r="Z136" s="790"/>
      <c r="AA136" s="790"/>
      <c r="AB136" s="765"/>
    </row>
    <row r="137" spans="1:28" ht="16.5" customHeight="1">
      <c r="A137" s="785">
        <v>132</v>
      </c>
      <c r="B137" s="3360"/>
      <c r="C137" s="3327"/>
      <c r="D137" s="3300" t="s">
        <v>3119</v>
      </c>
      <c r="E137" s="754"/>
      <c r="F137" s="755"/>
      <c r="G137" s="755"/>
      <c r="H137" s="755"/>
      <c r="I137" s="755"/>
      <c r="J137" s="756"/>
      <c r="K137" s="756"/>
      <c r="L137" s="756"/>
      <c r="M137" s="756"/>
      <c r="N137" s="756"/>
      <c r="O137" s="756"/>
      <c r="P137" s="757"/>
      <c r="Q137" s="757"/>
      <c r="R137" s="756"/>
      <c r="S137" s="757"/>
      <c r="T137" s="759"/>
      <c r="U137" s="759"/>
      <c r="V137" s="759"/>
      <c r="W137" s="759"/>
      <c r="X137" s="763"/>
      <c r="Y137" s="790"/>
      <c r="Z137" s="759"/>
      <c r="AA137" s="759"/>
      <c r="AB137" s="760"/>
    </row>
    <row r="138" spans="1:28" ht="15.75" customHeight="1">
      <c r="A138" s="785">
        <v>133</v>
      </c>
      <c r="B138" s="3360"/>
      <c r="C138" s="3327"/>
      <c r="D138" s="3300"/>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759"/>
      <c r="AA138" s="759"/>
      <c r="AB138" s="760"/>
    </row>
    <row r="139" spans="1:28" ht="15.75" customHeight="1">
      <c r="A139" s="785">
        <v>134</v>
      </c>
      <c r="B139" s="3360"/>
      <c r="C139" s="3327"/>
      <c r="D139" s="3300"/>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759"/>
      <c r="AA139" s="759"/>
      <c r="AB139" s="760"/>
    </row>
    <row r="140" spans="1:28" ht="16.5" customHeight="1">
      <c r="A140" s="785">
        <v>135</v>
      </c>
      <c r="B140" s="3360"/>
      <c r="C140" s="3327"/>
      <c r="D140" s="3300"/>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759"/>
      <c r="AA140" s="759"/>
      <c r="AB140" s="760"/>
    </row>
    <row r="141" spans="1:28" ht="16.5">
      <c r="A141" s="785">
        <v>136</v>
      </c>
      <c r="B141" s="3360"/>
      <c r="C141" s="3327"/>
      <c r="D141" s="3300"/>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759"/>
      <c r="AA141" s="759"/>
      <c r="AB141" s="760"/>
    </row>
    <row r="142" spans="1:28" ht="16.5">
      <c r="A142" s="785">
        <v>137</v>
      </c>
      <c r="B142" s="3360"/>
      <c r="C142" s="3327"/>
      <c r="D142" s="3300"/>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759"/>
      <c r="AA142" s="759"/>
      <c r="AB142" s="760"/>
    </row>
    <row r="143" spans="1:28" ht="17.25" thickBot="1">
      <c r="A143" s="785">
        <v>138</v>
      </c>
      <c r="B143" s="3360"/>
      <c r="C143" s="3328"/>
      <c r="D143" s="787" t="s">
        <v>3105</v>
      </c>
      <c r="E143" s="767"/>
      <c r="F143" s="767"/>
      <c r="G143" s="767"/>
      <c r="H143" s="767"/>
      <c r="I143" s="767"/>
      <c r="J143" s="767"/>
      <c r="K143" s="767"/>
      <c r="L143" s="767"/>
      <c r="M143" s="768">
        <f>SUM(M137:M142)</f>
        <v>0</v>
      </c>
      <c r="N143" s="768">
        <f>SUM(N137:N142)</f>
        <v>0</v>
      </c>
      <c r="O143" s="768">
        <f>SUM(O137:O142)</f>
        <v>0</v>
      </c>
      <c r="P143" s="768">
        <f>SUM(P137:P142)</f>
        <v>0</v>
      </c>
      <c r="Q143" s="767"/>
      <c r="R143" s="768">
        <f>SUM(R137:R142)</f>
        <v>0</v>
      </c>
      <c r="S143" s="763"/>
      <c r="T143" s="768">
        <f>SUM(T137:T142)</f>
        <v>0</v>
      </c>
      <c r="U143" s="768">
        <f>SUM(U137:U142)</f>
        <v>0</v>
      </c>
      <c r="V143" s="768">
        <f>SUM(V137:V142)</f>
        <v>0</v>
      </c>
      <c r="W143" s="768">
        <f>SUM(W137:W142)</f>
        <v>0</v>
      </c>
      <c r="X143" s="767"/>
      <c r="Y143" s="788"/>
      <c r="Z143" s="788"/>
      <c r="AA143" s="788"/>
      <c r="AB143" s="765"/>
    </row>
    <row r="144" spans="1:28" ht="16.5" customHeight="1">
      <c r="A144" s="785">
        <v>139</v>
      </c>
      <c r="B144" s="3360"/>
      <c r="C144" s="3286" t="s">
        <v>3113</v>
      </c>
      <c r="D144" s="3298" t="s">
        <v>3122</v>
      </c>
      <c r="E144" s="747"/>
      <c r="F144" s="748"/>
      <c r="G144" s="748"/>
      <c r="H144" s="748"/>
      <c r="I144" s="748"/>
      <c r="J144" s="749"/>
      <c r="K144" s="749"/>
      <c r="L144" s="749"/>
      <c r="M144" s="749"/>
      <c r="N144" s="749"/>
      <c r="O144" s="749"/>
      <c r="P144" s="750"/>
      <c r="Q144" s="749"/>
      <c r="R144" s="749"/>
      <c r="S144" s="749"/>
      <c r="T144" s="752"/>
      <c r="U144" s="752"/>
      <c r="V144" s="752"/>
      <c r="W144" s="752"/>
      <c r="X144" s="783"/>
      <c r="Y144" s="784"/>
      <c r="Z144" s="752"/>
      <c r="AA144" s="752"/>
      <c r="AB144" s="769"/>
    </row>
    <row r="145" spans="1:28" ht="16.5">
      <c r="A145" s="785">
        <v>140</v>
      </c>
      <c r="B145" s="3360"/>
      <c r="C145" s="3320"/>
      <c r="D145" s="3309"/>
      <c r="E145" s="754"/>
      <c r="F145" s="755"/>
      <c r="G145" s="755"/>
      <c r="H145" s="755"/>
      <c r="I145" s="755"/>
      <c r="J145" s="756"/>
      <c r="K145" s="756"/>
      <c r="L145" s="756"/>
      <c r="M145" s="756"/>
      <c r="N145" s="756"/>
      <c r="O145" s="756"/>
      <c r="P145" s="757"/>
      <c r="Q145" s="756"/>
      <c r="R145" s="756"/>
      <c r="S145" s="756"/>
      <c r="T145" s="759"/>
      <c r="U145" s="759"/>
      <c r="V145" s="759"/>
      <c r="W145" s="759"/>
      <c r="X145" s="790"/>
      <c r="Y145" s="786"/>
      <c r="Z145" s="759"/>
      <c r="AA145" s="759"/>
      <c r="AB145" s="760"/>
    </row>
    <row r="146" spans="1:28" ht="16.5">
      <c r="A146" s="785">
        <v>141</v>
      </c>
      <c r="B146" s="3360"/>
      <c r="C146" s="3320"/>
      <c r="D146" s="3309"/>
      <c r="E146" s="754"/>
      <c r="F146" s="755"/>
      <c r="G146" s="755"/>
      <c r="H146" s="755"/>
      <c r="I146" s="755"/>
      <c r="J146" s="756"/>
      <c r="K146" s="756"/>
      <c r="L146" s="756"/>
      <c r="M146" s="756"/>
      <c r="N146" s="756"/>
      <c r="O146" s="756"/>
      <c r="P146" s="757"/>
      <c r="Q146" s="756"/>
      <c r="R146" s="756"/>
      <c r="S146" s="756"/>
      <c r="T146" s="759"/>
      <c r="U146" s="759"/>
      <c r="V146" s="759"/>
      <c r="W146" s="759"/>
      <c r="X146" s="790"/>
      <c r="Y146" s="786"/>
      <c r="Z146" s="759"/>
      <c r="AA146" s="759"/>
      <c r="AB146" s="760"/>
    </row>
    <row r="147" spans="1:28" ht="16.5">
      <c r="A147" s="785">
        <v>142</v>
      </c>
      <c r="B147" s="3360"/>
      <c r="C147" s="3320"/>
      <c r="D147" s="3309"/>
      <c r="E147" s="754"/>
      <c r="F147" s="755"/>
      <c r="G147" s="755"/>
      <c r="H147" s="755"/>
      <c r="I147" s="755"/>
      <c r="J147" s="756"/>
      <c r="K147" s="756"/>
      <c r="L147" s="756"/>
      <c r="M147" s="756"/>
      <c r="N147" s="756"/>
      <c r="O147" s="756"/>
      <c r="P147" s="757"/>
      <c r="Q147" s="756"/>
      <c r="R147" s="756"/>
      <c r="S147" s="756"/>
      <c r="T147" s="759"/>
      <c r="U147" s="759"/>
      <c r="V147" s="759"/>
      <c r="W147" s="759"/>
      <c r="X147" s="790"/>
      <c r="Y147" s="786"/>
      <c r="Z147" s="759"/>
      <c r="AA147" s="759"/>
      <c r="AB147" s="760"/>
    </row>
    <row r="148" spans="1:28" ht="16.5">
      <c r="A148" s="785">
        <v>143</v>
      </c>
      <c r="B148" s="3360"/>
      <c r="C148" s="3320"/>
      <c r="D148" s="3309"/>
      <c r="E148" s="754"/>
      <c r="F148" s="755"/>
      <c r="G148" s="755"/>
      <c r="H148" s="755"/>
      <c r="I148" s="755"/>
      <c r="J148" s="756"/>
      <c r="K148" s="756"/>
      <c r="L148" s="756"/>
      <c r="M148" s="756"/>
      <c r="N148" s="756"/>
      <c r="O148" s="756"/>
      <c r="P148" s="757"/>
      <c r="Q148" s="756"/>
      <c r="R148" s="756"/>
      <c r="S148" s="756"/>
      <c r="T148" s="759"/>
      <c r="U148" s="759"/>
      <c r="V148" s="759"/>
      <c r="W148" s="759"/>
      <c r="X148" s="790"/>
      <c r="Y148" s="786"/>
      <c r="Z148" s="759"/>
      <c r="AA148" s="759"/>
      <c r="AB148" s="760"/>
    </row>
    <row r="149" spans="1:28" ht="16.5">
      <c r="A149" s="785">
        <v>144</v>
      </c>
      <c r="B149" s="3360"/>
      <c r="C149" s="3320"/>
      <c r="D149" s="3309"/>
      <c r="E149" s="754"/>
      <c r="F149" s="755"/>
      <c r="G149" s="755"/>
      <c r="H149" s="755"/>
      <c r="I149" s="755"/>
      <c r="J149" s="756"/>
      <c r="K149" s="756"/>
      <c r="L149" s="756"/>
      <c r="M149" s="756"/>
      <c r="N149" s="756"/>
      <c r="O149" s="756"/>
      <c r="P149" s="757"/>
      <c r="Q149" s="756"/>
      <c r="R149" s="756"/>
      <c r="S149" s="756"/>
      <c r="T149" s="759"/>
      <c r="U149" s="759"/>
      <c r="V149" s="759"/>
      <c r="W149" s="759"/>
      <c r="X149" s="790"/>
      <c r="Y149" s="786"/>
      <c r="Z149" s="759"/>
      <c r="AA149" s="759"/>
      <c r="AB149" s="760"/>
    </row>
    <row r="150" spans="1:28" ht="16.5">
      <c r="A150" s="785">
        <v>145</v>
      </c>
      <c r="B150" s="3360"/>
      <c r="C150" s="3320"/>
      <c r="D150" s="659" t="s">
        <v>3121</v>
      </c>
      <c r="E150" s="763"/>
      <c r="F150" s="763"/>
      <c r="G150" s="763"/>
      <c r="H150" s="763"/>
      <c r="I150" s="763"/>
      <c r="J150" s="763"/>
      <c r="K150" s="763"/>
      <c r="L150" s="763"/>
      <c r="M150" s="756">
        <f>SUM(M144:M149)</f>
        <v>0</v>
      </c>
      <c r="N150" s="756">
        <f>SUM(N144:N149)</f>
        <v>0</v>
      </c>
      <c r="O150" s="756">
        <f>SUM(O144:O149)</f>
        <v>0</v>
      </c>
      <c r="P150" s="756">
        <f>SUM(P144:P149)</f>
        <v>0</v>
      </c>
      <c r="Q150" s="763"/>
      <c r="R150" s="756">
        <f>SUM(R144:R149)</f>
        <v>0</v>
      </c>
      <c r="S150" s="763"/>
      <c r="T150" s="756">
        <f>SUM(T144:T149)</f>
        <v>0</v>
      </c>
      <c r="U150" s="756">
        <f>SUM(U144:U149)</f>
        <v>0</v>
      </c>
      <c r="V150" s="756">
        <f>SUM(V144:V149)</f>
        <v>0</v>
      </c>
      <c r="W150" s="756">
        <f>SUM(W144:W149)</f>
        <v>0</v>
      </c>
      <c r="X150" s="790"/>
      <c r="Y150" s="786"/>
      <c r="Z150" s="786"/>
      <c r="AA150" s="786"/>
      <c r="AB150" s="765"/>
    </row>
    <row r="151" spans="1:28" ht="16.5" customHeight="1">
      <c r="A151" s="785">
        <v>146</v>
      </c>
      <c r="B151" s="3360"/>
      <c r="C151" s="3320"/>
      <c r="D151" s="3300" t="s">
        <v>3118</v>
      </c>
      <c r="E151" s="754"/>
      <c r="F151" s="755"/>
      <c r="G151" s="755"/>
      <c r="H151" s="755"/>
      <c r="I151" s="755"/>
      <c r="J151" s="756"/>
      <c r="K151" s="756"/>
      <c r="L151" s="756"/>
      <c r="M151" s="756"/>
      <c r="N151" s="756"/>
      <c r="O151" s="756"/>
      <c r="P151" s="757"/>
      <c r="Q151" s="756"/>
      <c r="R151" s="756"/>
      <c r="S151" s="756"/>
      <c r="T151" s="759"/>
      <c r="U151" s="759"/>
      <c r="V151" s="759"/>
      <c r="W151" s="759"/>
      <c r="X151" s="790"/>
      <c r="Y151" s="786"/>
      <c r="Z151" s="759"/>
      <c r="AA151" s="759"/>
      <c r="AB151" s="760"/>
    </row>
    <row r="152" spans="1:28" ht="16.5">
      <c r="A152" s="785">
        <v>147</v>
      </c>
      <c r="B152" s="3360"/>
      <c r="C152" s="3320"/>
      <c r="D152" s="3300"/>
      <c r="E152" s="754"/>
      <c r="F152" s="755"/>
      <c r="G152" s="755"/>
      <c r="H152" s="755"/>
      <c r="I152" s="755"/>
      <c r="J152" s="756"/>
      <c r="K152" s="756"/>
      <c r="L152" s="756"/>
      <c r="M152" s="756"/>
      <c r="N152" s="756"/>
      <c r="O152" s="756"/>
      <c r="P152" s="757"/>
      <c r="Q152" s="756"/>
      <c r="R152" s="756"/>
      <c r="S152" s="756"/>
      <c r="T152" s="759"/>
      <c r="U152" s="759"/>
      <c r="V152" s="759"/>
      <c r="W152" s="759"/>
      <c r="X152" s="790"/>
      <c r="Y152" s="786"/>
      <c r="Z152" s="759"/>
      <c r="AA152" s="759"/>
      <c r="AB152" s="760"/>
    </row>
    <row r="153" spans="1:28" ht="16.5">
      <c r="A153" s="785">
        <v>148</v>
      </c>
      <c r="B153" s="3360"/>
      <c r="C153" s="3320"/>
      <c r="D153" s="3300"/>
      <c r="E153" s="754"/>
      <c r="F153" s="755"/>
      <c r="G153" s="755"/>
      <c r="H153" s="755"/>
      <c r="I153" s="755"/>
      <c r="J153" s="756"/>
      <c r="K153" s="756"/>
      <c r="L153" s="756"/>
      <c r="M153" s="756"/>
      <c r="N153" s="756"/>
      <c r="O153" s="756"/>
      <c r="P153" s="757"/>
      <c r="Q153" s="756"/>
      <c r="R153" s="756"/>
      <c r="S153" s="756"/>
      <c r="T153" s="759"/>
      <c r="U153" s="759"/>
      <c r="V153" s="759"/>
      <c r="W153" s="759"/>
      <c r="X153" s="790"/>
      <c r="Y153" s="786"/>
      <c r="Z153" s="759"/>
      <c r="AA153" s="759"/>
      <c r="AB153" s="760"/>
    </row>
    <row r="154" spans="1:28" ht="16.5">
      <c r="A154" s="785">
        <v>149</v>
      </c>
      <c r="B154" s="3360"/>
      <c r="C154" s="3320"/>
      <c r="D154" s="3300"/>
      <c r="E154" s="754"/>
      <c r="F154" s="755"/>
      <c r="G154" s="755"/>
      <c r="H154" s="755"/>
      <c r="I154" s="755"/>
      <c r="J154" s="756"/>
      <c r="K154" s="756"/>
      <c r="L154" s="756"/>
      <c r="M154" s="756"/>
      <c r="N154" s="756"/>
      <c r="O154" s="756"/>
      <c r="P154" s="757"/>
      <c r="Q154" s="756"/>
      <c r="R154" s="756"/>
      <c r="S154" s="756"/>
      <c r="T154" s="759"/>
      <c r="U154" s="759"/>
      <c r="V154" s="759"/>
      <c r="W154" s="759"/>
      <c r="X154" s="790"/>
      <c r="Y154" s="786"/>
      <c r="Z154" s="759"/>
      <c r="AA154" s="759"/>
      <c r="AB154" s="760"/>
    </row>
    <row r="155" spans="1:28" ht="16.5">
      <c r="A155" s="785">
        <v>150</v>
      </c>
      <c r="B155" s="3360"/>
      <c r="C155" s="3320"/>
      <c r="D155" s="3300"/>
      <c r="E155" s="754"/>
      <c r="F155" s="755"/>
      <c r="G155" s="755"/>
      <c r="H155" s="755"/>
      <c r="I155" s="755"/>
      <c r="J155" s="756"/>
      <c r="K155" s="756"/>
      <c r="L155" s="756"/>
      <c r="M155" s="756"/>
      <c r="N155" s="756"/>
      <c r="O155" s="756"/>
      <c r="P155" s="757"/>
      <c r="Q155" s="756"/>
      <c r="R155" s="756"/>
      <c r="S155" s="756"/>
      <c r="T155" s="759"/>
      <c r="U155" s="759"/>
      <c r="V155" s="759"/>
      <c r="W155" s="759"/>
      <c r="X155" s="790"/>
      <c r="Y155" s="786"/>
      <c r="Z155" s="759"/>
      <c r="AA155" s="759"/>
      <c r="AB155" s="760"/>
    </row>
    <row r="156" spans="1:28" ht="16.5">
      <c r="A156" s="785">
        <v>151</v>
      </c>
      <c r="B156" s="3360"/>
      <c r="C156" s="3320"/>
      <c r="D156" s="3300"/>
      <c r="E156" s="754"/>
      <c r="F156" s="755"/>
      <c r="G156" s="755"/>
      <c r="H156" s="755"/>
      <c r="I156" s="755"/>
      <c r="J156" s="756"/>
      <c r="K156" s="756"/>
      <c r="L156" s="756"/>
      <c r="M156" s="756"/>
      <c r="N156" s="756"/>
      <c r="O156" s="756"/>
      <c r="P156" s="757"/>
      <c r="Q156" s="756"/>
      <c r="R156" s="756"/>
      <c r="S156" s="756"/>
      <c r="T156" s="759"/>
      <c r="U156" s="759"/>
      <c r="V156" s="759"/>
      <c r="W156" s="759"/>
      <c r="X156" s="790"/>
      <c r="Y156" s="786"/>
      <c r="Z156" s="759"/>
      <c r="AA156" s="759"/>
      <c r="AB156" s="760"/>
    </row>
    <row r="157" spans="1:28" ht="16.5">
      <c r="A157" s="785">
        <v>152</v>
      </c>
      <c r="B157" s="3360"/>
      <c r="C157" s="3320"/>
      <c r="D157" s="711" t="s">
        <v>3105</v>
      </c>
      <c r="E157" s="763"/>
      <c r="F157" s="763"/>
      <c r="G157" s="763"/>
      <c r="H157" s="763"/>
      <c r="I157" s="763"/>
      <c r="J157" s="763"/>
      <c r="K157" s="763"/>
      <c r="L157" s="763"/>
      <c r="M157" s="756">
        <f>SUM(M151:M156)</f>
        <v>0</v>
      </c>
      <c r="N157" s="756">
        <f>SUM(N151:N156)</f>
        <v>0</v>
      </c>
      <c r="O157" s="756">
        <f>SUM(O151:O156)</f>
        <v>0</v>
      </c>
      <c r="P157" s="756">
        <f>SUM(P151:P156)</f>
        <v>0</v>
      </c>
      <c r="Q157" s="763"/>
      <c r="R157" s="756">
        <f>SUM(R151:R156)</f>
        <v>0</v>
      </c>
      <c r="S157" s="763"/>
      <c r="T157" s="756">
        <f>SUM(T151:T156)</f>
        <v>0</v>
      </c>
      <c r="U157" s="756">
        <f>SUM(U151:U156)</f>
        <v>0</v>
      </c>
      <c r="V157" s="756">
        <f>SUM(V151:V156)</f>
        <v>0</v>
      </c>
      <c r="W157" s="756">
        <f>SUM(W151:W156)</f>
        <v>0</v>
      </c>
      <c r="X157" s="790"/>
      <c r="Y157" s="786"/>
      <c r="Z157" s="786"/>
      <c r="AA157" s="786"/>
      <c r="AB157" s="765"/>
    </row>
    <row r="158" spans="1:28" ht="16.5" customHeight="1">
      <c r="A158" s="785">
        <v>153</v>
      </c>
      <c r="B158" s="3360"/>
      <c r="C158" s="3320"/>
      <c r="D158" s="3300" t="s">
        <v>3119</v>
      </c>
      <c r="E158" s="754"/>
      <c r="F158" s="755"/>
      <c r="G158" s="755"/>
      <c r="H158" s="755"/>
      <c r="I158" s="755"/>
      <c r="J158" s="756"/>
      <c r="K158" s="756"/>
      <c r="L158" s="756"/>
      <c r="M158" s="756"/>
      <c r="N158" s="756"/>
      <c r="O158" s="756"/>
      <c r="P158" s="757"/>
      <c r="Q158" s="756"/>
      <c r="R158" s="756"/>
      <c r="S158" s="756"/>
      <c r="T158" s="759"/>
      <c r="U158" s="759"/>
      <c r="V158" s="759"/>
      <c r="W158" s="759"/>
      <c r="X158" s="790"/>
      <c r="Y158" s="786"/>
      <c r="Z158" s="759"/>
      <c r="AA158" s="759"/>
      <c r="AB158" s="760"/>
    </row>
    <row r="159" spans="1:28" ht="16.5">
      <c r="A159" s="785">
        <v>154</v>
      </c>
      <c r="B159" s="3360"/>
      <c r="C159" s="3320"/>
      <c r="D159" s="3300"/>
      <c r="E159" s="754"/>
      <c r="F159" s="755"/>
      <c r="G159" s="755"/>
      <c r="H159" s="755"/>
      <c r="I159" s="755"/>
      <c r="J159" s="756"/>
      <c r="K159" s="756"/>
      <c r="L159" s="756"/>
      <c r="M159" s="756"/>
      <c r="N159" s="756"/>
      <c r="O159" s="756"/>
      <c r="P159" s="757"/>
      <c r="Q159" s="756"/>
      <c r="R159" s="756"/>
      <c r="S159" s="756"/>
      <c r="T159" s="759"/>
      <c r="U159" s="759"/>
      <c r="V159" s="759"/>
      <c r="W159" s="759"/>
      <c r="X159" s="790"/>
      <c r="Y159" s="786"/>
      <c r="Z159" s="759"/>
      <c r="AA159" s="759"/>
      <c r="AB159" s="760"/>
    </row>
    <row r="160" spans="1:28" ht="16.5">
      <c r="A160" s="785">
        <v>155</v>
      </c>
      <c r="B160" s="3360"/>
      <c r="C160" s="3320"/>
      <c r="D160" s="3300"/>
      <c r="E160" s="754"/>
      <c r="F160" s="755"/>
      <c r="G160" s="755"/>
      <c r="H160" s="755"/>
      <c r="I160" s="755"/>
      <c r="J160" s="756"/>
      <c r="K160" s="756"/>
      <c r="L160" s="756"/>
      <c r="M160" s="756"/>
      <c r="N160" s="756"/>
      <c r="O160" s="756"/>
      <c r="P160" s="757"/>
      <c r="Q160" s="756"/>
      <c r="R160" s="756"/>
      <c r="S160" s="756"/>
      <c r="T160" s="759"/>
      <c r="U160" s="759"/>
      <c r="V160" s="759"/>
      <c r="W160" s="759"/>
      <c r="X160" s="790"/>
      <c r="Y160" s="786"/>
      <c r="Z160" s="759"/>
      <c r="AA160" s="759"/>
      <c r="AB160" s="760"/>
    </row>
    <row r="161" spans="1:28" ht="16.5">
      <c r="A161" s="785">
        <v>156</v>
      </c>
      <c r="B161" s="3360"/>
      <c r="C161" s="3320"/>
      <c r="D161" s="3300"/>
      <c r="E161" s="754"/>
      <c r="F161" s="755"/>
      <c r="G161" s="755"/>
      <c r="H161" s="755"/>
      <c r="I161" s="755"/>
      <c r="J161" s="756"/>
      <c r="K161" s="756"/>
      <c r="L161" s="756"/>
      <c r="M161" s="756"/>
      <c r="N161" s="756"/>
      <c r="O161" s="756"/>
      <c r="P161" s="757"/>
      <c r="Q161" s="756"/>
      <c r="R161" s="756"/>
      <c r="S161" s="756"/>
      <c r="T161" s="759"/>
      <c r="U161" s="759"/>
      <c r="V161" s="759"/>
      <c r="W161" s="759"/>
      <c r="X161" s="790"/>
      <c r="Y161" s="786"/>
      <c r="Z161" s="759"/>
      <c r="AA161" s="759"/>
      <c r="AB161" s="760"/>
    </row>
    <row r="162" spans="1:28" ht="16.5">
      <c r="A162" s="785">
        <v>157</v>
      </c>
      <c r="B162" s="3360"/>
      <c r="C162" s="3320"/>
      <c r="D162" s="3300"/>
      <c r="E162" s="754"/>
      <c r="F162" s="755"/>
      <c r="G162" s="755"/>
      <c r="H162" s="755"/>
      <c r="I162" s="755"/>
      <c r="J162" s="756"/>
      <c r="K162" s="756"/>
      <c r="L162" s="756"/>
      <c r="M162" s="756"/>
      <c r="N162" s="756"/>
      <c r="O162" s="756"/>
      <c r="P162" s="757"/>
      <c r="Q162" s="756"/>
      <c r="R162" s="756"/>
      <c r="S162" s="756"/>
      <c r="T162" s="759"/>
      <c r="U162" s="759"/>
      <c r="V162" s="759"/>
      <c r="W162" s="759"/>
      <c r="X162" s="790"/>
      <c r="Y162" s="786"/>
      <c r="Z162" s="759"/>
      <c r="AA162" s="759"/>
      <c r="AB162" s="760"/>
    </row>
    <row r="163" spans="1:28" ht="16.5">
      <c r="A163" s="785">
        <v>158</v>
      </c>
      <c r="B163" s="3360"/>
      <c r="C163" s="3320"/>
      <c r="D163" s="3300"/>
      <c r="E163" s="754"/>
      <c r="F163" s="755"/>
      <c r="G163" s="755"/>
      <c r="H163" s="755"/>
      <c r="I163" s="755"/>
      <c r="J163" s="756"/>
      <c r="K163" s="756"/>
      <c r="L163" s="756"/>
      <c r="M163" s="756"/>
      <c r="N163" s="756"/>
      <c r="O163" s="756"/>
      <c r="P163" s="757"/>
      <c r="Q163" s="756"/>
      <c r="R163" s="756"/>
      <c r="S163" s="756"/>
      <c r="T163" s="759"/>
      <c r="U163" s="759"/>
      <c r="V163" s="759"/>
      <c r="W163" s="759"/>
      <c r="X163" s="790"/>
      <c r="Y163" s="786"/>
      <c r="Z163" s="759"/>
      <c r="AA163" s="759"/>
      <c r="AB163" s="760"/>
    </row>
    <row r="164" spans="1:28" ht="17.25" thickBot="1">
      <c r="A164" s="785">
        <v>159</v>
      </c>
      <c r="B164" s="3360"/>
      <c r="C164" s="3356"/>
      <c r="D164" s="686" t="s">
        <v>3105</v>
      </c>
      <c r="E164" s="767"/>
      <c r="F164" s="767"/>
      <c r="G164" s="767"/>
      <c r="H164" s="767"/>
      <c r="I164" s="767"/>
      <c r="J164" s="767"/>
      <c r="K164" s="767"/>
      <c r="L164" s="767"/>
      <c r="M164" s="768">
        <f>SUM(M158:M163)</f>
        <v>0</v>
      </c>
      <c r="N164" s="768">
        <f>SUM(N158:N163)</f>
        <v>0</v>
      </c>
      <c r="O164" s="768">
        <f>SUM(O158:O163)</f>
        <v>0</v>
      </c>
      <c r="P164" s="768">
        <f>SUM(P158:P163)</f>
        <v>0</v>
      </c>
      <c r="Q164" s="767"/>
      <c r="R164" s="768">
        <f>SUM(R158:R163)</f>
        <v>0</v>
      </c>
      <c r="S164" s="763"/>
      <c r="T164" s="768">
        <f>SUM(T158:T163)</f>
        <v>0</v>
      </c>
      <c r="U164" s="768">
        <f>SUM(U158:U163)</f>
        <v>0</v>
      </c>
      <c r="V164" s="768">
        <f>SUM(V158:V163)</f>
        <v>0</v>
      </c>
      <c r="W164" s="768">
        <f>SUM(W158:W163)</f>
        <v>0</v>
      </c>
      <c r="X164" s="791"/>
      <c r="Y164" s="788"/>
      <c r="Z164" s="788"/>
      <c r="AA164" s="788"/>
      <c r="AB164" s="765"/>
    </row>
    <row r="165" spans="1:28" ht="17.25" thickBot="1">
      <c r="A165" s="792">
        <v>160</v>
      </c>
      <c r="B165" s="3367" t="s">
        <v>3145</v>
      </c>
      <c r="C165" s="3319"/>
      <c r="D165" s="3319"/>
      <c r="E165" s="775"/>
      <c r="F165" s="776"/>
      <c r="G165" s="776"/>
      <c r="H165" s="776"/>
      <c r="I165" s="776"/>
      <c r="J165" s="777"/>
      <c r="K165" s="777"/>
      <c r="L165" s="777"/>
      <c r="M165" s="793">
        <f>M115+M122+M129+M136+M143+M150+M157+M164</f>
        <v>0</v>
      </c>
      <c r="N165" s="793">
        <f>N115+N122+N129+N136+N143+N150+N157+N164</f>
        <v>0</v>
      </c>
      <c r="O165" s="793">
        <f>O115+O122+O129+O136+O143+O150+O157+O164</f>
        <v>0</v>
      </c>
      <c r="P165" s="793">
        <f>P115+P122+P129+P136+P143+P150+P157+P164</f>
        <v>0</v>
      </c>
      <c r="Q165" s="777"/>
      <c r="R165" s="793">
        <f>R115+R122+R129+R136+R143+R150+R157+R164</f>
        <v>0</v>
      </c>
      <c r="S165" s="767"/>
      <c r="T165" s="793">
        <f>T115+T122+T129+T136+T143+T150+T157+T164</f>
        <v>0</v>
      </c>
      <c r="U165" s="793">
        <f>U115+U122+U129+U136+U143+U150+U157+U164</f>
        <v>0</v>
      </c>
      <c r="V165" s="793">
        <f>V115+V122+V129+V136+V143+V150+V157+V164</f>
        <v>0</v>
      </c>
      <c r="W165" s="793">
        <f>W115+W122+W129+W136+W143+W150+W157+W164</f>
        <v>0</v>
      </c>
      <c r="X165" s="794"/>
      <c r="Y165" s="795"/>
      <c r="Z165" s="795"/>
      <c r="AA165" s="795"/>
      <c r="AB165" s="765"/>
    </row>
    <row r="166" spans="1:28" ht="17.25" thickBot="1">
      <c r="A166" s="796">
        <v>161</v>
      </c>
      <c r="B166" s="3318" t="s">
        <v>3126</v>
      </c>
      <c r="C166" s="3319"/>
      <c r="D166" s="3319"/>
      <c r="E166" s="775"/>
      <c r="F166" s="776"/>
      <c r="G166" s="776"/>
      <c r="H166" s="776"/>
      <c r="I166" s="776"/>
      <c r="J166" s="777"/>
      <c r="K166" s="777"/>
      <c r="L166" s="777"/>
      <c r="M166" s="793">
        <f>M165+M108</f>
        <v>0</v>
      </c>
      <c r="N166" s="793">
        <f>N165+N108</f>
        <v>0</v>
      </c>
      <c r="O166" s="793">
        <f>O165+O108</f>
        <v>0</v>
      </c>
      <c r="P166" s="793">
        <f>P165+P108</f>
        <v>0</v>
      </c>
      <c r="Q166" s="777"/>
      <c r="R166" s="793">
        <f>R165+R108</f>
        <v>0</v>
      </c>
      <c r="S166" s="797"/>
      <c r="T166" s="793">
        <f>T165+T108</f>
        <v>0</v>
      </c>
      <c r="U166" s="793">
        <f>U165+U108</f>
        <v>0</v>
      </c>
      <c r="V166" s="793">
        <f>V165+V108</f>
        <v>0</v>
      </c>
      <c r="W166" s="793">
        <f>W165+W108</f>
        <v>0</v>
      </c>
      <c r="X166" s="794"/>
      <c r="Y166" s="795"/>
      <c r="Z166" s="795"/>
      <c r="AA166" s="795"/>
      <c r="AB166" s="765"/>
    </row>
    <row r="169" spans="1:28" ht="16.5">
      <c r="A169" s="798" t="s">
        <v>3146</v>
      </c>
      <c r="B169" s="734"/>
      <c r="C169" s="735"/>
      <c r="D169" s="736"/>
      <c r="E169" s="736"/>
      <c r="F169" s="736"/>
      <c r="G169" s="736"/>
      <c r="H169" s="736"/>
      <c r="I169" s="736"/>
      <c r="J169" s="736"/>
      <c r="K169" s="736"/>
      <c r="L169" s="736"/>
      <c r="M169" s="736"/>
      <c r="N169" s="736"/>
      <c r="O169" s="736"/>
    </row>
    <row r="170" spans="1:28" ht="16.5">
      <c r="A170" s="557">
        <v>1</v>
      </c>
      <c r="B170" s="735" t="s">
        <v>3147</v>
      </c>
      <c r="D170" s="736"/>
      <c r="E170" s="736"/>
      <c r="F170" s="736"/>
      <c r="G170" s="736"/>
      <c r="H170" s="736"/>
      <c r="I170" s="736"/>
      <c r="J170" s="736"/>
      <c r="K170" s="736"/>
      <c r="L170" s="736"/>
      <c r="M170" s="736"/>
      <c r="N170" s="736"/>
      <c r="O170" s="736"/>
    </row>
    <row r="171" spans="1:28" ht="16.5">
      <c r="A171" s="734" t="s">
        <v>202</v>
      </c>
      <c r="B171" s="735" t="s">
        <v>3148</v>
      </c>
      <c r="D171" s="736"/>
      <c r="E171" s="736"/>
      <c r="F171" s="736"/>
      <c r="G171" s="736"/>
      <c r="H171" s="736"/>
      <c r="I171" s="736"/>
      <c r="J171" s="736"/>
      <c r="K171" s="736"/>
      <c r="L171" s="736"/>
      <c r="M171" s="736"/>
      <c r="N171" s="736"/>
      <c r="O171" s="736"/>
    </row>
    <row r="172" spans="1:28">
      <c r="A172" s="557">
        <v>3</v>
      </c>
      <c r="B172" s="252" t="s">
        <v>3129</v>
      </c>
      <c r="D172" s="252"/>
      <c r="E172" s="252"/>
      <c r="F172" s="252"/>
      <c r="G172" s="252"/>
      <c r="H172" s="252"/>
      <c r="I172" s="252"/>
      <c r="J172" s="252"/>
      <c r="K172" s="252"/>
      <c r="L172" s="252"/>
      <c r="M172" s="252"/>
      <c r="N172" s="252"/>
      <c r="O172" s="252"/>
    </row>
    <row r="173" spans="1:28">
      <c r="A173" s="557">
        <v>4</v>
      </c>
      <c r="B173" s="252" t="s">
        <v>3130</v>
      </c>
      <c r="D173" s="252"/>
      <c r="E173" s="252"/>
      <c r="F173" s="252"/>
      <c r="G173" s="252"/>
      <c r="H173" s="252"/>
      <c r="I173" s="252"/>
      <c r="J173" s="252"/>
      <c r="K173" s="252"/>
      <c r="L173" s="252"/>
      <c r="M173" s="252"/>
      <c r="N173" s="252"/>
      <c r="O173" s="252"/>
    </row>
    <row r="174" spans="1:28" ht="16.5">
      <c r="A174" s="739" t="s">
        <v>104</v>
      </c>
      <c r="B174" s="285" t="s">
        <v>3149</v>
      </c>
      <c r="D174" s="736"/>
      <c r="E174" s="736"/>
      <c r="F174" s="736"/>
      <c r="G174" s="736"/>
      <c r="H174" s="736"/>
      <c r="I174" s="736"/>
      <c r="J174" s="736"/>
      <c r="K174" s="736"/>
      <c r="L174" s="736"/>
      <c r="M174" s="736"/>
      <c r="N174" s="736"/>
      <c r="O174" s="736"/>
    </row>
    <row r="175" spans="1:28" ht="16.5">
      <c r="A175" s="557"/>
      <c r="B175" s="734"/>
      <c r="C175" s="735"/>
      <c r="D175" s="736"/>
      <c r="E175" s="736"/>
      <c r="F175" s="736"/>
      <c r="G175" s="736"/>
      <c r="H175" s="736"/>
      <c r="I175" s="736"/>
      <c r="J175" s="736"/>
      <c r="K175" s="736"/>
      <c r="L175" s="736"/>
      <c r="M175" s="736"/>
      <c r="N175" s="736"/>
      <c r="O175" s="736"/>
    </row>
    <row r="176" spans="1:28" ht="16.5">
      <c r="A176" s="557"/>
      <c r="B176" s="734"/>
      <c r="C176" s="735"/>
      <c r="D176" s="736"/>
      <c r="E176" s="736"/>
      <c r="F176" s="736"/>
      <c r="G176" s="736"/>
      <c r="H176" s="736"/>
      <c r="I176" s="736"/>
      <c r="J176" s="736"/>
      <c r="K176" s="736"/>
      <c r="L176" s="736"/>
      <c r="M176" s="736"/>
      <c r="N176" s="736"/>
      <c r="O176" s="736"/>
    </row>
    <row r="177" spans="1:15" ht="16.5">
      <c r="A177" s="734"/>
      <c r="B177" s="734"/>
      <c r="C177" s="741"/>
      <c r="D177" s="736"/>
      <c r="E177" s="736"/>
      <c r="F177" s="736"/>
      <c r="G177" s="736"/>
      <c r="H177" s="736"/>
      <c r="I177" s="736"/>
      <c r="J177" s="736"/>
      <c r="K177" s="736"/>
      <c r="L177" s="736"/>
      <c r="M177" s="736"/>
      <c r="N177" s="736"/>
      <c r="O177" s="736"/>
    </row>
    <row r="178" spans="1:15" ht="16.5">
      <c r="A178" s="557"/>
      <c r="B178" s="734"/>
      <c r="C178" s="735"/>
      <c r="D178" s="736"/>
      <c r="E178" s="736"/>
      <c r="F178" s="736"/>
      <c r="G178" s="736"/>
      <c r="H178" s="736"/>
      <c r="I178" s="736"/>
      <c r="J178" s="736"/>
      <c r="K178" s="736"/>
      <c r="L178" s="736"/>
      <c r="M178" s="736"/>
      <c r="N178" s="736"/>
      <c r="O178" s="736"/>
    </row>
    <row r="179" spans="1:15" ht="16.5">
      <c r="A179" s="557"/>
      <c r="B179" s="734"/>
      <c r="C179" s="735"/>
      <c r="D179" s="736"/>
      <c r="E179" s="736"/>
      <c r="F179" s="736"/>
      <c r="G179" s="736"/>
      <c r="H179" s="736"/>
      <c r="I179" s="736"/>
      <c r="J179" s="736"/>
      <c r="K179" s="736"/>
      <c r="L179" s="736"/>
      <c r="M179" s="736"/>
      <c r="N179" s="736"/>
      <c r="O179" s="736"/>
    </row>
    <row r="180" spans="1:15" ht="16.5">
      <c r="A180" s="557"/>
      <c r="B180" s="734"/>
      <c r="C180" s="735"/>
      <c r="D180" s="736"/>
      <c r="E180" s="736"/>
      <c r="F180" s="736"/>
      <c r="G180" s="736"/>
      <c r="H180" s="736"/>
      <c r="I180" s="736"/>
      <c r="J180" s="736"/>
      <c r="K180" s="736"/>
      <c r="L180" s="736"/>
      <c r="M180" s="736"/>
      <c r="N180" s="736"/>
      <c r="O180" s="736"/>
    </row>
    <row r="181" spans="1:15" ht="16.5">
      <c r="A181" s="734"/>
      <c r="B181" s="734"/>
      <c r="C181" s="736"/>
      <c r="D181" s="740"/>
      <c r="E181" s="743"/>
      <c r="F181" s="740"/>
      <c r="G181" s="740"/>
      <c r="H181" s="740"/>
      <c r="I181" s="740"/>
      <c r="J181" s="737"/>
      <c r="K181" s="737"/>
      <c r="L181" s="740"/>
      <c r="M181" s="740"/>
      <c r="N181" s="737"/>
      <c r="O181" s="737"/>
    </row>
    <row r="182" spans="1:15" ht="16.5">
      <c r="A182" s="557"/>
      <c r="B182" s="734"/>
      <c r="C182" s="735"/>
      <c r="D182" s="736"/>
      <c r="E182" s="736"/>
      <c r="F182" s="736"/>
      <c r="G182" s="736"/>
      <c r="H182" s="736"/>
      <c r="I182" s="736"/>
      <c r="J182" s="736"/>
      <c r="K182" s="736"/>
      <c r="L182" s="736"/>
      <c r="M182" s="736"/>
      <c r="N182" s="736"/>
      <c r="O182" s="736"/>
    </row>
    <row r="183" spans="1:15" ht="16.5">
      <c r="A183" s="557"/>
      <c r="B183" s="734"/>
      <c r="C183" s="735"/>
      <c r="D183" s="736"/>
      <c r="E183" s="736"/>
      <c r="F183" s="736"/>
      <c r="G183" s="736"/>
      <c r="H183" s="736"/>
      <c r="I183" s="736"/>
      <c r="J183" s="736"/>
      <c r="K183" s="736"/>
      <c r="L183" s="736"/>
      <c r="M183" s="736"/>
      <c r="N183" s="736"/>
      <c r="O183" s="736"/>
    </row>
    <row r="184" spans="1:15" ht="16.5">
      <c r="A184" s="734"/>
      <c r="B184" s="734"/>
      <c r="C184" s="735"/>
      <c r="D184" s="736"/>
      <c r="E184" s="736"/>
      <c r="F184" s="736"/>
      <c r="G184" s="736"/>
      <c r="H184" s="736"/>
      <c r="I184" s="736"/>
      <c r="J184" s="736"/>
      <c r="K184" s="736"/>
      <c r="L184" s="736"/>
      <c r="M184" s="736"/>
      <c r="N184" s="736"/>
      <c r="O184" s="736"/>
    </row>
    <row r="185" spans="1:15" ht="16.5">
      <c r="A185" s="557"/>
      <c r="B185" s="734"/>
      <c r="C185" s="735"/>
      <c r="D185" s="736"/>
      <c r="E185" s="736"/>
      <c r="F185" s="736"/>
      <c r="G185" s="736"/>
      <c r="H185" s="736"/>
      <c r="I185" s="736"/>
      <c r="J185" s="736"/>
      <c r="K185" s="736"/>
      <c r="L185" s="736"/>
      <c r="M185" s="736"/>
      <c r="N185" s="736"/>
      <c r="O185" s="736"/>
    </row>
    <row r="186" spans="1:15" ht="16.5">
      <c r="A186" s="734"/>
      <c r="B186" s="734"/>
      <c r="C186" s="736"/>
      <c r="D186" s="736"/>
      <c r="E186" s="736"/>
      <c r="F186" s="736"/>
      <c r="G186" s="736"/>
      <c r="H186" s="736"/>
      <c r="I186" s="736"/>
      <c r="J186" s="736"/>
      <c r="K186" s="736"/>
      <c r="L186" s="742"/>
      <c r="M186" s="742"/>
      <c r="N186" s="736"/>
      <c r="O186" s="736"/>
    </row>
    <row r="187" spans="1:15" ht="16.5">
      <c r="A187" s="557"/>
      <c r="B187" s="734"/>
      <c r="C187" s="654"/>
      <c r="D187" s="736"/>
      <c r="E187" s="736"/>
      <c r="F187" s="736"/>
      <c r="G187" s="736"/>
      <c r="H187" s="736"/>
      <c r="I187" s="736"/>
      <c r="J187" s="736"/>
      <c r="K187" s="736"/>
      <c r="L187" s="742"/>
      <c r="M187" s="742"/>
      <c r="N187" s="736"/>
      <c r="O187" s="736"/>
    </row>
    <row r="188" spans="1:15" ht="16.5">
      <c r="A188" s="557"/>
      <c r="B188" s="734"/>
      <c r="C188" s="736"/>
      <c r="D188" s="742"/>
      <c r="E188" s="742"/>
      <c r="F188" s="742"/>
      <c r="G188" s="742"/>
      <c r="H188" s="742"/>
      <c r="I188" s="742"/>
      <c r="J188" s="742"/>
      <c r="K188" s="742"/>
      <c r="L188" s="737"/>
      <c r="M188" s="737"/>
      <c r="N188" s="742"/>
      <c r="O188" s="742"/>
    </row>
    <row r="189" spans="1:15" ht="16.5">
      <c r="A189" s="734"/>
      <c r="B189" s="734"/>
      <c r="C189" s="735"/>
      <c r="D189" s="742"/>
      <c r="E189" s="742"/>
      <c r="F189" s="742"/>
      <c r="G189" s="742"/>
      <c r="H189" s="742"/>
      <c r="I189" s="742"/>
      <c r="J189" s="742"/>
      <c r="K189" s="742"/>
      <c r="L189" s="740"/>
      <c r="M189" s="740"/>
      <c r="N189" s="742"/>
      <c r="O189" s="742"/>
    </row>
    <row r="190" spans="1:15" ht="16.5">
      <c r="A190" s="557"/>
      <c r="B190" s="734"/>
      <c r="C190" s="736"/>
      <c r="D190" s="740"/>
      <c r="E190" s="743"/>
      <c r="F190" s="740"/>
      <c r="G190" s="740"/>
      <c r="H190" s="740"/>
      <c r="I190" s="740"/>
      <c r="J190" s="740"/>
      <c r="K190" s="740"/>
      <c r="L190" s="740"/>
      <c r="M190" s="740"/>
      <c r="N190" s="740"/>
      <c r="O190" s="740"/>
    </row>
  </sheetData>
  <mergeCells count="51">
    <mergeCell ref="A3:A5"/>
    <mergeCell ref="B3:B4"/>
    <mergeCell ref="E3:I3"/>
    <mergeCell ref="K3:K4"/>
    <mergeCell ref="C3:D4"/>
    <mergeCell ref="C5:D5"/>
    <mergeCell ref="AB3:AB4"/>
    <mergeCell ref="Y3:Y4"/>
    <mergeCell ref="Z3:Z4"/>
    <mergeCell ref="X3:X4"/>
    <mergeCell ref="AA3:AA4"/>
    <mergeCell ref="T3:U4"/>
    <mergeCell ref="V3:W4"/>
    <mergeCell ref="N3:N4"/>
    <mergeCell ref="Q3:Q4"/>
    <mergeCell ref="O3:O4"/>
    <mergeCell ref="P3:P4"/>
    <mergeCell ref="R3:R4"/>
    <mergeCell ref="S3:S4"/>
    <mergeCell ref="M3:M4"/>
    <mergeCell ref="L3:L4"/>
    <mergeCell ref="C32:C53"/>
    <mergeCell ref="D43:D52"/>
    <mergeCell ref="D130:D135"/>
    <mergeCell ref="C54:C86"/>
    <mergeCell ref="D109:D114"/>
    <mergeCell ref="D76:D85"/>
    <mergeCell ref="C123:C143"/>
    <mergeCell ref="D65:D74"/>
    <mergeCell ref="B109:B164"/>
    <mergeCell ref="C109:C122"/>
    <mergeCell ref="C144:C164"/>
    <mergeCell ref="D137:D142"/>
    <mergeCell ref="D144:D149"/>
    <mergeCell ref="D116:D121"/>
    <mergeCell ref="B166:D166"/>
    <mergeCell ref="B6:B107"/>
    <mergeCell ref="C6:C31"/>
    <mergeCell ref="D6:D17"/>
    <mergeCell ref="D19:D30"/>
    <mergeCell ref="D54:D63"/>
    <mergeCell ref="D32:D41"/>
    <mergeCell ref="D151:D156"/>
    <mergeCell ref="D158:D163"/>
    <mergeCell ref="D123:D128"/>
    <mergeCell ref="B165:D165"/>
    <mergeCell ref="C87:C107"/>
    <mergeCell ref="D87:D92"/>
    <mergeCell ref="D94:D99"/>
    <mergeCell ref="D101:D106"/>
    <mergeCell ref="B108:C108"/>
  </mergeCells>
  <phoneticPr fontId="9" type="noConversion"/>
  <pageMargins left="0.51181102362204722" right="0.35433070866141736" top="0.39370078740157483" bottom="0.27559055118110237" header="0.15748031496062992" footer="0.23622047244094491"/>
  <pageSetup paperSize="9" scale="32" fitToHeight="2" orientation="portrait" r:id="rId1"/>
  <headerFooter alignWithMargins="0">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W247"/>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4" width="14.625" style="514" customWidth="1"/>
    <col min="15" max="16" width="16.875" style="514" customWidth="1"/>
    <col min="17" max="17" width="13.125" style="514" customWidth="1"/>
    <col min="18" max="18" width="11.5" style="514" customWidth="1"/>
    <col min="19" max="19" width="19.75" style="514" customWidth="1"/>
    <col min="20" max="20" width="16" style="514" customWidth="1"/>
    <col min="21" max="21" width="12"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3" t="s">
        <v>3078</v>
      </c>
      <c r="W1" s="654"/>
    </row>
    <row r="2" spans="1:23" ht="17.25" thickBot="1">
      <c r="A2" s="653" t="s">
        <v>3079</v>
      </c>
      <c r="B2" s="653"/>
      <c r="C2" s="651"/>
      <c r="D2" s="651"/>
      <c r="E2" s="651"/>
      <c r="F2" s="652"/>
      <c r="G2" s="651"/>
      <c r="H2" s="651"/>
      <c r="I2" s="651"/>
      <c r="J2" s="651"/>
      <c r="K2" s="651"/>
      <c r="L2" s="651"/>
      <c r="M2" s="651"/>
      <c r="N2" s="651"/>
      <c r="O2" s="651"/>
      <c r="P2" s="651"/>
      <c r="Q2" s="651"/>
      <c r="R2" s="651"/>
      <c r="S2" s="651"/>
      <c r="T2" s="651"/>
      <c r="U2" s="651"/>
      <c r="V2" s="651"/>
      <c r="W2" s="654"/>
    </row>
    <row r="3" spans="1:23" ht="16.5" customHeight="1">
      <c r="A3" s="3293" t="s">
        <v>3080</v>
      </c>
      <c r="B3" s="3296" t="s">
        <v>3081</v>
      </c>
      <c r="C3" s="3298" t="s">
        <v>3082</v>
      </c>
      <c r="D3" s="3299"/>
      <c r="E3" s="3296" t="s">
        <v>3083</v>
      </c>
      <c r="F3" s="3296"/>
      <c r="G3" s="3296"/>
      <c r="H3" s="3296"/>
      <c r="I3" s="3296"/>
      <c r="J3" s="3313" t="s">
        <v>3084</v>
      </c>
      <c r="K3" s="3296" t="s">
        <v>3085</v>
      </c>
      <c r="L3" s="3330" t="s">
        <v>3086</v>
      </c>
      <c r="M3" s="3330" t="s">
        <v>3087</v>
      </c>
      <c r="N3" s="3332" t="s">
        <v>3088</v>
      </c>
      <c r="O3" s="3332" t="s">
        <v>3089</v>
      </c>
      <c r="P3" s="3296" t="s">
        <v>3090</v>
      </c>
      <c r="Q3" s="3296" t="s">
        <v>3091</v>
      </c>
      <c r="R3" s="3298" t="s">
        <v>3092</v>
      </c>
      <c r="S3" s="3296" t="s">
        <v>3093</v>
      </c>
      <c r="T3" s="3311" t="s">
        <v>665</v>
      </c>
      <c r="U3" s="3296" t="s">
        <v>3094</v>
      </c>
      <c r="V3" s="3296" t="s">
        <v>3095</v>
      </c>
      <c r="W3" s="3305" t="s">
        <v>3096</v>
      </c>
    </row>
    <row r="4" spans="1:23" ht="31.5">
      <c r="A4" s="3294"/>
      <c r="B4" s="3297"/>
      <c r="C4" s="3300"/>
      <c r="D4" s="3300"/>
      <c r="E4" s="656" t="s">
        <v>3097</v>
      </c>
      <c r="F4" s="656" t="s">
        <v>3098</v>
      </c>
      <c r="G4" s="658" t="s">
        <v>3099</v>
      </c>
      <c r="H4" s="658" t="s">
        <v>3100</v>
      </c>
      <c r="I4" s="658" t="s">
        <v>3101</v>
      </c>
      <c r="J4" s="3314"/>
      <c r="K4" s="3297"/>
      <c r="L4" s="3314"/>
      <c r="M4" s="3314"/>
      <c r="N4" s="3383"/>
      <c r="O4" s="3383"/>
      <c r="P4" s="3297"/>
      <c r="Q4" s="3297"/>
      <c r="R4" s="3309"/>
      <c r="S4" s="3297"/>
      <c r="T4" s="3312"/>
      <c r="U4" s="3297"/>
      <c r="V4" s="3297"/>
      <c r="W4" s="3306"/>
    </row>
    <row r="5" spans="1:23" ht="17.25" thickBot="1">
      <c r="A5" s="3295"/>
      <c r="B5" s="660" t="s">
        <v>422</v>
      </c>
      <c r="C5" s="3301" t="s">
        <v>423</v>
      </c>
      <c r="D5" s="330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660" t="s">
        <v>281</v>
      </c>
      <c r="V5" s="660" t="s">
        <v>136</v>
      </c>
      <c r="W5" s="661" t="s">
        <v>137</v>
      </c>
    </row>
    <row r="6" spans="1:23" ht="16.5" customHeight="1">
      <c r="A6" s="662">
        <v>1</v>
      </c>
      <c r="B6" s="3375" t="s">
        <v>3102</v>
      </c>
      <c r="C6" s="3286" t="s">
        <v>3103</v>
      </c>
      <c r="D6" s="3377" t="s">
        <v>3104</v>
      </c>
      <c r="E6" s="663"/>
      <c r="F6" s="663"/>
      <c r="G6" s="664"/>
      <c r="H6" s="664"/>
      <c r="I6" s="664"/>
      <c r="J6" s="664"/>
      <c r="K6" s="665"/>
      <c r="L6" s="665"/>
      <c r="M6" s="665"/>
      <c r="N6" s="665"/>
      <c r="O6" s="666"/>
      <c r="P6" s="667"/>
      <c r="Q6" s="665"/>
      <c r="R6" s="666"/>
      <c r="S6" s="665"/>
      <c r="T6" s="667"/>
      <c r="U6" s="668"/>
      <c r="V6" s="665"/>
      <c r="W6" s="669"/>
    </row>
    <row r="7" spans="1:23" ht="16.5">
      <c r="A7" s="670">
        <v>2</v>
      </c>
      <c r="B7" s="3387"/>
      <c r="C7" s="3287"/>
      <c r="D7" s="3290"/>
      <c r="E7" s="672"/>
      <c r="F7" s="672"/>
      <c r="G7" s="673"/>
      <c r="H7" s="673"/>
      <c r="I7" s="673"/>
      <c r="J7" s="673"/>
      <c r="K7" s="674"/>
      <c r="L7" s="674"/>
      <c r="M7" s="674"/>
      <c r="N7" s="674"/>
      <c r="O7" s="675"/>
      <c r="P7" s="676"/>
      <c r="Q7" s="674"/>
      <c r="R7" s="675"/>
      <c r="S7" s="674"/>
      <c r="T7" s="676"/>
      <c r="U7" s="677"/>
      <c r="V7" s="674"/>
      <c r="W7" s="678"/>
    </row>
    <row r="8" spans="1:23" ht="16.5">
      <c r="A8" s="670">
        <v>3</v>
      </c>
      <c r="B8" s="3387"/>
      <c r="C8" s="3287"/>
      <c r="D8" s="3290"/>
      <c r="E8" s="672"/>
      <c r="F8" s="672"/>
      <c r="G8" s="673"/>
      <c r="H8" s="673"/>
      <c r="I8" s="673"/>
      <c r="J8" s="673"/>
      <c r="K8" s="674"/>
      <c r="L8" s="674"/>
      <c r="M8" s="674"/>
      <c r="N8" s="674"/>
      <c r="O8" s="675"/>
      <c r="P8" s="676"/>
      <c r="Q8" s="674"/>
      <c r="R8" s="675"/>
      <c r="S8" s="674"/>
      <c r="T8" s="676"/>
      <c r="U8" s="677"/>
      <c r="V8" s="674"/>
      <c r="W8" s="678"/>
    </row>
    <row r="9" spans="1:23" ht="16.5">
      <c r="A9" s="670">
        <v>4</v>
      </c>
      <c r="B9" s="3387"/>
      <c r="C9" s="3287"/>
      <c r="D9" s="3290"/>
      <c r="E9" s="672"/>
      <c r="F9" s="672"/>
      <c r="G9" s="673"/>
      <c r="H9" s="673"/>
      <c r="I9" s="673"/>
      <c r="J9" s="673"/>
      <c r="K9" s="674"/>
      <c r="L9" s="674"/>
      <c r="M9" s="674"/>
      <c r="N9" s="674"/>
      <c r="O9" s="675"/>
      <c r="P9" s="676"/>
      <c r="Q9" s="674"/>
      <c r="R9" s="675"/>
      <c r="S9" s="674"/>
      <c r="T9" s="676"/>
      <c r="U9" s="677"/>
      <c r="V9" s="674"/>
      <c r="W9" s="678"/>
    </row>
    <row r="10" spans="1:23" ht="16.5">
      <c r="A10" s="670">
        <v>5</v>
      </c>
      <c r="B10" s="3387"/>
      <c r="C10" s="3287"/>
      <c r="D10" s="3290"/>
      <c r="E10" s="672"/>
      <c r="F10" s="672"/>
      <c r="G10" s="673"/>
      <c r="H10" s="673"/>
      <c r="I10" s="673"/>
      <c r="J10" s="673"/>
      <c r="K10" s="674"/>
      <c r="L10" s="674"/>
      <c r="M10" s="674"/>
      <c r="N10" s="674"/>
      <c r="O10" s="675"/>
      <c r="P10" s="676"/>
      <c r="Q10" s="674"/>
      <c r="R10" s="675"/>
      <c r="S10" s="674"/>
      <c r="T10" s="676"/>
      <c r="U10" s="677"/>
      <c r="V10" s="674"/>
      <c r="W10" s="678"/>
    </row>
    <row r="11" spans="1:23" ht="16.5">
      <c r="A11" s="670">
        <v>6</v>
      </c>
      <c r="B11" s="3387"/>
      <c r="C11" s="3287"/>
      <c r="D11" s="3290"/>
      <c r="E11" s="672"/>
      <c r="F11" s="672"/>
      <c r="G11" s="673"/>
      <c r="H11" s="673"/>
      <c r="I11" s="673"/>
      <c r="J11" s="673"/>
      <c r="K11" s="674"/>
      <c r="L11" s="674"/>
      <c r="M11" s="674"/>
      <c r="N11" s="674"/>
      <c r="O11" s="675"/>
      <c r="P11" s="676"/>
      <c r="Q11" s="674"/>
      <c r="R11" s="675"/>
      <c r="S11" s="674"/>
      <c r="T11" s="676"/>
      <c r="U11" s="677"/>
      <c r="V11" s="674"/>
      <c r="W11" s="678"/>
    </row>
    <row r="12" spans="1:23" ht="16.5">
      <c r="A12" s="670">
        <v>7</v>
      </c>
      <c r="B12" s="3387"/>
      <c r="C12" s="3287"/>
      <c r="D12" s="3290"/>
      <c r="E12" s="672"/>
      <c r="F12" s="672"/>
      <c r="G12" s="673"/>
      <c r="H12" s="673"/>
      <c r="I12" s="673"/>
      <c r="J12" s="673"/>
      <c r="K12" s="674"/>
      <c r="L12" s="674"/>
      <c r="M12" s="674"/>
      <c r="N12" s="674"/>
      <c r="O12" s="675"/>
      <c r="P12" s="676"/>
      <c r="Q12" s="674"/>
      <c r="R12" s="675"/>
      <c r="S12" s="674"/>
      <c r="T12" s="676"/>
      <c r="U12" s="677"/>
      <c r="V12" s="674"/>
      <c r="W12" s="678"/>
    </row>
    <row r="13" spans="1:23" ht="16.5">
      <c r="A13" s="670">
        <v>8</v>
      </c>
      <c r="B13" s="3387"/>
      <c r="C13" s="3287"/>
      <c r="D13" s="3290"/>
      <c r="E13" s="672"/>
      <c r="F13" s="672"/>
      <c r="G13" s="673"/>
      <c r="H13" s="673"/>
      <c r="I13" s="673"/>
      <c r="J13" s="673"/>
      <c r="K13" s="674"/>
      <c r="L13" s="674"/>
      <c r="M13" s="674"/>
      <c r="N13" s="674"/>
      <c r="O13" s="675"/>
      <c r="P13" s="676"/>
      <c r="Q13" s="674"/>
      <c r="R13" s="675"/>
      <c r="S13" s="674"/>
      <c r="T13" s="676"/>
      <c r="U13" s="677"/>
      <c r="V13" s="674"/>
      <c r="W13" s="678"/>
    </row>
    <row r="14" spans="1:23" ht="16.5">
      <c r="A14" s="670">
        <v>9</v>
      </c>
      <c r="B14" s="3387"/>
      <c r="C14" s="3287"/>
      <c r="D14" s="3290"/>
      <c r="E14" s="672"/>
      <c r="F14" s="672"/>
      <c r="G14" s="673"/>
      <c r="H14" s="673"/>
      <c r="I14" s="673"/>
      <c r="J14" s="673"/>
      <c r="K14" s="674"/>
      <c r="L14" s="674"/>
      <c r="M14" s="674"/>
      <c r="N14" s="674"/>
      <c r="O14" s="675"/>
      <c r="P14" s="676"/>
      <c r="Q14" s="674"/>
      <c r="R14" s="675"/>
      <c r="S14" s="674"/>
      <c r="T14" s="676"/>
      <c r="U14" s="677"/>
      <c r="V14" s="674"/>
      <c r="W14" s="678"/>
    </row>
    <row r="15" spans="1:23" ht="16.5">
      <c r="A15" s="670">
        <v>10</v>
      </c>
      <c r="B15" s="3387"/>
      <c r="C15" s="3287"/>
      <c r="D15" s="3290"/>
      <c r="E15" s="672"/>
      <c r="F15" s="672"/>
      <c r="G15" s="673"/>
      <c r="H15" s="673"/>
      <c r="I15" s="673"/>
      <c r="J15" s="673"/>
      <c r="K15" s="674"/>
      <c r="L15" s="674"/>
      <c r="M15" s="674"/>
      <c r="N15" s="674"/>
      <c r="O15" s="675"/>
      <c r="P15" s="676"/>
      <c r="Q15" s="674"/>
      <c r="R15" s="675"/>
      <c r="S15" s="674"/>
      <c r="T15" s="676"/>
      <c r="U15" s="677"/>
      <c r="V15" s="674"/>
      <c r="W15" s="678"/>
    </row>
    <row r="16" spans="1:23" ht="16.5">
      <c r="A16" s="670">
        <v>11</v>
      </c>
      <c r="B16" s="3387"/>
      <c r="C16" s="3287"/>
      <c r="D16" s="3290"/>
      <c r="E16" s="672"/>
      <c r="F16" s="672"/>
      <c r="G16" s="673"/>
      <c r="H16" s="673"/>
      <c r="I16" s="673"/>
      <c r="J16" s="673"/>
      <c r="K16" s="674"/>
      <c r="L16" s="674"/>
      <c r="M16" s="674"/>
      <c r="N16" s="674"/>
      <c r="O16" s="675"/>
      <c r="P16" s="676"/>
      <c r="Q16" s="674"/>
      <c r="R16" s="675"/>
      <c r="S16" s="674"/>
      <c r="T16" s="676"/>
      <c r="U16" s="677"/>
      <c r="V16" s="674"/>
      <c r="W16" s="678"/>
    </row>
    <row r="17" spans="1:23" ht="16.5">
      <c r="A17" s="670">
        <v>12</v>
      </c>
      <c r="B17" s="3387"/>
      <c r="C17" s="3287"/>
      <c r="D17" s="3290"/>
      <c r="E17" s="672"/>
      <c r="F17" s="672"/>
      <c r="G17" s="673"/>
      <c r="H17" s="673"/>
      <c r="I17" s="673"/>
      <c r="J17" s="673"/>
      <c r="K17" s="674"/>
      <c r="L17" s="674"/>
      <c r="M17" s="674"/>
      <c r="N17" s="674"/>
      <c r="O17" s="675"/>
      <c r="P17" s="676"/>
      <c r="Q17" s="674"/>
      <c r="R17" s="675"/>
      <c r="S17" s="674"/>
      <c r="T17" s="676"/>
      <c r="U17" s="677"/>
      <c r="V17" s="674"/>
      <c r="W17" s="678"/>
    </row>
    <row r="18" spans="1:23" ht="16.5">
      <c r="A18" s="670">
        <v>13</v>
      </c>
      <c r="B18" s="3387"/>
      <c r="C18" s="3287"/>
      <c r="D18" s="679"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4"/>
      <c r="V18" s="682"/>
      <c r="W18" s="678"/>
    </row>
    <row r="19" spans="1:23" ht="16.5" customHeight="1">
      <c r="A19" s="670">
        <v>14</v>
      </c>
      <c r="B19" s="3387"/>
      <c r="C19" s="3287"/>
      <c r="D19" s="3386" t="s">
        <v>3106</v>
      </c>
      <c r="E19" s="672"/>
      <c r="F19" s="672"/>
      <c r="G19" s="673"/>
      <c r="H19" s="673"/>
      <c r="I19" s="673"/>
      <c r="J19" s="673"/>
      <c r="K19" s="674"/>
      <c r="L19" s="674"/>
      <c r="M19" s="674"/>
      <c r="N19" s="674"/>
      <c r="O19" s="675"/>
      <c r="P19" s="676"/>
      <c r="Q19" s="674"/>
      <c r="R19" s="675"/>
      <c r="S19" s="674"/>
      <c r="T19" s="676"/>
      <c r="U19" s="677"/>
      <c r="V19" s="674"/>
      <c r="W19" s="678"/>
    </row>
    <row r="20" spans="1:23" ht="16.5">
      <c r="A20" s="670">
        <v>15</v>
      </c>
      <c r="B20" s="3387"/>
      <c r="C20" s="3287"/>
      <c r="D20" s="3290"/>
      <c r="E20" s="672"/>
      <c r="F20" s="672"/>
      <c r="G20" s="673"/>
      <c r="H20" s="673"/>
      <c r="I20" s="673"/>
      <c r="J20" s="673"/>
      <c r="K20" s="674"/>
      <c r="L20" s="674"/>
      <c r="M20" s="674"/>
      <c r="N20" s="674"/>
      <c r="O20" s="675"/>
      <c r="P20" s="676"/>
      <c r="Q20" s="674"/>
      <c r="R20" s="675"/>
      <c r="S20" s="674"/>
      <c r="T20" s="676"/>
      <c r="U20" s="677"/>
      <c r="V20" s="674"/>
      <c r="W20" s="678"/>
    </row>
    <row r="21" spans="1:23" ht="16.5">
      <c r="A21" s="670">
        <v>16</v>
      </c>
      <c r="B21" s="3387"/>
      <c r="C21" s="3287"/>
      <c r="D21" s="3290"/>
      <c r="E21" s="672"/>
      <c r="F21" s="672"/>
      <c r="G21" s="673"/>
      <c r="H21" s="673"/>
      <c r="I21" s="673"/>
      <c r="J21" s="673"/>
      <c r="K21" s="674"/>
      <c r="L21" s="674"/>
      <c r="M21" s="674"/>
      <c r="N21" s="674"/>
      <c r="O21" s="675"/>
      <c r="P21" s="676"/>
      <c r="Q21" s="674"/>
      <c r="R21" s="675"/>
      <c r="S21" s="674"/>
      <c r="T21" s="676"/>
      <c r="U21" s="677"/>
      <c r="V21" s="674"/>
      <c r="W21" s="678"/>
    </row>
    <row r="22" spans="1:23" ht="16.5">
      <c r="A22" s="670">
        <v>17</v>
      </c>
      <c r="B22" s="3387"/>
      <c r="C22" s="3287"/>
      <c r="D22" s="3290"/>
      <c r="E22" s="672"/>
      <c r="F22" s="672"/>
      <c r="G22" s="673"/>
      <c r="H22" s="673"/>
      <c r="I22" s="673"/>
      <c r="J22" s="673"/>
      <c r="K22" s="674"/>
      <c r="L22" s="674"/>
      <c r="M22" s="674"/>
      <c r="N22" s="674"/>
      <c r="O22" s="675"/>
      <c r="P22" s="676"/>
      <c r="Q22" s="674"/>
      <c r="R22" s="675"/>
      <c r="S22" s="674"/>
      <c r="T22" s="676"/>
      <c r="U22" s="677"/>
      <c r="V22" s="674"/>
      <c r="W22" s="678"/>
    </row>
    <row r="23" spans="1:23" ht="16.5">
      <c r="A23" s="670">
        <v>18</v>
      </c>
      <c r="B23" s="3387"/>
      <c r="C23" s="3287"/>
      <c r="D23" s="3290"/>
      <c r="E23" s="672"/>
      <c r="F23" s="672"/>
      <c r="G23" s="673"/>
      <c r="H23" s="673"/>
      <c r="I23" s="673"/>
      <c r="J23" s="673"/>
      <c r="K23" s="674"/>
      <c r="L23" s="674"/>
      <c r="M23" s="674"/>
      <c r="N23" s="674"/>
      <c r="O23" s="675"/>
      <c r="P23" s="676"/>
      <c r="Q23" s="674"/>
      <c r="R23" s="675"/>
      <c r="S23" s="674"/>
      <c r="T23" s="676"/>
      <c r="U23" s="677"/>
      <c r="V23" s="674"/>
      <c r="W23" s="678"/>
    </row>
    <row r="24" spans="1:23" ht="16.5">
      <c r="A24" s="670">
        <v>19</v>
      </c>
      <c r="B24" s="3387"/>
      <c r="C24" s="3287"/>
      <c r="D24" s="3290"/>
      <c r="E24" s="672"/>
      <c r="F24" s="672"/>
      <c r="G24" s="673"/>
      <c r="H24" s="673"/>
      <c r="I24" s="673"/>
      <c r="J24" s="673"/>
      <c r="K24" s="674"/>
      <c r="L24" s="674"/>
      <c r="M24" s="674"/>
      <c r="N24" s="674"/>
      <c r="O24" s="675"/>
      <c r="P24" s="676"/>
      <c r="Q24" s="674"/>
      <c r="R24" s="675"/>
      <c r="S24" s="674"/>
      <c r="T24" s="676"/>
      <c r="U24" s="677"/>
      <c r="V24" s="674"/>
      <c r="W24" s="678"/>
    </row>
    <row r="25" spans="1:23" ht="16.5">
      <c r="A25" s="670">
        <v>20</v>
      </c>
      <c r="B25" s="3387"/>
      <c r="C25" s="3287"/>
      <c r="D25" s="3290"/>
      <c r="E25" s="672"/>
      <c r="F25" s="672"/>
      <c r="G25" s="673"/>
      <c r="H25" s="673"/>
      <c r="I25" s="673"/>
      <c r="J25" s="673"/>
      <c r="K25" s="674"/>
      <c r="L25" s="674"/>
      <c r="M25" s="674"/>
      <c r="N25" s="674"/>
      <c r="O25" s="675"/>
      <c r="P25" s="676"/>
      <c r="Q25" s="674"/>
      <c r="R25" s="675"/>
      <c r="S25" s="674"/>
      <c r="T25" s="676"/>
      <c r="U25" s="677"/>
      <c r="V25" s="674"/>
      <c r="W25" s="678"/>
    </row>
    <row r="26" spans="1:23" ht="16.5">
      <c r="A26" s="670">
        <v>21</v>
      </c>
      <c r="B26" s="3387"/>
      <c r="C26" s="3287"/>
      <c r="D26" s="3290"/>
      <c r="E26" s="672"/>
      <c r="F26" s="672"/>
      <c r="G26" s="673"/>
      <c r="H26" s="673"/>
      <c r="I26" s="673"/>
      <c r="J26" s="673"/>
      <c r="K26" s="674"/>
      <c r="L26" s="674"/>
      <c r="M26" s="674"/>
      <c r="N26" s="674"/>
      <c r="O26" s="675"/>
      <c r="P26" s="676"/>
      <c r="Q26" s="674"/>
      <c r="R26" s="675"/>
      <c r="S26" s="674"/>
      <c r="T26" s="676"/>
      <c r="U26" s="677"/>
      <c r="V26" s="674"/>
      <c r="W26" s="678"/>
    </row>
    <row r="27" spans="1:23" ht="16.5">
      <c r="A27" s="670">
        <v>22</v>
      </c>
      <c r="B27" s="3387"/>
      <c r="C27" s="3287"/>
      <c r="D27" s="3290"/>
      <c r="E27" s="672"/>
      <c r="F27" s="672"/>
      <c r="G27" s="673"/>
      <c r="H27" s="673"/>
      <c r="I27" s="673"/>
      <c r="J27" s="673"/>
      <c r="K27" s="674"/>
      <c r="L27" s="674"/>
      <c r="M27" s="674"/>
      <c r="N27" s="674"/>
      <c r="O27" s="675"/>
      <c r="P27" s="676"/>
      <c r="Q27" s="674"/>
      <c r="R27" s="675"/>
      <c r="S27" s="674"/>
      <c r="T27" s="676"/>
      <c r="U27" s="677"/>
      <c r="V27" s="674"/>
      <c r="W27" s="678"/>
    </row>
    <row r="28" spans="1:23" ht="16.5">
      <c r="A28" s="670">
        <v>23</v>
      </c>
      <c r="B28" s="3387"/>
      <c r="C28" s="3287"/>
      <c r="D28" s="3290"/>
      <c r="E28" s="672"/>
      <c r="F28" s="672"/>
      <c r="G28" s="673"/>
      <c r="H28" s="673"/>
      <c r="I28" s="673"/>
      <c r="J28" s="673"/>
      <c r="K28" s="674"/>
      <c r="L28" s="674"/>
      <c r="M28" s="674"/>
      <c r="N28" s="674"/>
      <c r="O28" s="675"/>
      <c r="P28" s="676"/>
      <c r="Q28" s="674"/>
      <c r="R28" s="675"/>
      <c r="S28" s="674"/>
      <c r="T28" s="676"/>
      <c r="U28" s="677"/>
      <c r="V28" s="674"/>
      <c r="W28" s="678"/>
    </row>
    <row r="29" spans="1:23" ht="16.5">
      <c r="A29" s="670">
        <v>24</v>
      </c>
      <c r="B29" s="3387"/>
      <c r="C29" s="3287"/>
      <c r="D29" s="3290"/>
      <c r="E29" s="672"/>
      <c r="F29" s="672"/>
      <c r="G29" s="673"/>
      <c r="H29" s="673"/>
      <c r="I29" s="673"/>
      <c r="J29" s="673"/>
      <c r="K29" s="674"/>
      <c r="L29" s="674"/>
      <c r="M29" s="674"/>
      <c r="N29" s="674"/>
      <c r="O29" s="675"/>
      <c r="P29" s="676"/>
      <c r="Q29" s="674"/>
      <c r="R29" s="675"/>
      <c r="S29" s="674"/>
      <c r="T29" s="676"/>
      <c r="U29" s="677"/>
      <c r="V29" s="674"/>
      <c r="W29" s="678"/>
    </row>
    <row r="30" spans="1:23" ht="16.5">
      <c r="A30" s="670">
        <v>25</v>
      </c>
      <c r="B30" s="3387"/>
      <c r="C30" s="3287"/>
      <c r="D30" s="3291"/>
      <c r="E30" s="672"/>
      <c r="F30" s="672"/>
      <c r="G30" s="673"/>
      <c r="H30" s="673"/>
      <c r="I30" s="673"/>
      <c r="J30" s="673"/>
      <c r="K30" s="674"/>
      <c r="L30" s="674"/>
      <c r="M30" s="674"/>
      <c r="N30" s="674"/>
      <c r="O30" s="675"/>
      <c r="P30" s="676"/>
      <c r="Q30" s="674"/>
      <c r="R30" s="675"/>
      <c r="S30" s="674"/>
      <c r="T30" s="676"/>
      <c r="U30" s="677"/>
      <c r="V30" s="674"/>
      <c r="W30" s="678"/>
    </row>
    <row r="31" spans="1:23" ht="17.25" thickBot="1">
      <c r="A31" s="670">
        <v>26</v>
      </c>
      <c r="B31" s="3387"/>
      <c r="C31" s="3288"/>
      <c r="D31" s="686" t="s">
        <v>3105</v>
      </c>
      <c r="E31" s="687"/>
      <c r="F31" s="687"/>
      <c r="G31" s="687"/>
      <c r="H31" s="687"/>
      <c r="I31" s="687"/>
      <c r="J31" s="687"/>
      <c r="K31" s="687"/>
      <c r="L31" s="687"/>
      <c r="M31" s="687"/>
      <c r="N31" s="688">
        <f>SUM(N19:N30)</f>
        <v>0</v>
      </c>
      <c r="O31" s="688">
        <f>SUM(O19:O30)</f>
        <v>0</v>
      </c>
      <c r="P31" s="688">
        <f>SUM(P19:P30)</f>
        <v>0</v>
      </c>
      <c r="Q31" s="689"/>
      <c r="R31" s="690">
        <f>SUM(R19:R30)</f>
        <v>0</v>
      </c>
      <c r="S31" s="689"/>
      <c r="T31" s="689"/>
      <c r="U31" s="689"/>
      <c r="V31" s="689"/>
      <c r="W31" s="691"/>
    </row>
    <row r="32" spans="1:23" ht="16.5" customHeight="1">
      <c r="A32" s="670">
        <v>27</v>
      </c>
      <c r="B32" s="3387"/>
      <c r="C32" s="3388" t="s">
        <v>3107</v>
      </c>
      <c r="D32" s="3289" t="s">
        <v>3108</v>
      </c>
      <c r="E32" s="663"/>
      <c r="F32" s="663"/>
      <c r="G32" s="664"/>
      <c r="H32" s="664"/>
      <c r="I32" s="664"/>
      <c r="J32" s="664"/>
      <c r="K32" s="665"/>
      <c r="L32" s="665"/>
      <c r="M32" s="665"/>
      <c r="N32" s="665"/>
      <c r="O32" s="666"/>
      <c r="P32" s="667"/>
      <c r="Q32" s="665"/>
      <c r="R32" s="666"/>
      <c r="S32" s="665"/>
      <c r="T32" s="667"/>
      <c r="U32" s="668"/>
      <c r="V32" s="665"/>
      <c r="W32" s="669"/>
    </row>
    <row r="33" spans="1:23" ht="16.5">
      <c r="A33" s="670">
        <v>28</v>
      </c>
      <c r="B33" s="3387"/>
      <c r="C33" s="3384"/>
      <c r="D33" s="3290"/>
      <c r="E33" s="672"/>
      <c r="F33" s="672"/>
      <c r="G33" s="673"/>
      <c r="H33" s="673"/>
      <c r="I33" s="673"/>
      <c r="J33" s="673"/>
      <c r="K33" s="674"/>
      <c r="L33" s="674"/>
      <c r="M33" s="674"/>
      <c r="N33" s="674"/>
      <c r="O33" s="675"/>
      <c r="P33" s="676"/>
      <c r="Q33" s="674"/>
      <c r="R33" s="675"/>
      <c r="S33" s="674"/>
      <c r="T33" s="676"/>
      <c r="U33" s="677"/>
      <c r="V33" s="674"/>
      <c r="W33" s="678"/>
    </row>
    <row r="34" spans="1:23" ht="16.5">
      <c r="A34" s="670">
        <v>29</v>
      </c>
      <c r="B34" s="3387"/>
      <c r="C34" s="3384"/>
      <c r="D34" s="3290"/>
      <c r="E34" s="672"/>
      <c r="F34" s="672"/>
      <c r="G34" s="673"/>
      <c r="H34" s="673"/>
      <c r="I34" s="673"/>
      <c r="J34" s="673"/>
      <c r="K34" s="674"/>
      <c r="L34" s="674"/>
      <c r="M34" s="674"/>
      <c r="N34" s="674"/>
      <c r="O34" s="675"/>
      <c r="P34" s="676"/>
      <c r="Q34" s="674"/>
      <c r="R34" s="675"/>
      <c r="S34" s="674"/>
      <c r="T34" s="676"/>
      <c r="U34" s="677"/>
      <c r="V34" s="674"/>
      <c r="W34" s="678"/>
    </row>
    <row r="35" spans="1:23" ht="16.5">
      <c r="A35" s="670">
        <v>30</v>
      </c>
      <c r="B35" s="3387"/>
      <c r="C35" s="3384"/>
      <c r="D35" s="3290"/>
      <c r="E35" s="672"/>
      <c r="F35" s="672"/>
      <c r="G35" s="673"/>
      <c r="H35" s="673"/>
      <c r="I35" s="673"/>
      <c r="J35" s="673"/>
      <c r="K35" s="674"/>
      <c r="L35" s="674"/>
      <c r="M35" s="674"/>
      <c r="N35" s="674"/>
      <c r="O35" s="675"/>
      <c r="P35" s="676"/>
      <c r="Q35" s="674"/>
      <c r="R35" s="675"/>
      <c r="S35" s="674"/>
      <c r="T35" s="676"/>
      <c r="U35" s="677"/>
      <c r="V35" s="674"/>
      <c r="W35" s="678"/>
    </row>
    <row r="36" spans="1:23" ht="16.5">
      <c r="A36" s="670">
        <v>31</v>
      </c>
      <c r="B36" s="3387"/>
      <c r="C36" s="3384"/>
      <c r="D36" s="3290"/>
      <c r="E36" s="672"/>
      <c r="F36" s="672"/>
      <c r="G36" s="673"/>
      <c r="H36" s="673"/>
      <c r="I36" s="673"/>
      <c r="J36" s="673"/>
      <c r="K36" s="674"/>
      <c r="L36" s="674"/>
      <c r="M36" s="674"/>
      <c r="N36" s="674"/>
      <c r="O36" s="675"/>
      <c r="P36" s="676"/>
      <c r="Q36" s="674"/>
      <c r="R36" s="675"/>
      <c r="S36" s="674"/>
      <c r="T36" s="676"/>
      <c r="U36" s="677"/>
      <c r="V36" s="674"/>
      <c r="W36" s="678"/>
    </row>
    <row r="37" spans="1:23" ht="16.5">
      <c r="A37" s="670">
        <v>32</v>
      </c>
      <c r="B37" s="3387"/>
      <c r="C37" s="3384"/>
      <c r="D37" s="3290"/>
      <c r="E37" s="672"/>
      <c r="F37" s="672"/>
      <c r="G37" s="673"/>
      <c r="H37" s="673"/>
      <c r="I37" s="673"/>
      <c r="J37" s="673"/>
      <c r="K37" s="674"/>
      <c r="L37" s="674"/>
      <c r="M37" s="674"/>
      <c r="N37" s="674"/>
      <c r="O37" s="675"/>
      <c r="P37" s="676"/>
      <c r="Q37" s="674"/>
      <c r="R37" s="675"/>
      <c r="S37" s="674"/>
      <c r="T37" s="676"/>
      <c r="U37" s="677"/>
      <c r="V37" s="674"/>
      <c r="W37" s="678"/>
    </row>
    <row r="38" spans="1:23" ht="16.5">
      <c r="A38" s="670">
        <v>33</v>
      </c>
      <c r="B38" s="3387"/>
      <c r="C38" s="3384"/>
      <c r="D38" s="3290"/>
      <c r="E38" s="672"/>
      <c r="F38" s="672"/>
      <c r="G38" s="673"/>
      <c r="H38" s="673"/>
      <c r="I38" s="673"/>
      <c r="J38" s="673"/>
      <c r="K38" s="674"/>
      <c r="L38" s="674"/>
      <c r="M38" s="674"/>
      <c r="N38" s="674"/>
      <c r="O38" s="675"/>
      <c r="P38" s="676"/>
      <c r="Q38" s="674"/>
      <c r="R38" s="675"/>
      <c r="S38" s="674"/>
      <c r="T38" s="676"/>
      <c r="U38" s="677"/>
      <c r="V38" s="674"/>
      <c r="W38" s="678"/>
    </row>
    <row r="39" spans="1:23" ht="16.5">
      <c r="A39" s="670">
        <v>34</v>
      </c>
      <c r="B39" s="3387"/>
      <c r="C39" s="3384"/>
      <c r="D39" s="3290"/>
      <c r="E39" s="672"/>
      <c r="F39" s="672"/>
      <c r="G39" s="673"/>
      <c r="H39" s="673"/>
      <c r="I39" s="673"/>
      <c r="J39" s="673"/>
      <c r="K39" s="674"/>
      <c r="L39" s="674"/>
      <c r="M39" s="674"/>
      <c r="N39" s="674"/>
      <c r="O39" s="675"/>
      <c r="P39" s="676"/>
      <c r="Q39" s="674"/>
      <c r="R39" s="675"/>
      <c r="S39" s="674"/>
      <c r="T39" s="676"/>
      <c r="U39" s="677"/>
      <c r="V39" s="674"/>
      <c r="W39" s="678"/>
    </row>
    <row r="40" spans="1:23" ht="16.5">
      <c r="A40" s="670">
        <v>35</v>
      </c>
      <c r="B40" s="3387"/>
      <c r="C40" s="3384"/>
      <c r="D40" s="3290"/>
      <c r="E40" s="672"/>
      <c r="F40" s="672"/>
      <c r="G40" s="673"/>
      <c r="H40" s="673"/>
      <c r="I40" s="673"/>
      <c r="J40" s="673"/>
      <c r="K40" s="674"/>
      <c r="L40" s="674"/>
      <c r="M40" s="674"/>
      <c r="N40" s="674"/>
      <c r="O40" s="675"/>
      <c r="P40" s="676"/>
      <c r="Q40" s="674"/>
      <c r="R40" s="675"/>
      <c r="S40" s="674"/>
      <c r="T40" s="676"/>
      <c r="U40" s="677"/>
      <c r="V40" s="674"/>
      <c r="W40" s="678"/>
    </row>
    <row r="41" spans="1:23" ht="16.5">
      <c r="A41" s="670">
        <v>36</v>
      </c>
      <c r="B41" s="3387"/>
      <c r="C41" s="3384"/>
      <c r="D41" s="3291"/>
      <c r="E41" s="672"/>
      <c r="F41" s="672"/>
      <c r="G41" s="673"/>
      <c r="H41" s="673"/>
      <c r="I41" s="673"/>
      <c r="J41" s="673"/>
      <c r="K41" s="674"/>
      <c r="L41" s="674"/>
      <c r="M41" s="674"/>
      <c r="N41" s="674"/>
      <c r="O41" s="675"/>
      <c r="P41" s="676"/>
      <c r="Q41" s="674"/>
      <c r="R41" s="675"/>
      <c r="S41" s="674"/>
      <c r="T41" s="676"/>
      <c r="U41" s="677"/>
      <c r="V41" s="674"/>
      <c r="W41" s="678"/>
    </row>
    <row r="42" spans="1:23" ht="16.5">
      <c r="A42" s="670">
        <v>37</v>
      </c>
      <c r="B42" s="3387"/>
      <c r="C42" s="3384"/>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4"/>
      <c r="V42" s="682"/>
      <c r="W42" s="678"/>
    </row>
    <row r="43" spans="1:23" ht="16.5" customHeight="1">
      <c r="A43" s="670">
        <v>38</v>
      </c>
      <c r="B43" s="3387"/>
      <c r="C43" s="3384"/>
      <c r="D43" s="3308" t="s">
        <v>3109</v>
      </c>
      <c r="E43" s="672"/>
      <c r="F43" s="672"/>
      <c r="G43" s="673"/>
      <c r="H43" s="673"/>
      <c r="I43" s="673"/>
      <c r="J43" s="673"/>
      <c r="K43" s="674"/>
      <c r="L43" s="674"/>
      <c r="M43" s="674"/>
      <c r="N43" s="674"/>
      <c r="O43" s="675"/>
      <c r="P43" s="676"/>
      <c r="Q43" s="674"/>
      <c r="R43" s="675"/>
      <c r="S43" s="674"/>
      <c r="T43" s="676"/>
      <c r="U43" s="677"/>
      <c r="V43" s="674"/>
      <c r="W43" s="678"/>
    </row>
    <row r="44" spans="1:23" ht="16.5">
      <c r="A44" s="670">
        <v>39</v>
      </c>
      <c r="B44" s="3387"/>
      <c r="C44" s="3384"/>
      <c r="D44" s="3290"/>
      <c r="E44" s="672"/>
      <c r="F44" s="672"/>
      <c r="G44" s="673"/>
      <c r="H44" s="673"/>
      <c r="I44" s="673"/>
      <c r="J44" s="673"/>
      <c r="K44" s="674"/>
      <c r="L44" s="674"/>
      <c r="M44" s="674"/>
      <c r="N44" s="674"/>
      <c r="O44" s="675"/>
      <c r="P44" s="676"/>
      <c r="Q44" s="674"/>
      <c r="R44" s="675"/>
      <c r="S44" s="674"/>
      <c r="T44" s="676"/>
      <c r="U44" s="677"/>
      <c r="V44" s="674"/>
      <c r="W44" s="678"/>
    </row>
    <row r="45" spans="1:23" ht="16.5">
      <c r="A45" s="670">
        <v>40</v>
      </c>
      <c r="B45" s="3387"/>
      <c r="C45" s="3384"/>
      <c r="D45" s="3290"/>
      <c r="E45" s="672"/>
      <c r="F45" s="672"/>
      <c r="G45" s="673"/>
      <c r="H45" s="673"/>
      <c r="I45" s="673"/>
      <c r="J45" s="673"/>
      <c r="K45" s="674"/>
      <c r="L45" s="674"/>
      <c r="M45" s="674"/>
      <c r="N45" s="674"/>
      <c r="O45" s="675"/>
      <c r="P45" s="676"/>
      <c r="Q45" s="674"/>
      <c r="R45" s="675"/>
      <c r="S45" s="674"/>
      <c r="T45" s="676"/>
      <c r="U45" s="677"/>
      <c r="V45" s="674"/>
      <c r="W45" s="678"/>
    </row>
    <row r="46" spans="1:23" ht="16.5">
      <c r="A46" s="670">
        <v>41</v>
      </c>
      <c r="B46" s="3387"/>
      <c r="C46" s="3384"/>
      <c r="D46" s="3290"/>
      <c r="E46" s="672"/>
      <c r="F46" s="672"/>
      <c r="G46" s="673"/>
      <c r="H46" s="673"/>
      <c r="I46" s="673"/>
      <c r="J46" s="673"/>
      <c r="K46" s="674"/>
      <c r="L46" s="674"/>
      <c r="M46" s="674"/>
      <c r="N46" s="674"/>
      <c r="O46" s="675"/>
      <c r="P46" s="676"/>
      <c r="Q46" s="674"/>
      <c r="R46" s="675"/>
      <c r="S46" s="674"/>
      <c r="T46" s="676"/>
      <c r="U46" s="677"/>
      <c r="V46" s="674"/>
      <c r="W46" s="678"/>
    </row>
    <row r="47" spans="1:23" ht="16.5">
      <c r="A47" s="670">
        <v>42</v>
      </c>
      <c r="B47" s="3387"/>
      <c r="C47" s="3384"/>
      <c r="D47" s="3290"/>
      <c r="E47" s="672"/>
      <c r="F47" s="672"/>
      <c r="G47" s="673"/>
      <c r="H47" s="673"/>
      <c r="I47" s="673"/>
      <c r="J47" s="673"/>
      <c r="K47" s="674"/>
      <c r="L47" s="674"/>
      <c r="M47" s="674"/>
      <c r="N47" s="674"/>
      <c r="O47" s="675"/>
      <c r="P47" s="676"/>
      <c r="Q47" s="674"/>
      <c r="R47" s="675"/>
      <c r="S47" s="674"/>
      <c r="T47" s="676"/>
      <c r="U47" s="677"/>
      <c r="V47" s="674"/>
      <c r="W47" s="678"/>
    </row>
    <row r="48" spans="1:23" ht="16.5">
      <c r="A48" s="670">
        <v>43</v>
      </c>
      <c r="B48" s="3387"/>
      <c r="C48" s="3384"/>
      <c r="D48" s="3290"/>
      <c r="E48" s="672"/>
      <c r="F48" s="672"/>
      <c r="G48" s="673"/>
      <c r="H48" s="673"/>
      <c r="I48" s="673"/>
      <c r="J48" s="673"/>
      <c r="K48" s="674"/>
      <c r="L48" s="674"/>
      <c r="M48" s="674"/>
      <c r="N48" s="674"/>
      <c r="O48" s="675"/>
      <c r="P48" s="676"/>
      <c r="Q48" s="674"/>
      <c r="R48" s="675"/>
      <c r="S48" s="674"/>
      <c r="T48" s="676"/>
      <c r="U48" s="677"/>
      <c r="V48" s="674"/>
      <c r="W48" s="678"/>
    </row>
    <row r="49" spans="1:23" ht="16.5">
      <c r="A49" s="670">
        <v>44</v>
      </c>
      <c r="B49" s="3387"/>
      <c r="C49" s="3384"/>
      <c r="D49" s="3290"/>
      <c r="E49" s="672"/>
      <c r="F49" s="672"/>
      <c r="G49" s="673"/>
      <c r="H49" s="673"/>
      <c r="I49" s="673"/>
      <c r="J49" s="673"/>
      <c r="K49" s="674"/>
      <c r="L49" s="674"/>
      <c r="M49" s="674"/>
      <c r="N49" s="674"/>
      <c r="O49" s="675"/>
      <c r="P49" s="676"/>
      <c r="Q49" s="674"/>
      <c r="R49" s="675"/>
      <c r="S49" s="674"/>
      <c r="T49" s="676"/>
      <c r="U49" s="677"/>
      <c r="V49" s="674"/>
      <c r="W49" s="678"/>
    </row>
    <row r="50" spans="1:23" ht="16.5">
      <c r="A50" s="670">
        <v>45</v>
      </c>
      <c r="B50" s="3387"/>
      <c r="C50" s="3384"/>
      <c r="D50" s="3290"/>
      <c r="E50" s="672"/>
      <c r="F50" s="672"/>
      <c r="G50" s="673"/>
      <c r="H50" s="673"/>
      <c r="I50" s="673"/>
      <c r="J50" s="673"/>
      <c r="K50" s="674"/>
      <c r="L50" s="674"/>
      <c r="M50" s="674"/>
      <c r="N50" s="674"/>
      <c r="O50" s="675"/>
      <c r="P50" s="676"/>
      <c r="Q50" s="674"/>
      <c r="R50" s="675"/>
      <c r="S50" s="674"/>
      <c r="T50" s="676"/>
      <c r="U50" s="677"/>
      <c r="V50" s="674"/>
      <c r="W50" s="678"/>
    </row>
    <row r="51" spans="1:23" ht="16.5">
      <c r="A51" s="670">
        <v>46</v>
      </c>
      <c r="B51" s="3387"/>
      <c r="C51" s="3384"/>
      <c r="D51" s="3290"/>
      <c r="E51" s="672"/>
      <c r="F51" s="672"/>
      <c r="G51" s="673"/>
      <c r="H51" s="673"/>
      <c r="I51" s="673"/>
      <c r="J51" s="673"/>
      <c r="K51" s="674"/>
      <c r="L51" s="674"/>
      <c r="M51" s="674"/>
      <c r="N51" s="674"/>
      <c r="O51" s="675"/>
      <c r="P51" s="676"/>
      <c r="Q51" s="674"/>
      <c r="R51" s="675"/>
      <c r="S51" s="674"/>
      <c r="T51" s="676"/>
      <c r="U51" s="677"/>
      <c r="V51" s="674"/>
      <c r="W51" s="678"/>
    </row>
    <row r="52" spans="1:23" ht="16.5">
      <c r="A52" s="670">
        <v>47</v>
      </c>
      <c r="B52" s="3387"/>
      <c r="C52" s="3384"/>
      <c r="D52" s="3290"/>
      <c r="E52" s="672"/>
      <c r="F52" s="672"/>
      <c r="G52" s="673"/>
      <c r="H52" s="673"/>
      <c r="I52" s="673"/>
      <c r="J52" s="673"/>
      <c r="K52" s="674"/>
      <c r="L52" s="674"/>
      <c r="M52" s="674"/>
      <c r="N52" s="674"/>
      <c r="O52" s="675"/>
      <c r="P52" s="676"/>
      <c r="Q52" s="674"/>
      <c r="R52" s="675"/>
      <c r="S52" s="674"/>
      <c r="T52" s="676"/>
      <c r="U52" s="677"/>
      <c r="V52" s="674"/>
      <c r="W52" s="678"/>
    </row>
    <row r="53" spans="1:23" ht="17.25" thickBot="1">
      <c r="A53" s="670">
        <v>48</v>
      </c>
      <c r="B53" s="3387"/>
      <c r="C53" s="3385"/>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91"/>
    </row>
    <row r="54" spans="1:23" ht="16.5">
      <c r="A54" s="670">
        <v>49</v>
      </c>
      <c r="B54" s="3387"/>
      <c r="C54" s="3382" t="s">
        <v>3110</v>
      </c>
      <c r="D54" s="3315" t="s">
        <v>3111</v>
      </c>
      <c r="E54" s="663"/>
      <c r="F54" s="663"/>
      <c r="G54" s="664"/>
      <c r="H54" s="664"/>
      <c r="I54" s="664"/>
      <c r="J54" s="664"/>
      <c r="K54" s="665"/>
      <c r="L54" s="665"/>
      <c r="M54" s="665"/>
      <c r="N54" s="665"/>
      <c r="O54" s="666"/>
      <c r="P54" s="667"/>
      <c r="Q54" s="665"/>
      <c r="R54" s="666"/>
      <c r="S54" s="665"/>
      <c r="T54" s="667"/>
      <c r="U54" s="668"/>
      <c r="V54" s="665"/>
      <c r="W54" s="669"/>
    </row>
    <row r="55" spans="1:23" ht="16.5">
      <c r="A55" s="670">
        <v>50</v>
      </c>
      <c r="B55" s="3387"/>
      <c r="C55" s="3335"/>
      <c r="D55" s="3371"/>
      <c r="E55" s="672"/>
      <c r="F55" s="672"/>
      <c r="G55" s="673"/>
      <c r="H55" s="673"/>
      <c r="I55" s="673"/>
      <c r="J55" s="673"/>
      <c r="K55" s="674"/>
      <c r="L55" s="674"/>
      <c r="M55" s="674"/>
      <c r="N55" s="674"/>
      <c r="O55" s="675"/>
      <c r="P55" s="676"/>
      <c r="Q55" s="674"/>
      <c r="R55" s="675"/>
      <c r="S55" s="674"/>
      <c r="T55" s="676"/>
      <c r="U55" s="677"/>
      <c r="V55" s="674"/>
      <c r="W55" s="678"/>
    </row>
    <row r="56" spans="1:23" ht="16.5">
      <c r="A56" s="670">
        <v>51</v>
      </c>
      <c r="B56" s="3387"/>
      <c r="C56" s="3335"/>
      <c r="D56" s="3371"/>
      <c r="E56" s="672"/>
      <c r="F56" s="672"/>
      <c r="G56" s="673"/>
      <c r="H56" s="673"/>
      <c r="I56" s="673"/>
      <c r="J56" s="673"/>
      <c r="K56" s="674"/>
      <c r="L56" s="674"/>
      <c r="M56" s="674"/>
      <c r="N56" s="674"/>
      <c r="O56" s="675"/>
      <c r="P56" s="676"/>
      <c r="Q56" s="674"/>
      <c r="R56" s="675"/>
      <c r="S56" s="674"/>
      <c r="T56" s="676"/>
      <c r="U56" s="677"/>
      <c r="V56" s="674"/>
      <c r="W56" s="678"/>
    </row>
    <row r="57" spans="1:23" ht="16.5">
      <c r="A57" s="670">
        <v>52</v>
      </c>
      <c r="B57" s="3387"/>
      <c r="C57" s="3335"/>
      <c r="D57" s="3371"/>
      <c r="E57" s="672"/>
      <c r="F57" s="672"/>
      <c r="G57" s="673"/>
      <c r="H57" s="673"/>
      <c r="I57" s="673"/>
      <c r="J57" s="673"/>
      <c r="K57" s="674"/>
      <c r="L57" s="674"/>
      <c r="M57" s="674"/>
      <c r="N57" s="674"/>
      <c r="O57" s="675"/>
      <c r="P57" s="676"/>
      <c r="Q57" s="674"/>
      <c r="R57" s="675"/>
      <c r="S57" s="674"/>
      <c r="T57" s="676"/>
      <c r="U57" s="677"/>
      <c r="V57" s="674"/>
      <c r="W57" s="678"/>
    </row>
    <row r="58" spans="1:23" ht="16.5">
      <c r="A58" s="670">
        <v>53</v>
      </c>
      <c r="B58" s="3387"/>
      <c r="C58" s="3335"/>
      <c r="D58" s="3371"/>
      <c r="E58" s="672"/>
      <c r="F58" s="672"/>
      <c r="G58" s="673"/>
      <c r="H58" s="673"/>
      <c r="I58" s="673"/>
      <c r="J58" s="673"/>
      <c r="K58" s="674"/>
      <c r="L58" s="674"/>
      <c r="M58" s="674"/>
      <c r="N58" s="674"/>
      <c r="O58" s="675"/>
      <c r="P58" s="676"/>
      <c r="Q58" s="674"/>
      <c r="R58" s="675"/>
      <c r="S58" s="674"/>
      <c r="T58" s="676"/>
      <c r="U58" s="677"/>
      <c r="V58" s="674"/>
      <c r="W58" s="678"/>
    </row>
    <row r="59" spans="1:23" ht="16.5">
      <c r="A59" s="670">
        <v>54</v>
      </c>
      <c r="B59" s="3387"/>
      <c r="C59" s="3335"/>
      <c r="D59" s="3371"/>
      <c r="E59" s="672"/>
      <c r="F59" s="672"/>
      <c r="G59" s="673"/>
      <c r="H59" s="673"/>
      <c r="I59" s="673"/>
      <c r="J59" s="673"/>
      <c r="K59" s="674"/>
      <c r="L59" s="674"/>
      <c r="M59" s="674"/>
      <c r="N59" s="674"/>
      <c r="O59" s="675"/>
      <c r="P59" s="676"/>
      <c r="Q59" s="674"/>
      <c r="R59" s="675"/>
      <c r="S59" s="674"/>
      <c r="T59" s="676"/>
      <c r="U59" s="677"/>
      <c r="V59" s="674"/>
      <c r="W59" s="678"/>
    </row>
    <row r="60" spans="1:23" ht="16.5">
      <c r="A60" s="670">
        <v>55</v>
      </c>
      <c r="B60" s="3387"/>
      <c r="C60" s="3335"/>
      <c r="D60" s="3371"/>
      <c r="E60" s="672"/>
      <c r="F60" s="672"/>
      <c r="G60" s="673"/>
      <c r="H60" s="673"/>
      <c r="I60" s="673"/>
      <c r="J60" s="673"/>
      <c r="K60" s="674"/>
      <c r="L60" s="674"/>
      <c r="M60" s="674"/>
      <c r="N60" s="674"/>
      <c r="O60" s="675"/>
      <c r="P60" s="676"/>
      <c r="Q60" s="674"/>
      <c r="R60" s="675"/>
      <c r="S60" s="674"/>
      <c r="T60" s="676"/>
      <c r="U60" s="677"/>
      <c r="V60" s="674"/>
      <c r="W60" s="678"/>
    </row>
    <row r="61" spans="1:23" ht="16.5">
      <c r="A61" s="670">
        <v>56</v>
      </c>
      <c r="B61" s="3387"/>
      <c r="C61" s="3335"/>
      <c r="D61" s="3371"/>
      <c r="E61" s="672"/>
      <c r="F61" s="672"/>
      <c r="G61" s="673"/>
      <c r="H61" s="673"/>
      <c r="I61" s="673"/>
      <c r="J61" s="673"/>
      <c r="K61" s="674"/>
      <c r="L61" s="674"/>
      <c r="M61" s="674"/>
      <c r="N61" s="674"/>
      <c r="O61" s="675"/>
      <c r="P61" s="676"/>
      <c r="Q61" s="674"/>
      <c r="R61" s="675"/>
      <c r="S61" s="674"/>
      <c r="T61" s="676"/>
      <c r="U61" s="677"/>
      <c r="V61" s="674"/>
      <c r="W61" s="678"/>
    </row>
    <row r="62" spans="1:23" ht="16.5">
      <c r="A62" s="670">
        <v>57</v>
      </c>
      <c r="B62" s="3387"/>
      <c r="C62" s="3335"/>
      <c r="D62" s="3371"/>
      <c r="E62" s="672"/>
      <c r="F62" s="672"/>
      <c r="G62" s="673"/>
      <c r="H62" s="673"/>
      <c r="I62" s="673"/>
      <c r="J62" s="673"/>
      <c r="K62" s="674"/>
      <c r="L62" s="674"/>
      <c r="M62" s="674"/>
      <c r="N62" s="674"/>
      <c r="O62" s="675"/>
      <c r="P62" s="676"/>
      <c r="Q62" s="674"/>
      <c r="R62" s="675"/>
      <c r="S62" s="674"/>
      <c r="T62" s="676"/>
      <c r="U62" s="677"/>
      <c r="V62" s="674"/>
      <c r="W62" s="678"/>
    </row>
    <row r="63" spans="1:23" ht="16.5">
      <c r="A63" s="670">
        <v>58</v>
      </c>
      <c r="B63" s="3387"/>
      <c r="C63" s="3335"/>
      <c r="D63" s="3314"/>
      <c r="E63" s="672"/>
      <c r="F63" s="672"/>
      <c r="G63" s="673"/>
      <c r="H63" s="673"/>
      <c r="I63" s="673"/>
      <c r="J63" s="673"/>
      <c r="K63" s="674"/>
      <c r="L63" s="674"/>
      <c r="M63" s="674"/>
      <c r="N63" s="674"/>
      <c r="O63" s="675"/>
      <c r="P63" s="676"/>
      <c r="Q63" s="674"/>
      <c r="R63" s="675"/>
      <c r="S63" s="674"/>
      <c r="T63" s="676"/>
      <c r="U63" s="677"/>
      <c r="V63" s="674"/>
      <c r="W63" s="678"/>
    </row>
    <row r="64" spans="1:23" ht="16.5">
      <c r="A64" s="670">
        <v>59</v>
      </c>
      <c r="B64" s="3387"/>
      <c r="C64" s="3335"/>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2"/>
      <c r="V64" s="682"/>
      <c r="W64" s="678"/>
    </row>
    <row r="65" spans="1:23" ht="16.5" customHeight="1">
      <c r="A65" s="670">
        <v>60</v>
      </c>
      <c r="B65" s="3387"/>
      <c r="C65" s="3335"/>
      <c r="D65" s="3389" t="s">
        <v>3112</v>
      </c>
      <c r="E65" s="672"/>
      <c r="F65" s="672"/>
      <c r="G65" s="673"/>
      <c r="H65" s="673"/>
      <c r="I65" s="673"/>
      <c r="J65" s="673"/>
      <c r="K65" s="674"/>
      <c r="L65" s="674"/>
      <c r="M65" s="674"/>
      <c r="N65" s="674"/>
      <c r="O65" s="675"/>
      <c r="P65" s="676"/>
      <c r="Q65" s="674"/>
      <c r="R65" s="675"/>
      <c r="S65" s="674"/>
      <c r="T65" s="676"/>
      <c r="U65" s="677"/>
      <c r="V65" s="674"/>
      <c r="W65" s="678"/>
    </row>
    <row r="66" spans="1:23" ht="16.5">
      <c r="A66" s="670">
        <v>61</v>
      </c>
      <c r="B66" s="3387"/>
      <c r="C66" s="3339"/>
      <c r="D66" s="3371"/>
      <c r="E66" s="672"/>
      <c r="F66" s="672"/>
      <c r="G66" s="673"/>
      <c r="H66" s="673"/>
      <c r="I66" s="673"/>
      <c r="J66" s="673"/>
      <c r="K66" s="674"/>
      <c r="L66" s="674"/>
      <c r="M66" s="674"/>
      <c r="N66" s="674"/>
      <c r="O66" s="675"/>
      <c r="P66" s="676"/>
      <c r="Q66" s="676"/>
      <c r="R66" s="675"/>
      <c r="S66" s="674"/>
      <c r="T66" s="693"/>
      <c r="U66" s="677"/>
      <c r="V66" s="674"/>
      <c r="W66" s="678"/>
    </row>
    <row r="67" spans="1:23" ht="16.5">
      <c r="A67" s="670">
        <v>62</v>
      </c>
      <c r="B67" s="3387"/>
      <c r="C67" s="3339"/>
      <c r="D67" s="3371"/>
      <c r="E67" s="672"/>
      <c r="F67" s="672"/>
      <c r="G67" s="673"/>
      <c r="H67" s="673"/>
      <c r="I67" s="673"/>
      <c r="J67" s="673"/>
      <c r="K67" s="674"/>
      <c r="L67" s="674"/>
      <c r="M67" s="674"/>
      <c r="N67" s="674"/>
      <c r="O67" s="675"/>
      <c r="P67" s="676"/>
      <c r="Q67" s="676"/>
      <c r="R67" s="675"/>
      <c r="S67" s="674"/>
      <c r="T67" s="693"/>
      <c r="U67" s="677"/>
      <c r="V67" s="674"/>
      <c r="W67" s="678"/>
    </row>
    <row r="68" spans="1:23" ht="16.5">
      <c r="A68" s="670">
        <v>63</v>
      </c>
      <c r="B68" s="3387"/>
      <c r="C68" s="3339"/>
      <c r="D68" s="3371"/>
      <c r="E68" s="672"/>
      <c r="F68" s="672"/>
      <c r="G68" s="673"/>
      <c r="H68" s="673"/>
      <c r="I68" s="673"/>
      <c r="J68" s="673"/>
      <c r="K68" s="674"/>
      <c r="L68" s="674"/>
      <c r="M68" s="674"/>
      <c r="N68" s="674"/>
      <c r="O68" s="675"/>
      <c r="P68" s="676"/>
      <c r="Q68" s="676"/>
      <c r="R68" s="675"/>
      <c r="S68" s="674"/>
      <c r="T68" s="693"/>
      <c r="U68" s="677"/>
      <c r="V68" s="674"/>
      <c r="W68" s="678"/>
    </row>
    <row r="69" spans="1:23" ht="16.5">
      <c r="A69" s="670">
        <v>64</v>
      </c>
      <c r="B69" s="3387"/>
      <c r="C69" s="3339"/>
      <c r="D69" s="3371"/>
      <c r="E69" s="672"/>
      <c r="F69" s="672"/>
      <c r="G69" s="673"/>
      <c r="H69" s="673"/>
      <c r="I69" s="673"/>
      <c r="J69" s="673"/>
      <c r="K69" s="674"/>
      <c r="L69" s="674"/>
      <c r="M69" s="674"/>
      <c r="N69" s="674"/>
      <c r="O69" s="675"/>
      <c r="P69" s="676"/>
      <c r="Q69" s="676"/>
      <c r="R69" s="675"/>
      <c r="S69" s="674"/>
      <c r="T69" s="693"/>
      <c r="U69" s="677"/>
      <c r="V69" s="674"/>
      <c r="W69" s="678"/>
    </row>
    <row r="70" spans="1:23" ht="16.5">
      <c r="A70" s="670">
        <v>65</v>
      </c>
      <c r="B70" s="3387"/>
      <c r="C70" s="3339"/>
      <c r="D70" s="3371"/>
      <c r="E70" s="672"/>
      <c r="F70" s="672"/>
      <c r="G70" s="673"/>
      <c r="H70" s="673"/>
      <c r="I70" s="673"/>
      <c r="J70" s="673"/>
      <c r="K70" s="674"/>
      <c r="L70" s="674"/>
      <c r="M70" s="674"/>
      <c r="N70" s="674"/>
      <c r="O70" s="675"/>
      <c r="P70" s="676"/>
      <c r="Q70" s="676"/>
      <c r="R70" s="675"/>
      <c r="S70" s="674"/>
      <c r="T70" s="693"/>
      <c r="U70" s="677"/>
      <c r="V70" s="674"/>
      <c r="W70" s="678"/>
    </row>
    <row r="71" spans="1:23" ht="16.5">
      <c r="A71" s="670">
        <v>66</v>
      </c>
      <c r="B71" s="3387"/>
      <c r="C71" s="3339"/>
      <c r="D71" s="3371"/>
      <c r="E71" s="672"/>
      <c r="F71" s="672"/>
      <c r="G71" s="673"/>
      <c r="H71" s="673"/>
      <c r="I71" s="673"/>
      <c r="J71" s="673"/>
      <c r="K71" s="674"/>
      <c r="L71" s="674"/>
      <c r="M71" s="674"/>
      <c r="N71" s="674"/>
      <c r="O71" s="675"/>
      <c r="P71" s="676"/>
      <c r="Q71" s="676"/>
      <c r="R71" s="675"/>
      <c r="S71" s="674"/>
      <c r="T71" s="693"/>
      <c r="U71" s="677"/>
      <c r="V71" s="674"/>
      <c r="W71" s="678"/>
    </row>
    <row r="72" spans="1:23" ht="16.5">
      <c r="A72" s="670">
        <v>67</v>
      </c>
      <c r="B72" s="3387"/>
      <c r="C72" s="3339"/>
      <c r="D72" s="3371"/>
      <c r="E72" s="672"/>
      <c r="F72" s="672"/>
      <c r="G72" s="673"/>
      <c r="H72" s="673"/>
      <c r="I72" s="673"/>
      <c r="J72" s="673"/>
      <c r="K72" s="674"/>
      <c r="L72" s="674"/>
      <c r="M72" s="674"/>
      <c r="N72" s="674"/>
      <c r="O72" s="675"/>
      <c r="P72" s="676"/>
      <c r="Q72" s="676"/>
      <c r="R72" s="675"/>
      <c r="S72" s="674"/>
      <c r="T72" s="693"/>
      <c r="U72" s="677"/>
      <c r="V72" s="674"/>
      <c r="W72" s="678"/>
    </row>
    <row r="73" spans="1:23" ht="16.5">
      <c r="A73" s="670">
        <v>68</v>
      </c>
      <c r="B73" s="3387"/>
      <c r="C73" s="3339"/>
      <c r="D73" s="3371"/>
      <c r="E73" s="672"/>
      <c r="F73" s="672"/>
      <c r="G73" s="673"/>
      <c r="H73" s="673"/>
      <c r="I73" s="673"/>
      <c r="J73" s="673"/>
      <c r="K73" s="674"/>
      <c r="L73" s="674"/>
      <c r="M73" s="674"/>
      <c r="N73" s="674"/>
      <c r="O73" s="675"/>
      <c r="P73" s="676"/>
      <c r="Q73" s="676"/>
      <c r="R73" s="675"/>
      <c r="S73" s="674"/>
      <c r="T73" s="693"/>
      <c r="U73" s="677"/>
      <c r="V73" s="674"/>
      <c r="W73" s="678"/>
    </row>
    <row r="74" spans="1:23" ht="16.5">
      <c r="A74" s="670">
        <v>69</v>
      </c>
      <c r="B74" s="3387"/>
      <c r="C74" s="3339"/>
      <c r="D74" s="3371"/>
      <c r="E74" s="672"/>
      <c r="F74" s="672"/>
      <c r="G74" s="673"/>
      <c r="H74" s="673"/>
      <c r="I74" s="673"/>
      <c r="J74" s="673"/>
      <c r="K74" s="674"/>
      <c r="L74" s="674"/>
      <c r="M74" s="674"/>
      <c r="N74" s="674"/>
      <c r="O74" s="675"/>
      <c r="P74" s="676"/>
      <c r="Q74" s="676"/>
      <c r="R74" s="675"/>
      <c r="S74" s="674"/>
      <c r="T74" s="693"/>
      <c r="U74" s="677"/>
      <c r="V74" s="674"/>
      <c r="W74" s="678"/>
    </row>
    <row r="75" spans="1:23" ht="16.5">
      <c r="A75" s="670">
        <v>70</v>
      </c>
      <c r="B75" s="3387"/>
      <c r="C75" s="3339"/>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2"/>
      <c r="V75" s="682"/>
      <c r="W75" s="678"/>
    </row>
    <row r="76" spans="1:23" ht="16.5" customHeight="1">
      <c r="A76" s="670">
        <v>71</v>
      </c>
      <c r="B76" s="3387"/>
      <c r="C76" s="3339"/>
      <c r="D76" s="3308" t="s">
        <v>3109</v>
      </c>
      <c r="E76" s="672"/>
      <c r="F76" s="672"/>
      <c r="G76" s="673"/>
      <c r="H76" s="673"/>
      <c r="I76" s="673"/>
      <c r="J76" s="673"/>
      <c r="K76" s="674"/>
      <c r="L76" s="674"/>
      <c r="M76" s="674"/>
      <c r="N76" s="674"/>
      <c r="O76" s="675"/>
      <c r="P76" s="676"/>
      <c r="Q76" s="676"/>
      <c r="R76" s="675"/>
      <c r="S76" s="674"/>
      <c r="T76" s="693"/>
      <c r="U76" s="677"/>
      <c r="V76" s="674"/>
      <c r="W76" s="678"/>
    </row>
    <row r="77" spans="1:23" ht="16.5">
      <c r="A77" s="670">
        <v>72</v>
      </c>
      <c r="B77" s="3387"/>
      <c r="C77" s="3339"/>
      <c r="D77" s="3290"/>
      <c r="E77" s="672"/>
      <c r="F77" s="672"/>
      <c r="G77" s="673"/>
      <c r="H77" s="673"/>
      <c r="I77" s="673"/>
      <c r="J77" s="673"/>
      <c r="K77" s="674"/>
      <c r="L77" s="674"/>
      <c r="M77" s="674"/>
      <c r="N77" s="674"/>
      <c r="O77" s="675"/>
      <c r="P77" s="676"/>
      <c r="Q77" s="676"/>
      <c r="R77" s="675"/>
      <c r="S77" s="674"/>
      <c r="T77" s="693"/>
      <c r="U77" s="677"/>
      <c r="V77" s="674"/>
      <c r="W77" s="678"/>
    </row>
    <row r="78" spans="1:23" ht="16.5">
      <c r="A78" s="670">
        <v>73</v>
      </c>
      <c r="B78" s="3387"/>
      <c r="C78" s="3339"/>
      <c r="D78" s="3290"/>
      <c r="E78" s="672"/>
      <c r="F78" s="672"/>
      <c r="G78" s="673"/>
      <c r="H78" s="673"/>
      <c r="I78" s="673"/>
      <c r="J78" s="673"/>
      <c r="K78" s="674"/>
      <c r="L78" s="674"/>
      <c r="M78" s="674"/>
      <c r="N78" s="674"/>
      <c r="O78" s="675"/>
      <c r="P78" s="676"/>
      <c r="Q78" s="676"/>
      <c r="R78" s="675"/>
      <c r="S78" s="674"/>
      <c r="T78" s="693"/>
      <c r="U78" s="677"/>
      <c r="V78" s="674"/>
      <c r="W78" s="678"/>
    </row>
    <row r="79" spans="1:23" ht="16.5">
      <c r="A79" s="670">
        <v>74</v>
      </c>
      <c r="B79" s="3387"/>
      <c r="C79" s="3339"/>
      <c r="D79" s="3290"/>
      <c r="E79" s="672"/>
      <c r="F79" s="672"/>
      <c r="G79" s="673"/>
      <c r="H79" s="673"/>
      <c r="I79" s="673"/>
      <c r="J79" s="673"/>
      <c r="K79" s="674"/>
      <c r="L79" s="674"/>
      <c r="M79" s="674"/>
      <c r="N79" s="674"/>
      <c r="O79" s="675"/>
      <c r="P79" s="676"/>
      <c r="Q79" s="676"/>
      <c r="R79" s="675"/>
      <c r="S79" s="674"/>
      <c r="T79" s="693"/>
      <c r="U79" s="677"/>
      <c r="V79" s="674"/>
      <c r="W79" s="678"/>
    </row>
    <row r="80" spans="1:23" ht="16.5">
      <c r="A80" s="670">
        <v>75</v>
      </c>
      <c r="B80" s="3387"/>
      <c r="C80" s="3339"/>
      <c r="D80" s="3290"/>
      <c r="E80" s="672"/>
      <c r="F80" s="672"/>
      <c r="G80" s="673"/>
      <c r="H80" s="673"/>
      <c r="I80" s="673"/>
      <c r="J80" s="673"/>
      <c r="K80" s="674"/>
      <c r="L80" s="674"/>
      <c r="M80" s="674"/>
      <c r="N80" s="674"/>
      <c r="O80" s="675"/>
      <c r="P80" s="676"/>
      <c r="Q80" s="676"/>
      <c r="R80" s="675"/>
      <c r="S80" s="674"/>
      <c r="T80" s="693"/>
      <c r="U80" s="677"/>
      <c r="V80" s="674"/>
      <c r="W80" s="678"/>
    </row>
    <row r="81" spans="1:23" ht="16.5">
      <c r="A81" s="670">
        <v>76</v>
      </c>
      <c r="B81" s="3387"/>
      <c r="C81" s="3339"/>
      <c r="D81" s="3290"/>
      <c r="E81" s="672"/>
      <c r="F81" s="672"/>
      <c r="G81" s="673"/>
      <c r="H81" s="673"/>
      <c r="I81" s="673"/>
      <c r="J81" s="673"/>
      <c r="K81" s="674"/>
      <c r="L81" s="674"/>
      <c r="M81" s="674"/>
      <c r="N81" s="674"/>
      <c r="O81" s="675"/>
      <c r="P81" s="676"/>
      <c r="Q81" s="676"/>
      <c r="R81" s="675"/>
      <c r="S81" s="674"/>
      <c r="T81" s="693"/>
      <c r="U81" s="677"/>
      <c r="V81" s="674"/>
      <c r="W81" s="678"/>
    </row>
    <row r="82" spans="1:23" ht="16.5">
      <c r="A82" s="670">
        <v>77</v>
      </c>
      <c r="B82" s="3387"/>
      <c r="C82" s="3339"/>
      <c r="D82" s="3290"/>
      <c r="E82" s="672"/>
      <c r="F82" s="672"/>
      <c r="G82" s="673"/>
      <c r="H82" s="673"/>
      <c r="I82" s="673"/>
      <c r="J82" s="673"/>
      <c r="K82" s="674"/>
      <c r="L82" s="674"/>
      <c r="M82" s="674"/>
      <c r="N82" s="674"/>
      <c r="O82" s="675"/>
      <c r="P82" s="676"/>
      <c r="Q82" s="674"/>
      <c r="R82" s="675"/>
      <c r="S82" s="674"/>
      <c r="T82" s="676"/>
      <c r="U82" s="677"/>
      <c r="V82" s="674"/>
      <c r="W82" s="678"/>
    </row>
    <row r="83" spans="1:23" ht="16.5">
      <c r="A83" s="670">
        <v>78</v>
      </c>
      <c r="B83" s="3387"/>
      <c r="C83" s="3339"/>
      <c r="D83" s="3290"/>
      <c r="E83" s="672"/>
      <c r="F83" s="672"/>
      <c r="G83" s="673"/>
      <c r="H83" s="673"/>
      <c r="I83" s="673"/>
      <c r="J83" s="673"/>
      <c r="K83" s="674"/>
      <c r="L83" s="674"/>
      <c r="M83" s="674"/>
      <c r="N83" s="674"/>
      <c r="O83" s="675"/>
      <c r="P83" s="676"/>
      <c r="Q83" s="674"/>
      <c r="R83" s="675"/>
      <c r="S83" s="674"/>
      <c r="T83" s="676"/>
      <c r="U83" s="677"/>
      <c r="V83" s="674"/>
      <c r="W83" s="678"/>
    </row>
    <row r="84" spans="1:23" ht="16.5">
      <c r="A84" s="670">
        <v>79</v>
      </c>
      <c r="B84" s="3387"/>
      <c r="C84" s="3339"/>
      <c r="D84" s="3290"/>
      <c r="E84" s="672"/>
      <c r="F84" s="672"/>
      <c r="G84" s="673"/>
      <c r="H84" s="673"/>
      <c r="I84" s="673"/>
      <c r="J84" s="673"/>
      <c r="K84" s="674"/>
      <c r="L84" s="674"/>
      <c r="M84" s="674"/>
      <c r="N84" s="674"/>
      <c r="O84" s="675"/>
      <c r="P84" s="676"/>
      <c r="Q84" s="674"/>
      <c r="R84" s="675"/>
      <c r="S84" s="674"/>
      <c r="T84" s="676"/>
      <c r="U84" s="677"/>
      <c r="V84" s="674"/>
      <c r="W84" s="678"/>
    </row>
    <row r="85" spans="1:23" ht="16.5">
      <c r="A85" s="670">
        <v>80</v>
      </c>
      <c r="B85" s="3387"/>
      <c r="C85" s="3339"/>
      <c r="D85" s="3290"/>
      <c r="E85" s="672"/>
      <c r="F85" s="672"/>
      <c r="G85" s="673"/>
      <c r="H85" s="673"/>
      <c r="I85" s="673"/>
      <c r="J85" s="673"/>
      <c r="K85" s="674"/>
      <c r="L85" s="674"/>
      <c r="M85" s="674"/>
      <c r="N85" s="674"/>
      <c r="O85" s="675"/>
      <c r="P85" s="676"/>
      <c r="Q85" s="674"/>
      <c r="R85" s="675"/>
      <c r="S85" s="674"/>
      <c r="T85" s="676"/>
      <c r="U85" s="677"/>
      <c r="V85" s="674"/>
      <c r="W85" s="678"/>
    </row>
    <row r="86" spans="1:23" ht="17.25" thickBot="1">
      <c r="A86" s="670">
        <v>81</v>
      </c>
      <c r="B86" s="3387"/>
      <c r="C86" s="3340"/>
      <c r="D86" s="686" t="s">
        <v>3105</v>
      </c>
      <c r="E86" s="689"/>
      <c r="F86" s="689"/>
      <c r="G86" s="689"/>
      <c r="H86" s="689"/>
      <c r="I86" s="689"/>
      <c r="J86" s="689"/>
      <c r="K86" s="689"/>
      <c r="L86" s="689"/>
      <c r="M86" s="689"/>
      <c r="N86" s="688">
        <f>SUM(N76:N85)</f>
        <v>0</v>
      </c>
      <c r="O86" s="688">
        <f>SUM(O76:O85)</f>
        <v>0</v>
      </c>
      <c r="P86" s="688">
        <f>SUM(P76:P85)</f>
        <v>0</v>
      </c>
      <c r="Q86" s="689"/>
      <c r="R86" s="688">
        <f>SUM(R76:R85)</f>
        <v>0</v>
      </c>
      <c r="S86" s="689"/>
      <c r="T86" s="689"/>
      <c r="U86" s="689"/>
      <c r="V86" s="689"/>
      <c r="W86" s="691"/>
    </row>
    <row r="87" spans="1:23" ht="16.5" customHeight="1">
      <c r="A87" s="670">
        <v>82</v>
      </c>
      <c r="B87" s="3387"/>
      <c r="C87" s="3380" t="s">
        <v>3113</v>
      </c>
      <c r="D87" s="3377" t="s">
        <v>3114</v>
      </c>
      <c r="E87" s="663"/>
      <c r="F87" s="663"/>
      <c r="G87" s="664"/>
      <c r="H87" s="664"/>
      <c r="I87" s="664"/>
      <c r="J87" s="664"/>
      <c r="K87" s="665"/>
      <c r="L87" s="665"/>
      <c r="M87" s="665"/>
      <c r="N87" s="665"/>
      <c r="O87" s="666"/>
      <c r="P87" s="667"/>
      <c r="Q87" s="665"/>
      <c r="R87" s="666"/>
      <c r="S87" s="694"/>
      <c r="T87" s="667"/>
      <c r="U87" s="668"/>
      <c r="V87" s="665"/>
      <c r="W87" s="669"/>
    </row>
    <row r="88" spans="1:23" ht="16.5">
      <c r="A88" s="670">
        <v>83</v>
      </c>
      <c r="B88" s="3387"/>
      <c r="C88" s="3384"/>
      <c r="D88" s="3290"/>
      <c r="E88" s="672"/>
      <c r="F88" s="672"/>
      <c r="G88" s="673"/>
      <c r="H88" s="673"/>
      <c r="I88" s="673"/>
      <c r="J88" s="673"/>
      <c r="K88" s="674"/>
      <c r="L88" s="674"/>
      <c r="M88" s="674"/>
      <c r="N88" s="674"/>
      <c r="O88" s="675"/>
      <c r="P88" s="676"/>
      <c r="Q88" s="674"/>
      <c r="R88" s="675"/>
      <c r="S88" s="693"/>
      <c r="T88" s="676"/>
      <c r="U88" s="677"/>
      <c r="V88" s="674"/>
      <c r="W88" s="678"/>
    </row>
    <row r="89" spans="1:23" ht="16.5">
      <c r="A89" s="670">
        <v>84</v>
      </c>
      <c r="B89" s="3387"/>
      <c r="C89" s="3384"/>
      <c r="D89" s="3290"/>
      <c r="E89" s="672"/>
      <c r="F89" s="672"/>
      <c r="G89" s="673"/>
      <c r="H89" s="673"/>
      <c r="I89" s="673"/>
      <c r="J89" s="673"/>
      <c r="K89" s="674"/>
      <c r="L89" s="674"/>
      <c r="M89" s="674"/>
      <c r="N89" s="674"/>
      <c r="O89" s="675"/>
      <c r="P89" s="676"/>
      <c r="Q89" s="674"/>
      <c r="R89" s="675"/>
      <c r="S89" s="693"/>
      <c r="T89" s="676"/>
      <c r="U89" s="677"/>
      <c r="V89" s="674"/>
      <c r="W89" s="678"/>
    </row>
    <row r="90" spans="1:23" ht="16.5">
      <c r="A90" s="670">
        <v>85</v>
      </c>
      <c r="B90" s="3387"/>
      <c r="C90" s="3384"/>
      <c r="D90" s="3290"/>
      <c r="E90" s="672"/>
      <c r="F90" s="672"/>
      <c r="G90" s="673"/>
      <c r="H90" s="673"/>
      <c r="I90" s="673"/>
      <c r="J90" s="673"/>
      <c r="K90" s="674"/>
      <c r="L90" s="674"/>
      <c r="M90" s="674"/>
      <c r="N90" s="674"/>
      <c r="O90" s="675"/>
      <c r="P90" s="676"/>
      <c r="Q90" s="674"/>
      <c r="R90" s="675"/>
      <c r="S90" s="693"/>
      <c r="T90" s="676"/>
      <c r="U90" s="677"/>
      <c r="V90" s="674"/>
      <c r="W90" s="678"/>
    </row>
    <row r="91" spans="1:23" ht="16.5">
      <c r="A91" s="670">
        <v>86</v>
      </c>
      <c r="B91" s="3387"/>
      <c r="C91" s="3384"/>
      <c r="D91" s="3290"/>
      <c r="E91" s="672"/>
      <c r="F91" s="672"/>
      <c r="G91" s="673"/>
      <c r="H91" s="673"/>
      <c r="I91" s="673"/>
      <c r="J91" s="673"/>
      <c r="K91" s="674"/>
      <c r="L91" s="674"/>
      <c r="M91" s="674"/>
      <c r="N91" s="674"/>
      <c r="O91" s="675"/>
      <c r="P91" s="676"/>
      <c r="Q91" s="674"/>
      <c r="R91" s="675"/>
      <c r="S91" s="693"/>
      <c r="T91" s="676"/>
      <c r="U91" s="677"/>
      <c r="V91" s="674"/>
      <c r="W91" s="678"/>
    </row>
    <row r="92" spans="1:23" ht="16.5">
      <c r="A92" s="670">
        <v>87</v>
      </c>
      <c r="B92" s="3387"/>
      <c r="C92" s="3384"/>
      <c r="D92" s="3290"/>
      <c r="E92" s="672"/>
      <c r="F92" s="672"/>
      <c r="G92" s="673"/>
      <c r="H92" s="673"/>
      <c r="I92" s="673"/>
      <c r="J92" s="673"/>
      <c r="K92" s="674"/>
      <c r="L92" s="674"/>
      <c r="M92" s="674"/>
      <c r="N92" s="674"/>
      <c r="O92" s="675"/>
      <c r="P92" s="676"/>
      <c r="Q92" s="674"/>
      <c r="R92" s="675"/>
      <c r="S92" s="693"/>
      <c r="T92" s="676"/>
      <c r="U92" s="677"/>
      <c r="V92" s="674"/>
      <c r="W92" s="678"/>
    </row>
    <row r="93" spans="1:23" ht="16.5">
      <c r="A93" s="670">
        <v>88</v>
      </c>
      <c r="B93" s="3387"/>
      <c r="C93" s="3384"/>
      <c r="D93" s="657" t="s">
        <v>3105</v>
      </c>
      <c r="E93" s="682"/>
      <c r="F93" s="682"/>
      <c r="G93" s="682"/>
      <c r="H93" s="682"/>
      <c r="I93" s="682"/>
      <c r="J93" s="682"/>
      <c r="K93" s="682"/>
      <c r="L93" s="682"/>
      <c r="M93" s="682"/>
      <c r="N93" s="674">
        <f>SUM(N87:N92)</f>
        <v>0</v>
      </c>
      <c r="O93" s="674">
        <f>SUM(O87:O92)</f>
        <v>0</v>
      </c>
      <c r="P93" s="674">
        <f>SUM(P87:P92)</f>
        <v>0</v>
      </c>
      <c r="Q93" s="682"/>
      <c r="R93" s="674">
        <f>SUM(R87:R92)</f>
        <v>0</v>
      </c>
      <c r="S93" s="682"/>
      <c r="T93" s="682"/>
      <c r="U93" s="682"/>
      <c r="V93" s="682"/>
      <c r="W93" s="678"/>
    </row>
    <row r="94" spans="1:23" ht="16.5" customHeight="1">
      <c r="A94" s="670">
        <v>89</v>
      </c>
      <c r="B94" s="3387"/>
      <c r="C94" s="3384"/>
      <c r="D94" s="3308" t="s">
        <v>3108</v>
      </c>
      <c r="E94" s="672"/>
      <c r="F94" s="672"/>
      <c r="G94" s="673"/>
      <c r="H94" s="673"/>
      <c r="I94" s="673"/>
      <c r="J94" s="673"/>
      <c r="K94" s="674"/>
      <c r="L94" s="674"/>
      <c r="M94" s="674"/>
      <c r="N94" s="674"/>
      <c r="O94" s="675"/>
      <c r="P94" s="676"/>
      <c r="Q94" s="674"/>
      <c r="R94" s="675"/>
      <c r="S94" s="693"/>
      <c r="T94" s="676"/>
      <c r="U94" s="677"/>
      <c r="V94" s="674"/>
      <c r="W94" s="678"/>
    </row>
    <row r="95" spans="1:23" ht="16.5">
      <c r="A95" s="670">
        <v>90</v>
      </c>
      <c r="B95" s="3387"/>
      <c r="C95" s="3384"/>
      <c r="D95" s="3290"/>
      <c r="E95" s="672"/>
      <c r="F95" s="672"/>
      <c r="G95" s="673"/>
      <c r="H95" s="673"/>
      <c r="I95" s="673"/>
      <c r="J95" s="673"/>
      <c r="K95" s="674"/>
      <c r="L95" s="674"/>
      <c r="M95" s="674"/>
      <c r="N95" s="674"/>
      <c r="O95" s="675"/>
      <c r="P95" s="676"/>
      <c r="Q95" s="674"/>
      <c r="R95" s="675"/>
      <c r="S95" s="693"/>
      <c r="T95" s="676"/>
      <c r="U95" s="677"/>
      <c r="V95" s="674"/>
      <c r="W95" s="678"/>
    </row>
    <row r="96" spans="1:23" ht="16.5">
      <c r="A96" s="670">
        <v>91</v>
      </c>
      <c r="B96" s="3387"/>
      <c r="C96" s="3384"/>
      <c r="D96" s="3290"/>
      <c r="E96" s="672"/>
      <c r="F96" s="672"/>
      <c r="G96" s="673"/>
      <c r="H96" s="673"/>
      <c r="I96" s="673"/>
      <c r="J96" s="673"/>
      <c r="K96" s="674"/>
      <c r="L96" s="674"/>
      <c r="M96" s="674"/>
      <c r="N96" s="674"/>
      <c r="O96" s="675"/>
      <c r="P96" s="676"/>
      <c r="Q96" s="674"/>
      <c r="R96" s="675"/>
      <c r="S96" s="693"/>
      <c r="T96" s="676"/>
      <c r="U96" s="677"/>
      <c r="V96" s="674"/>
      <c r="W96" s="678"/>
    </row>
    <row r="97" spans="1:23" ht="16.5">
      <c r="A97" s="670">
        <v>92</v>
      </c>
      <c r="B97" s="3387"/>
      <c r="C97" s="3384"/>
      <c r="D97" s="3290"/>
      <c r="E97" s="672"/>
      <c r="F97" s="672"/>
      <c r="G97" s="673"/>
      <c r="H97" s="673"/>
      <c r="I97" s="673"/>
      <c r="J97" s="673"/>
      <c r="K97" s="674"/>
      <c r="L97" s="674"/>
      <c r="M97" s="674"/>
      <c r="N97" s="674"/>
      <c r="O97" s="675"/>
      <c r="P97" s="676"/>
      <c r="Q97" s="674"/>
      <c r="R97" s="675"/>
      <c r="S97" s="693"/>
      <c r="T97" s="676"/>
      <c r="U97" s="677"/>
      <c r="V97" s="674"/>
      <c r="W97" s="678"/>
    </row>
    <row r="98" spans="1:23" ht="16.5" customHeight="1">
      <c r="A98" s="670">
        <v>93</v>
      </c>
      <c r="B98" s="3387"/>
      <c r="C98" s="3384"/>
      <c r="D98" s="3290"/>
      <c r="E98" s="672"/>
      <c r="F98" s="672"/>
      <c r="G98" s="673"/>
      <c r="H98" s="673"/>
      <c r="I98" s="673"/>
      <c r="J98" s="673"/>
      <c r="K98" s="674"/>
      <c r="L98" s="674"/>
      <c r="M98" s="674"/>
      <c r="N98" s="674"/>
      <c r="O98" s="675"/>
      <c r="P98" s="676"/>
      <c r="Q98" s="674"/>
      <c r="R98" s="675"/>
      <c r="S98" s="693"/>
      <c r="T98" s="676"/>
      <c r="U98" s="677"/>
      <c r="V98" s="674"/>
      <c r="W98" s="678"/>
    </row>
    <row r="99" spans="1:23" ht="16.5" customHeight="1">
      <c r="A99" s="670">
        <v>94</v>
      </c>
      <c r="B99" s="3387"/>
      <c r="C99" s="3384"/>
      <c r="D99" s="3290"/>
      <c r="E99" s="672"/>
      <c r="F99" s="672"/>
      <c r="G99" s="673"/>
      <c r="H99" s="673"/>
      <c r="I99" s="673"/>
      <c r="J99" s="673"/>
      <c r="K99" s="674"/>
      <c r="L99" s="674"/>
      <c r="M99" s="674"/>
      <c r="N99" s="674"/>
      <c r="O99" s="675"/>
      <c r="P99" s="676"/>
      <c r="Q99" s="674"/>
      <c r="R99" s="675"/>
      <c r="S99" s="693"/>
      <c r="T99" s="676"/>
      <c r="U99" s="677"/>
      <c r="V99" s="674"/>
      <c r="W99" s="678"/>
    </row>
    <row r="100" spans="1:23" ht="16.5">
      <c r="A100" s="670">
        <v>95</v>
      </c>
      <c r="B100" s="3387"/>
      <c r="C100" s="3384"/>
      <c r="D100" s="657" t="s">
        <v>3105</v>
      </c>
      <c r="E100" s="682"/>
      <c r="F100" s="682"/>
      <c r="G100" s="682"/>
      <c r="H100" s="682"/>
      <c r="I100" s="682"/>
      <c r="J100" s="682"/>
      <c r="K100" s="682"/>
      <c r="L100" s="682"/>
      <c r="M100" s="682"/>
      <c r="N100" s="674">
        <f>SUM(N94:N99)</f>
        <v>0</v>
      </c>
      <c r="O100" s="674">
        <f>SUM(O94:O99)</f>
        <v>0</v>
      </c>
      <c r="P100" s="674">
        <f>SUM(P94:P99)</f>
        <v>0</v>
      </c>
      <c r="Q100" s="682"/>
      <c r="R100" s="674">
        <f>SUM(R94:R99)</f>
        <v>0</v>
      </c>
      <c r="S100" s="682"/>
      <c r="T100" s="682"/>
      <c r="U100" s="682"/>
      <c r="V100" s="682"/>
      <c r="W100" s="678"/>
    </row>
    <row r="101" spans="1:23" ht="16.5" customHeight="1">
      <c r="A101" s="670">
        <v>96</v>
      </c>
      <c r="B101" s="3387"/>
      <c r="C101" s="3384"/>
      <c r="D101" s="3308" t="s">
        <v>3109</v>
      </c>
      <c r="E101" s="672"/>
      <c r="F101" s="672"/>
      <c r="G101" s="673"/>
      <c r="H101" s="673"/>
      <c r="I101" s="673"/>
      <c r="J101" s="673"/>
      <c r="K101" s="674"/>
      <c r="L101" s="674"/>
      <c r="M101" s="674"/>
      <c r="N101" s="674"/>
      <c r="O101" s="675"/>
      <c r="P101" s="676"/>
      <c r="Q101" s="674"/>
      <c r="R101" s="675"/>
      <c r="S101" s="693"/>
      <c r="T101" s="676"/>
      <c r="U101" s="677"/>
      <c r="V101" s="674"/>
      <c r="W101" s="678"/>
    </row>
    <row r="102" spans="1:23" ht="16.5">
      <c r="A102" s="670">
        <v>97</v>
      </c>
      <c r="B102" s="3387"/>
      <c r="C102" s="3384"/>
      <c r="D102" s="3290"/>
      <c r="E102" s="672"/>
      <c r="F102" s="672"/>
      <c r="G102" s="673"/>
      <c r="H102" s="673"/>
      <c r="I102" s="673"/>
      <c r="J102" s="673"/>
      <c r="K102" s="674"/>
      <c r="L102" s="674"/>
      <c r="M102" s="674"/>
      <c r="N102" s="674"/>
      <c r="O102" s="675"/>
      <c r="P102" s="676"/>
      <c r="Q102" s="674"/>
      <c r="R102" s="675"/>
      <c r="S102" s="693"/>
      <c r="T102" s="676"/>
      <c r="U102" s="677"/>
      <c r="V102" s="674"/>
      <c r="W102" s="678"/>
    </row>
    <row r="103" spans="1:23" ht="16.5">
      <c r="A103" s="670">
        <v>98</v>
      </c>
      <c r="B103" s="3387"/>
      <c r="C103" s="3384"/>
      <c r="D103" s="3290"/>
      <c r="E103" s="672"/>
      <c r="F103" s="672"/>
      <c r="G103" s="673"/>
      <c r="H103" s="673"/>
      <c r="I103" s="673"/>
      <c r="J103" s="673"/>
      <c r="K103" s="674"/>
      <c r="L103" s="674"/>
      <c r="M103" s="674"/>
      <c r="N103" s="674"/>
      <c r="O103" s="675"/>
      <c r="P103" s="676"/>
      <c r="Q103" s="674"/>
      <c r="R103" s="675"/>
      <c r="S103" s="693"/>
      <c r="T103" s="676"/>
      <c r="U103" s="677"/>
      <c r="V103" s="674"/>
      <c r="W103" s="678"/>
    </row>
    <row r="104" spans="1:23" ht="16.5">
      <c r="A104" s="670">
        <v>99</v>
      </c>
      <c r="B104" s="3387"/>
      <c r="C104" s="3384"/>
      <c r="D104" s="3290"/>
      <c r="E104" s="672"/>
      <c r="F104" s="672"/>
      <c r="G104" s="673"/>
      <c r="H104" s="673"/>
      <c r="I104" s="673"/>
      <c r="J104" s="673"/>
      <c r="K104" s="674"/>
      <c r="L104" s="674"/>
      <c r="M104" s="674"/>
      <c r="N104" s="674"/>
      <c r="O104" s="675"/>
      <c r="P104" s="676"/>
      <c r="Q104" s="674"/>
      <c r="R104" s="675"/>
      <c r="S104" s="693"/>
      <c r="T104" s="676"/>
      <c r="U104" s="677"/>
      <c r="V104" s="674"/>
      <c r="W104" s="678"/>
    </row>
    <row r="105" spans="1:23" ht="16.5">
      <c r="A105" s="670">
        <v>100</v>
      </c>
      <c r="B105" s="3387"/>
      <c r="C105" s="3384"/>
      <c r="D105" s="3290"/>
      <c r="E105" s="672"/>
      <c r="F105" s="672"/>
      <c r="G105" s="673"/>
      <c r="H105" s="673"/>
      <c r="I105" s="673"/>
      <c r="J105" s="673"/>
      <c r="K105" s="674"/>
      <c r="L105" s="674"/>
      <c r="M105" s="674"/>
      <c r="N105" s="674"/>
      <c r="O105" s="675"/>
      <c r="P105" s="676"/>
      <c r="Q105" s="674"/>
      <c r="R105" s="675"/>
      <c r="S105" s="693"/>
      <c r="T105" s="676"/>
      <c r="U105" s="677"/>
      <c r="V105" s="674"/>
      <c r="W105" s="678"/>
    </row>
    <row r="106" spans="1:23" ht="16.5">
      <c r="A106" s="670">
        <v>101</v>
      </c>
      <c r="B106" s="3387"/>
      <c r="C106" s="3384"/>
      <c r="D106" s="3290"/>
      <c r="E106" s="672"/>
      <c r="F106" s="672"/>
      <c r="G106" s="673"/>
      <c r="H106" s="673"/>
      <c r="I106" s="673"/>
      <c r="J106" s="673"/>
      <c r="K106" s="674"/>
      <c r="L106" s="674"/>
      <c r="M106" s="674"/>
      <c r="N106" s="674"/>
      <c r="O106" s="675"/>
      <c r="P106" s="676"/>
      <c r="Q106" s="674"/>
      <c r="R106" s="675"/>
      <c r="S106" s="693"/>
      <c r="T106" s="676"/>
      <c r="U106" s="677"/>
      <c r="V106" s="674"/>
      <c r="W106" s="678"/>
    </row>
    <row r="107" spans="1:23" ht="17.25" thickBot="1">
      <c r="A107" s="695">
        <v>102</v>
      </c>
      <c r="B107" s="3387"/>
      <c r="C107" s="3384"/>
      <c r="D107" s="679" t="s">
        <v>3105</v>
      </c>
      <c r="E107" s="696"/>
      <c r="F107" s="696"/>
      <c r="G107" s="697"/>
      <c r="H107" s="697"/>
      <c r="I107" s="697"/>
      <c r="J107" s="697"/>
      <c r="K107" s="698"/>
      <c r="L107" s="698"/>
      <c r="M107" s="698"/>
      <c r="N107" s="699">
        <f>SUM(N101:N106)</f>
        <v>0</v>
      </c>
      <c r="O107" s="699">
        <f>SUM(O101:O106)</f>
        <v>0</v>
      </c>
      <c r="P107" s="699">
        <f>SUM(P101:P106)</f>
        <v>0</v>
      </c>
      <c r="Q107" s="698"/>
      <c r="R107" s="699">
        <f>SUM(R101:R106)</f>
        <v>0</v>
      </c>
      <c r="S107" s="698"/>
      <c r="T107" s="698"/>
      <c r="U107" s="698"/>
      <c r="V107" s="698"/>
      <c r="W107" s="700"/>
    </row>
    <row r="108" spans="1:23" ht="17.25" thickBot="1">
      <c r="A108" s="701">
        <v>103</v>
      </c>
      <c r="B108" s="3372" t="s">
        <v>3115</v>
      </c>
      <c r="C108" s="3373"/>
      <c r="D108" s="3374"/>
      <c r="E108" s="702"/>
      <c r="F108" s="702"/>
      <c r="G108" s="703"/>
      <c r="H108" s="703"/>
      <c r="I108" s="703"/>
      <c r="J108" s="703"/>
      <c r="K108" s="704"/>
      <c r="L108" s="704"/>
      <c r="M108" s="704"/>
      <c r="N108" s="705">
        <f>N107+N100+N93+N86+N75+N64+N53+N42+N31+N18</f>
        <v>0</v>
      </c>
      <c r="O108" s="705">
        <f>O107+O100+O93+O86+O75+O64+O53+O42+O31+O18</f>
        <v>0</v>
      </c>
      <c r="P108" s="705">
        <f>P107+P100+P93+P86+P75+P64+P53+P42+P31+P18</f>
        <v>0</v>
      </c>
      <c r="Q108" s="704"/>
      <c r="R108" s="705">
        <f>R107+R100+R93+R86+R75+R64+R53+R42+R31+R18</f>
        <v>0</v>
      </c>
      <c r="S108" s="704"/>
      <c r="T108" s="706"/>
      <c r="U108" s="707"/>
      <c r="V108" s="704"/>
      <c r="W108" s="708"/>
    </row>
    <row r="109" spans="1:23" ht="16.5" customHeight="1">
      <c r="A109" s="662">
        <v>104</v>
      </c>
      <c r="B109" s="3375" t="s">
        <v>3116</v>
      </c>
      <c r="C109" s="3380" t="s">
        <v>3117</v>
      </c>
      <c r="D109" s="3289" t="s">
        <v>3118</v>
      </c>
      <c r="E109" s="663"/>
      <c r="F109" s="663"/>
      <c r="G109" s="664"/>
      <c r="H109" s="664"/>
      <c r="I109" s="664"/>
      <c r="J109" s="664"/>
      <c r="K109" s="665"/>
      <c r="L109" s="665"/>
      <c r="M109" s="665"/>
      <c r="N109" s="665"/>
      <c r="O109" s="666"/>
      <c r="P109" s="667"/>
      <c r="Q109" s="665"/>
      <c r="R109" s="666"/>
      <c r="S109" s="709"/>
      <c r="T109" s="710"/>
      <c r="U109" s="668"/>
      <c r="V109" s="665"/>
      <c r="W109" s="669"/>
    </row>
    <row r="110" spans="1:23" ht="16.5" customHeight="1">
      <c r="A110" s="670">
        <v>105</v>
      </c>
      <c r="B110" s="3376"/>
      <c r="C110" s="3384"/>
      <c r="D110" s="3290"/>
      <c r="E110" s="672"/>
      <c r="F110" s="672"/>
      <c r="G110" s="673"/>
      <c r="H110" s="673"/>
      <c r="I110" s="673"/>
      <c r="J110" s="673"/>
      <c r="K110" s="674"/>
      <c r="L110" s="674"/>
      <c r="M110" s="674"/>
      <c r="N110" s="674"/>
      <c r="O110" s="675"/>
      <c r="P110" s="676"/>
      <c r="Q110" s="674"/>
      <c r="R110" s="675"/>
      <c r="S110" s="682"/>
      <c r="T110" s="683"/>
      <c r="U110" s="677"/>
      <c r="V110" s="674"/>
      <c r="W110" s="678"/>
    </row>
    <row r="111" spans="1:23" ht="16.5" customHeight="1">
      <c r="A111" s="670">
        <v>106</v>
      </c>
      <c r="B111" s="3376"/>
      <c r="C111" s="3384"/>
      <c r="D111" s="3290"/>
      <c r="E111" s="672"/>
      <c r="F111" s="672"/>
      <c r="G111" s="673"/>
      <c r="H111" s="673"/>
      <c r="I111" s="673"/>
      <c r="J111" s="673"/>
      <c r="K111" s="674"/>
      <c r="L111" s="674"/>
      <c r="M111" s="674"/>
      <c r="N111" s="674"/>
      <c r="O111" s="675"/>
      <c r="P111" s="676"/>
      <c r="Q111" s="674"/>
      <c r="R111" s="675"/>
      <c r="S111" s="682"/>
      <c r="T111" s="683"/>
      <c r="U111" s="677"/>
      <c r="V111" s="674"/>
      <c r="W111" s="678"/>
    </row>
    <row r="112" spans="1:23" ht="16.5" customHeight="1">
      <c r="A112" s="670">
        <v>107</v>
      </c>
      <c r="B112" s="3376"/>
      <c r="C112" s="3384"/>
      <c r="D112" s="3290"/>
      <c r="E112" s="672"/>
      <c r="F112" s="672"/>
      <c r="G112" s="673"/>
      <c r="H112" s="673"/>
      <c r="I112" s="673"/>
      <c r="J112" s="673"/>
      <c r="K112" s="674"/>
      <c r="L112" s="674"/>
      <c r="M112" s="674"/>
      <c r="N112" s="674"/>
      <c r="O112" s="675"/>
      <c r="P112" s="676"/>
      <c r="Q112" s="674"/>
      <c r="R112" s="675"/>
      <c r="S112" s="682"/>
      <c r="T112" s="683"/>
      <c r="U112" s="677"/>
      <c r="V112" s="674"/>
      <c r="W112" s="678"/>
    </row>
    <row r="113" spans="1:23" ht="16.5" customHeight="1">
      <c r="A113" s="670">
        <v>108</v>
      </c>
      <c r="B113" s="3376"/>
      <c r="C113" s="3384"/>
      <c r="D113" s="3290"/>
      <c r="E113" s="672"/>
      <c r="F113" s="672"/>
      <c r="G113" s="673"/>
      <c r="H113" s="673"/>
      <c r="I113" s="673"/>
      <c r="J113" s="673"/>
      <c r="K113" s="674"/>
      <c r="L113" s="674"/>
      <c r="M113" s="674"/>
      <c r="N113" s="674"/>
      <c r="O113" s="675"/>
      <c r="P113" s="676"/>
      <c r="Q113" s="674"/>
      <c r="R113" s="675"/>
      <c r="S113" s="682"/>
      <c r="T113" s="683"/>
      <c r="U113" s="677"/>
      <c r="V113" s="674"/>
      <c r="W113" s="678"/>
    </row>
    <row r="114" spans="1:23" ht="16.5" customHeight="1">
      <c r="A114" s="670">
        <v>109</v>
      </c>
      <c r="B114" s="3376"/>
      <c r="C114" s="3384"/>
      <c r="D114" s="3290"/>
      <c r="E114" s="672"/>
      <c r="F114" s="672"/>
      <c r="G114" s="673"/>
      <c r="H114" s="673"/>
      <c r="I114" s="673"/>
      <c r="J114" s="673"/>
      <c r="K114" s="674"/>
      <c r="L114" s="674"/>
      <c r="M114" s="674"/>
      <c r="N114" s="674"/>
      <c r="O114" s="675"/>
      <c r="P114" s="676"/>
      <c r="Q114" s="674"/>
      <c r="R114" s="675"/>
      <c r="S114" s="682"/>
      <c r="T114" s="683"/>
      <c r="U114" s="677"/>
      <c r="V114" s="674"/>
      <c r="W114" s="678"/>
    </row>
    <row r="115" spans="1:23" ht="16.5" customHeight="1" thickBot="1">
      <c r="A115" s="670">
        <v>110</v>
      </c>
      <c r="B115" s="3376"/>
      <c r="C115" s="3384"/>
      <c r="D115" s="711"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3"/>
      <c r="U115" s="712"/>
      <c r="V115" s="689"/>
      <c r="W115" s="678"/>
    </row>
    <row r="116" spans="1:23" ht="16.5" customHeight="1">
      <c r="A116" s="670">
        <v>111</v>
      </c>
      <c r="B116" s="3376"/>
      <c r="C116" s="3384"/>
      <c r="D116" s="3308" t="s">
        <v>3119</v>
      </c>
      <c r="E116" s="672"/>
      <c r="F116" s="672"/>
      <c r="G116" s="673"/>
      <c r="H116" s="673"/>
      <c r="I116" s="673"/>
      <c r="J116" s="673"/>
      <c r="K116" s="674"/>
      <c r="L116" s="674"/>
      <c r="M116" s="674"/>
      <c r="N116" s="674"/>
      <c r="O116" s="675"/>
      <c r="P116" s="676"/>
      <c r="Q116" s="674"/>
      <c r="R116" s="675"/>
      <c r="S116" s="682"/>
      <c r="T116" s="683"/>
      <c r="U116" s="677"/>
      <c r="V116" s="674"/>
      <c r="W116" s="678"/>
    </row>
    <row r="117" spans="1:23" ht="16.5" customHeight="1">
      <c r="A117" s="670">
        <v>112</v>
      </c>
      <c r="B117" s="3376"/>
      <c r="C117" s="3384"/>
      <c r="D117" s="3290"/>
      <c r="E117" s="672"/>
      <c r="F117" s="672"/>
      <c r="G117" s="673"/>
      <c r="H117" s="673"/>
      <c r="I117" s="673"/>
      <c r="J117" s="673"/>
      <c r="K117" s="674"/>
      <c r="L117" s="674"/>
      <c r="M117" s="674"/>
      <c r="N117" s="674"/>
      <c r="O117" s="675"/>
      <c r="P117" s="676"/>
      <c r="Q117" s="674"/>
      <c r="R117" s="675"/>
      <c r="S117" s="682"/>
      <c r="T117" s="683"/>
      <c r="U117" s="677"/>
      <c r="V117" s="674"/>
      <c r="W117" s="678"/>
    </row>
    <row r="118" spans="1:23" ht="16.5" customHeight="1">
      <c r="A118" s="670">
        <v>113</v>
      </c>
      <c r="B118" s="3376"/>
      <c r="C118" s="3384"/>
      <c r="D118" s="3290"/>
      <c r="E118" s="672"/>
      <c r="F118" s="672"/>
      <c r="G118" s="673"/>
      <c r="H118" s="673"/>
      <c r="I118" s="673"/>
      <c r="J118" s="673"/>
      <c r="K118" s="674"/>
      <c r="L118" s="674"/>
      <c r="M118" s="674"/>
      <c r="N118" s="674"/>
      <c r="O118" s="675"/>
      <c r="P118" s="676"/>
      <c r="Q118" s="674"/>
      <c r="R118" s="675"/>
      <c r="S118" s="682"/>
      <c r="T118" s="683"/>
      <c r="U118" s="677"/>
      <c r="V118" s="674"/>
      <c r="W118" s="678"/>
    </row>
    <row r="119" spans="1:23" ht="16.5" customHeight="1">
      <c r="A119" s="670">
        <v>114</v>
      </c>
      <c r="B119" s="3376"/>
      <c r="C119" s="3384"/>
      <c r="D119" s="3290"/>
      <c r="E119" s="672"/>
      <c r="F119" s="672"/>
      <c r="G119" s="673"/>
      <c r="H119" s="673"/>
      <c r="I119" s="673"/>
      <c r="J119" s="673"/>
      <c r="K119" s="674"/>
      <c r="L119" s="674"/>
      <c r="M119" s="674"/>
      <c r="N119" s="674"/>
      <c r="O119" s="675"/>
      <c r="P119" s="676"/>
      <c r="Q119" s="674"/>
      <c r="R119" s="675"/>
      <c r="S119" s="682"/>
      <c r="T119" s="683"/>
      <c r="U119" s="677"/>
      <c r="V119" s="674"/>
      <c r="W119" s="678"/>
    </row>
    <row r="120" spans="1:23" ht="16.5">
      <c r="A120" s="670">
        <v>115</v>
      </c>
      <c r="B120" s="3376"/>
      <c r="C120" s="3384"/>
      <c r="D120" s="3290"/>
      <c r="E120" s="672"/>
      <c r="F120" s="672"/>
      <c r="G120" s="673"/>
      <c r="H120" s="673"/>
      <c r="I120" s="673"/>
      <c r="J120" s="673"/>
      <c r="K120" s="674"/>
      <c r="L120" s="674"/>
      <c r="M120" s="674"/>
      <c r="N120" s="674"/>
      <c r="O120" s="675"/>
      <c r="P120" s="676"/>
      <c r="Q120" s="674"/>
      <c r="R120" s="675"/>
      <c r="S120" s="682"/>
      <c r="T120" s="683"/>
      <c r="U120" s="677"/>
      <c r="V120" s="674"/>
      <c r="W120" s="678"/>
    </row>
    <row r="121" spans="1:23" ht="16.5">
      <c r="A121" s="670">
        <v>116</v>
      </c>
      <c r="B121" s="3376"/>
      <c r="C121" s="3384"/>
      <c r="D121" s="3290"/>
      <c r="E121" s="672"/>
      <c r="F121" s="672"/>
      <c r="G121" s="673"/>
      <c r="H121" s="673"/>
      <c r="I121" s="673"/>
      <c r="J121" s="673"/>
      <c r="K121" s="674"/>
      <c r="L121" s="674"/>
      <c r="M121" s="674"/>
      <c r="N121" s="674"/>
      <c r="O121" s="675"/>
      <c r="P121" s="676"/>
      <c r="Q121" s="674"/>
      <c r="R121" s="675"/>
      <c r="S121" s="682"/>
      <c r="T121" s="683"/>
      <c r="U121" s="677"/>
      <c r="V121" s="674"/>
      <c r="W121" s="678"/>
    </row>
    <row r="122" spans="1:23" ht="17.25" thickBot="1">
      <c r="A122" s="670">
        <v>117</v>
      </c>
      <c r="B122" s="3376"/>
      <c r="C122" s="3385"/>
      <c r="D122" s="713" t="s">
        <v>3105</v>
      </c>
      <c r="E122" s="689"/>
      <c r="F122" s="689"/>
      <c r="G122" s="689"/>
      <c r="H122" s="689"/>
      <c r="I122" s="689"/>
      <c r="J122" s="689"/>
      <c r="K122" s="689"/>
      <c r="L122" s="689"/>
      <c r="M122" s="689"/>
      <c r="N122" s="688">
        <f>SUM(N116:N121)</f>
        <v>0</v>
      </c>
      <c r="O122" s="688">
        <f>SUM(O116:O121)</f>
        <v>0</v>
      </c>
      <c r="P122" s="688">
        <f>SUM(P116:P121)</f>
        <v>0</v>
      </c>
      <c r="Q122" s="689"/>
      <c r="R122" s="688">
        <f>SUM(R116:R121)</f>
        <v>0</v>
      </c>
      <c r="S122" s="689"/>
      <c r="T122" s="714"/>
      <c r="U122" s="712"/>
      <c r="V122" s="689"/>
      <c r="W122" s="691"/>
    </row>
    <row r="123" spans="1:23" ht="16.5" customHeight="1">
      <c r="A123" s="670">
        <v>118</v>
      </c>
      <c r="B123" s="3376"/>
      <c r="C123" s="3382" t="s">
        <v>3110</v>
      </c>
      <c r="D123" s="3377" t="s">
        <v>3120</v>
      </c>
      <c r="E123" s="663"/>
      <c r="F123" s="663"/>
      <c r="G123" s="664"/>
      <c r="H123" s="664"/>
      <c r="I123" s="664"/>
      <c r="J123" s="664"/>
      <c r="K123" s="665"/>
      <c r="L123" s="665"/>
      <c r="M123" s="665"/>
      <c r="N123" s="665"/>
      <c r="O123" s="666"/>
      <c r="P123" s="667"/>
      <c r="Q123" s="665"/>
      <c r="R123" s="666"/>
      <c r="S123" s="715"/>
      <c r="T123" s="710"/>
      <c r="U123" s="668"/>
      <c r="V123" s="665"/>
      <c r="W123" s="669"/>
    </row>
    <row r="124" spans="1:23" ht="16.5">
      <c r="A124" s="670">
        <v>119</v>
      </c>
      <c r="B124" s="3376"/>
      <c r="C124" s="3335"/>
      <c r="D124" s="3378"/>
      <c r="E124" s="672"/>
      <c r="F124" s="672"/>
      <c r="G124" s="673"/>
      <c r="H124" s="673"/>
      <c r="I124" s="673"/>
      <c r="J124" s="673"/>
      <c r="K124" s="674"/>
      <c r="L124" s="674"/>
      <c r="M124" s="674"/>
      <c r="N124" s="674"/>
      <c r="O124" s="675"/>
      <c r="P124" s="676"/>
      <c r="Q124" s="676"/>
      <c r="R124" s="675"/>
      <c r="S124" s="682"/>
      <c r="T124" s="716"/>
      <c r="U124" s="677"/>
      <c r="V124" s="674"/>
      <c r="W124" s="678"/>
    </row>
    <row r="125" spans="1:23" ht="16.5">
      <c r="A125" s="670">
        <v>120</v>
      </c>
      <c r="B125" s="3376"/>
      <c r="C125" s="3335"/>
      <c r="D125" s="3378"/>
      <c r="E125" s="672"/>
      <c r="F125" s="672"/>
      <c r="G125" s="673"/>
      <c r="H125" s="673"/>
      <c r="I125" s="673"/>
      <c r="J125" s="673"/>
      <c r="K125" s="674"/>
      <c r="L125" s="674"/>
      <c r="M125" s="674"/>
      <c r="N125" s="674"/>
      <c r="O125" s="675"/>
      <c r="P125" s="676"/>
      <c r="Q125" s="676"/>
      <c r="R125" s="675"/>
      <c r="S125" s="682"/>
      <c r="T125" s="716"/>
      <c r="U125" s="677"/>
      <c r="V125" s="674"/>
      <c r="W125" s="678"/>
    </row>
    <row r="126" spans="1:23" ht="16.5">
      <c r="A126" s="670">
        <v>121</v>
      </c>
      <c r="B126" s="3376"/>
      <c r="C126" s="3335"/>
      <c r="D126" s="3378"/>
      <c r="E126" s="672"/>
      <c r="F126" s="672"/>
      <c r="G126" s="673"/>
      <c r="H126" s="673"/>
      <c r="I126" s="673"/>
      <c r="J126" s="673"/>
      <c r="K126" s="674"/>
      <c r="L126" s="674"/>
      <c r="M126" s="674"/>
      <c r="N126" s="674"/>
      <c r="O126" s="675"/>
      <c r="P126" s="676"/>
      <c r="Q126" s="676"/>
      <c r="R126" s="675"/>
      <c r="S126" s="682"/>
      <c r="T126" s="716"/>
      <c r="U126" s="677"/>
      <c r="V126" s="674"/>
      <c r="W126" s="678"/>
    </row>
    <row r="127" spans="1:23" ht="16.5">
      <c r="A127" s="670">
        <v>122</v>
      </c>
      <c r="B127" s="3376"/>
      <c r="C127" s="3335"/>
      <c r="D127" s="3378"/>
      <c r="E127" s="672"/>
      <c r="F127" s="672"/>
      <c r="G127" s="673"/>
      <c r="H127" s="673"/>
      <c r="I127" s="673"/>
      <c r="J127" s="673"/>
      <c r="K127" s="674"/>
      <c r="L127" s="674"/>
      <c r="M127" s="674"/>
      <c r="N127" s="674"/>
      <c r="O127" s="675"/>
      <c r="P127" s="676"/>
      <c r="Q127" s="676"/>
      <c r="R127" s="675"/>
      <c r="S127" s="682"/>
      <c r="T127" s="716"/>
      <c r="U127" s="677"/>
      <c r="V127" s="674"/>
      <c r="W127" s="678"/>
    </row>
    <row r="128" spans="1:23" ht="16.5">
      <c r="A128" s="670">
        <v>123</v>
      </c>
      <c r="B128" s="3376"/>
      <c r="C128" s="3335"/>
      <c r="D128" s="3379"/>
      <c r="E128" s="672"/>
      <c r="F128" s="672"/>
      <c r="G128" s="673"/>
      <c r="H128" s="673"/>
      <c r="I128" s="673"/>
      <c r="J128" s="673"/>
      <c r="K128" s="674"/>
      <c r="L128" s="674"/>
      <c r="M128" s="674"/>
      <c r="N128" s="674"/>
      <c r="O128" s="675"/>
      <c r="P128" s="676"/>
      <c r="Q128" s="676"/>
      <c r="R128" s="675"/>
      <c r="S128" s="682"/>
      <c r="T128" s="716"/>
      <c r="U128" s="677"/>
      <c r="V128" s="674"/>
      <c r="W128" s="678"/>
    </row>
    <row r="129" spans="1:23" ht="17.25" thickBot="1">
      <c r="A129" s="670">
        <v>124</v>
      </c>
      <c r="B129" s="3376"/>
      <c r="C129" s="3335"/>
      <c r="D129" s="717" t="s">
        <v>3121</v>
      </c>
      <c r="E129" s="682"/>
      <c r="F129" s="682"/>
      <c r="G129" s="682"/>
      <c r="H129" s="682"/>
      <c r="I129" s="682"/>
      <c r="J129" s="682"/>
      <c r="K129" s="682"/>
      <c r="L129" s="682"/>
      <c r="M129" s="682"/>
      <c r="N129" s="674">
        <f>SUM(N123:N128)</f>
        <v>0</v>
      </c>
      <c r="O129" s="674">
        <f>SUM(O123:O128)</f>
        <v>0</v>
      </c>
      <c r="P129" s="674">
        <f>SUM(P123:P128)</f>
        <v>0</v>
      </c>
      <c r="Q129" s="682"/>
      <c r="R129" s="674">
        <f>SUM(R123:R128)</f>
        <v>0</v>
      </c>
      <c r="S129" s="682"/>
      <c r="T129" s="716"/>
      <c r="U129" s="712"/>
      <c r="V129" s="689"/>
      <c r="W129" s="678"/>
    </row>
    <row r="130" spans="1:23" ht="17.649999999999999" customHeight="1">
      <c r="A130" s="670">
        <v>125</v>
      </c>
      <c r="B130" s="3376"/>
      <c r="C130" s="3335"/>
      <c r="D130" s="3363" t="s">
        <v>3118</v>
      </c>
      <c r="E130" s="672"/>
      <c r="F130" s="672"/>
      <c r="G130" s="673"/>
      <c r="H130" s="673"/>
      <c r="I130" s="673"/>
      <c r="J130" s="673"/>
      <c r="K130" s="674"/>
      <c r="L130" s="674"/>
      <c r="M130" s="674"/>
      <c r="N130" s="674"/>
      <c r="O130" s="675"/>
      <c r="P130" s="676"/>
      <c r="Q130" s="676"/>
      <c r="R130" s="675"/>
      <c r="S130" s="682"/>
      <c r="T130" s="716"/>
      <c r="U130" s="677"/>
      <c r="V130" s="674"/>
      <c r="W130" s="678"/>
    </row>
    <row r="131" spans="1:23" ht="16.5">
      <c r="A131" s="670">
        <v>126</v>
      </c>
      <c r="B131" s="3376"/>
      <c r="C131" s="3335"/>
      <c r="D131" s="3371"/>
      <c r="E131" s="672"/>
      <c r="F131" s="672"/>
      <c r="G131" s="673"/>
      <c r="H131" s="673"/>
      <c r="I131" s="673"/>
      <c r="J131" s="673"/>
      <c r="K131" s="674"/>
      <c r="L131" s="674"/>
      <c r="M131" s="674"/>
      <c r="N131" s="674"/>
      <c r="O131" s="675"/>
      <c r="P131" s="676"/>
      <c r="Q131" s="676"/>
      <c r="R131" s="675"/>
      <c r="S131" s="682"/>
      <c r="T131" s="716"/>
      <c r="U131" s="677"/>
      <c r="V131" s="674"/>
      <c r="W131" s="678"/>
    </row>
    <row r="132" spans="1:23" ht="16.5">
      <c r="A132" s="670">
        <v>127</v>
      </c>
      <c r="B132" s="3376"/>
      <c r="C132" s="3335"/>
      <c r="D132" s="3371"/>
      <c r="E132" s="672"/>
      <c r="F132" s="672"/>
      <c r="G132" s="673"/>
      <c r="H132" s="673"/>
      <c r="I132" s="673"/>
      <c r="J132" s="673"/>
      <c r="K132" s="674"/>
      <c r="L132" s="674"/>
      <c r="M132" s="674"/>
      <c r="N132" s="674"/>
      <c r="O132" s="675"/>
      <c r="P132" s="676"/>
      <c r="Q132" s="676"/>
      <c r="R132" s="675"/>
      <c r="S132" s="682"/>
      <c r="T132" s="716"/>
      <c r="U132" s="677"/>
      <c r="V132" s="674"/>
      <c r="W132" s="678"/>
    </row>
    <row r="133" spans="1:23" ht="16.5">
      <c r="A133" s="670">
        <v>128</v>
      </c>
      <c r="B133" s="3376"/>
      <c r="C133" s="3335"/>
      <c r="D133" s="3371"/>
      <c r="E133" s="672"/>
      <c r="F133" s="672"/>
      <c r="G133" s="673"/>
      <c r="H133" s="673"/>
      <c r="I133" s="673"/>
      <c r="J133" s="673"/>
      <c r="K133" s="674"/>
      <c r="L133" s="674"/>
      <c r="M133" s="674"/>
      <c r="N133" s="674"/>
      <c r="O133" s="675"/>
      <c r="P133" s="676"/>
      <c r="Q133" s="676"/>
      <c r="R133" s="675"/>
      <c r="S133" s="682"/>
      <c r="T133" s="716"/>
      <c r="U133" s="677"/>
      <c r="V133" s="674"/>
      <c r="W133" s="678"/>
    </row>
    <row r="134" spans="1:23" ht="16.5">
      <c r="A134" s="670">
        <v>129</v>
      </c>
      <c r="B134" s="3376"/>
      <c r="C134" s="3335"/>
      <c r="D134" s="3371"/>
      <c r="E134" s="672"/>
      <c r="F134" s="672"/>
      <c r="G134" s="673"/>
      <c r="H134" s="673"/>
      <c r="I134" s="673"/>
      <c r="J134" s="673"/>
      <c r="K134" s="674"/>
      <c r="L134" s="674"/>
      <c r="M134" s="674"/>
      <c r="N134" s="674"/>
      <c r="O134" s="675"/>
      <c r="P134" s="676"/>
      <c r="Q134" s="676"/>
      <c r="R134" s="675"/>
      <c r="S134" s="682"/>
      <c r="T134" s="716"/>
      <c r="U134" s="677"/>
      <c r="V134" s="674"/>
      <c r="W134" s="678"/>
    </row>
    <row r="135" spans="1:23" ht="16.5">
      <c r="A135" s="670">
        <v>130</v>
      </c>
      <c r="B135" s="3376"/>
      <c r="C135" s="3335"/>
      <c r="D135" s="3371"/>
      <c r="E135" s="672"/>
      <c r="F135" s="672"/>
      <c r="G135" s="673"/>
      <c r="H135" s="673"/>
      <c r="I135" s="673"/>
      <c r="J135" s="673"/>
      <c r="K135" s="674"/>
      <c r="L135" s="674"/>
      <c r="M135" s="674"/>
      <c r="N135" s="674"/>
      <c r="O135" s="675"/>
      <c r="P135" s="676"/>
      <c r="Q135" s="676"/>
      <c r="R135" s="675"/>
      <c r="S135" s="682"/>
      <c r="T135" s="716"/>
      <c r="U135" s="677"/>
      <c r="V135" s="674"/>
      <c r="W135" s="678"/>
    </row>
    <row r="136" spans="1:23" ht="17.25" thickBot="1">
      <c r="A136" s="670">
        <v>131</v>
      </c>
      <c r="B136" s="3376"/>
      <c r="C136" s="3335"/>
      <c r="D136" s="671" t="s">
        <v>3105</v>
      </c>
      <c r="E136" s="682"/>
      <c r="F136" s="682"/>
      <c r="G136" s="682"/>
      <c r="H136" s="682"/>
      <c r="I136" s="682"/>
      <c r="J136" s="682"/>
      <c r="K136" s="682"/>
      <c r="L136" s="682"/>
      <c r="M136" s="682"/>
      <c r="N136" s="674">
        <f>SUM(N130:N135)</f>
        <v>0</v>
      </c>
      <c r="O136" s="674">
        <f>SUM(O130:O135)</f>
        <v>0</v>
      </c>
      <c r="P136" s="674">
        <f>SUM(P130:P135)</f>
        <v>0</v>
      </c>
      <c r="Q136" s="682"/>
      <c r="R136" s="674">
        <f>SUM(R130:R135)</f>
        <v>0</v>
      </c>
      <c r="S136" s="682"/>
      <c r="T136" s="716"/>
      <c r="U136" s="712"/>
      <c r="V136" s="689"/>
      <c r="W136" s="678"/>
    </row>
    <row r="137" spans="1:23" ht="16.5" customHeight="1">
      <c r="A137" s="670">
        <v>132</v>
      </c>
      <c r="B137" s="3376"/>
      <c r="C137" s="3335"/>
      <c r="D137" s="3363" t="s">
        <v>3119</v>
      </c>
      <c r="E137" s="672"/>
      <c r="F137" s="672"/>
      <c r="G137" s="673"/>
      <c r="H137" s="673"/>
      <c r="I137" s="673"/>
      <c r="J137" s="673"/>
      <c r="K137" s="674"/>
      <c r="L137" s="674"/>
      <c r="M137" s="674"/>
      <c r="N137" s="674"/>
      <c r="O137" s="675"/>
      <c r="P137" s="676"/>
      <c r="Q137" s="676"/>
      <c r="R137" s="675"/>
      <c r="S137" s="682"/>
      <c r="T137" s="716"/>
      <c r="U137" s="677"/>
      <c r="V137" s="674"/>
      <c r="W137" s="678"/>
    </row>
    <row r="138" spans="1:23" ht="15.75" customHeight="1">
      <c r="A138" s="670">
        <v>133</v>
      </c>
      <c r="B138" s="3376"/>
      <c r="C138" s="3335"/>
      <c r="D138" s="3371"/>
      <c r="E138" s="672"/>
      <c r="F138" s="672"/>
      <c r="G138" s="673"/>
      <c r="H138" s="673"/>
      <c r="I138" s="673"/>
      <c r="J138" s="673"/>
      <c r="K138" s="674"/>
      <c r="L138" s="674"/>
      <c r="M138" s="674"/>
      <c r="N138" s="674"/>
      <c r="O138" s="675"/>
      <c r="P138" s="676"/>
      <c r="Q138" s="674"/>
      <c r="R138" s="675"/>
      <c r="S138" s="682"/>
      <c r="T138" s="683"/>
      <c r="U138" s="677"/>
      <c r="V138" s="674"/>
      <c r="W138" s="678"/>
    </row>
    <row r="139" spans="1:23" ht="15.75" customHeight="1">
      <c r="A139" s="670">
        <v>134</v>
      </c>
      <c r="B139" s="3376"/>
      <c r="C139" s="3335"/>
      <c r="D139" s="3371"/>
      <c r="E139" s="672"/>
      <c r="F139" s="672"/>
      <c r="G139" s="673"/>
      <c r="H139" s="673"/>
      <c r="I139" s="673"/>
      <c r="J139" s="673"/>
      <c r="K139" s="674"/>
      <c r="L139" s="674"/>
      <c r="M139" s="674"/>
      <c r="N139" s="674"/>
      <c r="O139" s="675"/>
      <c r="P139" s="676"/>
      <c r="Q139" s="674"/>
      <c r="R139" s="675"/>
      <c r="S139" s="682"/>
      <c r="T139" s="683"/>
      <c r="U139" s="677"/>
      <c r="V139" s="674"/>
      <c r="W139" s="678"/>
    </row>
    <row r="140" spans="1:23" ht="16.5" customHeight="1">
      <c r="A140" s="670">
        <v>135</v>
      </c>
      <c r="B140" s="3376"/>
      <c r="C140" s="3335"/>
      <c r="D140" s="3371"/>
      <c r="E140" s="672"/>
      <c r="F140" s="672"/>
      <c r="G140" s="673"/>
      <c r="H140" s="673"/>
      <c r="I140" s="673"/>
      <c r="J140" s="673"/>
      <c r="K140" s="674"/>
      <c r="L140" s="674"/>
      <c r="M140" s="674"/>
      <c r="N140" s="674"/>
      <c r="O140" s="675"/>
      <c r="P140" s="676"/>
      <c r="Q140" s="674"/>
      <c r="R140" s="675"/>
      <c r="S140" s="682"/>
      <c r="T140" s="683"/>
      <c r="U140" s="677"/>
      <c r="V140" s="674"/>
      <c r="W140" s="678"/>
    </row>
    <row r="141" spans="1:23" ht="16.5">
      <c r="A141" s="670">
        <v>136</v>
      </c>
      <c r="B141" s="3376"/>
      <c r="C141" s="3335"/>
      <c r="D141" s="3371"/>
      <c r="E141" s="672"/>
      <c r="F141" s="672"/>
      <c r="G141" s="673"/>
      <c r="H141" s="673"/>
      <c r="I141" s="673"/>
      <c r="J141" s="673"/>
      <c r="K141" s="674"/>
      <c r="L141" s="674"/>
      <c r="M141" s="674"/>
      <c r="N141" s="674"/>
      <c r="O141" s="675"/>
      <c r="P141" s="676"/>
      <c r="Q141" s="674"/>
      <c r="R141" s="675"/>
      <c r="S141" s="682"/>
      <c r="T141" s="683"/>
      <c r="U141" s="677"/>
      <c r="V141" s="674"/>
      <c r="W141" s="678"/>
    </row>
    <row r="142" spans="1:23" ht="16.5">
      <c r="A142" s="670">
        <v>137</v>
      </c>
      <c r="B142" s="3376"/>
      <c r="C142" s="3335"/>
      <c r="D142" s="3371"/>
      <c r="E142" s="672"/>
      <c r="F142" s="672"/>
      <c r="G142" s="673"/>
      <c r="H142" s="673"/>
      <c r="I142" s="673"/>
      <c r="J142" s="673"/>
      <c r="K142" s="674"/>
      <c r="L142" s="674"/>
      <c r="M142" s="674"/>
      <c r="N142" s="674"/>
      <c r="O142" s="675"/>
      <c r="P142" s="676"/>
      <c r="Q142" s="674"/>
      <c r="R142" s="675"/>
      <c r="S142" s="682"/>
      <c r="T142" s="683"/>
      <c r="U142" s="677"/>
      <c r="V142" s="674"/>
      <c r="W142" s="678"/>
    </row>
    <row r="143" spans="1:23" ht="17.25" thickBot="1">
      <c r="A143" s="670">
        <v>138</v>
      </c>
      <c r="B143" s="3376"/>
      <c r="C143" s="3336"/>
      <c r="D143" s="713" t="s">
        <v>3105</v>
      </c>
      <c r="E143" s="689"/>
      <c r="F143" s="689"/>
      <c r="G143" s="689"/>
      <c r="H143" s="689"/>
      <c r="I143" s="689"/>
      <c r="J143" s="689"/>
      <c r="K143" s="689"/>
      <c r="L143" s="689"/>
      <c r="M143" s="689"/>
      <c r="N143" s="688">
        <f>SUM(N137:N142)</f>
        <v>0</v>
      </c>
      <c r="O143" s="688">
        <f>SUM(O137:O142)</f>
        <v>0</v>
      </c>
      <c r="P143" s="688">
        <f>SUM(P137:P142)</f>
        <v>0</v>
      </c>
      <c r="Q143" s="689"/>
      <c r="R143" s="688">
        <f>SUM(R137:R142)</f>
        <v>0</v>
      </c>
      <c r="S143" s="689"/>
      <c r="T143" s="714"/>
      <c r="U143" s="712"/>
      <c r="V143" s="689"/>
      <c r="W143" s="691"/>
    </row>
    <row r="144" spans="1:23" ht="16.5" customHeight="1">
      <c r="A144" s="670">
        <v>139</v>
      </c>
      <c r="B144" s="3376"/>
      <c r="C144" s="3380" t="s">
        <v>3113</v>
      </c>
      <c r="D144" s="3315" t="s">
        <v>3122</v>
      </c>
      <c r="E144" s="663"/>
      <c r="F144" s="663"/>
      <c r="G144" s="664"/>
      <c r="H144" s="664"/>
      <c r="I144" s="664"/>
      <c r="J144" s="664"/>
      <c r="K144" s="665"/>
      <c r="L144" s="665"/>
      <c r="M144" s="665"/>
      <c r="N144" s="665"/>
      <c r="O144" s="666"/>
      <c r="P144" s="667"/>
      <c r="Q144" s="665"/>
      <c r="R144" s="666"/>
      <c r="S144" s="709"/>
      <c r="T144" s="710"/>
      <c r="U144" s="668"/>
      <c r="V144" s="665"/>
      <c r="W144" s="669"/>
    </row>
    <row r="145" spans="1:23" ht="16.5">
      <c r="A145" s="670">
        <v>140</v>
      </c>
      <c r="B145" s="3376"/>
      <c r="C145" s="3381"/>
      <c r="D145" s="3316"/>
      <c r="E145" s="672"/>
      <c r="F145" s="672"/>
      <c r="G145" s="673"/>
      <c r="H145" s="673"/>
      <c r="I145" s="673"/>
      <c r="J145" s="673"/>
      <c r="K145" s="674"/>
      <c r="L145" s="674"/>
      <c r="M145" s="674"/>
      <c r="N145" s="674"/>
      <c r="O145" s="675"/>
      <c r="P145" s="676"/>
      <c r="Q145" s="674"/>
      <c r="R145" s="675"/>
      <c r="S145" s="716"/>
      <c r="T145" s="683"/>
      <c r="U145" s="677"/>
      <c r="V145" s="674"/>
      <c r="W145" s="678"/>
    </row>
    <row r="146" spans="1:23" ht="16.5">
      <c r="A146" s="670">
        <v>141</v>
      </c>
      <c r="B146" s="3376"/>
      <c r="C146" s="3381"/>
      <c r="D146" s="3316"/>
      <c r="E146" s="672"/>
      <c r="F146" s="672"/>
      <c r="G146" s="673"/>
      <c r="H146" s="673"/>
      <c r="I146" s="673"/>
      <c r="J146" s="673"/>
      <c r="K146" s="674"/>
      <c r="L146" s="674"/>
      <c r="M146" s="674"/>
      <c r="N146" s="674"/>
      <c r="O146" s="675"/>
      <c r="P146" s="676"/>
      <c r="Q146" s="674"/>
      <c r="R146" s="675"/>
      <c r="S146" s="716"/>
      <c r="T146" s="683"/>
      <c r="U146" s="677"/>
      <c r="V146" s="674"/>
      <c r="W146" s="678"/>
    </row>
    <row r="147" spans="1:23" ht="16.5">
      <c r="A147" s="670">
        <v>142</v>
      </c>
      <c r="B147" s="3376"/>
      <c r="C147" s="3381"/>
      <c r="D147" s="3316"/>
      <c r="E147" s="672"/>
      <c r="F147" s="672"/>
      <c r="G147" s="673"/>
      <c r="H147" s="673"/>
      <c r="I147" s="673"/>
      <c r="J147" s="673"/>
      <c r="K147" s="674"/>
      <c r="L147" s="674"/>
      <c r="M147" s="674"/>
      <c r="N147" s="674"/>
      <c r="O147" s="675"/>
      <c r="P147" s="676"/>
      <c r="Q147" s="674"/>
      <c r="R147" s="675"/>
      <c r="S147" s="716"/>
      <c r="T147" s="683"/>
      <c r="U147" s="677"/>
      <c r="V147" s="674"/>
      <c r="W147" s="678"/>
    </row>
    <row r="148" spans="1:23" ht="16.5">
      <c r="A148" s="670">
        <v>143</v>
      </c>
      <c r="B148" s="3376"/>
      <c r="C148" s="3381"/>
      <c r="D148" s="3316"/>
      <c r="E148" s="672"/>
      <c r="F148" s="672"/>
      <c r="G148" s="673"/>
      <c r="H148" s="673"/>
      <c r="I148" s="673"/>
      <c r="J148" s="673"/>
      <c r="K148" s="674"/>
      <c r="L148" s="674"/>
      <c r="M148" s="674"/>
      <c r="N148" s="674"/>
      <c r="O148" s="675"/>
      <c r="P148" s="676"/>
      <c r="Q148" s="674"/>
      <c r="R148" s="675"/>
      <c r="S148" s="716"/>
      <c r="T148" s="683"/>
      <c r="U148" s="677"/>
      <c r="V148" s="674"/>
      <c r="W148" s="678"/>
    </row>
    <row r="149" spans="1:23" ht="16.5">
      <c r="A149" s="670">
        <v>144</v>
      </c>
      <c r="B149" s="3376"/>
      <c r="C149" s="3381"/>
      <c r="D149" s="3316"/>
      <c r="E149" s="672"/>
      <c r="F149" s="672"/>
      <c r="G149" s="673"/>
      <c r="H149" s="673"/>
      <c r="I149" s="673"/>
      <c r="J149" s="673"/>
      <c r="K149" s="674"/>
      <c r="L149" s="674"/>
      <c r="M149" s="674"/>
      <c r="N149" s="674"/>
      <c r="O149" s="675"/>
      <c r="P149" s="676"/>
      <c r="Q149" s="674"/>
      <c r="R149" s="675"/>
      <c r="S149" s="716"/>
      <c r="T149" s="683"/>
      <c r="U149" s="677"/>
      <c r="V149" s="674"/>
      <c r="W149" s="678"/>
    </row>
    <row r="150" spans="1:23" ht="16.5">
      <c r="A150" s="670">
        <v>145</v>
      </c>
      <c r="B150" s="3376"/>
      <c r="C150" s="3381"/>
      <c r="D150" s="659" t="s">
        <v>3121</v>
      </c>
      <c r="E150" s="682"/>
      <c r="F150" s="682"/>
      <c r="G150" s="682"/>
      <c r="H150" s="682"/>
      <c r="I150" s="682"/>
      <c r="J150" s="682"/>
      <c r="K150" s="682"/>
      <c r="L150" s="682"/>
      <c r="M150" s="682"/>
      <c r="N150" s="674">
        <f>SUM(N144:N149)</f>
        <v>0</v>
      </c>
      <c r="O150" s="674">
        <f>SUM(O144:O149)</f>
        <v>0</v>
      </c>
      <c r="P150" s="674">
        <f>SUM(P144:P149)</f>
        <v>0</v>
      </c>
      <c r="Q150" s="682"/>
      <c r="R150" s="674">
        <f>SUM(R144:R149)</f>
        <v>0</v>
      </c>
      <c r="S150" s="716"/>
      <c r="T150" s="683"/>
      <c r="U150" s="684"/>
      <c r="V150" s="682"/>
      <c r="W150" s="678"/>
    </row>
    <row r="151" spans="1:23" ht="16.5" customHeight="1">
      <c r="A151" s="670">
        <v>146</v>
      </c>
      <c r="B151" s="3376"/>
      <c r="C151" s="3381"/>
      <c r="D151" s="3363" t="s">
        <v>3118</v>
      </c>
      <c r="E151" s="672"/>
      <c r="F151" s="672"/>
      <c r="G151" s="673"/>
      <c r="H151" s="673"/>
      <c r="I151" s="673"/>
      <c r="J151" s="673"/>
      <c r="K151" s="674"/>
      <c r="L151" s="674"/>
      <c r="M151" s="674"/>
      <c r="N151" s="674"/>
      <c r="O151" s="675"/>
      <c r="P151" s="676"/>
      <c r="Q151" s="674"/>
      <c r="R151" s="675"/>
      <c r="S151" s="716"/>
      <c r="T151" s="683"/>
      <c r="U151" s="718"/>
      <c r="V151" s="719"/>
      <c r="W151" s="678"/>
    </row>
    <row r="152" spans="1:23" ht="16.5">
      <c r="A152" s="670">
        <v>147</v>
      </c>
      <c r="B152" s="3376"/>
      <c r="C152" s="3381"/>
      <c r="D152" s="3371"/>
      <c r="E152" s="672"/>
      <c r="F152" s="672"/>
      <c r="G152" s="673"/>
      <c r="H152" s="673"/>
      <c r="I152" s="673"/>
      <c r="J152" s="673"/>
      <c r="K152" s="674"/>
      <c r="L152" s="674"/>
      <c r="M152" s="674"/>
      <c r="N152" s="674"/>
      <c r="O152" s="675"/>
      <c r="P152" s="676"/>
      <c r="Q152" s="674"/>
      <c r="R152" s="675"/>
      <c r="S152" s="716"/>
      <c r="T152" s="683"/>
      <c r="U152" s="677"/>
      <c r="V152" s="674"/>
      <c r="W152" s="678"/>
    </row>
    <row r="153" spans="1:23" ht="16.5">
      <c r="A153" s="670">
        <v>148</v>
      </c>
      <c r="B153" s="3376"/>
      <c r="C153" s="3381"/>
      <c r="D153" s="3371"/>
      <c r="E153" s="672"/>
      <c r="F153" s="672"/>
      <c r="G153" s="673"/>
      <c r="H153" s="673"/>
      <c r="I153" s="673"/>
      <c r="J153" s="673"/>
      <c r="K153" s="674"/>
      <c r="L153" s="674"/>
      <c r="M153" s="674"/>
      <c r="N153" s="674"/>
      <c r="O153" s="675"/>
      <c r="P153" s="676"/>
      <c r="Q153" s="674"/>
      <c r="R153" s="675"/>
      <c r="S153" s="716"/>
      <c r="T153" s="683"/>
      <c r="U153" s="677"/>
      <c r="V153" s="674"/>
      <c r="W153" s="678"/>
    </row>
    <row r="154" spans="1:23" ht="16.5">
      <c r="A154" s="670">
        <v>149</v>
      </c>
      <c r="B154" s="3376"/>
      <c r="C154" s="3381"/>
      <c r="D154" s="3371"/>
      <c r="E154" s="672"/>
      <c r="F154" s="672"/>
      <c r="G154" s="673"/>
      <c r="H154" s="673"/>
      <c r="I154" s="673"/>
      <c r="J154" s="673"/>
      <c r="K154" s="674"/>
      <c r="L154" s="674"/>
      <c r="M154" s="674"/>
      <c r="N154" s="674"/>
      <c r="O154" s="675"/>
      <c r="P154" s="676"/>
      <c r="Q154" s="674"/>
      <c r="R154" s="675"/>
      <c r="S154" s="716"/>
      <c r="T154" s="683"/>
      <c r="U154" s="677"/>
      <c r="V154" s="674"/>
      <c r="W154" s="678"/>
    </row>
    <row r="155" spans="1:23" ht="16.5">
      <c r="A155" s="670">
        <v>150</v>
      </c>
      <c r="B155" s="3376"/>
      <c r="C155" s="3381"/>
      <c r="D155" s="3371"/>
      <c r="E155" s="672"/>
      <c r="F155" s="672"/>
      <c r="G155" s="673"/>
      <c r="H155" s="673"/>
      <c r="I155" s="673"/>
      <c r="J155" s="673"/>
      <c r="K155" s="674"/>
      <c r="L155" s="674"/>
      <c r="M155" s="674"/>
      <c r="N155" s="674"/>
      <c r="O155" s="675"/>
      <c r="P155" s="676"/>
      <c r="Q155" s="674"/>
      <c r="R155" s="675"/>
      <c r="S155" s="716"/>
      <c r="T155" s="683"/>
      <c r="U155" s="677"/>
      <c r="V155" s="674"/>
      <c r="W155" s="678"/>
    </row>
    <row r="156" spans="1:23" ht="16.5">
      <c r="A156" s="670">
        <v>151</v>
      </c>
      <c r="B156" s="3376"/>
      <c r="C156" s="3381"/>
      <c r="D156" s="3371"/>
      <c r="E156" s="672"/>
      <c r="F156" s="672"/>
      <c r="G156" s="673"/>
      <c r="H156" s="673"/>
      <c r="I156" s="673"/>
      <c r="J156" s="673"/>
      <c r="K156" s="674"/>
      <c r="L156" s="674"/>
      <c r="M156" s="674"/>
      <c r="N156" s="674"/>
      <c r="O156" s="675"/>
      <c r="P156" s="676"/>
      <c r="Q156" s="674"/>
      <c r="R156" s="675"/>
      <c r="S156" s="716"/>
      <c r="T156" s="683"/>
      <c r="U156" s="677"/>
      <c r="V156" s="674"/>
      <c r="W156" s="678"/>
    </row>
    <row r="157" spans="1:23" ht="16.5">
      <c r="A157" s="670">
        <v>152</v>
      </c>
      <c r="B157" s="3376"/>
      <c r="C157" s="3381"/>
      <c r="D157" s="685" t="s">
        <v>3105</v>
      </c>
      <c r="E157" s="682"/>
      <c r="F157" s="682"/>
      <c r="G157" s="682"/>
      <c r="H157" s="682"/>
      <c r="I157" s="682"/>
      <c r="J157" s="682"/>
      <c r="K157" s="682"/>
      <c r="L157" s="682"/>
      <c r="M157" s="682"/>
      <c r="N157" s="674">
        <f>SUM(N151:N156)</f>
        <v>0</v>
      </c>
      <c r="O157" s="674">
        <f>SUM(O151:O156)</f>
        <v>0</v>
      </c>
      <c r="P157" s="674">
        <f>SUM(P151:P156)</f>
        <v>0</v>
      </c>
      <c r="Q157" s="682"/>
      <c r="R157" s="674">
        <f>SUM(R151:R156)</f>
        <v>0</v>
      </c>
      <c r="S157" s="716"/>
      <c r="T157" s="683"/>
      <c r="U157" s="684"/>
      <c r="V157" s="682"/>
      <c r="W157" s="678"/>
    </row>
    <row r="158" spans="1:23" ht="16.5" customHeight="1">
      <c r="A158" s="670">
        <v>153</v>
      </c>
      <c r="B158" s="3376"/>
      <c r="C158" s="3381"/>
      <c r="D158" s="3363" t="s">
        <v>3119</v>
      </c>
      <c r="E158" s="672"/>
      <c r="F158" s="672"/>
      <c r="G158" s="673"/>
      <c r="H158" s="673"/>
      <c r="I158" s="673"/>
      <c r="J158" s="673"/>
      <c r="K158" s="674"/>
      <c r="L158" s="674"/>
      <c r="M158" s="674"/>
      <c r="N158" s="674"/>
      <c r="O158" s="675"/>
      <c r="P158" s="676"/>
      <c r="Q158" s="674"/>
      <c r="R158" s="675"/>
      <c r="S158" s="716"/>
      <c r="T158" s="683"/>
      <c r="U158" s="718"/>
      <c r="V158" s="719"/>
      <c r="W158" s="678"/>
    </row>
    <row r="159" spans="1:23" ht="16.5">
      <c r="A159" s="670">
        <v>154</v>
      </c>
      <c r="B159" s="3376"/>
      <c r="C159" s="3381"/>
      <c r="D159" s="3371"/>
      <c r="E159" s="672"/>
      <c r="F159" s="672"/>
      <c r="G159" s="673"/>
      <c r="H159" s="673"/>
      <c r="I159" s="673"/>
      <c r="J159" s="673"/>
      <c r="K159" s="674"/>
      <c r="L159" s="674"/>
      <c r="M159" s="674"/>
      <c r="N159" s="674"/>
      <c r="O159" s="675"/>
      <c r="P159" s="676"/>
      <c r="Q159" s="674"/>
      <c r="R159" s="675"/>
      <c r="S159" s="716"/>
      <c r="T159" s="683"/>
      <c r="U159" s="677"/>
      <c r="V159" s="674"/>
      <c r="W159" s="678"/>
    </row>
    <row r="160" spans="1:23" ht="16.5">
      <c r="A160" s="670">
        <v>155</v>
      </c>
      <c r="B160" s="3376"/>
      <c r="C160" s="3381"/>
      <c r="D160" s="3371"/>
      <c r="E160" s="672"/>
      <c r="F160" s="672"/>
      <c r="G160" s="673"/>
      <c r="H160" s="673"/>
      <c r="I160" s="673"/>
      <c r="J160" s="673"/>
      <c r="K160" s="674"/>
      <c r="L160" s="674"/>
      <c r="M160" s="674"/>
      <c r="N160" s="674"/>
      <c r="O160" s="675"/>
      <c r="P160" s="676"/>
      <c r="Q160" s="674"/>
      <c r="R160" s="675"/>
      <c r="S160" s="716"/>
      <c r="T160" s="683"/>
      <c r="U160" s="677"/>
      <c r="V160" s="674"/>
      <c r="W160" s="678"/>
    </row>
    <row r="161" spans="1:23" ht="16.5">
      <c r="A161" s="670">
        <v>156</v>
      </c>
      <c r="B161" s="3376"/>
      <c r="C161" s="3381"/>
      <c r="D161" s="3371"/>
      <c r="E161" s="672"/>
      <c r="F161" s="672"/>
      <c r="G161" s="673"/>
      <c r="H161" s="673"/>
      <c r="I161" s="673"/>
      <c r="J161" s="673"/>
      <c r="K161" s="674"/>
      <c r="L161" s="674"/>
      <c r="M161" s="674"/>
      <c r="N161" s="674"/>
      <c r="O161" s="675"/>
      <c r="P161" s="676"/>
      <c r="Q161" s="674"/>
      <c r="R161" s="675"/>
      <c r="S161" s="716"/>
      <c r="T161" s="683"/>
      <c r="U161" s="677"/>
      <c r="V161" s="674"/>
      <c r="W161" s="678"/>
    </row>
    <row r="162" spans="1:23" ht="16.5">
      <c r="A162" s="670">
        <v>157</v>
      </c>
      <c r="B162" s="3376"/>
      <c r="C162" s="3381"/>
      <c r="D162" s="3371"/>
      <c r="E162" s="672"/>
      <c r="F162" s="672"/>
      <c r="G162" s="673"/>
      <c r="H162" s="673"/>
      <c r="I162" s="673"/>
      <c r="J162" s="673"/>
      <c r="K162" s="674"/>
      <c r="L162" s="674"/>
      <c r="M162" s="674"/>
      <c r="N162" s="674"/>
      <c r="O162" s="675"/>
      <c r="P162" s="676"/>
      <c r="Q162" s="674"/>
      <c r="R162" s="675"/>
      <c r="S162" s="716"/>
      <c r="T162" s="683"/>
      <c r="U162" s="677"/>
      <c r="V162" s="674"/>
      <c r="W162" s="678"/>
    </row>
    <row r="163" spans="1:23" ht="16.5">
      <c r="A163" s="670">
        <v>158</v>
      </c>
      <c r="B163" s="3376"/>
      <c r="C163" s="3381"/>
      <c r="D163" s="3371"/>
      <c r="E163" s="672"/>
      <c r="F163" s="672"/>
      <c r="G163" s="673"/>
      <c r="H163" s="673"/>
      <c r="I163" s="673"/>
      <c r="J163" s="673"/>
      <c r="K163" s="674"/>
      <c r="L163" s="674"/>
      <c r="M163" s="674"/>
      <c r="N163" s="674"/>
      <c r="O163" s="675"/>
      <c r="P163" s="676"/>
      <c r="Q163" s="674"/>
      <c r="R163" s="675"/>
      <c r="S163" s="716"/>
      <c r="T163" s="683"/>
      <c r="U163" s="677"/>
      <c r="V163" s="674"/>
      <c r="W163" s="678"/>
    </row>
    <row r="164" spans="1:23" ht="17.25" thickBot="1">
      <c r="A164" s="695">
        <v>159</v>
      </c>
      <c r="B164" s="3376"/>
      <c r="C164" s="3381"/>
      <c r="D164" s="692" t="s">
        <v>3105</v>
      </c>
      <c r="E164" s="698"/>
      <c r="F164" s="698"/>
      <c r="G164" s="698"/>
      <c r="H164" s="698"/>
      <c r="I164" s="698"/>
      <c r="J164" s="698"/>
      <c r="K164" s="698"/>
      <c r="L164" s="698"/>
      <c r="M164" s="698"/>
      <c r="N164" s="699">
        <f>SUM(N158:N163)</f>
        <v>0</v>
      </c>
      <c r="O164" s="699">
        <f>SUM(O158:O163)</f>
        <v>0</v>
      </c>
      <c r="P164" s="699">
        <f>SUM(P158:P163)</f>
        <v>0</v>
      </c>
      <c r="Q164" s="698"/>
      <c r="R164" s="699">
        <f>SUM(R158:R163)</f>
        <v>0</v>
      </c>
      <c r="S164" s="720"/>
      <c r="T164" s="721"/>
      <c r="U164" s="722"/>
      <c r="V164" s="698"/>
      <c r="W164" s="700"/>
    </row>
    <row r="165" spans="1:23" ht="17.25" thickBot="1">
      <c r="A165" s="701">
        <v>160</v>
      </c>
      <c r="B165" s="3372" t="s">
        <v>3123</v>
      </c>
      <c r="C165" s="3373"/>
      <c r="D165" s="3374"/>
      <c r="E165" s="702"/>
      <c r="F165" s="702"/>
      <c r="G165" s="703"/>
      <c r="H165" s="703"/>
      <c r="I165" s="703"/>
      <c r="J165" s="703"/>
      <c r="K165" s="704"/>
      <c r="L165" s="704"/>
      <c r="M165" s="704"/>
      <c r="N165" s="723">
        <f>N115+N122+N129+N136+N143+N150+N157+N164</f>
        <v>0</v>
      </c>
      <c r="O165" s="723">
        <f>O115+O122+O129+O136+O143+O150+O157+O164</f>
        <v>0</v>
      </c>
      <c r="P165" s="723">
        <f>P115+P122+P129+P136+P143+P150+P157+P164</f>
        <v>0</v>
      </c>
      <c r="Q165" s="704"/>
      <c r="R165" s="723">
        <f>R115+R122+R129+R136+R143+R150+R157+R164</f>
        <v>0</v>
      </c>
      <c r="S165" s="724"/>
      <c r="T165" s="706"/>
      <c r="U165" s="707"/>
      <c r="V165" s="704"/>
      <c r="W165" s="708"/>
    </row>
    <row r="166" spans="1:23" ht="16.5" customHeight="1">
      <c r="A166" s="662">
        <v>161</v>
      </c>
      <c r="B166" s="3375" t="s">
        <v>3124</v>
      </c>
      <c r="C166" s="3380" t="s">
        <v>3117</v>
      </c>
      <c r="D166" s="3289" t="s">
        <v>3118</v>
      </c>
      <c r="E166" s="663"/>
      <c r="F166" s="663"/>
      <c r="G166" s="664"/>
      <c r="H166" s="664"/>
      <c r="I166" s="664"/>
      <c r="J166" s="664"/>
      <c r="K166" s="665"/>
      <c r="L166" s="665"/>
      <c r="M166" s="665"/>
      <c r="N166" s="665"/>
      <c r="O166" s="666"/>
      <c r="P166" s="667"/>
      <c r="Q166" s="665"/>
      <c r="R166" s="666"/>
      <c r="S166" s="709"/>
      <c r="T166" s="710"/>
      <c r="U166" s="668"/>
      <c r="V166" s="665"/>
      <c r="W166" s="669"/>
    </row>
    <row r="167" spans="1:23" ht="16.5" customHeight="1">
      <c r="A167" s="670">
        <v>162</v>
      </c>
      <c r="B167" s="3376"/>
      <c r="C167" s="3384"/>
      <c r="D167" s="3290"/>
      <c r="E167" s="672"/>
      <c r="F167" s="672"/>
      <c r="G167" s="673"/>
      <c r="H167" s="673"/>
      <c r="I167" s="673"/>
      <c r="J167" s="673"/>
      <c r="K167" s="674"/>
      <c r="L167" s="674"/>
      <c r="M167" s="674"/>
      <c r="N167" s="674"/>
      <c r="O167" s="675"/>
      <c r="P167" s="676"/>
      <c r="Q167" s="674"/>
      <c r="R167" s="675"/>
      <c r="S167" s="682"/>
      <c r="T167" s="683"/>
      <c r="U167" s="677"/>
      <c r="V167" s="674"/>
      <c r="W167" s="678"/>
    </row>
    <row r="168" spans="1:23" ht="16.5" customHeight="1">
      <c r="A168" s="670">
        <v>163</v>
      </c>
      <c r="B168" s="3376"/>
      <c r="C168" s="3384"/>
      <c r="D168" s="3290"/>
      <c r="E168" s="672"/>
      <c r="F168" s="672"/>
      <c r="G168" s="673"/>
      <c r="H168" s="673"/>
      <c r="I168" s="673"/>
      <c r="J168" s="673"/>
      <c r="K168" s="674"/>
      <c r="L168" s="674"/>
      <c r="M168" s="674"/>
      <c r="N168" s="674"/>
      <c r="O168" s="675"/>
      <c r="P168" s="676"/>
      <c r="Q168" s="674"/>
      <c r="R168" s="675"/>
      <c r="S168" s="682"/>
      <c r="T168" s="683"/>
      <c r="U168" s="677"/>
      <c r="V168" s="674"/>
      <c r="W168" s="678"/>
    </row>
    <row r="169" spans="1:23" ht="16.5" customHeight="1">
      <c r="A169" s="670">
        <v>164</v>
      </c>
      <c r="B169" s="3376"/>
      <c r="C169" s="3384"/>
      <c r="D169" s="3290"/>
      <c r="E169" s="672"/>
      <c r="F169" s="672"/>
      <c r="G169" s="673"/>
      <c r="H169" s="673"/>
      <c r="I169" s="673"/>
      <c r="J169" s="673"/>
      <c r="K169" s="674"/>
      <c r="L169" s="674"/>
      <c r="M169" s="674"/>
      <c r="N169" s="674"/>
      <c r="O169" s="675"/>
      <c r="P169" s="676"/>
      <c r="Q169" s="674"/>
      <c r="R169" s="675"/>
      <c r="S169" s="682"/>
      <c r="T169" s="683"/>
      <c r="U169" s="677"/>
      <c r="V169" s="674"/>
      <c r="W169" s="678"/>
    </row>
    <row r="170" spans="1:23" ht="16.5" customHeight="1">
      <c r="A170" s="670">
        <v>165</v>
      </c>
      <c r="B170" s="3376"/>
      <c r="C170" s="3384"/>
      <c r="D170" s="3290"/>
      <c r="E170" s="672"/>
      <c r="F170" s="672"/>
      <c r="G170" s="673"/>
      <c r="H170" s="673"/>
      <c r="I170" s="673"/>
      <c r="J170" s="673"/>
      <c r="K170" s="674"/>
      <c r="L170" s="674"/>
      <c r="M170" s="674"/>
      <c r="N170" s="674"/>
      <c r="O170" s="675"/>
      <c r="P170" s="676"/>
      <c r="Q170" s="674"/>
      <c r="R170" s="675"/>
      <c r="S170" s="682"/>
      <c r="T170" s="683"/>
      <c r="U170" s="677"/>
      <c r="V170" s="674"/>
      <c r="W170" s="678"/>
    </row>
    <row r="171" spans="1:23" ht="16.5" customHeight="1">
      <c r="A171" s="670">
        <v>166</v>
      </c>
      <c r="B171" s="3376"/>
      <c r="C171" s="3384"/>
      <c r="D171" s="3290"/>
      <c r="E171" s="672"/>
      <c r="F171" s="672"/>
      <c r="G171" s="673"/>
      <c r="H171" s="673"/>
      <c r="I171" s="673"/>
      <c r="J171" s="673"/>
      <c r="K171" s="674"/>
      <c r="L171" s="674"/>
      <c r="M171" s="674"/>
      <c r="N171" s="674"/>
      <c r="O171" s="675"/>
      <c r="P171" s="676"/>
      <c r="Q171" s="674"/>
      <c r="R171" s="675"/>
      <c r="S171" s="682"/>
      <c r="T171" s="683"/>
      <c r="U171" s="677"/>
      <c r="V171" s="674"/>
      <c r="W171" s="678"/>
    </row>
    <row r="172" spans="1:23" ht="16.5" customHeight="1">
      <c r="A172" s="670">
        <v>167</v>
      </c>
      <c r="B172" s="3376"/>
      <c r="C172" s="3384"/>
      <c r="D172" s="711" t="s">
        <v>3105</v>
      </c>
      <c r="E172" s="682"/>
      <c r="F172" s="682"/>
      <c r="G172" s="682"/>
      <c r="H172" s="682"/>
      <c r="I172" s="682"/>
      <c r="J172" s="682"/>
      <c r="K172" s="682"/>
      <c r="L172" s="682"/>
      <c r="M172" s="682"/>
      <c r="N172" s="674">
        <f>SUM(N166:N171)</f>
        <v>0</v>
      </c>
      <c r="O172" s="674">
        <f>SUM(O166:O171)</f>
        <v>0</v>
      </c>
      <c r="P172" s="674">
        <f>SUM(P166:P171)</f>
        <v>0</v>
      </c>
      <c r="Q172" s="682"/>
      <c r="R172" s="674">
        <f>SUM(R166:R171)</f>
        <v>0</v>
      </c>
      <c r="S172" s="682"/>
      <c r="T172" s="683"/>
      <c r="U172" s="684"/>
      <c r="V172" s="682"/>
      <c r="W172" s="678"/>
    </row>
    <row r="173" spans="1:23" ht="16.5" customHeight="1">
      <c r="A173" s="670">
        <v>168</v>
      </c>
      <c r="B173" s="3376"/>
      <c r="C173" s="3384"/>
      <c r="D173" s="3308" t="s">
        <v>3119</v>
      </c>
      <c r="E173" s="672"/>
      <c r="F173" s="672"/>
      <c r="G173" s="673"/>
      <c r="H173" s="673"/>
      <c r="I173" s="673"/>
      <c r="J173" s="673"/>
      <c r="K173" s="674"/>
      <c r="L173" s="674"/>
      <c r="M173" s="674"/>
      <c r="N173" s="674"/>
      <c r="O173" s="675"/>
      <c r="P173" s="676"/>
      <c r="Q173" s="674"/>
      <c r="R173" s="675"/>
      <c r="S173" s="682"/>
      <c r="T173" s="683"/>
      <c r="U173" s="718"/>
      <c r="V173" s="719"/>
      <c r="W173" s="678"/>
    </row>
    <row r="174" spans="1:23" ht="16.5" customHeight="1">
      <c r="A174" s="670">
        <v>169</v>
      </c>
      <c r="B174" s="3376"/>
      <c r="C174" s="3384"/>
      <c r="D174" s="3290"/>
      <c r="E174" s="672"/>
      <c r="F174" s="672"/>
      <c r="G174" s="673"/>
      <c r="H174" s="673"/>
      <c r="I174" s="673"/>
      <c r="J174" s="673"/>
      <c r="K174" s="674"/>
      <c r="L174" s="674"/>
      <c r="M174" s="674"/>
      <c r="N174" s="674"/>
      <c r="O174" s="675"/>
      <c r="P174" s="676"/>
      <c r="Q174" s="674"/>
      <c r="R174" s="675"/>
      <c r="S174" s="682"/>
      <c r="T174" s="683"/>
      <c r="U174" s="677"/>
      <c r="V174" s="674"/>
      <c r="W174" s="678"/>
    </row>
    <row r="175" spans="1:23" ht="16.5" customHeight="1">
      <c r="A175" s="670">
        <v>170</v>
      </c>
      <c r="B175" s="3376"/>
      <c r="C175" s="3384"/>
      <c r="D175" s="3290"/>
      <c r="E175" s="672"/>
      <c r="F175" s="672"/>
      <c r="G175" s="673"/>
      <c r="H175" s="673"/>
      <c r="I175" s="673"/>
      <c r="J175" s="673"/>
      <c r="K175" s="674"/>
      <c r="L175" s="674"/>
      <c r="M175" s="674"/>
      <c r="N175" s="674"/>
      <c r="O175" s="675"/>
      <c r="P175" s="676"/>
      <c r="Q175" s="674"/>
      <c r="R175" s="675"/>
      <c r="S175" s="682"/>
      <c r="T175" s="683"/>
      <c r="U175" s="677"/>
      <c r="V175" s="674"/>
      <c r="W175" s="678"/>
    </row>
    <row r="176" spans="1:23" ht="16.5" customHeight="1">
      <c r="A176" s="670">
        <v>171</v>
      </c>
      <c r="B176" s="3376"/>
      <c r="C176" s="3384"/>
      <c r="D176" s="3290"/>
      <c r="E176" s="672"/>
      <c r="F176" s="672"/>
      <c r="G176" s="673"/>
      <c r="H176" s="673"/>
      <c r="I176" s="673"/>
      <c r="J176" s="673"/>
      <c r="K176" s="674"/>
      <c r="L176" s="674"/>
      <c r="M176" s="674"/>
      <c r="N176" s="674"/>
      <c r="O176" s="675"/>
      <c r="P176" s="676"/>
      <c r="Q176" s="674"/>
      <c r="R176" s="675"/>
      <c r="S176" s="682"/>
      <c r="T176" s="683"/>
      <c r="U176" s="677"/>
      <c r="V176" s="674"/>
      <c r="W176" s="678"/>
    </row>
    <row r="177" spans="1:23" ht="16.5">
      <c r="A177" s="670">
        <v>172</v>
      </c>
      <c r="B177" s="3376"/>
      <c r="C177" s="3384"/>
      <c r="D177" s="3290"/>
      <c r="E177" s="672"/>
      <c r="F177" s="672"/>
      <c r="G177" s="673"/>
      <c r="H177" s="673"/>
      <c r="I177" s="673"/>
      <c r="J177" s="673"/>
      <c r="K177" s="674"/>
      <c r="L177" s="674"/>
      <c r="M177" s="674"/>
      <c r="N177" s="674"/>
      <c r="O177" s="675"/>
      <c r="P177" s="676"/>
      <c r="Q177" s="674"/>
      <c r="R177" s="675"/>
      <c r="S177" s="682"/>
      <c r="T177" s="683"/>
      <c r="U177" s="677"/>
      <c r="V177" s="674"/>
      <c r="W177" s="678"/>
    </row>
    <row r="178" spans="1:23" ht="16.5">
      <c r="A178" s="670">
        <v>173</v>
      </c>
      <c r="B178" s="3376"/>
      <c r="C178" s="3384"/>
      <c r="D178" s="3290"/>
      <c r="E178" s="672"/>
      <c r="F178" s="672"/>
      <c r="G178" s="673"/>
      <c r="H178" s="673"/>
      <c r="I178" s="673"/>
      <c r="J178" s="673"/>
      <c r="K178" s="674"/>
      <c r="L178" s="674"/>
      <c r="M178" s="674"/>
      <c r="N178" s="674"/>
      <c r="O178" s="675"/>
      <c r="P178" s="676"/>
      <c r="Q178" s="674"/>
      <c r="R178" s="675"/>
      <c r="S178" s="682"/>
      <c r="T178" s="683"/>
      <c r="U178" s="677"/>
      <c r="V178" s="674"/>
      <c r="W178" s="678"/>
    </row>
    <row r="179" spans="1:23" ht="17.25" thickBot="1">
      <c r="A179" s="670">
        <v>174</v>
      </c>
      <c r="B179" s="3376"/>
      <c r="C179" s="3385"/>
      <c r="D179" s="713" t="s">
        <v>3105</v>
      </c>
      <c r="E179" s="689"/>
      <c r="F179" s="689"/>
      <c r="G179" s="689"/>
      <c r="H179" s="689"/>
      <c r="I179" s="689"/>
      <c r="J179" s="689"/>
      <c r="K179" s="689"/>
      <c r="L179" s="689"/>
      <c r="M179" s="689"/>
      <c r="N179" s="688">
        <f>SUM(N173:N178)</f>
        <v>0</v>
      </c>
      <c r="O179" s="688">
        <f>SUM(O173:O178)</f>
        <v>0</v>
      </c>
      <c r="P179" s="688">
        <f>SUM(P173:P178)</f>
        <v>0</v>
      </c>
      <c r="Q179" s="689"/>
      <c r="R179" s="688">
        <f>SUM(R173:R178)</f>
        <v>0</v>
      </c>
      <c r="S179" s="689"/>
      <c r="T179" s="714"/>
      <c r="U179" s="712"/>
      <c r="V179" s="689"/>
      <c r="W179" s="691"/>
    </row>
    <row r="180" spans="1:23" ht="16.5" customHeight="1">
      <c r="A180" s="670">
        <v>175</v>
      </c>
      <c r="B180" s="3376"/>
      <c r="C180" s="3382" t="s">
        <v>3110</v>
      </c>
      <c r="D180" s="3377" t="s">
        <v>3120</v>
      </c>
      <c r="E180" s="663"/>
      <c r="F180" s="663"/>
      <c r="G180" s="664"/>
      <c r="H180" s="664"/>
      <c r="I180" s="664"/>
      <c r="J180" s="664"/>
      <c r="K180" s="665"/>
      <c r="L180" s="665"/>
      <c r="M180" s="665"/>
      <c r="N180" s="665"/>
      <c r="O180" s="666"/>
      <c r="P180" s="667"/>
      <c r="Q180" s="665"/>
      <c r="R180" s="666"/>
      <c r="S180" s="715"/>
      <c r="T180" s="710"/>
      <c r="U180" s="668"/>
      <c r="V180" s="665"/>
      <c r="W180" s="669"/>
    </row>
    <row r="181" spans="1:23" ht="16.5">
      <c r="A181" s="670">
        <v>176</v>
      </c>
      <c r="B181" s="3376"/>
      <c r="C181" s="3335"/>
      <c r="D181" s="3378"/>
      <c r="E181" s="672"/>
      <c r="F181" s="672"/>
      <c r="G181" s="673"/>
      <c r="H181" s="673"/>
      <c r="I181" s="673"/>
      <c r="J181" s="673"/>
      <c r="K181" s="674"/>
      <c r="L181" s="674"/>
      <c r="M181" s="674"/>
      <c r="N181" s="674"/>
      <c r="O181" s="675"/>
      <c r="P181" s="676"/>
      <c r="Q181" s="676"/>
      <c r="R181" s="675"/>
      <c r="S181" s="682"/>
      <c r="T181" s="716"/>
      <c r="U181" s="677"/>
      <c r="V181" s="674"/>
      <c r="W181" s="678"/>
    </row>
    <row r="182" spans="1:23" ht="16.5">
      <c r="A182" s="670">
        <v>177</v>
      </c>
      <c r="B182" s="3376"/>
      <c r="C182" s="3335"/>
      <c r="D182" s="3378"/>
      <c r="E182" s="672"/>
      <c r="F182" s="672"/>
      <c r="G182" s="673"/>
      <c r="H182" s="673"/>
      <c r="I182" s="673"/>
      <c r="J182" s="673"/>
      <c r="K182" s="674"/>
      <c r="L182" s="674"/>
      <c r="M182" s="674"/>
      <c r="N182" s="674"/>
      <c r="O182" s="675"/>
      <c r="P182" s="676"/>
      <c r="Q182" s="676"/>
      <c r="R182" s="675"/>
      <c r="S182" s="682"/>
      <c r="T182" s="716"/>
      <c r="U182" s="677"/>
      <c r="V182" s="674"/>
      <c r="W182" s="678"/>
    </row>
    <row r="183" spans="1:23" ht="16.5">
      <c r="A183" s="670">
        <v>178</v>
      </c>
      <c r="B183" s="3376"/>
      <c r="C183" s="3335"/>
      <c r="D183" s="3378"/>
      <c r="E183" s="672"/>
      <c r="F183" s="672"/>
      <c r="G183" s="673"/>
      <c r="H183" s="673"/>
      <c r="I183" s="673"/>
      <c r="J183" s="673"/>
      <c r="K183" s="674"/>
      <c r="L183" s="674"/>
      <c r="M183" s="674"/>
      <c r="N183" s="674"/>
      <c r="O183" s="675"/>
      <c r="P183" s="676"/>
      <c r="Q183" s="676"/>
      <c r="R183" s="675"/>
      <c r="S183" s="682"/>
      <c r="T183" s="716"/>
      <c r="U183" s="677"/>
      <c r="V183" s="674"/>
      <c r="W183" s="678"/>
    </row>
    <row r="184" spans="1:23" ht="16.5">
      <c r="A184" s="670">
        <v>179</v>
      </c>
      <c r="B184" s="3376"/>
      <c r="C184" s="3335"/>
      <c r="D184" s="3378"/>
      <c r="E184" s="672"/>
      <c r="F184" s="672"/>
      <c r="G184" s="673"/>
      <c r="H184" s="673"/>
      <c r="I184" s="673"/>
      <c r="J184" s="673"/>
      <c r="K184" s="674"/>
      <c r="L184" s="674"/>
      <c r="M184" s="674"/>
      <c r="N184" s="674"/>
      <c r="O184" s="675"/>
      <c r="P184" s="676"/>
      <c r="Q184" s="676"/>
      <c r="R184" s="675"/>
      <c r="S184" s="682"/>
      <c r="T184" s="716"/>
      <c r="U184" s="677"/>
      <c r="V184" s="674"/>
      <c r="W184" s="678"/>
    </row>
    <row r="185" spans="1:23" ht="16.5">
      <c r="A185" s="670">
        <v>180</v>
      </c>
      <c r="B185" s="3376"/>
      <c r="C185" s="3335"/>
      <c r="D185" s="3379"/>
      <c r="E185" s="672"/>
      <c r="F185" s="672"/>
      <c r="G185" s="673"/>
      <c r="H185" s="673"/>
      <c r="I185" s="673"/>
      <c r="J185" s="673"/>
      <c r="K185" s="674"/>
      <c r="L185" s="674"/>
      <c r="M185" s="674"/>
      <c r="N185" s="674"/>
      <c r="O185" s="675"/>
      <c r="P185" s="676"/>
      <c r="Q185" s="676"/>
      <c r="R185" s="675"/>
      <c r="S185" s="682"/>
      <c r="T185" s="716"/>
      <c r="U185" s="677"/>
      <c r="V185" s="674"/>
      <c r="W185" s="678"/>
    </row>
    <row r="186" spans="1:23" ht="16.5">
      <c r="A186" s="670">
        <v>181</v>
      </c>
      <c r="B186" s="3376"/>
      <c r="C186" s="3335"/>
      <c r="D186" s="717" t="s">
        <v>3121</v>
      </c>
      <c r="E186" s="682"/>
      <c r="F186" s="682"/>
      <c r="G186" s="682"/>
      <c r="H186" s="682"/>
      <c r="I186" s="682"/>
      <c r="J186" s="682"/>
      <c r="K186" s="682"/>
      <c r="L186" s="682"/>
      <c r="M186" s="682"/>
      <c r="N186" s="674">
        <f>SUM(N180:N185)</f>
        <v>0</v>
      </c>
      <c r="O186" s="674">
        <f>SUM(O180:O185)</f>
        <v>0</v>
      </c>
      <c r="P186" s="674">
        <f>SUM(P180:P185)</f>
        <v>0</v>
      </c>
      <c r="Q186" s="682"/>
      <c r="R186" s="674">
        <f>SUM(R180:R185)</f>
        <v>0</v>
      </c>
      <c r="S186" s="682"/>
      <c r="T186" s="716"/>
      <c r="U186" s="684"/>
      <c r="V186" s="682"/>
      <c r="W186" s="678"/>
    </row>
    <row r="187" spans="1:23" ht="17.649999999999999" customHeight="1">
      <c r="A187" s="670">
        <v>182</v>
      </c>
      <c r="B187" s="3376"/>
      <c r="C187" s="3335"/>
      <c r="D187" s="3363" t="s">
        <v>3118</v>
      </c>
      <c r="E187" s="672"/>
      <c r="F187" s="672"/>
      <c r="G187" s="673"/>
      <c r="H187" s="673"/>
      <c r="I187" s="673"/>
      <c r="J187" s="673"/>
      <c r="K187" s="674"/>
      <c r="L187" s="674"/>
      <c r="M187" s="674"/>
      <c r="N187" s="674"/>
      <c r="O187" s="675"/>
      <c r="P187" s="676"/>
      <c r="Q187" s="676"/>
      <c r="R187" s="675"/>
      <c r="S187" s="682"/>
      <c r="T187" s="716"/>
      <c r="U187" s="718"/>
      <c r="V187" s="719"/>
      <c r="W187" s="678"/>
    </row>
    <row r="188" spans="1:23" ht="16.5">
      <c r="A188" s="670">
        <v>183</v>
      </c>
      <c r="B188" s="3376"/>
      <c r="C188" s="3335"/>
      <c r="D188" s="3371"/>
      <c r="E188" s="672"/>
      <c r="F188" s="672"/>
      <c r="G188" s="673"/>
      <c r="H188" s="673"/>
      <c r="I188" s="673"/>
      <c r="J188" s="673"/>
      <c r="K188" s="674"/>
      <c r="L188" s="674"/>
      <c r="M188" s="674"/>
      <c r="N188" s="674"/>
      <c r="O188" s="675"/>
      <c r="P188" s="676"/>
      <c r="Q188" s="676"/>
      <c r="R188" s="675"/>
      <c r="S188" s="682"/>
      <c r="T188" s="716"/>
      <c r="U188" s="677"/>
      <c r="V188" s="674"/>
      <c r="W188" s="678"/>
    </row>
    <row r="189" spans="1:23" ht="16.5">
      <c r="A189" s="670">
        <v>184</v>
      </c>
      <c r="B189" s="3376"/>
      <c r="C189" s="3335"/>
      <c r="D189" s="3371"/>
      <c r="E189" s="672"/>
      <c r="F189" s="672"/>
      <c r="G189" s="673"/>
      <c r="H189" s="673"/>
      <c r="I189" s="673"/>
      <c r="J189" s="673"/>
      <c r="K189" s="674"/>
      <c r="L189" s="674"/>
      <c r="M189" s="674"/>
      <c r="N189" s="674"/>
      <c r="O189" s="675"/>
      <c r="P189" s="676"/>
      <c r="Q189" s="676"/>
      <c r="R189" s="675"/>
      <c r="S189" s="682"/>
      <c r="T189" s="716"/>
      <c r="U189" s="677"/>
      <c r="V189" s="674"/>
      <c r="W189" s="678"/>
    </row>
    <row r="190" spans="1:23" ht="16.5">
      <c r="A190" s="670">
        <v>185</v>
      </c>
      <c r="B190" s="3376"/>
      <c r="C190" s="3335"/>
      <c r="D190" s="3371"/>
      <c r="E190" s="672"/>
      <c r="F190" s="672"/>
      <c r="G190" s="673"/>
      <c r="H190" s="673"/>
      <c r="I190" s="673"/>
      <c r="J190" s="673"/>
      <c r="K190" s="674"/>
      <c r="L190" s="674"/>
      <c r="M190" s="674"/>
      <c r="N190" s="674"/>
      <c r="O190" s="675"/>
      <c r="P190" s="676"/>
      <c r="Q190" s="676"/>
      <c r="R190" s="675"/>
      <c r="S190" s="682"/>
      <c r="T190" s="716"/>
      <c r="U190" s="677"/>
      <c r="V190" s="674"/>
      <c r="W190" s="678"/>
    </row>
    <row r="191" spans="1:23" ht="16.5">
      <c r="A191" s="670">
        <v>186</v>
      </c>
      <c r="B191" s="3376"/>
      <c r="C191" s="3335"/>
      <c r="D191" s="3371"/>
      <c r="E191" s="672"/>
      <c r="F191" s="672"/>
      <c r="G191" s="673"/>
      <c r="H191" s="673"/>
      <c r="I191" s="673"/>
      <c r="J191" s="673"/>
      <c r="K191" s="674"/>
      <c r="L191" s="674"/>
      <c r="M191" s="674"/>
      <c r="N191" s="674"/>
      <c r="O191" s="675"/>
      <c r="P191" s="676"/>
      <c r="Q191" s="676"/>
      <c r="R191" s="675"/>
      <c r="S191" s="682"/>
      <c r="T191" s="716"/>
      <c r="U191" s="677"/>
      <c r="V191" s="674"/>
      <c r="W191" s="678"/>
    </row>
    <row r="192" spans="1:23" ht="16.5">
      <c r="A192" s="670">
        <v>187</v>
      </c>
      <c r="B192" s="3376"/>
      <c r="C192" s="3335"/>
      <c r="D192" s="3371"/>
      <c r="E192" s="672"/>
      <c r="F192" s="672"/>
      <c r="G192" s="673"/>
      <c r="H192" s="673"/>
      <c r="I192" s="673"/>
      <c r="J192" s="673"/>
      <c r="K192" s="674"/>
      <c r="L192" s="674"/>
      <c r="M192" s="674"/>
      <c r="N192" s="674"/>
      <c r="O192" s="675"/>
      <c r="P192" s="676"/>
      <c r="Q192" s="676"/>
      <c r="R192" s="675"/>
      <c r="S192" s="682"/>
      <c r="T192" s="716"/>
      <c r="U192" s="677"/>
      <c r="V192" s="674"/>
      <c r="W192" s="678"/>
    </row>
    <row r="193" spans="1:23" ht="16.5">
      <c r="A193" s="670">
        <v>188</v>
      </c>
      <c r="B193" s="3376"/>
      <c r="C193" s="3335"/>
      <c r="D193" s="671" t="s">
        <v>3105</v>
      </c>
      <c r="E193" s="682"/>
      <c r="F193" s="682"/>
      <c r="G193" s="682"/>
      <c r="H193" s="682"/>
      <c r="I193" s="682"/>
      <c r="J193" s="682"/>
      <c r="K193" s="682"/>
      <c r="L193" s="682"/>
      <c r="M193" s="682"/>
      <c r="N193" s="674">
        <f>SUM(N187:N192)</f>
        <v>0</v>
      </c>
      <c r="O193" s="674">
        <f>SUM(O187:O192)</f>
        <v>0</v>
      </c>
      <c r="P193" s="674">
        <f>SUM(P187:P192)</f>
        <v>0</v>
      </c>
      <c r="Q193" s="682"/>
      <c r="R193" s="674">
        <f>SUM(R187:R192)</f>
        <v>0</v>
      </c>
      <c r="S193" s="682"/>
      <c r="T193" s="716"/>
      <c r="U193" s="684"/>
      <c r="V193" s="682"/>
      <c r="W193" s="678"/>
    </row>
    <row r="194" spans="1:23" ht="16.5" customHeight="1">
      <c r="A194" s="670">
        <v>189</v>
      </c>
      <c r="B194" s="3376"/>
      <c r="C194" s="3335"/>
      <c r="D194" s="3363" t="s">
        <v>3119</v>
      </c>
      <c r="E194" s="672"/>
      <c r="F194" s="672"/>
      <c r="G194" s="673"/>
      <c r="H194" s="673"/>
      <c r="I194" s="673"/>
      <c r="J194" s="673"/>
      <c r="K194" s="674"/>
      <c r="L194" s="674"/>
      <c r="M194" s="674"/>
      <c r="N194" s="674"/>
      <c r="O194" s="675"/>
      <c r="P194" s="676"/>
      <c r="Q194" s="676"/>
      <c r="R194" s="675"/>
      <c r="S194" s="682"/>
      <c r="T194" s="716"/>
      <c r="U194" s="718"/>
      <c r="V194" s="719"/>
      <c r="W194" s="678"/>
    </row>
    <row r="195" spans="1:23" ht="15.75" customHeight="1">
      <c r="A195" s="670">
        <v>190</v>
      </c>
      <c r="B195" s="3376"/>
      <c r="C195" s="3335"/>
      <c r="D195" s="3371"/>
      <c r="E195" s="672"/>
      <c r="F195" s="672"/>
      <c r="G195" s="673"/>
      <c r="H195" s="673"/>
      <c r="I195" s="673"/>
      <c r="J195" s="673"/>
      <c r="K195" s="674"/>
      <c r="L195" s="674"/>
      <c r="M195" s="674"/>
      <c r="N195" s="674"/>
      <c r="O195" s="675"/>
      <c r="P195" s="676"/>
      <c r="Q195" s="674"/>
      <c r="R195" s="675"/>
      <c r="S195" s="682"/>
      <c r="T195" s="683"/>
      <c r="U195" s="677"/>
      <c r="V195" s="674"/>
      <c r="W195" s="678"/>
    </row>
    <row r="196" spans="1:23" ht="15.75" customHeight="1">
      <c r="A196" s="670">
        <v>191</v>
      </c>
      <c r="B196" s="3376"/>
      <c r="C196" s="3335"/>
      <c r="D196" s="3371"/>
      <c r="E196" s="672"/>
      <c r="F196" s="672"/>
      <c r="G196" s="673"/>
      <c r="H196" s="673"/>
      <c r="I196" s="673"/>
      <c r="J196" s="673"/>
      <c r="K196" s="674"/>
      <c r="L196" s="674"/>
      <c r="M196" s="674"/>
      <c r="N196" s="674"/>
      <c r="O196" s="675"/>
      <c r="P196" s="676"/>
      <c r="Q196" s="674"/>
      <c r="R196" s="675"/>
      <c r="S196" s="682"/>
      <c r="T196" s="683"/>
      <c r="U196" s="677"/>
      <c r="V196" s="674"/>
      <c r="W196" s="678"/>
    </row>
    <row r="197" spans="1:23" ht="16.5" customHeight="1">
      <c r="A197" s="670">
        <v>192</v>
      </c>
      <c r="B197" s="3376"/>
      <c r="C197" s="3335"/>
      <c r="D197" s="3371"/>
      <c r="E197" s="672"/>
      <c r="F197" s="672"/>
      <c r="G197" s="673"/>
      <c r="H197" s="673"/>
      <c r="I197" s="673"/>
      <c r="J197" s="673"/>
      <c r="K197" s="674"/>
      <c r="L197" s="674"/>
      <c r="M197" s="674"/>
      <c r="N197" s="674"/>
      <c r="O197" s="675"/>
      <c r="P197" s="676"/>
      <c r="Q197" s="674"/>
      <c r="R197" s="675"/>
      <c r="S197" s="682"/>
      <c r="T197" s="683"/>
      <c r="U197" s="677"/>
      <c r="V197" s="674"/>
      <c r="W197" s="678"/>
    </row>
    <row r="198" spans="1:23" ht="16.5">
      <c r="A198" s="670">
        <v>193</v>
      </c>
      <c r="B198" s="3376"/>
      <c r="C198" s="3335"/>
      <c r="D198" s="3371"/>
      <c r="E198" s="672"/>
      <c r="F198" s="672"/>
      <c r="G198" s="673"/>
      <c r="H198" s="673"/>
      <c r="I198" s="673"/>
      <c r="J198" s="673"/>
      <c r="K198" s="674"/>
      <c r="L198" s="674"/>
      <c r="M198" s="674"/>
      <c r="N198" s="674"/>
      <c r="O198" s="675"/>
      <c r="P198" s="676"/>
      <c r="Q198" s="674"/>
      <c r="R198" s="675"/>
      <c r="S198" s="682"/>
      <c r="T198" s="683"/>
      <c r="U198" s="677"/>
      <c r="V198" s="674"/>
      <c r="W198" s="678"/>
    </row>
    <row r="199" spans="1:23" ht="16.5">
      <c r="A199" s="670">
        <v>194</v>
      </c>
      <c r="B199" s="3376"/>
      <c r="C199" s="3335"/>
      <c r="D199" s="3371"/>
      <c r="E199" s="672"/>
      <c r="F199" s="672"/>
      <c r="G199" s="673"/>
      <c r="H199" s="673"/>
      <c r="I199" s="673"/>
      <c r="J199" s="673"/>
      <c r="K199" s="674"/>
      <c r="L199" s="674"/>
      <c r="M199" s="674"/>
      <c r="N199" s="674"/>
      <c r="O199" s="675"/>
      <c r="P199" s="676"/>
      <c r="Q199" s="674"/>
      <c r="R199" s="675"/>
      <c r="S199" s="682"/>
      <c r="T199" s="683"/>
      <c r="U199" s="677"/>
      <c r="V199" s="674"/>
      <c r="W199" s="678"/>
    </row>
    <row r="200" spans="1:23" ht="17.25" thickBot="1">
      <c r="A200" s="670">
        <v>195</v>
      </c>
      <c r="B200" s="3376"/>
      <c r="C200" s="3336"/>
      <c r="D200" s="713" t="s">
        <v>3105</v>
      </c>
      <c r="E200" s="689"/>
      <c r="F200" s="689"/>
      <c r="G200" s="689"/>
      <c r="H200" s="689"/>
      <c r="I200" s="689"/>
      <c r="J200" s="689"/>
      <c r="K200" s="689"/>
      <c r="L200" s="689"/>
      <c r="M200" s="689"/>
      <c r="N200" s="688">
        <f>SUM(N194:N199)</f>
        <v>0</v>
      </c>
      <c r="O200" s="688">
        <f>SUM(O194:O199)</f>
        <v>0</v>
      </c>
      <c r="P200" s="688">
        <f>SUM(P194:P199)</f>
        <v>0</v>
      </c>
      <c r="Q200" s="689"/>
      <c r="R200" s="688">
        <f>SUM(R194:R199)</f>
        <v>0</v>
      </c>
      <c r="S200" s="689"/>
      <c r="T200" s="714"/>
      <c r="U200" s="712"/>
      <c r="V200" s="689"/>
      <c r="W200" s="691"/>
    </row>
    <row r="201" spans="1:23" ht="16.5" customHeight="1">
      <c r="A201" s="670">
        <v>196</v>
      </c>
      <c r="B201" s="3376"/>
      <c r="C201" s="3380" t="s">
        <v>3113</v>
      </c>
      <c r="D201" s="3315" t="s">
        <v>3122</v>
      </c>
      <c r="E201" s="663"/>
      <c r="F201" s="663"/>
      <c r="G201" s="664"/>
      <c r="H201" s="664"/>
      <c r="I201" s="664"/>
      <c r="J201" s="664"/>
      <c r="K201" s="665"/>
      <c r="L201" s="665"/>
      <c r="M201" s="665"/>
      <c r="N201" s="665"/>
      <c r="O201" s="666"/>
      <c r="P201" s="667"/>
      <c r="Q201" s="665"/>
      <c r="R201" s="666"/>
      <c r="S201" s="709"/>
      <c r="T201" s="710"/>
      <c r="U201" s="668"/>
      <c r="V201" s="665"/>
      <c r="W201" s="669"/>
    </row>
    <row r="202" spans="1:23" ht="16.5">
      <c r="A202" s="670">
        <v>197</v>
      </c>
      <c r="B202" s="3376"/>
      <c r="C202" s="3381"/>
      <c r="D202" s="3316"/>
      <c r="E202" s="672"/>
      <c r="F202" s="672"/>
      <c r="G202" s="673"/>
      <c r="H202" s="673"/>
      <c r="I202" s="673"/>
      <c r="J202" s="673"/>
      <c r="K202" s="674"/>
      <c r="L202" s="674"/>
      <c r="M202" s="674"/>
      <c r="N202" s="674"/>
      <c r="O202" s="675"/>
      <c r="P202" s="676"/>
      <c r="Q202" s="674"/>
      <c r="R202" s="675"/>
      <c r="S202" s="716"/>
      <c r="T202" s="683"/>
      <c r="U202" s="677"/>
      <c r="V202" s="674"/>
      <c r="W202" s="678"/>
    </row>
    <row r="203" spans="1:23" ht="16.5">
      <c r="A203" s="670">
        <v>198</v>
      </c>
      <c r="B203" s="3376"/>
      <c r="C203" s="3381"/>
      <c r="D203" s="3316"/>
      <c r="E203" s="672"/>
      <c r="F203" s="672"/>
      <c r="G203" s="673"/>
      <c r="H203" s="673"/>
      <c r="I203" s="673"/>
      <c r="J203" s="673"/>
      <c r="K203" s="674"/>
      <c r="L203" s="674"/>
      <c r="M203" s="674"/>
      <c r="N203" s="674"/>
      <c r="O203" s="675"/>
      <c r="P203" s="676"/>
      <c r="Q203" s="674"/>
      <c r="R203" s="675"/>
      <c r="S203" s="716"/>
      <c r="T203" s="683"/>
      <c r="U203" s="677"/>
      <c r="V203" s="674"/>
      <c r="W203" s="678"/>
    </row>
    <row r="204" spans="1:23" ht="16.5">
      <c r="A204" s="670">
        <v>199</v>
      </c>
      <c r="B204" s="3376"/>
      <c r="C204" s="3381"/>
      <c r="D204" s="3316"/>
      <c r="E204" s="672"/>
      <c r="F204" s="672"/>
      <c r="G204" s="673"/>
      <c r="H204" s="673"/>
      <c r="I204" s="673"/>
      <c r="J204" s="673"/>
      <c r="K204" s="674"/>
      <c r="L204" s="674"/>
      <c r="M204" s="674"/>
      <c r="N204" s="674"/>
      <c r="O204" s="675"/>
      <c r="P204" s="676"/>
      <c r="Q204" s="674"/>
      <c r="R204" s="675"/>
      <c r="S204" s="716"/>
      <c r="T204" s="683"/>
      <c r="U204" s="677"/>
      <c r="V204" s="674"/>
      <c r="W204" s="678"/>
    </row>
    <row r="205" spans="1:23" ht="16.5">
      <c r="A205" s="670">
        <v>200</v>
      </c>
      <c r="B205" s="3376"/>
      <c r="C205" s="3381"/>
      <c r="D205" s="3316"/>
      <c r="E205" s="672"/>
      <c r="F205" s="672"/>
      <c r="G205" s="673"/>
      <c r="H205" s="673"/>
      <c r="I205" s="673"/>
      <c r="J205" s="673"/>
      <c r="K205" s="674"/>
      <c r="L205" s="674"/>
      <c r="M205" s="674"/>
      <c r="N205" s="674"/>
      <c r="O205" s="675"/>
      <c r="P205" s="676"/>
      <c r="Q205" s="674"/>
      <c r="R205" s="675"/>
      <c r="S205" s="716"/>
      <c r="T205" s="683"/>
      <c r="U205" s="677"/>
      <c r="V205" s="674"/>
      <c r="W205" s="678"/>
    </row>
    <row r="206" spans="1:23" ht="16.5">
      <c r="A206" s="670">
        <v>201</v>
      </c>
      <c r="B206" s="3376"/>
      <c r="C206" s="3381"/>
      <c r="D206" s="3316"/>
      <c r="E206" s="672"/>
      <c r="F206" s="672"/>
      <c r="G206" s="673"/>
      <c r="H206" s="673"/>
      <c r="I206" s="673"/>
      <c r="J206" s="673"/>
      <c r="K206" s="674"/>
      <c r="L206" s="674"/>
      <c r="M206" s="674"/>
      <c r="N206" s="674"/>
      <c r="O206" s="675"/>
      <c r="P206" s="676"/>
      <c r="Q206" s="674"/>
      <c r="R206" s="675"/>
      <c r="S206" s="716"/>
      <c r="T206" s="683"/>
      <c r="U206" s="677"/>
      <c r="V206" s="674"/>
      <c r="W206" s="678"/>
    </row>
    <row r="207" spans="1:23" ht="16.5">
      <c r="A207" s="670">
        <v>202</v>
      </c>
      <c r="B207" s="3376"/>
      <c r="C207" s="3381"/>
      <c r="D207" s="659" t="s">
        <v>3121</v>
      </c>
      <c r="E207" s="682"/>
      <c r="F207" s="682"/>
      <c r="G207" s="682"/>
      <c r="H207" s="682"/>
      <c r="I207" s="682"/>
      <c r="J207" s="682"/>
      <c r="K207" s="682"/>
      <c r="L207" s="682"/>
      <c r="M207" s="682"/>
      <c r="N207" s="674">
        <f>SUM(N201:N206)</f>
        <v>0</v>
      </c>
      <c r="O207" s="674">
        <f>SUM(O201:O206)</f>
        <v>0</v>
      </c>
      <c r="P207" s="674">
        <f>SUM(P201:P206)</f>
        <v>0</v>
      </c>
      <c r="Q207" s="682"/>
      <c r="R207" s="674">
        <f>SUM(R201:R206)</f>
        <v>0</v>
      </c>
      <c r="S207" s="716"/>
      <c r="T207" s="683"/>
      <c r="U207" s="684"/>
      <c r="V207" s="682"/>
      <c r="W207" s="678"/>
    </row>
    <row r="208" spans="1:23" ht="16.5" customHeight="1">
      <c r="A208" s="670">
        <v>203</v>
      </c>
      <c r="B208" s="3376"/>
      <c r="C208" s="3381"/>
      <c r="D208" s="3363" t="s">
        <v>3118</v>
      </c>
      <c r="E208" s="672"/>
      <c r="F208" s="672"/>
      <c r="G208" s="673"/>
      <c r="H208" s="673"/>
      <c r="I208" s="673"/>
      <c r="J208" s="673"/>
      <c r="K208" s="674"/>
      <c r="L208" s="674"/>
      <c r="M208" s="674"/>
      <c r="N208" s="674"/>
      <c r="O208" s="675"/>
      <c r="P208" s="676"/>
      <c r="Q208" s="674"/>
      <c r="R208" s="675"/>
      <c r="S208" s="716"/>
      <c r="T208" s="683"/>
      <c r="U208" s="718"/>
      <c r="V208" s="719"/>
      <c r="W208" s="678"/>
    </row>
    <row r="209" spans="1:23" ht="16.5">
      <c r="A209" s="670">
        <v>204</v>
      </c>
      <c r="B209" s="3376"/>
      <c r="C209" s="3381"/>
      <c r="D209" s="3371"/>
      <c r="E209" s="672"/>
      <c r="F209" s="672"/>
      <c r="G209" s="673"/>
      <c r="H209" s="673"/>
      <c r="I209" s="673"/>
      <c r="J209" s="673"/>
      <c r="K209" s="674"/>
      <c r="L209" s="674"/>
      <c r="M209" s="674"/>
      <c r="N209" s="674"/>
      <c r="O209" s="675"/>
      <c r="P209" s="676"/>
      <c r="Q209" s="674"/>
      <c r="R209" s="675"/>
      <c r="S209" s="716"/>
      <c r="T209" s="683"/>
      <c r="U209" s="677"/>
      <c r="V209" s="674"/>
      <c r="W209" s="678"/>
    </row>
    <row r="210" spans="1:23" ht="16.5">
      <c r="A210" s="670">
        <v>205</v>
      </c>
      <c r="B210" s="3376"/>
      <c r="C210" s="3381"/>
      <c r="D210" s="3371"/>
      <c r="E210" s="672"/>
      <c r="F210" s="672"/>
      <c r="G210" s="673"/>
      <c r="H210" s="673"/>
      <c r="I210" s="673"/>
      <c r="J210" s="673"/>
      <c r="K210" s="674"/>
      <c r="L210" s="674"/>
      <c r="M210" s="674"/>
      <c r="N210" s="674"/>
      <c r="O210" s="675"/>
      <c r="P210" s="676"/>
      <c r="Q210" s="674"/>
      <c r="R210" s="675"/>
      <c r="S210" s="716"/>
      <c r="T210" s="683"/>
      <c r="U210" s="677"/>
      <c r="V210" s="674"/>
      <c r="W210" s="678"/>
    </row>
    <row r="211" spans="1:23" ht="16.5">
      <c r="A211" s="670">
        <v>206</v>
      </c>
      <c r="B211" s="3376"/>
      <c r="C211" s="3381"/>
      <c r="D211" s="3371"/>
      <c r="E211" s="672"/>
      <c r="F211" s="672"/>
      <c r="G211" s="673"/>
      <c r="H211" s="673"/>
      <c r="I211" s="673"/>
      <c r="J211" s="673"/>
      <c r="K211" s="674"/>
      <c r="L211" s="674"/>
      <c r="M211" s="674"/>
      <c r="N211" s="674"/>
      <c r="O211" s="675"/>
      <c r="P211" s="676"/>
      <c r="Q211" s="674"/>
      <c r="R211" s="675"/>
      <c r="S211" s="716"/>
      <c r="T211" s="683"/>
      <c r="U211" s="677"/>
      <c r="V211" s="674"/>
      <c r="W211" s="678"/>
    </row>
    <row r="212" spans="1:23" ht="16.5">
      <c r="A212" s="670">
        <v>207</v>
      </c>
      <c r="B212" s="3376"/>
      <c r="C212" s="3381"/>
      <c r="D212" s="3371"/>
      <c r="E212" s="672"/>
      <c r="F212" s="672"/>
      <c r="G212" s="673"/>
      <c r="H212" s="673"/>
      <c r="I212" s="673"/>
      <c r="J212" s="673"/>
      <c r="K212" s="674"/>
      <c r="L212" s="674"/>
      <c r="M212" s="674"/>
      <c r="N212" s="674"/>
      <c r="O212" s="675"/>
      <c r="P212" s="676"/>
      <c r="Q212" s="674"/>
      <c r="R212" s="675"/>
      <c r="S212" s="716"/>
      <c r="T212" s="683"/>
      <c r="U212" s="677"/>
      <c r="V212" s="674"/>
      <c r="W212" s="678"/>
    </row>
    <row r="213" spans="1:23" ht="16.5">
      <c r="A213" s="670">
        <v>208</v>
      </c>
      <c r="B213" s="3376"/>
      <c r="C213" s="3381"/>
      <c r="D213" s="3371"/>
      <c r="E213" s="672"/>
      <c r="F213" s="672"/>
      <c r="G213" s="673"/>
      <c r="H213" s="673"/>
      <c r="I213" s="673"/>
      <c r="J213" s="673"/>
      <c r="K213" s="674"/>
      <c r="L213" s="674"/>
      <c r="M213" s="674"/>
      <c r="N213" s="674"/>
      <c r="O213" s="675"/>
      <c r="P213" s="676"/>
      <c r="Q213" s="674"/>
      <c r="R213" s="675"/>
      <c r="S213" s="716"/>
      <c r="T213" s="683"/>
      <c r="U213" s="677"/>
      <c r="V213" s="674"/>
      <c r="W213" s="678"/>
    </row>
    <row r="214" spans="1:23" ht="16.5">
      <c r="A214" s="670">
        <v>209</v>
      </c>
      <c r="B214" s="3376"/>
      <c r="C214" s="3381"/>
      <c r="D214" s="685" t="s">
        <v>3105</v>
      </c>
      <c r="E214" s="682"/>
      <c r="F214" s="682"/>
      <c r="G214" s="682"/>
      <c r="H214" s="682"/>
      <c r="I214" s="682"/>
      <c r="J214" s="682"/>
      <c r="K214" s="682"/>
      <c r="L214" s="682"/>
      <c r="M214" s="682"/>
      <c r="N214" s="674">
        <f>SUM(N208:N213)</f>
        <v>0</v>
      </c>
      <c r="O214" s="674">
        <f>SUM(O208:O213)</f>
        <v>0</v>
      </c>
      <c r="P214" s="674">
        <f>SUM(P208:P213)</f>
        <v>0</v>
      </c>
      <c r="Q214" s="682"/>
      <c r="R214" s="674">
        <f>SUM(R208:R213)</f>
        <v>0</v>
      </c>
      <c r="S214" s="716"/>
      <c r="T214" s="683"/>
      <c r="U214" s="684"/>
      <c r="V214" s="682"/>
      <c r="W214" s="678"/>
    </row>
    <row r="215" spans="1:23" ht="16.5" customHeight="1">
      <c r="A215" s="670">
        <v>210</v>
      </c>
      <c r="B215" s="3376"/>
      <c r="C215" s="3381"/>
      <c r="D215" s="3363" t="s">
        <v>3119</v>
      </c>
      <c r="E215" s="672"/>
      <c r="F215" s="672"/>
      <c r="G215" s="673"/>
      <c r="H215" s="673"/>
      <c r="I215" s="673"/>
      <c r="J215" s="673"/>
      <c r="K215" s="674"/>
      <c r="L215" s="674"/>
      <c r="M215" s="674"/>
      <c r="N215" s="674"/>
      <c r="O215" s="675"/>
      <c r="P215" s="676"/>
      <c r="Q215" s="674"/>
      <c r="R215" s="675"/>
      <c r="S215" s="716"/>
      <c r="T215" s="683"/>
      <c r="U215" s="718"/>
      <c r="V215" s="719"/>
      <c r="W215" s="678"/>
    </row>
    <row r="216" spans="1:23" ht="16.5">
      <c r="A216" s="670">
        <v>211</v>
      </c>
      <c r="B216" s="3376"/>
      <c r="C216" s="3381"/>
      <c r="D216" s="3371"/>
      <c r="E216" s="672"/>
      <c r="F216" s="672"/>
      <c r="G216" s="673"/>
      <c r="H216" s="673"/>
      <c r="I216" s="673"/>
      <c r="J216" s="673"/>
      <c r="K216" s="674"/>
      <c r="L216" s="674"/>
      <c r="M216" s="674"/>
      <c r="N216" s="674"/>
      <c r="O216" s="675"/>
      <c r="P216" s="676"/>
      <c r="Q216" s="674"/>
      <c r="R216" s="675"/>
      <c r="S216" s="716"/>
      <c r="T216" s="683"/>
      <c r="U216" s="677"/>
      <c r="V216" s="674"/>
      <c r="W216" s="678"/>
    </row>
    <row r="217" spans="1:23" ht="16.5">
      <c r="A217" s="670">
        <v>212</v>
      </c>
      <c r="B217" s="3376"/>
      <c r="C217" s="3381"/>
      <c r="D217" s="3371"/>
      <c r="E217" s="672"/>
      <c r="F217" s="672"/>
      <c r="G217" s="673"/>
      <c r="H217" s="673"/>
      <c r="I217" s="673"/>
      <c r="J217" s="673"/>
      <c r="K217" s="674"/>
      <c r="L217" s="674"/>
      <c r="M217" s="674"/>
      <c r="N217" s="674"/>
      <c r="O217" s="675"/>
      <c r="P217" s="676"/>
      <c r="Q217" s="674"/>
      <c r="R217" s="675"/>
      <c r="S217" s="716"/>
      <c r="T217" s="683"/>
      <c r="U217" s="677"/>
      <c r="V217" s="674"/>
      <c r="W217" s="678"/>
    </row>
    <row r="218" spans="1:23" ht="16.5">
      <c r="A218" s="670">
        <v>213</v>
      </c>
      <c r="B218" s="3376"/>
      <c r="C218" s="3381"/>
      <c r="D218" s="3371"/>
      <c r="E218" s="672"/>
      <c r="F218" s="672"/>
      <c r="G218" s="673"/>
      <c r="H218" s="673"/>
      <c r="I218" s="673"/>
      <c r="J218" s="673"/>
      <c r="K218" s="674"/>
      <c r="L218" s="674"/>
      <c r="M218" s="674"/>
      <c r="N218" s="674"/>
      <c r="O218" s="675"/>
      <c r="P218" s="676"/>
      <c r="Q218" s="674"/>
      <c r="R218" s="675"/>
      <c r="S218" s="716"/>
      <c r="T218" s="683"/>
      <c r="U218" s="677"/>
      <c r="V218" s="674"/>
      <c r="W218" s="678"/>
    </row>
    <row r="219" spans="1:23" ht="16.5">
      <c r="A219" s="670">
        <v>214</v>
      </c>
      <c r="B219" s="3376"/>
      <c r="C219" s="3381"/>
      <c r="D219" s="3371"/>
      <c r="E219" s="672"/>
      <c r="F219" s="672"/>
      <c r="G219" s="673"/>
      <c r="H219" s="673"/>
      <c r="I219" s="673"/>
      <c r="J219" s="673"/>
      <c r="K219" s="674"/>
      <c r="L219" s="674"/>
      <c r="M219" s="674"/>
      <c r="N219" s="674"/>
      <c r="O219" s="675"/>
      <c r="P219" s="676"/>
      <c r="Q219" s="674"/>
      <c r="R219" s="675"/>
      <c r="S219" s="716"/>
      <c r="T219" s="683"/>
      <c r="U219" s="677"/>
      <c r="V219" s="674"/>
      <c r="W219" s="678"/>
    </row>
    <row r="220" spans="1:23" ht="16.5">
      <c r="A220" s="670">
        <v>215</v>
      </c>
      <c r="B220" s="3376"/>
      <c r="C220" s="3381"/>
      <c r="D220" s="3371"/>
      <c r="E220" s="672"/>
      <c r="F220" s="672"/>
      <c r="G220" s="673"/>
      <c r="H220" s="673"/>
      <c r="I220" s="673"/>
      <c r="J220" s="673"/>
      <c r="K220" s="674"/>
      <c r="L220" s="674"/>
      <c r="M220" s="674"/>
      <c r="N220" s="674"/>
      <c r="O220" s="675"/>
      <c r="P220" s="676"/>
      <c r="Q220" s="674"/>
      <c r="R220" s="675"/>
      <c r="S220" s="716"/>
      <c r="T220" s="683"/>
      <c r="U220" s="677"/>
      <c r="V220" s="674"/>
      <c r="W220" s="678"/>
    </row>
    <row r="221" spans="1:23" ht="17.25" thickBot="1">
      <c r="A221" s="695">
        <v>216</v>
      </c>
      <c r="B221" s="3376"/>
      <c r="C221" s="3381"/>
      <c r="D221" s="692" t="s">
        <v>3105</v>
      </c>
      <c r="E221" s="698"/>
      <c r="F221" s="698"/>
      <c r="G221" s="698"/>
      <c r="H221" s="698"/>
      <c r="I221" s="698"/>
      <c r="J221" s="698"/>
      <c r="K221" s="698"/>
      <c r="L221" s="698"/>
      <c r="M221" s="698"/>
      <c r="N221" s="699">
        <f>SUM(N215:N220)</f>
        <v>0</v>
      </c>
      <c r="O221" s="699">
        <f>SUM(O215:O220)</f>
        <v>0</v>
      </c>
      <c r="P221" s="699">
        <f>SUM(P215:P220)</f>
        <v>0</v>
      </c>
      <c r="Q221" s="698"/>
      <c r="R221" s="699">
        <f>SUM(R215:R220)</f>
        <v>0</v>
      </c>
      <c r="S221" s="720"/>
      <c r="T221" s="721"/>
      <c r="U221" s="722"/>
      <c r="V221" s="698"/>
      <c r="W221" s="700"/>
    </row>
    <row r="222" spans="1:23" ht="17.25" thickBot="1">
      <c r="A222" s="701">
        <v>217</v>
      </c>
      <c r="B222" s="3372" t="s">
        <v>3125</v>
      </c>
      <c r="C222" s="3373"/>
      <c r="D222" s="3374"/>
      <c r="E222" s="702"/>
      <c r="F222" s="702"/>
      <c r="G222" s="703"/>
      <c r="H222" s="703"/>
      <c r="I222" s="703"/>
      <c r="J222" s="703"/>
      <c r="K222" s="704"/>
      <c r="L222" s="704"/>
      <c r="M222" s="704"/>
      <c r="N222" s="723">
        <f>N172+N179+N186+N193+N200+N207+N214+N221</f>
        <v>0</v>
      </c>
      <c r="O222" s="723">
        <f>O172+O179+O186+O193+O200+O207+O214+O221</f>
        <v>0</v>
      </c>
      <c r="P222" s="723">
        <f>P172+P179+P186+P193+P200+P207+P214+P221</f>
        <v>0</v>
      </c>
      <c r="Q222" s="704"/>
      <c r="R222" s="723">
        <f>R172+R179+R186+R193+R200+R207+R214+R221</f>
        <v>0</v>
      </c>
      <c r="S222" s="724"/>
      <c r="T222" s="706"/>
      <c r="U222" s="707"/>
      <c r="V222" s="704"/>
      <c r="W222" s="708"/>
    </row>
    <row r="223" spans="1:23" ht="17.25" thickBot="1">
      <c r="A223" s="725">
        <v>218</v>
      </c>
      <c r="B223" s="3368" t="s">
        <v>3126</v>
      </c>
      <c r="C223" s="3369"/>
      <c r="D223" s="3370"/>
      <c r="E223" s="726"/>
      <c r="F223" s="726"/>
      <c r="G223" s="727"/>
      <c r="H223" s="727"/>
      <c r="I223" s="727"/>
      <c r="J223" s="727"/>
      <c r="K223" s="728"/>
      <c r="L223" s="728"/>
      <c r="M223" s="728"/>
      <c r="N223" s="729">
        <f>N165+N108+N222</f>
        <v>0</v>
      </c>
      <c r="O223" s="729">
        <f>O165+O108+O222</f>
        <v>0</v>
      </c>
      <c r="P223" s="729">
        <f>P165+P108+P222</f>
        <v>0</v>
      </c>
      <c r="Q223" s="728"/>
      <c r="R223" s="729">
        <f>R165+R108+R222</f>
        <v>0</v>
      </c>
      <c r="S223" s="730"/>
      <c r="T223" s="731"/>
      <c r="U223" s="732"/>
      <c r="V223" s="728"/>
      <c r="W223" s="733"/>
    </row>
    <row r="224" spans="1:23" ht="16.5">
      <c r="B224" s="734"/>
      <c r="C224" s="735"/>
      <c r="D224" s="735"/>
      <c r="E224" s="736"/>
      <c r="F224" s="736"/>
      <c r="G224" s="736"/>
      <c r="H224" s="736"/>
      <c r="I224" s="736"/>
      <c r="J224" s="736"/>
      <c r="K224" s="736"/>
      <c r="L224" s="736"/>
      <c r="M224" s="736"/>
      <c r="N224" s="736"/>
      <c r="O224" s="736"/>
      <c r="P224" s="736"/>
      <c r="Q224" s="736"/>
      <c r="R224" s="736"/>
      <c r="S224" s="736"/>
      <c r="T224" s="737"/>
      <c r="U224" s="737"/>
      <c r="V224" s="738"/>
      <c r="W224" s="654"/>
    </row>
    <row r="225" spans="1:23" ht="16.5">
      <c r="A225" s="557" t="s">
        <v>3044</v>
      </c>
      <c r="B225" s="734"/>
      <c r="C225" s="735"/>
      <c r="D225" s="735"/>
      <c r="E225" s="736"/>
      <c r="F225" s="736"/>
      <c r="G225" s="736"/>
      <c r="H225" s="736"/>
      <c r="I225" s="736"/>
      <c r="J225" s="736"/>
      <c r="K225" s="736"/>
      <c r="L225" s="736"/>
      <c r="M225" s="736"/>
      <c r="N225" s="736"/>
      <c r="O225" s="736"/>
      <c r="P225" s="736"/>
      <c r="Q225" s="736"/>
      <c r="R225" s="736"/>
      <c r="S225" s="736"/>
      <c r="T225" s="737"/>
      <c r="U225" s="737"/>
      <c r="V225" s="738"/>
      <c r="W225" s="654"/>
    </row>
    <row r="226" spans="1:23" ht="16.5">
      <c r="A226" s="557">
        <v>1</v>
      </c>
      <c r="B226" s="735" t="s">
        <v>3127</v>
      </c>
      <c r="D226" s="735"/>
      <c r="E226" s="736"/>
      <c r="F226" s="736"/>
      <c r="G226" s="736"/>
      <c r="H226" s="736"/>
      <c r="I226" s="736"/>
      <c r="J226" s="736"/>
      <c r="K226" s="736"/>
      <c r="L226" s="736"/>
      <c r="M226" s="736"/>
      <c r="N226" s="736"/>
      <c r="O226" s="736"/>
      <c r="P226" s="736"/>
      <c r="Q226" s="736"/>
      <c r="R226" s="736"/>
      <c r="S226" s="736"/>
      <c r="T226" s="737"/>
      <c r="U226" s="737"/>
      <c r="V226" s="738"/>
      <c r="W226" s="654"/>
    </row>
    <row r="227" spans="1:23" ht="16.5">
      <c r="A227" s="734" t="s">
        <v>202</v>
      </c>
      <c r="B227" s="735" t="s">
        <v>3128</v>
      </c>
      <c r="D227" s="735"/>
      <c r="E227" s="736"/>
      <c r="F227" s="736"/>
      <c r="G227" s="736"/>
      <c r="H227" s="736"/>
      <c r="I227" s="736"/>
      <c r="J227" s="736"/>
      <c r="K227" s="736"/>
      <c r="L227" s="736"/>
      <c r="M227" s="736"/>
      <c r="N227" s="736"/>
      <c r="O227" s="736"/>
      <c r="P227" s="736"/>
      <c r="Q227" s="736"/>
      <c r="R227" s="736"/>
      <c r="S227" s="736"/>
      <c r="T227" s="737"/>
      <c r="U227" s="737"/>
      <c r="V227" s="738"/>
      <c r="W227" s="654"/>
    </row>
    <row r="228" spans="1:23">
      <c r="A228" s="557">
        <v>3</v>
      </c>
      <c r="B228" s="252" t="s">
        <v>3129</v>
      </c>
      <c r="D228" s="252"/>
      <c r="E228" s="252"/>
      <c r="F228" s="252"/>
      <c r="G228" s="252"/>
      <c r="H228" s="252"/>
      <c r="I228" s="252"/>
      <c r="J228" s="252"/>
      <c r="K228" s="252"/>
      <c r="L228" s="252"/>
      <c r="M228" s="252"/>
      <c r="N228" s="252"/>
    </row>
    <row r="229" spans="1:23">
      <c r="A229" s="557">
        <v>4</v>
      </c>
      <c r="B229" s="252" t="s">
        <v>3130</v>
      </c>
      <c r="D229" s="252"/>
      <c r="E229" s="252"/>
      <c r="F229" s="252"/>
      <c r="G229" s="252"/>
      <c r="H229" s="252"/>
      <c r="I229" s="252"/>
      <c r="J229" s="252"/>
      <c r="K229" s="252"/>
      <c r="L229" s="252"/>
      <c r="M229" s="252"/>
      <c r="N229" s="252"/>
    </row>
    <row r="230" spans="1:23" ht="16.5">
      <c r="A230" s="739" t="s">
        <v>104</v>
      </c>
      <c r="B230" s="285" t="s">
        <v>3131</v>
      </c>
      <c r="D230" s="736"/>
      <c r="E230" s="736"/>
      <c r="F230" s="736"/>
      <c r="G230" s="736"/>
      <c r="H230" s="736"/>
      <c r="I230" s="736"/>
      <c r="J230" s="736"/>
      <c r="K230" s="736"/>
      <c r="L230" s="736"/>
      <c r="M230" s="736"/>
      <c r="N230" s="736"/>
      <c r="O230" s="736"/>
      <c r="P230" s="736"/>
      <c r="Q230" s="736"/>
      <c r="R230" s="736"/>
      <c r="S230" s="736"/>
      <c r="T230" s="737"/>
      <c r="U230" s="737"/>
      <c r="V230" s="738"/>
      <c r="W230" s="654"/>
    </row>
    <row r="231" spans="1:23" ht="16.5">
      <c r="A231" s="557"/>
      <c r="B231" s="734"/>
      <c r="C231" s="735"/>
      <c r="D231" s="735"/>
      <c r="E231" s="736"/>
      <c r="F231" s="736"/>
      <c r="G231" s="736"/>
      <c r="H231" s="736"/>
      <c r="I231" s="736"/>
      <c r="J231" s="736"/>
      <c r="K231" s="736"/>
      <c r="L231" s="736"/>
      <c r="M231" s="736"/>
      <c r="N231" s="736"/>
      <c r="O231" s="736"/>
      <c r="P231" s="736"/>
      <c r="Q231" s="736"/>
      <c r="R231" s="736"/>
      <c r="S231" s="736"/>
      <c r="T231" s="737"/>
      <c r="U231" s="737"/>
      <c r="V231" s="738"/>
      <c r="W231" s="654"/>
    </row>
    <row r="232" spans="1:23" ht="16.5">
      <c r="A232" s="557"/>
      <c r="B232" s="734"/>
      <c r="C232" s="735"/>
      <c r="D232" s="735"/>
      <c r="E232" s="736"/>
      <c r="F232" s="736"/>
      <c r="G232" s="736"/>
      <c r="H232" s="736"/>
      <c r="I232" s="736"/>
      <c r="J232" s="736"/>
      <c r="K232" s="736"/>
      <c r="L232" s="736"/>
      <c r="M232" s="736"/>
      <c r="N232" s="736"/>
      <c r="O232" s="736"/>
      <c r="P232" s="736"/>
      <c r="Q232" s="736"/>
      <c r="R232" s="736"/>
      <c r="S232" s="736"/>
      <c r="T232" s="740"/>
      <c r="U232" s="740"/>
      <c r="V232" s="738"/>
      <c r="W232" s="654"/>
    </row>
    <row r="233" spans="1:23" ht="16.5">
      <c r="A233" s="734"/>
      <c r="B233" s="734"/>
      <c r="C233" s="741"/>
      <c r="D233" s="741"/>
      <c r="E233" s="736"/>
      <c r="F233" s="736"/>
      <c r="G233" s="736"/>
      <c r="H233" s="736"/>
      <c r="I233" s="736"/>
      <c r="J233" s="736"/>
      <c r="K233" s="736"/>
      <c r="L233" s="736"/>
      <c r="M233" s="736"/>
      <c r="N233" s="736"/>
      <c r="O233" s="736"/>
      <c r="P233" s="736"/>
      <c r="Q233" s="736"/>
      <c r="R233" s="736"/>
      <c r="S233" s="736"/>
      <c r="T233" s="740"/>
      <c r="U233" s="740"/>
      <c r="V233" s="738"/>
      <c r="W233" s="654"/>
    </row>
    <row r="234" spans="1:23" ht="16.5">
      <c r="A234" s="557"/>
      <c r="B234" s="734"/>
      <c r="C234" s="735"/>
      <c r="D234" s="735"/>
      <c r="E234" s="736"/>
      <c r="F234" s="736"/>
      <c r="G234" s="736"/>
      <c r="H234" s="736"/>
      <c r="I234" s="736"/>
      <c r="J234" s="736"/>
      <c r="K234" s="736"/>
      <c r="L234" s="736"/>
      <c r="M234" s="736"/>
      <c r="N234" s="736"/>
      <c r="O234" s="736"/>
      <c r="P234" s="736"/>
      <c r="Q234" s="736"/>
      <c r="R234" s="736"/>
      <c r="S234" s="736"/>
      <c r="T234" s="740"/>
      <c r="U234" s="740"/>
      <c r="V234" s="738"/>
      <c r="W234" s="654"/>
    </row>
    <row r="235" spans="1:23" ht="16.5">
      <c r="A235" s="557"/>
      <c r="B235" s="734"/>
      <c r="C235" s="735"/>
      <c r="D235" s="735"/>
      <c r="E235" s="736"/>
      <c r="F235" s="736"/>
      <c r="G235" s="736"/>
      <c r="H235" s="736"/>
      <c r="I235" s="736"/>
      <c r="J235" s="736"/>
      <c r="K235" s="736"/>
      <c r="L235" s="736"/>
      <c r="M235" s="736"/>
      <c r="N235" s="736"/>
      <c r="O235" s="736"/>
      <c r="P235" s="736"/>
      <c r="Q235" s="736"/>
      <c r="R235" s="736"/>
      <c r="S235" s="736"/>
      <c r="T235" s="737"/>
      <c r="U235" s="737"/>
      <c r="V235" s="738"/>
      <c r="W235" s="654"/>
    </row>
    <row r="236" spans="1:23" ht="16.5">
      <c r="A236" s="734"/>
      <c r="B236" s="734"/>
      <c r="C236" s="736"/>
      <c r="D236" s="735"/>
      <c r="E236" s="736"/>
      <c r="F236" s="736"/>
      <c r="G236" s="736"/>
      <c r="H236" s="736"/>
      <c r="I236" s="736"/>
      <c r="J236" s="736"/>
      <c r="K236" s="736"/>
      <c r="L236" s="736"/>
      <c r="M236" s="736"/>
      <c r="N236" s="736"/>
      <c r="O236" s="736"/>
      <c r="P236" s="736"/>
      <c r="Q236" s="736"/>
      <c r="R236" s="736"/>
      <c r="S236" s="736"/>
      <c r="T236" s="737"/>
      <c r="U236" s="737"/>
      <c r="V236" s="738"/>
      <c r="W236" s="654"/>
    </row>
    <row r="237" spans="1:23" ht="16.5">
      <c r="A237" s="557"/>
      <c r="B237" s="734"/>
      <c r="C237" s="735"/>
      <c r="D237" s="735"/>
      <c r="E237" s="736"/>
      <c r="F237" s="736"/>
      <c r="G237" s="736"/>
      <c r="H237" s="736"/>
      <c r="I237" s="736"/>
      <c r="J237" s="736"/>
      <c r="K237" s="736"/>
      <c r="L237" s="736"/>
      <c r="M237" s="736"/>
      <c r="N237" s="736"/>
      <c r="O237" s="736"/>
      <c r="P237" s="736"/>
      <c r="Q237" s="736"/>
      <c r="R237" s="736"/>
      <c r="S237" s="736"/>
      <c r="T237" s="737"/>
      <c r="U237" s="737"/>
      <c r="V237" s="738"/>
      <c r="W237" s="654"/>
    </row>
    <row r="238" spans="1:23" ht="16.5">
      <c r="A238" s="557"/>
      <c r="B238" s="734"/>
      <c r="C238" s="735"/>
      <c r="D238" s="735"/>
      <c r="E238" s="736"/>
      <c r="F238" s="736"/>
      <c r="G238" s="736"/>
      <c r="H238" s="736"/>
      <c r="I238" s="736"/>
      <c r="J238" s="736"/>
      <c r="K238" s="736"/>
      <c r="L238" s="736"/>
      <c r="M238" s="736"/>
      <c r="N238" s="736"/>
      <c r="O238" s="736"/>
      <c r="P238" s="736"/>
      <c r="Q238" s="736"/>
      <c r="R238" s="736"/>
      <c r="S238" s="736"/>
      <c r="T238" s="737"/>
      <c r="U238" s="737"/>
      <c r="V238" s="738"/>
      <c r="W238" s="654"/>
    </row>
    <row r="239" spans="1:23" ht="16.5">
      <c r="A239" s="734"/>
      <c r="B239" s="734"/>
      <c r="C239" s="736"/>
      <c r="D239" s="736"/>
      <c r="E239" s="736"/>
      <c r="F239" s="736"/>
      <c r="G239" s="736"/>
      <c r="H239" s="736"/>
      <c r="I239" s="736"/>
      <c r="J239" s="736"/>
      <c r="K239" s="736"/>
      <c r="L239" s="736"/>
      <c r="M239" s="736"/>
      <c r="N239" s="736"/>
      <c r="O239" s="736"/>
      <c r="P239" s="736"/>
      <c r="Q239" s="736"/>
      <c r="R239" s="736"/>
      <c r="S239" s="736"/>
      <c r="T239" s="654"/>
      <c r="U239" s="654"/>
      <c r="V239" s="654"/>
      <c r="W239" s="654"/>
    </row>
    <row r="240" spans="1:23" ht="16.5">
      <c r="A240" s="557"/>
      <c r="B240" s="734"/>
      <c r="C240" s="654"/>
      <c r="D240" s="654"/>
      <c r="E240" s="736"/>
      <c r="F240" s="736"/>
      <c r="G240" s="736"/>
      <c r="H240" s="736"/>
      <c r="I240" s="736"/>
      <c r="J240" s="736"/>
      <c r="K240" s="736"/>
      <c r="L240" s="736"/>
      <c r="M240" s="736"/>
      <c r="N240" s="736"/>
      <c r="O240" s="736"/>
      <c r="P240" s="736"/>
      <c r="Q240" s="736"/>
      <c r="R240" s="736"/>
      <c r="S240" s="736"/>
      <c r="T240" s="654"/>
      <c r="U240" s="654"/>
      <c r="V240" s="654"/>
      <c r="W240" s="654"/>
    </row>
    <row r="241" spans="1:23" ht="16.5">
      <c r="A241" s="557"/>
      <c r="B241" s="734"/>
      <c r="C241" s="736"/>
      <c r="D241" s="736"/>
      <c r="E241" s="742"/>
      <c r="F241" s="742"/>
      <c r="G241" s="742"/>
      <c r="H241" s="742"/>
      <c r="I241" s="742"/>
      <c r="J241" s="742"/>
      <c r="K241" s="742"/>
      <c r="L241" s="742"/>
      <c r="M241" s="742"/>
      <c r="N241" s="742"/>
      <c r="O241" s="742"/>
      <c r="P241" s="736"/>
      <c r="Q241" s="742"/>
      <c r="R241" s="742"/>
      <c r="S241" s="742"/>
      <c r="T241" s="654"/>
      <c r="U241" s="654"/>
      <c r="V241" s="654"/>
      <c r="W241" s="654"/>
    </row>
    <row r="242" spans="1:23" ht="16.5">
      <c r="A242" s="734"/>
      <c r="B242" s="734"/>
      <c r="C242" s="735"/>
      <c r="D242" s="735"/>
      <c r="E242" s="742"/>
      <c r="F242" s="742"/>
      <c r="G242" s="742"/>
      <c r="H242" s="742"/>
      <c r="I242" s="742"/>
      <c r="J242" s="742"/>
      <c r="K242" s="742"/>
      <c r="L242" s="742"/>
      <c r="M242" s="742"/>
      <c r="N242" s="742"/>
      <c r="O242" s="742"/>
      <c r="P242" s="736"/>
      <c r="Q242" s="742"/>
      <c r="R242" s="742"/>
      <c r="S242" s="742"/>
      <c r="T242" s="654"/>
      <c r="U242" s="654"/>
      <c r="V242" s="654"/>
      <c r="W242" s="654"/>
    </row>
    <row r="243" spans="1:23" ht="16.5">
      <c r="A243" s="557"/>
      <c r="B243" s="734"/>
      <c r="C243" s="736"/>
      <c r="D243" s="736"/>
      <c r="E243" s="740"/>
      <c r="F243" s="743"/>
      <c r="G243" s="740"/>
      <c r="H243" s="740"/>
      <c r="I243" s="740"/>
      <c r="J243" s="740"/>
      <c r="K243" s="740"/>
      <c r="L243" s="740"/>
      <c r="M243" s="740"/>
      <c r="N243" s="740"/>
      <c r="O243" s="740"/>
      <c r="P243" s="742"/>
      <c r="Q243" s="740"/>
      <c r="R243" s="740"/>
      <c r="S243" s="740"/>
      <c r="T243" s="654"/>
      <c r="U243" s="654"/>
      <c r="V243" s="654"/>
      <c r="W243" s="654"/>
    </row>
    <row r="244" spans="1:23" ht="16.5">
      <c r="A244" s="734"/>
      <c r="B244" s="734"/>
      <c r="C244" s="736"/>
      <c r="D244" s="736"/>
      <c r="E244" s="740"/>
      <c r="F244" s="743"/>
      <c r="G244" s="740"/>
      <c r="H244" s="740"/>
      <c r="I244" s="740"/>
      <c r="J244" s="740"/>
      <c r="K244" s="740"/>
      <c r="L244" s="740"/>
      <c r="M244" s="740"/>
      <c r="N244" s="740"/>
      <c r="O244" s="740"/>
      <c r="P244" s="737"/>
      <c r="Q244" s="740"/>
      <c r="R244" s="740"/>
      <c r="S244" s="740"/>
      <c r="T244" s="654"/>
      <c r="U244" s="654"/>
      <c r="V244" s="654"/>
      <c r="W244" s="654"/>
    </row>
    <row r="245" spans="1:23" ht="16.5">
      <c r="A245" s="734"/>
      <c r="B245" s="734"/>
      <c r="C245" s="736"/>
      <c r="D245" s="736"/>
      <c r="E245" s="740"/>
      <c r="F245" s="743"/>
      <c r="G245" s="740"/>
      <c r="H245" s="740"/>
      <c r="I245" s="740"/>
      <c r="J245" s="740"/>
      <c r="K245" s="740"/>
      <c r="L245" s="740"/>
      <c r="M245" s="740"/>
      <c r="N245" s="740"/>
      <c r="O245" s="740"/>
      <c r="P245" s="740"/>
      <c r="Q245" s="740"/>
      <c r="R245" s="740"/>
      <c r="S245" s="740"/>
      <c r="T245" s="654"/>
      <c r="U245" s="654"/>
      <c r="V245" s="654"/>
      <c r="W245" s="654"/>
    </row>
    <row r="246" spans="1:23" ht="16.5">
      <c r="A246" s="734"/>
      <c r="B246" s="734"/>
      <c r="C246" s="736"/>
      <c r="D246" s="736"/>
      <c r="E246" s="738"/>
      <c r="F246" s="744"/>
      <c r="G246" s="738"/>
      <c r="H246" s="738"/>
      <c r="I246" s="738"/>
      <c r="J246" s="738"/>
      <c r="K246" s="738"/>
      <c r="L246" s="738"/>
      <c r="M246" s="738"/>
      <c r="N246" s="738"/>
      <c r="O246" s="738"/>
      <c r="P246" s="740"/>
      <c r="Q246" s="738"/>
      <c r="R246" s="738"/>
      <c r="S246" s="738"/>
      <c r="T246" s="654"/>
      <c r="U246" s="654"/>
      <c r="V246" s="654"/>
      <c r="W246" s="654"/>
    </row>
    <row r="247" spans="1:23" ht="16.5">
      <c r="A247" s="734"/>
      <c r="B247" s="734"/>
      <c r="C247" s="736"/>
      <c r="D247" s="736"/>
      <c r="E247" s="654"/>
      <c r="F247" s="745"/>
      <c r="G247" s="654"/>
      <c r="H247" s="654"/>
      <c r="I247" s="654"/>
      <c r="J247" s="654"/>
      <c r="K247" s="654"/>
      <c r="L247" s="654"/>
      <c r="M247" s="654"/>
      <c r="N247" s="654"/>
      <c r="O247" s="654"/>
      <c r="P247" s="740"/>
      <c r="Q247" s="654"/>
      <c r="R247" s="654"/>
      <c r="S247" s="654"/>
      <c r="T247" s="654"/>
      <c r="U247" s="654"/>
      <c r="V247" s="654"/>
      <c r="W247" s="654"/>
    </row>
  </sheetData>
  <mergeCells count="62">
    <mergeCell ref="A3:A5"/>
    <mergeCell ref="B3:B4"/>
    <mergeCell ref="C3:D4"/>
    <mergeCell ref="D19:D30"/>
    <mergeCell ref="C6:C31"/>
    <mergeCell ref="D6:D17"/>
    <mergeCell ref="B6:B107"/>
    <mergeCell ref="D101:D106"/>
    <mergeCell ref="C87:C107"/>
    <mergeCell ref="C32:C53"/>
    <mergeCell ref="D54:D63"/>
    <mergeCell ref="D43:D52"/>
    <mergeCell ref="D32:D41"/>
    <mergeCell ref="D65:D74"/>
    <mergeCell ref="D76:D85"/>
    <mergeCell ref="D109:D114"/>
    <mergeCell ref="D116:D121"/>
    <mergeCell ref="C109:C122"/>
    <mergeCell ref="C54:C86"/>
    <mergeCell ref="D87:D92"/>
    <mergeCell ref="D94:D99"/>
    <mergeCell ref="B108:D108"/>
    <mergeCell ref="B109:B164"/>
    <mergeCell ref="C166:C179"/>
    <mergeCell ref="D166:D171"/>
    <mergeCell ref="C144:C164"/>
    <mergeCell ref="C123:C143"/>
    <mergeCell ref="D137:D142"/>
    <mergeCell ref="D130:D135"/>
    <mergeCell ref="D123:D128"/>
    <mergeCell ref="W3:W4"/>
    <mergeCell ref="C5:D5"/>
    <mergeCell ref="R3:R4"/>
    <mergeCell ref="N3:N4"/>
    <mergeCell ref="O3:O4"/>
    <mergeCell ref="S3:S4"/>
    <mergeCell ref="V3:V4"/>
    <mergeCell ref="T3:T4"/>
    <mergeCell ref="U3:U4"/>
    <mergeCell ref="Q3:Q4"/>
    <mergeCell ref="K3:K4"/>
    <mergeCell ref="E3:I3"/>
    <mergeCell ref="P3:P4"/>
    <mergeCell ref="L3:L4"/>
    <mergeCell ref="J3:J4"/>
    <mergeCell ref="M3:M4"/>
    <mergeCell ref="B223:D223"/>
    <mergeCell ref="D144:D149"/>
    <mergeCell ref="D151:D156"/>
    <mergeCell ref="D158:D163"/>
    <mergeCell ref="B165:D165"/>
    <mergeCell ref="B166:B221"/>
    <mergeCell ref="B222:D222"/>
    <mergeCell ref="D180:D185"/>
    <mergeCell ref="D187:D192"/>
    <mergeCell ref="D194:D199"/>
    <mergeCell ref="C201:C221"/>
    <mergeCell ref="D201:D206"/>
    <mergeCell ref="D208:D213"/>
    <mergeCell ref="D215:D220"/>
    <mergeCell ref="C180:C200"/>
    <mergeCell ref="D173:D178"/>
  </mergeCells>
  <phoneticPr fontId="9" type="noConversion"/>
  <pageMargins left="0.51181102362204722" right="0.35433070866141736" top="0.39370078740157483" bottom="0.27559055118110237" header="0.15748031496062992" footer="0.23622047244094491"/>
  <pageSetup paperSize="9" scale="35" fitToHeight="2" orientation="portrait" r:id="rId1"/>
  <headerFooter alignWithMargins="0">
    <oddFooter>&amp;C&amp;P/&amp;N&amp;R&amp;A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L54"/>
  <sheetViews>
    <sheetView showGridLines="0" view="pageBreakPreview" zoomScaleNormal="90" zoomScaleSheetLayoutView="100" workbookViewId="0">
      <pane xSplit="3" ySplit="5" topLeftCell="D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21.375" style="514" customWidth="1"/>
    <col min="4" max="4" width="14.875" style="514" customWidth="1"/>
    <col min="5" max="5" width="12.75" style="514" customWidth="1"/>
    <col min="6" max="6" width="10.5" style="514" customWidth="1"/>
    <col min="7" max="7" width="32.75" style="514" customWidth="1"/>
    <col min="8" max="8" width="14" style="514" customWidth="1"/>
    <col min="9" max="9" width="11.375" style="514" customWidth="1"/>
    <col min="10" max="10" width="34.25" style="514" customWidth="1"/>
    <col min="11" max="11" width="13" style="514" customWidth="1"/>
    <col min="12" max="12" width="10.875" style="514" customWidth="1"/>
    <col min="13" max="16384" width="9" style="514"/>
  </cols>
  <sheetData>
    <row r="1" spans="1:12" ht="16.5">
      <c r="A1" s="14" t="str">
        <f>+封面!A3</f>
        <v xml:space="preserve">        保險股份有限公司(○○分公司)</v>
      </c>
      <c r="B1" s="287"/>
      <c r="C1" s="287"/>
      <c r="D1" s="287"/>
      <c r="E1" s="287"/>
      <c r="F1" s="287"/>
      <c r="G1" s="287"/>
      <c r="H1" s="287"/>
      <c r="I1" s="287"/>
      <c r="J1" s="287"/>
      <c r="K1" s="287"/>
      <c r="L1" s="287"/>
    </row>
    <row r="2" spans="1:12" ht="16.5" thickBot="1">
      <c r="A2" s="515" t="s">
        <v>3049</v>
      </c>
      <c r="B2" s="515"/>
      <c r="C2" s="287"/>
      <c r="D2" s="287"/>
      <c r="E2" s="287"/>
      <c r="F2" s="287"/>
      <c r="G2" s="287"/>
      <c r="H2" s="287"/>
      <c r="I2" s="287"/>
      <c r="J2" s="287" t="s">
        <v>3027</v>
      </c>
      <c r="K2" s="287"/>
      <c r="L2" s="287"/>
    </row>
    <row r="3" spans="1:12" ht="16.5" customHeight="1">
      <c r="A3" s="3397" t="s">
        <v>1862</v>
      </c>
      <c r="B3" s="3399" t="s">
        <v>3050</v>
      </c>
      <c r="C3" s="3400"/>
      <c r="D3" s="3403" t="s">
        <v>3051</v>
      </c>
      <c r="E3" s="3404"/>
      <c r="F3" s="3404"/>
      <c r="G3" s="3405" t="s">
        <v>3052</v>
      </c>
      <c r="H3" s="3404"/>
      <c r="I3" s="3406"/>
      <c r="J3" s="3390" t="s">
        <v>3053</v>
      </c>
      <c r="K3" s="3390"/>
      <c r="L3" s="3391"/>
    </row>
    <row r="4" spans="1:12" ht="28.5">
      <c r="A4" s="3398"/>
      <c r="B4" s="3401"/>
      <c r="C4" s="3402"/>
      <c r="D4" s="516" t="s">
        <v>3032</v>
      </c>
      <c r="E4" s="284" t="s">
        <v>2765</v>
      </c>
      <c r="F4" s="565" t="s">
        <v>3033</v>
      </c>
      <c r="G4" s="516" t="s">
        <v>3032</v>
      </c>
      <c r="H4" s="284" t="s">
        <v>2765</v>
      </c>
      <c r="I4" s="566" t="s">
        <v>3033</v>
      </c>
      <c r="J4" s="518" t="s">
        <v>3032</v>
      </c>
      <c r="K4" s="284" t="s">
        <v>2765</v>
      </c>
      <c r="L4" s="566" t="s">
        <v>3033</v>
      </c>
    </row>
    <row r="5" spans="1:12" ht="16.5" thickBot="1">
      <c r="A5" s="3398"/>
      <c r="B5" s="3392" t="s">
        <v>422</v>
      </c>
      <c r="C5" s="3393"/>
      <c r="D5" s="520" t="s">
        <v>409</v>
      </c>
      <c r="E5" s="568" t="s">
        <v>445</v>
      </c>
      <c r="F5" s="567" t="s">
        <v>445</v>
      </c>
      <c r="G5" s="569" t="s">
        <v>139</v>
      </c>
      <c r="H5" s="568" t="s">
        <v>33</v>
      </c>
      <c r="I5" s="570" t="s">
        <v>140</v>
      </c>
      <c r="J5" s="571" t="s">
        <v>141</v>
      </c>
      <c r="K5" s="568" t="s">
        <v>272</v>
      </c>
      <c r="L5" s="570" t="s">
        <v>142</v>
      </c>
    </row>
    <row r="6" spans="1:12">
      <c r="A6" s="523">
        <v>1</v>
      </c>
      <c r="B6" s="3394" t="s">
        <v>3054</v>
      </c>
      <c r="C6" s="572" t="s">
        <v>3035</v>
      </c>
      <c r="D6" s="573"/>
      <c r="E6" s="574"/>
      <c r="F6" s="575"/>
      <c r="G6" s="576">
        <f>'表16-1-1'!N18</f>
        <v>0</v>
      </c>
      <c r="H6" s="530">
        <f>'表16-1-1'!O18</f>
        <v>0</v>
      </c>
      <c r="I6" s="531">
        <f>'表16-1-1'!P18</f>
        <v>0</v>
      </c>
      <c r="J6" s="548">
        <f>'表16-1-1'!N31</f>
        <v>0</v>
      </c>
      <c r="K6" s="530">
        <f>'表16-1-1'!O31</f>
        <v>0</v>
      </c>
      <c r="L6" s="531">
        <f>'表16-1-1'!P31</f>
        <v>0</v>
      </c>
    </row>
    <row r="7" spans="1:12">
      <c r="A7" s="532">
        <v>2</v>
      </c>
      <c r="B7" s="3395"/>
      <c r="C7" s="533" t="s">
        <v>3047</v>
      </c>
      <c r="D7" s="534"/>
      <c r="E7" s="535"/>
      <c r="F7" s="577"/>
      <c r="G7" s="578">
        <f>'表16-1-2'!M18</f>
        <v>0</v>
      </c>
      <c r="H7" s="535"/>
      <c r="I7" s="579">
        <f>'表16-1-2'!N18</f>
        <v>0</v>
      </c>
      <c r="J7" s="537">
        <f>'表16-1-2'!M31</f>
        <v>0</v>
      </c>
      <c r="K7" s="535"/>
      <c r="L7" s="539">
        <f>'表16-1-2'!N31</f>
        <v>0</v>
      </c>
    </row>
    <row r="8" spans="1:12" ht="23.25" customHeight="1">
      <c r="A8" s="532">
        <v>3</v>
      </c>
      <c r="B8" s="3300"/>
      <c r="C8" s="533" t="s">
        <v>3048</v>
      </c>
      <c r="D8" s="534"/>
      <c r="E8" s="535"/>
      <c r="F8" s="577"/>
      <c r="G8" s="578">
        <f>'表16-1-3'!N18</f>
        <v>0</v>
      </c>
      <c r="H8" s="538">
        <f>'表16-1-3'!O18</f>
        <v>0</v>
      </c>
      <c r="I8" s="579">
        <f>'表16-1-3'!P18</f>
        <v>0</v>
      </c>
      <c r="J8" s="537">
        <f>'表16-1-3'!N31</f>
        <v>0</v>
      </c>
      <c r="K8" s="538">
        <f>'表16-1-3'!O31</f>
        <v>0</v>
      </c>
      <c r="L8" s="539">
        <f>'表16-1-3'!P31</f>
        <v>0</v>
      </c>
    </row>
    <row r="9" spans="1:12" ht="22.9" customHeight="1">
      <c r="A9" s="532">
        <v>4</v>
      </c>
      <c r="B9" s="3300"/>
      <c r="C9" s="533" t="s">
        <v>3036</v>
      </c>
      <c r="D9" s="534"/>
      <c r="E9" s="535"/>
      <c r="F9" s="577"/>
      <c r="G9" s="578">
        <f>'表16-1-4'!N18</f>
        <v>0</v>
      </c>
      <c r="H9" s="538">
        <f>'表16-1-4'!O18</f>
        <v>0</v>
      </c>
      <c r="I9" s="579">
        <f>'表16-1-4'!P18</f>
        <v>0</v>
      </c>
      <c r="J9" s="537">
        <f>'表16-1-4'!N31</f>
        <v>0</v>
      </c>
      <c r="K9" s="538">
        <f>'表16-1-4'!O31</f>
        <v>0</v>
      </c>
      <c r="L9" s="539">
        <f>'表16-1-4'!P31</f>
        <v>0</v>
      </c>
    </row>
    <row r="10" spans="1:12">
      <c r="A10" s="532">
        <v>5</v>
      </c>
      <c r="B10" s="3300"/>
      <c r="C10" s="533" t="s">
        <v>3055</v>
      </c>
      <c r="D10" s="534"/>
      <c r="E10" s="535"/>
      <c r="F10" s="577"/>
      <c r="G10" s="578">
        <f>'表16-1-5'!N18</f>
        <v>0</v>
      </c>
      <c r="H10" s="538">
        <f>'表16-1-5'!O18</f>
        <v>0</v>
      </c>
      <c r="I10" s="579">
        <f>'表16-1-5'!P18</f>
        <v>0</v>
      </c>
      <c r="J10" s="537">
        <f>'表16-1-5'!N31</f>
        <v>0</v>
      </c>
      <c r="K10" s="538">
        <f>'表16-1-5'!O31</f>
        <v>0</v>
      </c>
      <c r="L10" s="539">
        <f>'表16-1-5'!P31</f>
        <v>0</v>
      </c>
    </row>
    <row r="11" spans="1:12" ht="16.5" thickBot="1">
      <c r="A11" s="560">
        <v>6</v>
      </c>
      <c r="B11" s="3396"/>
      <c r="C11" s="540" t="s">
        <v>3056</v>
      </c>
      <c r="D11" s="580"/>
      <c r="E11" s="581"/>
      <c r="F11" s="581"/>
      <c r="G11" s="582">
        <f t="shared" ref="G11:L11" si="0">SUM(G6:G10)</f>
        <v>0</v>
      </c>
      <c r="H11" s="545">
        <f t="shared" si="0"/>
        <v>0</v>
      </c>
      <c r="I11" s="583">
        <f t="shared" si="0"/>
        <v>0</v>
      </c>
      <c r="J11" s="584">
        <f t="shared" si="0"/>
        <v>0</v>
      </c>
      <c r="K11" s="545">
        <f t="shared" si="0"/>
        <v>0</v>
      </c>
      <c r="L11" s="546">
        <f t="shared" si="0"/>
        <v>0</v>
      </c>
    </row>
    <row r="12" spans="1:12">
      <c r="A12" s="523">
        <v>7</v>
      </c>
      <c r="B12" s="3410" t="s">
        <v>3057</v>
      </c>
      <c r="C12" s="572" t="s">
        <v>3035</v>
      </c>
      <c r="D12" s="585"/>
      <c r="E12" s="574"/>
      <c r="F12" s="575"/>
      <c r="G12" s="576">
        <f>'表16-1-1'!N42</f>
        <v>0</v>
      </c>
      <c r="H12" s="530">
        <f>'表16-1-1'!O42</f>
        <v>0</v>
      </c>
      <c r="I12" s="586">
        <f>'表16-1-1'!P42</f>
        <v>0</v>
      </c>
      <c r="J12" s="548">
        <f>'表16-1-1'!N53</f>
        <v>0</v>
      </c>
      <c r="K12" s="530">
        <f>'表16-1-1'!O53</f>
        <v>0</v>
      </c>
      <c r="L12" s="531">
        <f>'表16-1-1'!P53</f>
        <v>0</v>
      </c>
    </row>
    <row r="13" spans="1:12">
      <c r="A13" s="532">
        <f>A12+1</f>
        <v>8</v>
      </c>
      <c r="B13" s="3371"/>
      <c r="C13" s="533" t="s">
        <v>3047</v>
      </c>
      <c r="D13" s="534"/>
      <c r="E13" s="535"/>
      <c r="F13" s="577"/>
      <c r="G13" s="578">
        <f>'表16-1-2'!M42</f>
        <v>0</v>
      </c>
      <c r="H13" s="535"/>
      <c r="I13" s="579">
        <f>'表16-1-2'!N42</f>
        <v>0</v>
      </c>
      <c r="J13" s="537">
        <f>'表16-1-2'!M53</f>
        <v>0</v>
      </c>
      <c r="K13" s="535"/>
      <c r="L13" s="539">
        <f>'表16-1-2'!N53</f>
        <v>0</v>
      </c>
    </row>
    <row r="14" spans="1:12" ht="21.75" customHeight="1">
      <c r="A14" s="532">
        <f t="shared" ref="A14:A39" si="1">A13+1</f>
        <v>9</v>
      </c>
      <c r="B14" s="3371"/>
      <c r="C14" s="533" t="s">
        <v>3048</v>
      </c>
      <c r="D14" s="534"/>
      <c r="E14" s="535"/>
      <c r="F14" s="577"/>
      <c r="G14" s="578">
        <f>'表16-1-3'!N42</f>
        <v>0</v>
      </c>
      <c r="H14" s="538">
        <f>'表16-1-3'!O42</f>
        <v>0</v>
      </c>
      <c r="I14" s="579">
        <f>'表16-1-3'!P42</f>
        <v>0</v>
      </c>
      <c r="J14" s="537">
        <f>'表16-1-3'!N53</f>
        <v>0</v>
      </c>
      <c r="K14" s="538">
        <f>'表16-1-3'!O53</f>
        <v>0</v>
      </c>
      <c r="L14" s="539">
        <f>'表16-1-3'!P53</f>
        <v>0</v>
      </c>
    </row>
    <row r="15" spans="1:12" ht="21.75" customHeight="1">
      <c r="A15" s="532">
        <f t="shared" si="1"/>
        <v>10</v>
      </c>
      <c r="B15" s="3371"/>
      <c r="C15" s="533" t="s">
        <v>3036</v>
      </c>
      <c r="D15" s="534"/>
      <c r="E15" s="535"/>
      <c r="F15" s="577"/>
      <c r="G15" s="578">
        <f>'表16-1-4'!N42</f>
        <v>0</v>
      </c>
      <c r="H15" s="538">
        <f>'表16-1-4'!O42</f>
        <v>0</v>
      </c>
      <c r="I15" s="579">
        <f>'表16-1-4'!P42</f>
        <v>0</v>
      </c>
      <c r="J15" s="537">
        <f>'表16-1-4'!N53</f>
        <v>0</v>
      </c>
      <c r="K15" s="538">
        <f>'表16-1-4'!O53</f>
        <v>0</v>
      </c>
      <c r="L15" s="539">
        <f>'表16-1-4'!P53</f>
        <v>0</v>
      </c>
    </row>
    <row r="16" spans="1:12">
      <c r="A16" s="532">
        <f t="shared" si="1"/>
        <v>11</v>
      </c>
      <c r="B16" s="3371"/>
      <c r="C16" s="533" t="s">
        <v>3055</v>
      </c>
      <c r="D16" s="534"/>
      <c r="E16" s="535"/>
      <c r="F16" s="577"/>
      <c r="G16" s="578">
        <f>'表16-1-5'!N42</f>
        <v>0</v>
      </c>
      <c r="H16" s="538">
        <f>'表16-1-5'!O42</f>
        <v>0</v>
      </c>
      <c r="I16" s="579">
        <f>'表16-1-5'!P42</f>
        <v>0</v>
      </c>
      <c r="J16" s="537">
        <f>'表16-1-5'!N53</f>
        <v>0</v>
      </c>
      <c r="K16" s="538">
        <f>'表16-1-5'!O53</f>
        <v>0</v>
      </c>
      <c r="L16" s="539">
        <f>'表16-1-5'!P53</f>
        <v>0</v>
      </c>
    </row>
    <row r="17" spans="1:12" ht="16.5" thickBot="1">
      <c r="A17" s="532">
        <f t="shared" si="1"/>
        <v>12</v>
      </c>
      <c r="B17" s="3314"/>
      <c r="C17" s="540" t="s">
        <v>3058</v>
      </c>
      <c r="D17" s="587"/>
      <c r="E17" s="588"/>
      <c r="F17" s="588"/>
      <c r="G17" s="589">
        <f t="shared" ref="G17:L17" si="2">SUM(G12:G16)</f>
        <v>0</v>
      </c>
      <c r="H17" s="590">
        <f t="shared" si="2"/>
        <v>0</v>
      </c>
      <c r="I17" s="591">
        <f t="shared" si="2"/>
        <v>0</v>
      </c>
      <c r="J17" s="592">
        <f t="shared" si="2"/>
        <v>0</v>
      </c>
      <c r="K17" s="590">
        <f t="shared" si="2"/>
        <v>0</v>
      </c>
      <c r="L17" s="593">
        <f t="shared" si="2"/>
        <v>0</v>
      </c>
    </row>
    <row r="18" spans="1:12" ht="16.5" thickBot="1">
      <c r="A18" s="594">
        <f t="shared" si="1"/>
        <v>13</v>
      </c>
      <c r="B18" s="3411" t="s">
        <v>3059</v>
      </c>
      <c r="C18" s="3412"/>
      <c r="D18" s="541"/>
      <c r="E18" s="542"/>
      <c r="F18" s="581"/>
      <c r="G18" s="595">
        <f t="shared" ref="G18:L18" si="3">G17+G11</f>
        <v>0</v>
      </c>
      <c r="H18" s="545">
        <f t="shared" si="3"/>
        <v>0</v>
      </c>
      <c r="I18" s="583">
        <f t="shared" si="3"/>
        <v>0</v>
      </c>
      <c r="J18" s="544">
        <f t="shared" si="3"/>
        <v>0</v>
      </c>
      <c r="K18" s="545">
        <f t="shared" si="3"/>
        <v>0</v>
      </c>
      <c r="L18" s="546">
        <f t="shared" si="3"/>
        <v>0</v>
      </c>
    </row>
    <row r="19" spans="1:12" ht="15.75" customHeight="1">
      <c r="A19" s="523">
        <f t="shared" si="1"/>
        <v>14</v>
      </c>
      <c r="B19" s="3341" t="s">
        <v>3060</v>
      </c>
      <c r="C19" s="524" t="s">
        <v>3061</v>
      </c>
      <c r="D19" s="551">
        <f>'表16-1-1'!N64</f>
        <v>0</v>
      </c>
      <c r="E19" s="596">
        <f>'表16-1-1'!O64</f>
        <v>0</v>
      </c>
      <c r="F19" s="597">
        <f>'表16-1-1'!P64</f>
        <v>0</v>
      </c>
      <c r="G19" s="598"/>
      <c r="H19" s="574"/>
      <c r="I19" s="599"/>
      <c r="J19" s="600"/>
      <c r="K19" s="574"/>
      <c r="L19" s="601"/>
    </row>
    <row r="20" spans="1:12">
      <c r="A20" s="532">
        <f t="shared" si="1"/>
        <v>15</v>
      </c>
      <c r="B20" s="3415"/>
      <c r="C20" s="602" t="s">
        <v>3062</v>
      </c>
      <c r="D20" s="603">
        <f>'表16-1-3'!N64</f>
        <v>0</v>
      </c>
      <c r="E20" s="562">
        <f>'表16-1-3'!O64</f>
        <v>0</v>
      </c>
      <c r="F20" s="604">
        <f>'表16-1-3'!P64</f>
        <v>0</v>
      </c>
      <c r="G20" s="605"/>
      <c r="H20" s="535"/>
      <c r="I20" s="606"/>
      <c r="J20" s="607"/>
      <c r="K20" s="535"/>
      <c r="L20" s="536"/>
    </row>
    <row r="21" spans="1:12">
      <c r="A21" s="532">
        <f t="shared" si="1"/>
        <v>16</v>
      </c>
      <c r="B21" s="3415"/>
      <c r="C21" s="602" t="s">
        <v>3063</v>
      </c>
      <c r="D21" s="603">
        <f>D19+D20</f>
        <v>0</v>
      </c>
      <c r="E21" s="562">
        <f>E19+E20</f>
        <v>0</v>
      </c>
      <c r="F21" s="608">
        <f>F19+F20</f>
        <v>0</v>
      </c>
      <c r="G21" s="605"/>
      <c r="H21" s="535"/>
      <c r="I21" s="606"/>
      <c r="J21" s="607"/>
      <c r="K21" s="535"/>
      <c r="L21" s="536"/>
    </row>
    <row r="22" spans="1:12">
      <c r="A22" s="532">
        <f t="shared" si="1"/>
        <v>17</v>
      </c>
      <c r="B22" s="3415"/>
      <c r="C22" s="609" t="s">
        <v>3061</v>
      </c>
      <c r="D22" s="603">
        <f>'表16-1-1'!N75</f>
        <v>0</v>
      </c>
      <c r="E22" s="562">
        <f>'表16-1-1'!O75</f>
        <v>0</v>
      </c>
      <c r="F22" s="604">
        <f>'表16-1-1'!P75</f>
        <v>0</v>
      </c>
      <c r="G22" s="605"/>
      <c r="H22" s="535"/>
      <c r="I22" s="606"/>
      <c r="J22" s="607"/>
      <c r="K22" s="535"/>
      <c r="L22" s="536"/>
    </row>
    <row r="23" spans="1:12">
      <c r="A23" s="532">
        <f t="shared" si="1"/>
        <v>18</v>
      </c>
      <c r="B23" s="3415"/>
      <c r="C23" s="602" t="s">
        <v>3062</v>
      </c>
      <c r="D23" s="603">
        <f>'表16-1-3'!N75</f>
        <v>0</v>
      </c>
      <c r="E23" s="562">
        <f>'表16-1-3'!O75</f>
        <v>0</v>
      </c>
      <c r="F23" s="604">
        <f>'表16-1-3'!P75</f>
        <v>0</v>
      </c>
      <c r="G23" s="605"/>
      <c r="H23" s="535"/>
      <c r="I23" s="606"/>
      <c r="J23" s="607"/>
      <c r="K23" s="535"/>
      <c r="L23" s="536"/>
    </row>
    <row r="24" spans="1:12">
      <c r="A24" s="532">
        <f t="shared" si="1"/>
        <v>19</v>
      </c>
      <c r="B24" s="3415"/>
      <c r="C24" s="610" t="s">
        <v>3064</v>
      </c>
      <c r="D24" s="608">
        <f>D22+D23</f>
        <v>0</v>
      </c>
      <c r="E24" s="562">
        <f>E22+E23</f>
        <v>0</v>
      </c>
      <c r="F24" s="604">
        <f>F22+F23</f>
        <v>0</v>
      </c>
      <c r="G24" s="611"/>
      <c r="H24" s="612"/>
      <c r="I24" s="613"/>
      <c r="J24" s="614"/>
      <c r="K24" s="612"/>
      <c r="L24" s="615"/>
    </row>
    <row r="25" spans="1:12" ht="16.5" thickBot="1">
      <c r="A25" s="532">
        <f t="shared" si="1"/>
        <v>20</v>
      </c>
      <c r="B25" s="3342"/>
      <c r="C25" s="616" t="s">
        <v>3065</v>
      </c>
      <c r="D25" s="544">
        <f>D21+D24</f>
        <v>0</v>
      </c>
      <c r="E25" s="545">
        <f>E21+E24</f>
        <v>0</v>
      </c>
      <c r="F25" s="617">
        <f>F21+F24</f>
        <v>0</v>
      </c>
      <c r="G25" s="618"/>
      <c r="H25" s="542"/>
      <c r="I25" s="619"/>
      <c r="J25" s="620"/>
      <c r="K25" s="542"/>
      <c r="L25" s="543"/>
    </row>
    <row r="26" spans="1:12" ht="15.75" customHeight="1">
      <c r="A26" s="532">
        <f t="shared" si="1"/>
        <v>21</v>
      </c>
      <c r="B26" s="3416" t="s">
        <v>3066</v>
      </c>
      <c r="C26" s="621" t="s">
        <v>3035</v>
      </c>
      <c r="D26" s="622">
        <f>'表16-1-1'!N86</f>
        <v>0</v>
      </c>
      <c r="E26" s="622">
        <f>'表16-1-1'!O86</f>
        <v>0</v>
      </c>
      <c r="F26" s="622">
        <f>'表16-1-1'!P86</f>
        <v>0</v>
      </c>
      <c r="G26" s="576">
        <f>'表16-1-1'!N97</f>
        <v>0</v>
      </c>
      <c r="H26" s="530">
        <f>'表16-1-1'!O97</f>
        <v>0</v>
      </c>
      <c r="I26" s="586">
        <f>'表16-1-1'!P97</f>
        <v>0</v>
      </c>
      <c r="J26" s="548">
        <f>'表16-1-1'!N108</f>
        <v>0</v>
      </c>
      <c r="K26" s="530">
        <f>'表16-1-1'!O108</f>
        <v>0</v>
      </c>
      <c r="L26" s="531">
        <f>'表16-1-1'!P108</f>
        <v>0</v>
      </c>
    </row>
    <row r="27" spans="1:12">
      <c r="A27" s="532">
        <f t="shared" si="1"/>
        <v>22</v>
      </c>
      <c r="B27" s="3417"/>
      <c r="C27" s="623" t="s">
        <v>3047</v>
      </c>
      <c r="D27" s="624">
        <f>'表16-1-2'!M64</f>
        <v>0</v>
      </c>
      <c r="E27" s="535"/>
      <c r="F27" s="624">
        <f>'表16-1-2'!N64</f>
        <v>0</v>
      </c>
      <c r="G27" s="578">
        <f>'表16-1-2'!M75</f>
        <v>0</v>
      </c>
      <c r="H27" s="535"/>
      <c r="I27" s="579">
        <f>'表16-1-2'!N75</f>
        <v>0</v>
      </c>
      <c r="J27" s="537">
        <f>'表16-1-2'!M86</f>
        <v>0</v>
      </c>
      <c r="K27" s="535"/>
      <c r="L27" s="539">
        <f>'表16-1-2'!N86</f>
        <v>0</v>
      </c>
    </row>
    <row r="28" spans="1:12">
      <c r="A28" s="532">
        <f t="shared" si="1"/>
        <v>23</v>
      </c>
      <c r="B28" s="3417"/>
      <c r="C28" s="623" t="s">
        <v>3048</v>
      </c>
      <c r="D28" s="624">
        <f>'表16-1-3'!N86</f>
        <v>0</v>
      </c>
      <c r="E28" s="624">
        <f>'表16-1-3'!O86</f>
        <v>0</v>
      </c>
      <c r="F28" s="624">
        <f>'表16-1-3'!P86</f>
        <v>0</v>
      </c>
      <c r="G28" s="578">
        <f>'表16-1-3'!N97</f>
        <v>0</v>
      </c>
      <c r="H28" s="538">
        <f>'表16-1-3'!O97</f>
        <v>0</v>
      </c>
      <c r="I28" s="579">
        <f>'表16-1-3'!P97</f>
        <v>0</v>
      </c>
      <c r="J28" s="537">
        <f>'表16-1-3'!N108</f>
        <v>0</v>
      </c>
      <c r="K28" s="538">
        <f>'表16-1-3'!O108</f>
        <v>0</v>
      </c>
      <c r="L28" s="539">
        <f>'表16-1-3'!P108</f>
        <v>0</v>
      </c>
    </row>
    <row r="29" spans="1:12">
      <c r="A29" s="532">
        <f t="shared" si="1"/>
        <v>24</v>
      </c>
      <c r="B29" s="3417"/>
      <c r="C29" s="623" t="s">
        <v>3036</v>
      </c>
      <c r="D29" s="624">
        <f>'表16-1-4'!N64</f>
        <v>0</v>
      </c>
      <c r="E29" s="624">
        <f>'表16-1-4'!O64</f>
        <v>0</v>
      </c>
      <c r="F29" s="624">
        <f>'表16-1-4'!P64</f>
        <v>0</v>
      </c>
      <c r="G29" s="578">
        <f>'表16-1-4'!N75</f>
        <v>0</v>
      </c>
      <c r="H29" s="538">
        <f>'表16-1-4'!O75</f>
        <v>0</v>
      </c>
      <c r="I29" s="579">
        <f>'表16-1-4'!P75</f>
        <v>0</v>
      </c>
      <c r="J29" s="537">
        <f>'表16-1-4'!N86</f>
        <v>0</v>
      </c>
      <c r="K29" s="538">
        <f>'表16-1-4'!O86</f>
        <v>0</v>
      </c>
      <c r="L29" s="539">
        <f>'表16-1-4'!P86</f>
        <v>0</v>
      </c>
    </row>
    <row r="30" spans="1:12">
      <c r="A30" s="532">
        <f t="shared" si="1"/>
        <v>25</v>
      </c>
      <c r="B30" s="3417"/>
      <c r="C30" s="623" t="s">
        <v>3055</v>
      </c>
      <c r="D30" s="624">
        <f>'表16-1-5'!N64</f>
        <v>0</v>
      </c>
      <c r="E30" s="624">
        <f>'表16-1-5'!O64</f>
        <v>0</v>
      </c>
      <c r="F30" s="624">
        <f>'表16-1-5'!P64</f>
        <v>0</v>
      </c>
      <c r="G30" s="578">
        <f>'表16-1-5'!N75</f>
        <v>0</v>
      </c>
      <c r="H30" s="538">
        <f>'表16-1-5'!O75</f>
        <v>0</v>
      </c>
      <c r="I30" s="579">
        <f>'表16-1-5'!P75</f>
        <v>0</v>
      </c>
      <c r="J30" s="537">
        <f>'表16-1-5'!N86</f>
        <v>0</v>
      </c>
      <c r="K30" s="538">
        <f>'表16-1-5'!O86</f>
        <v>0</v>
      </c>
      <c r="L30" s="539">
        <f>'表16-1-5'!P86</f>
        <v>0</v>
      </c>
    </row>
    <row r="31" spans="1:12" ht="16.5" customHeight="1" thickBot="1">
      <c r="A31" s="532">
        <f t="shared" si="1"/>
        <v>26</v>
      </c>
      <c r="B31" s="3418"/>
      <c r="C31" s="616" t="s">
        <v>3067</v>
      </c>
      <c r="D31" s="544">
        <f t="shared" ref="D31:L31" si="4">SUM(D26:D30)</f>
        <v>0</v>
      </c>
      <c r="E31" s="544">
        <f t="shared" si="4"/>
        <v>0</v>
      </c>
      <c r="F31" s="625">
        <f t="shared" si="4"/>
        <v>0</v>
      </c>
      <c r="G31" s="595">
        <f t="shared" si="4"/>
        <v>0</v>
      </c>
      <c r="H31" s="545">
        <f>SUM(H26:H30)</f>
        <v>0</v>
      </c>
      <c r="I31" s="583">
        <f t="shared" si="4"/>
        <v>0</v>
      </c>
      <c r="J31" s="544">
        <f>SUM(J26:J30)</f>
        <v>0</v>
      </c>
      <c r="K31" s="545">
        <f t="shared" si="4"/>
        <v>0</v>
      </c>
      <c r="L31" s="546">
        <f t="shared" si="4"/>
        <v>0</v>
      </c>
    </row>
    <row r="32" spans="1:12" ht="16.5" customHeight="1" thickBot="1">
      <c r="A32" s="560">
        <f t="shared" si="1"/>
        <v>27</v>
      </c>
      <c r="B32" s="3411" t="s">
        <v>3068</v>
      </c>
      <c r="C32" s="3419"/>
      <c r="D32" s="626">
        <f>D25+D31</f>
        <v>0</v>
      </c>
      <c r="E32" s="626">
        <f>E25+E31</f>
        <v>0</v>
      </c>
      <c r="F32" s="627">
        <f>F25+F31</f>
        <v>0</v>
      </c>
      <c r="G32" s="628">
        <f t="shared" ref="G32:L32" si="5">G31</f>
        <v>0</v>
      </c>
      <c r="H32" s="629">
        <f t="shared" si="5"/>
        <v>0</v>
      </c>
      <c r="I32" s="630">
        <f t="shared" si="5"/>
        <v>0</v>
      </c>
      <c r="J32" s="626">
        <f t="shared" si="5"/>
        <v>0</v>
      </c>
      <c r="K32" s="629">
        <f t="shared" si="5"/>
        <v>0</v>
      </c>
      <c r="L32" s="546">
        <f t="shared" si="5"/>
        <v>0</v>
      </c>
    </row>
    <row r="33" spans="1:12" ht="16.5" thickBot="1">
      <c r="A33" s="631">
        <f t="shared" si="1"/>
        <v>28</v>
      </c>
      <c r="B33" s="3410" t="s">
        <v>3041</v>
      </c>
      <c r="C33" s="572" t="s">
        <v>3035</v>
      </c>
      <c r="D33" s="551">
        <f>'表16-1-1'!N115</f>
        <v>0</v>
      </c>
      <c r="E33" s="632">
        <f>'表16-1-1'!O115</f>
        <v>0</v>
      </c>
      <c r="F33" s="633">
        <f>'表16-1-1'!P115</f>
        <v>0</v>
      </c>
      <c r="G33" s="634">
        <f>'表16-1-1'!N122</f>
        <v>0</v>
      </c>
      <c r="H33" s="635">
        <f>'表16-1-1'!O122</f>
        <v>0</v>
      </c>
      <c r="I33" s="636">
        <f>'表16-1-1'!P122</f>
        <v>0</v>
      </c>
      <c r="J33" s="637">
        <f>'表16-1-1'!N129</f>
        <v>0</v>
      </c>
      <c r="K33" s="635">
        <f>'表16-1-1'!O129</f>
        <v>0</v>
      </c>
      <c r="L33" s="638">
        <f>'表16-1-1'!P129</f>
        <v>0</v>
      </c>
    </row>
    <row r="34" spans="1:12">
      <c r="A34" s="532">
        <f t="shared" si="1"/>
        <v>29</v>
      </c>
      <c r="B34" s="3371"/>
      <c r="C34" s="533" t="s">
        <v>3047</v>
      </c>
      <c r="D34" s="639">
        <f>'表16-1-2'!M93</f>
        <v>0</v>
      </c>
      <c r="E34" s="535"/>
      <c r="F34" s="604">
        <f>'表16-1-2'!N93</f>
        <v>0</v>
      </c>
      <c r="G34" s="640">
        <f>'表16-1-2'!M100</f>
        <v>0</v>
      </c>
      <c r="H34" s="535"/>
      <c r="I34" s="579">
        <f>'表16-1-2'!N100</f>
        <v>0</v>
      </c>
      <c r="J34" s="537">
        <f>'表16-1-2'!M107</f>
        <v>0</v>
      </c>
      <c r="K34" s="535"/>
      <c r="L34" s="539">
        <f>'表16-1-2'!N107</f>
        <v>0</v>
      </c>
    </row>
    <row r="35" spans="1:12">
      <c r="A35" s="532">
        <f t="shared" si="1"/>
        <v>30</v>
      </c>
      <c r="B35" s="3371"/>
      <c r="C35" s="533" t="s">
        <v>3048</v>
      </c>
      <c r="D35" s="549">
        <f>'表16-1-3'!N115</f>
        <v>0</v>
      </c>
      <c r="E35" s="538">
        <f>'表16-1-3'!O115</f>
        <v>0</v>
      </c>
      <c r="F35" s="624">
        <f>'表16-1-3'!P115</f>
        <v>0</v>
      </c>
      <c r="G35" s="578">
        <f>'表16-1-3'!N122</f>
        <v>0</v>
      </c>
      <c r="H35" s="538">
        <f>'表16-1-3'!O122</f>
        <v>0</v>
      </c>
      <c r="I35" s="579">
        <f>'表16-1-3'!P122</f>
        <v>0</v>
      </c>
      <c r="J35" s="537">
        <f>'表16-1-3'!N129</f>
        <v>0</v>
      </c>
      <c r="K35" s="538">
        <f>'表16-1-3'!O129</f>
        <v>0</v>
      </c>
      <c r="L35" s="539">
        <f>'表16-1-3'!P129</f>
        <v>0</v>
      </c>
    </row>
    <row r="36" spans="1:12">
      <c r="A36" s="532">
        <f t="shared" si="1"/>
        <v>31</v>
      </c>
      <c r="B36" s="3371"/>
      <c r="C36" s="533" t="s">
        <v>3036</v>
      </c>
      <c r="D36" s="549">
        <f>'表16-1-4'!N93</f>
        <v>0</v>
      </c>
      <c r="E36" s="538">
        <f>'表16-1-4'!O93</f>
        <v>0</v>
      </c>
      <c r="F36" s="624">
        <f>'表16-1-4'!P93</f>
        <v>0</v>
      </c>
      <c r="G36" s="578">
        <f>'表16-1-4'!N100</f>
        <v>0</v>
      </c>
      <c r="H36" s="538">
        <f>'表16-1-4'!O100</f>
        <v>0</v>
      </c>
      <c r="I36" s="579">
        <f>'表16-1-4'!P100</f>
        <v>0</v>
      </c>
      <c r="J36" s="537">
        <f>'表16-1-4'!N107</f>
        <v>0</v>
      </c>
      <c r="K36" s="538">
        <f>'表16-1-4'!O107</f>
        <v>0</v>
      </c>
      <c r="L36" s="539">
        <f>'表16-1-4'!P107</f>
        <v>0</v>
      </c>
    </row>
    <row r="37" spans="1:12">
      <c r="A37" s="532">
        <f t="shared" si="1"/>
        <v>32</v>
      </c>
      <c r="B37" s="3314"/>
      <c r="C37" s="533" t="s">
        <v>3069</v>
      </c>
      <c r="D37" s="549">
        <f>'表16-1-5'!N93</f>
        <v>0</v>
      </c>
      <c r="E37" s="538">
        <f>'表16-1-5'!O93</f>
        <v>0</v>
      </c>
      <c r="F37" s="624">
        <f>'表16-1-5'!P93</f>
        <v>0</v>
      </c>
      <c r="G37" s="578">
        <f>'表16-1-5'!N100</f>
        <v>0</v>
      </c>
      <c r="H37" s="538">
        <f>'表16-1-5'!O100</f>
        <v>0</v>
      </c>
      <c r="I37" s="579">
        <f>'表16-1-5'!P100</f>
        <v>0</v>
      </c>
      <c r="J37" s="537">
        <f>'表16-1-5'!N107</f>
        <v>0</v>
      </c>
      <c r="K37" s="538">
        <f>'表16-1-5'!O107</f>
        <v>0</v>
      </c>
      <c r="L37" s="539">
        <f>'表16-1-5'!P107</f>
        <v>0</v>
      </c>
    </row>
    <row r="38" spans="1:12" ht="16.5" thickBot="1">
      <c r="A38" s="560">
        <f t="shared" si="1"/>
        <v>33</v>
      </c>
      <c r="B38" s="3413" t="s">
        <v>3070</v>
      </c>
      <c r="C38" s="3414"/>
      <c r="D38" s="550">
        <f>SUM(D33:D37)</f>
        <v>0</v>
      </c>
      <c r="E38" s="545">
        <f t="shared" ref="E38:L38" si="6">SUM(E33:E37)</f>
        <v>0</v>
      </c>
      <c r="F38" s="641">
        <f t="shared" si="6"/>
        <v>0</v>
      </c>
      <c r="G38" s="595">
        <f t="shared" si="6"/>
        <v>0</v>
      </c>
      <c r="H38" s="545">
        <f t="shared" si="6"/>
        <v>0</v>
      </c>
      <c r="I38" s="583">
        <f t="shared" si="6"/>
        <v>0</v>
      </c>
      <c r="J38" s="544">
        <f t="shared" si="6"/>
        <v>0</v>
      </c>
      <c r="K38" s="545">
        <f t="shared" si="6"/>
        <v>0</v>
      </c>
      <c r="L38" s="546">
        <f t="shared" si="6"/>
        <v>0</v>
      </c>
    </row>
    <row r="39" spans="1:12" ht="16.5" thickBot="1">
      <c r="A39" s="563">
        <f t="shared" si="1"/>
        <v>34</v>
      </c>
      <c r="B39" s="3408" t="s">
        <v>3043</v>
      </c>
      <c r="C39" s="3409"/>
      <c r="D39" s="553">
        <f t="shared" ref="D39:L39" si="7">D18+D32+D38</f>
        <v>0</v>
      </c>
      <c r="E39" s="554">
        <f t="shared" si="7"/>
        <v>0</v>
      </c>
      <c r="F39" s="642">
        <f t="shared" si="7"/>
        <v>0</v>
      </c>
      <c r="G39" s="553">
        <f t="shared" si="7"/>
        <v>0</v>
      </c>
      <c r="H39" s="554">
        <f t="shared" si="7"/>
        <v>0</v>
      </c>
      <c r="I39" s="555">
        <f t="shared" si="7"/>
        <v>0</v>
      </c>
      <c r="J39" s="553">
        <f t="shared" si="7"/>
        <v>0</v>
      </c>
      <c r="K39" s="554">
        <f t="shared" si="7"/>
        <v>0</v>
      </c>
      <c r="L39" s="555">
        <f t="shared" si="7"/>
        <v>0</v>
      </c>
    </row>
    <row r="40" spans="1:12">
      <c r="B40" s="252"/>
      <c r="C40" s="252"/>
      <c r="D40" s="252"/>
      <c r="E40" s="252"/>
      <c r="F40" s="252"/>
      <c r="G40" s="252"/>
      <c r="H40" s="252"/>
      <c r="I40" s="252"/>
      <c r="J40" s="252"/>
      <c r="K40" s="252"/>
      <c r="L40" s="252"/>
    </row>
    <row r="41" spans="1:12">
      <c r="B41" s="252"/>
      <c r="C41" s="252"/>
      <c r="D41" s="252"/>
      <c r="E41" s="252"/>
      <c r="F41" s="252"/>
      <c r="G41" s="252"/>
      <c r="H41" s="252"/>
      <c r="I41" s="252"/>
      <c r="J41" s="252"/>
      <c r="K41" s="252"/>
      <c r="L41" s="252"/>
    </row>
    <row r="42" spans="1:12">
      <c r="A42" s="643" t="s">
        <v>577</v>
      </c>
      <c r="B42" s="288"/>
      <c r="C42" s="288"/>
      <c r="D42" s="288"/>
      <c r="E42" s="288"/>
      <c r="F42" s="287"/>
      <c r="G42" s="287"/>
      <c r="H42" s="252"/>
      <c r="I42" s="252"/>
      <c r="J42" s="252"/>
      <c r="K42" s="252"/>
      <c r="L42" s="252"/>
    </row>
    <row r="43" spans="1:12" ht="76.5">
      <c r="A43" s="3407" t="s">
        <v>3071</v>
      </c>
      <c r="B43" s="644" t="s">
        <v>571</v>
      </c>
      <c r="C43" s="644" t="s">
        <v>578</v>
      </c>
      <c r="D43" s="644" t="s">
        <v>579</v>
      </c>
      <c r="E43" s="645" t="s">
        <v>580</v>
      </c>
      <c r="F43" s="645" t="s">
        <v>572</v>
      </c>
      <c r="G43" s="645" t="s">
        <v>573</v>
      </c>
      <c r="H43" s="252"/>
      <c r="I43" s="252"/>
      <c r="J43" s="252"/>
      <c r="K43" s="252"/>
      <c r="L43" s="252"/>
    </row>
    <row r="44" spans="1:12">
      <c r="A44" s="3407"/>
      <c r="B44" s="646" t="s">
        <v>581</v>
      </c>
      <c r="C44" s="647" t="s">
        <v>574</v>
      </c>
      <c r="D44" s="647" t="s">
        <v>582</v>
      </c>
      <c r="E44" s="647" t="s">
        <v>575</v>
      </c>
      <c r="F44" s="647" t="s">
        <v>576</v>
      </c>
      <c r="G44" s="647" t="s">
        <v>583</v>
      </c>
      <c r="H44" s="252"/>
      <c r="I44" s="252"/>
      <c r="J44" s="252"/>
      <c r="K44" s="252"/>
      <c r="L44" s="252"/>
    </row>
    <row r="45" spans="1:12">
      <c r="A45" s="289">
        <v>35</v>
      </c>
      <c r="B45" s="648">
        <f>ROUND(D21*50%,0)</f>
        <v>0</v>
      </c>
      <c r="C45" s="290">
        <f>ROUND(D24*65%,0)</f>
        <v>0</v>
      </c>
      <c r="D45" s="290">
        <f>B45+C45</f>
        <v>0</v>
      </c>
      <c r="E45" s="290">
        <f>ROUND(('表10-4'!G8+'表10-4'!G27)*15%,0)</f>
        <v>0</v>
      </c>
      <c r="F45" s="649"/>
      <c r="G45" s="290">
        <f>IF(D25&lt;=E45,D45,IF(F45="Y",D45,ROUND(E45*D21/D25*50%+E45*(1-D21/D25)*65%,0)))</f>
        <v>0</v>
      </c>
      <c r="H45" s="252"/>
      <c r="I45" s="252"/>
      <c r="J45" s="252"/>
      <c r="K45" s="252"/>
      <c r="L45" s="252"/>
    </row>
    <row r="46" spans="1:12">
      <c r="B46" s="252"/>
      <c r="C46" s="252"/>
      <c r="D46" s="252"/>
      <c r="E46" s="252"/>
      <c r="F46" s="252"/>
      <c r="G46" s="252"/>
      <c r="H46" s="252"/>
      <c r="I46" s="252"/>
      <c r="J46" s="252"/>
      <c r="K46" s="252"/>
      <c r="L46" s="252"/>
    </row>
    <row r="47" spans="1:12" ht="16.5">
      <c r="A47" s="557" t="s">
        <v>3044</v>
      </c>
      <c r="B47" s="252"/>
      <c r="C47" s="252"/>
      <c r="D47" s="252"/>
      <c r="E47" s="252"/>
      <c r="F47" s="252"/>
      <c r="G47" s="252"/>
      <c r="H47" s="252"/>
      <c r="I47" s="252"/>
      <c r="J47" s="252"/>
      <c r="K47" s="252"/>
      <c r="L47" s="252"/>
    </row>
    <row r="48" spans="1:12">
      <c r="A48" s="209">
        <v>1</v>
      </c>
      <c r="B48" s="252" t="s">
        <v>3045</v>
      </c>
      <c r="D48" s="252"/>
      <c r="E48" s="252"/>
      <c r="F48" s="252"/>
      <c r="G48" s="252"/>
      <c r="H48" s="252"/>
      <c r="I48" s="252"/>
      <c r="J48" s="252"/>
      <c r="K48" s="252"/>
      <c r="L48" s="252"/>
    </row>
    <row r="49" spans="1:12">
      <c r="A49" s="252">
        <v>2</v>
      </c>
      <c r="B49" s="252" t="s">
        <v>3072</v>
      </c>
      <c r="D49" s="252"/>
      <c r="E49" s="252"/>
      <c r="F49" s="252"/>
      <c r="G49" s="252"/>
      <c r="H49" s="252"/>
      <c r="I49" s="252"/>
      <c r="J49" s="252"/>
      <c r="K49" s="252"/>
      <c r="L49" s="252"/>
    </row>
    <row r="50" spans="1:12">
      <c r="A50" s="514">
        <v>3</v>
      </c>
      <c r="B50" s="252" t="s">
        <v>3073</v>
      </c>
    </row>
    <row r="51" spans="1:12">
      <c r="A51" s="252">
        <v>4</v>
      </c>
      <c r="B51" s="252" t="s">
        <v>3074</v>
      </c>
    </row>
    <row r="52" spans="1:12">
      <c r="A52" s="252"/>
      <c r="B52" s="252" t="s">
        <v>3075</v>
      </c>
    </row>
    <row r="53" spans="1:12">
      <c r="A53" s="514">
        <v>5</v>
      </c>
      <c r="B53" s="252" t="s">
        <v>3076</v>
      </c>
    </row>
    <row r="54" spans="1:12">
      <c r="A54" s="252">
        <v>6</v>
      </c>
      <c r="B54" s="252" t="s">
        <v>3077</v>
      </c>
    </row>
  </sheetData>
  <mergeCells count="16">
    <mergeCell ref="A43:A44"/>
    <mergeCell ref="B39:C39"/>
    <mergeCell ref="B12:B17"/>
    <mergeCell ref="B18:C18"/>
    <mergeCell ref="B38:C38"/>
    <mergeCell ref="B33:B37"/>
    <mergeCell ref="B19:B25"/>
    <mergeCell ref="B26:B31"/>
    <mergeCell ref="B32:C32"/>
    <mergeCell ref="J3:L3"/>
    <mergeCell ref="B5:C5"/>
    <mergeCell ref="B6:B11"/>
    <mergeCell ref="A3:A5"/>
    <mergeCell ref="B3:C4"/>
    <mergeCell ref="D3:F3"/>
    <mergeCell ref="G3:I3"/>
  </mergeCells>
  <phoneticPr fontId="9" type="noConversion"/>
  <pageMargins left="0.51181102362204722" right="0.35433070866141736" top="0.39370078740157483" bottom="0.27559055118110237" header="0.15748031496062992" footer="0.23622047244094491"/>
  <pageSetup paperSize="9" scale="60" fitToHeight="2" orientation="landscape" r:id="rId1"/>
  <headerFooter alignWithMargins="0">
    <oddFooter>&amp;C&amp;P/&amp;N&amp;R&amp;A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M26"/>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3046</v>
      </c>
      <c r="B2" s="515"/>
      <c r="C2" s="287"/>
      <c r="D2" s="287"/>
      <c r="E2" s="287"/>
      <c r="F2" s="287"/>
      <c r="G2" s="287"/>
      <c r="H2" s="287"/>
      <c r="I2" s="287"/>
      <c r="J2" s="287" t="s">
        <v>3027</v>
      </c>
      <c r="K2" s="287"/>
      <c r="L2" s="287"/>
      <c r="M2" s="287"/>
    </row>
    <row r="3" spans="1:13" ht="16.5" customHeight="1">
      <c r="A3" s="3423" t="s">
        <v>1862</v>
      </c>
      <c r="B3" s="3426" t="s">
        <v>3028</v>
      </c>
      <c r="C3" s="3403"/>
      <c r="D3" s="3433" t="s">
        <v>3029</v>
      </c>
      <c r="E3" s="3299"/>
      <c r="F3" s="3434"/>
      <c r="G3" s="3433" t="s">
        <v>3030</v>
      </c>
      <c r="H3" s="3299"/>
      <c r="I3" s="3434"/>
      <c r="J3" s="3429" t="s">
        <v>3031</v>
      </c>
      <c r="K3" s="3426"/>
      <c r="L3" s="3430"/>
    </row>
    <row r="4" spans="1:13" ht="28.5">
      <c r="A4" s="3424"/>
      <c r="B4" s="3427"/>
      <c r="C4" s="3428"/>
      <c r="D4" s="516" t="s">
        <v>3032</v>
      </c>
      <c r="E4" s="33" t="s">
        <v>2765</v>
      </c>
      <c r="F4" s="517" t="s">
        <v>3033</v>
      </c>
      <c r="G4" s="516" t="s">
        <v>3032</v>
      </c>
      <c r="H4" s="33" t="s">
        <v>2765</v>
      </c>
      <c r="I4" s="517" t="s">
        <v>3033</v>
      </c>
      <c r="J4" s="516" t="s">
        <v>3032</v>
      </c>
      <c r="K4" s="33" t="s">
        <v>2765</v>
      </c>
      <c r="L4" s="517" t="s">
        <v>3033</v>
      </c>
    </row>
    <row r="5" spans="1:13" ht="16.5" thickBot="1">
      <c r="A5" s="3425"/>
      <c r="B5" s="3431" t="s">
        <v>422</v>
      </c>
      <c r="C5" s="3432"/>
      <c r="D5" s="520" t="s">
        <v>409</v>
      </c>
      <c r="E5" s="519" t="s">
        <v>639</v>
      </c>
      <c r="F5" s="521" t="s">
        <v>640</v>
      </c>
      <c r="G5" s="520" t="s">
        <v>641</v>
      </c>
      <c r="H5" s="519" t="s">
        <v>642</v>
      </c>
      <c r="I5" s="521" t="s">
        <v>643</v>
      </c>
      <c r="J5" s="522" t="s">
        <v>644</v>
      </c>
      <c r="K5" s="519" t="s">
        <v>645</v>
      </c>
      <c r="L5" s="521" t="s">
        <v>646</v>
      </c>
    </row>
    <row r="6" spans="1:13" ht="16.5" thickBot="1">
      <c r="A6" s="523">
        <v>1</v>
      </c>
      <c r="B6" s="3394" t="s">
        <v>3034</v>
      </c>
      <c r="C6" s="558" t="s">
        <v>3035</v>
      </c>
      <c r="D6" s="526"/>
      <c r="E6" s="526"/>
      <c r="F6" s="526"/>
      <c r="G6" s="529">
        <f>'表16-1-1'!N137</f>
        <v>0</v>
      </c>
      <c r="H6" s="529">
        <f>'表16-1-1'!O137</f>
        <v>0</v>
      </c>
      <c r="I6" s="529">
        <f>'表16-1-1'!P137</f>
        <v>0</v>
      </c>
      <c r="J6" s="530">
        <f>'表16-1-1'!N144</f>
        <v>0</v>
      </c>
      <c r="K6" s="530">
        <f>'表16-1-1'!O144</f>
        <v>0</v>
      </c>
      <c r="L6" s="531">
        <f>'表16-1-1'!P144</f>
        <v>0</v>
      </c>
    </row>
    <row r="7" spans="1:13">
      <c r="A7" s="532">
        <v>2</v>
      </c>
      <c r="B7" s="3395"/>
      <c r="C7" s="559" t="s">
        <v>3047</v>
      </c>
      <c r="D7" s="535"/>
      <c r="E7" s="535"/>
      <c r="F7" s="535"/>
      <c r="G7" s="538">
        <f>'表16-1-2'!M115</f>
        <v>0</v>
      </c>
      <c r="H7" s="526"/>
      <c r="I7" s="538">
        <f>'表16-1-2'!N115</f>
        <v>0</v>
      </c>
      <c r="J7" s="538">
        <f>'表16-1-2'!M122</f>
        <v>0</v>
      </c>
      <c r="K7" s="526"/>
      <c r="L7" s="539">
        <f>'表16-1-2'!N122</f>
        <v>0</v>
      </c>
    </row>
    <row r="8" spans="1:13" ht="23.25" customHeight="1">
      <c r="A8" s="532">
        <v>3</v>
      </c>
      <c r="B8" s="3300"/>
      <c r="C8" s="559" t="s">
        <v>3048</v>
      </c>
      <c r="D8" s="535"/>
      <c r="E8" s="535"/>
      <c r="F8" s="535"/>
      <c r="G8" s="538">
        <f>'表16-1-3'!N137</f>
        <v>0</v>
      </c>
      <c r="H8" s="538">
        <f>'表16-1-3'!O137</f>
        <v>0</v>
      </c>
      <c r="I8" s="538">
        <f>'表16-1-3'!P137</f>
        <v>0</v>
      </c>
      <c r="J8" s="538">
        <f>'表16-1-3'!N144</f>
        <v>0</v>
      </c>
      <c r="K8" s="538">
        <f>'表16-1-3'!O144</f>
        <v>0</v>
      </c>
      <c r="L8" s="539">
        <f>'表16-1-3'!P144</f>
        <v>0</v>
      </c>
    </row>
    <row r="9" spans="1:13">
      <c r="A9" s="532">
        <v>4</v>
      </c>
      <c r="B9" s="3300"/>
      <c r="C9" s="559" t="s">
        <v>3037</v>
      </c>
      <c r="D9" s="535"/>
      <c r="E9" s="535"/>
      <c r="F9" s="535"/>
      <c r="G9" s="538">
        <f>'表16-1-5'!N115</f>
        <v>0</v>
      </c>
      <c r="H9" s="538">
        <f>'表16-1-5'!O115</f>
        <v>0</v>
      </c>
      <c r="I9" s="538">
        <f>'表16-1-5'!P115</f>
        <v>0</v>
      </c>
      <c r="J9" s="538">
        <f>'表16-1-5'!N122</f>
        <v>0</v>
      </c>
      <c r="K9" s="538">
        <f>'表16-1-5'!O122</f>
        <v>0</v>
      </c>
      <c r="L9" s="539">
        <f>'表16-1-5'!P122</f>
        <v>0</v>
      </c>
    </row>
    <row r="10" spans="1:13" ht="16.5" thickBot="1">
      <c r="A10" s="560">
        <v>5</v>
      </c>
      <c r="B10" s="3396"/>
      <c r="C10" s="561" t="s">
        <v>3038</v>
      </c>
      <c r="D10" s="542"/>
      <c r="E10" s="542"/>
      <c r="F10" s="542"/>
      <c r="G10" s="545">
        <f t="shared" ref="G10:L10" si="0">SUM(G6:G9)</f>
        <v>0</v>
      </c>
      <c r="H10" s="545">
        <f t="shared" si="0"/>
        <v>0</v>
      </c>
      <c r="I10" s="545">
        <f t="shared" si="0"/>
        <v>0</v>
      </c>
      <c r="J10" s="545">
        <f t="shared" si="0"/>
        <v>0</v>
      </c>
      <c r="K10" s="545">
        <f t="shared" si="0"/>
        <v>0</v>
      </c>
      <c r="L10" s="546">
        <f t="shared" si="0"/>
        <v>0</v>
      </c>
    </row>
    <row r="11" spans="1:13" ht="16.5" thickBot="1">
      <c r="A11" s="523">
        <v>6</v>
      </c>
      <c r="B11" s="3394" t="s">
        <v>3039</v>
      </c>
      <c r="C11" s="558" t="s">
        <v>3035</v>
      </c>
      <c r="D11" s="530">
        <f>'表16-1-1'!N151</f>
        <v>0</v>
      </c>
      <c r="E11" s="530">
        <f>'表16-1-1'!O151</f>
        <v>0</v>
      </c>
      <c r="F11" s="530">
        <f>'表16-1-1'!P151</f>
        <v>0</v>
      </c>
      <c r="G11" s="530">
        <f>'表16-1-1'!N158</f>
        <v>0</v>
      </c>
      <c r="H11" s="530">
        <f>'表16-1-1'!O158</f>
        <v>0</v>
      </c>
      <c r="I11" s="530">
        <f>'表16-1-1'!P158</f>
        <v>0</v>
      </c>
      <c r="J11" s="530">
        <f>'表16-1-1'!N165</f>
        <v>0</v>
      </c>
      <c r="K11" s="530">
        <f>'表16-1-1'!O165</f>
        <v>0</v>
      </c>
      <c r="L11" s="531">
        <f>'表16-1-1'!P165</f>
        <v>0</v>
      </c>
    </row>
    <row r="12" spans="1:13">
      <c r="A12" s="532">
        <v>7</v>
      </c>
      <c r="B12" s="3395"/>
      <c r="C12" s="559" t="s">
        <v>3047</v>
      </c>
      <c r="D12" s="538">
        <f>'表16-1-2'!M129</f>
        <v>0</v>
      </c>
      <c r="E12" s="526"/>
      <c r="F12" s="538">
        <f>'表16-1-2'!N129</f>
        <v>0</v>
      </c>
      <c r="G12" s="538">
        <f>'表16-1-2'!M136</f>
        <v>0</v>
      </c>
      <c r="H12" s="526"/>
      <c r="I12" s="538">
        <f>'表16-1-2'!N136</f>
        <v>0</v>
      </c>
      <c r="J12" s="538">
        <f>'表16-1-2'!M143</f>
        <v>0</v>
      </c>
      <c r="K12" s="526"/>
      <c r="L12" s="539">
        <f>'表16-1-2'!N143</f>
        <v>0</v>
      </c>
    </row>
    <row r="13" spans="1:13">
      <c r="A13" s="532">
        <v>8</v>
      </c>
      <c r="B13" s="3395"/>
      <c r="C13" s="559" t="s">
        <v>3048</v>
      </c>
      <c r="D13" s="538">
        <f>'表16-1-3'!N151</f>
        <v>0</v>
      </c>
      <c r="E13" s="538">
        <f>'表16-1-3'!O151</f>
        <v>0</v>
      </c>
      <c r="F13" s="538">
        <f>'表16-1-3'!P151</f>
        <v>0</v>
      </c>
      <c r="G13" s="538">
        <f>'表16-1-3'!N158</f>
        <v>0</v>
      </c>
      <c r="H13" s="538">
        <f>'表16-1-3'!O158</f>
        <v>0</v>
      </c>
      <c r="I13" s="538">
        <f>'表16-1-3'!P158</f>
        <v>0</v>
      </c>
      <c r="J13" s="538">
        <f>'表16-1-3'!N165</f>
        <v>0</v>
      </c>
      <c r="K13" s="538">
        <f>'表16-1-3'!O165</f>
        <v>0</v>
      </c>
      <c r="L13" s="539">
        <f>'表16-1-3'!P165</f>
        <v>0</v>
      </c>
    </row>
    <row r="14" spans="1:13">
      <c r="A14" s="532">
        <v>9</v>
      </c>
      <c r="B14" s="3395"/>
      <c r="C14" s="559" t="s">
        <v>3037</v>
      </c>
      <c r="D14" s="538">
        <f>'表16-1-5'!N129</f>
        <v>0</v>
      </c>
      <c r="E14" s="538">
        <f>'表16-1-5'!O129</f>
        <v>0</v>
      </c>
      <c r="F14" s="538">
        <f>'表16-1-5'!P129</f>
        <v>0</v>
      </c>
      <c r="G14" s="538">
        <f>'表16-1-5'!N136</f>
        <v>0</v>
      </c>
      <c r="H14" s="538">
        <f>'表16-1-5'!O136</f>
        <v>0</v>
      </c>
      <c r="I14" s="538">
        <f>'表16-1-5'!P136</f>
        <v>0</v>
      </c>
      <c r="J14" s="538">
        <f>'表16-1-5'!N143</f>
        <v>0</v>
      </c>
      <c r="K14" s="538">
        <f>'表16-1-5'!O143</f>
        <v>0</v>
      </c>
      <c r="L14" s="539">
        <f>'表16-1-5'!P143</f>
        <v>0</v>
      </c>
    </row>
    <row r="15" spans="1:13" ht="16.5" thickBot="1">
      <c r="A15" s="560">
        <v>10</v>
      </c>
      <c r="B15" s="3420"/>
      <c r="C15" s="561" t="s">
        <v>3040</v>
      </c>
      <c r="D15" s="545">
        <f t="shared" ref="D15:L15" si="1">SUM(D11:D14)</f>
        <v>0</v>
      </c>
      <c r="E15" s="545">
        <f t="shared" si="1"/>
        <v>0</v>
      </c>
      <c r="F15" s="545">
        <f t="shared" si="1"/>
        <v>0</v>
      </c>
      <c r="G15" s="545">
        <f t="shared" si="1"/>
        <v>0</v>
      </c>
      <c r="H15" s="545">
        <f t="shared" si="1"/>
        <v>0</v>
      </c>
      <c r="I15" s="545">
        <f t="shared" si="1"/>
        <v>0</v>
      </c>
      <c r="J15" s="545">
        <f t="shared" si="1"/>
        <v>0</v>
      </c>
      <c r="K15" s="545">
        <f t="shared" si="1"/>
        <v>0</v>
      </c>
      <c r="L15" s="546">
        <f t="shared" si="1"/>
        <v>0</v>
      </c>
    </row>
    <row r="16" spans="1:13" ht="16.5" thickBot="1">
      <c r="A16" s="523">
        <v>11</v>
      </c>
      <c r="B16" s="3394" t="s">
        <v>3041</v>
      </c>
      <c r="C16" s="558" t="s">
        <v>3035</v>
      </c>
      <c r="D16" s="529">
        <f xml:space="preserve"> '表16-1-1'!N172</f>
        <v>0</v>
      </c>
      <c r="E16" s="529">
        <f xml:space="preserve"> '表16-1-1'!O172</f>
        <v>0</v>
      </c>
      <c r="F16" s="529">
        <f xml:space="preserve"> '表16-1-1'!P172</f>
        <v>0</v>
      </c>
      <c r="G16" s="530">
        <f>'表16-1-1'!N179</f>
        <v>0</v>
      </c>
      <c r="H16" s="530">
        <f>'表16-1-1'!O179</f>
        <v>0</v>
      </c>
      <c r="I16" s="530">
        <f>'表16-1-1'!P179</f>
        <v>0</v>
      </c>
      <c r="J16" s="530">
        <f>'表16-1-1'!N186</f>
        <v>0</v>
      </c>
      <c r="K16" s="530">
        <f>'表16-1-1'!O186</f>
        <v>0</v>
      </c>
      <c r="L16" s="531">
        <f>'表16-1-1'!P186</f>
        <v>0</v>
      </c>
    </row>
    <row r="17" spans="1:13">
      <c r="A17" s="532">
        <v>12</v>
      </c>
      <c r="B17" s="3395"/>
      <c r="C17" s="559" t="s">
        <v>3047</v>
      </c>
      <c r="D17" s="562">
        <f>'表16-1-2'!M150</f>
        <v>0</v>
      </c>
      <c r="E17" s="526"/>
      <c r="F17" s="562">
        <f>'表16-1-2'!N150</f>
        <v>0</v>
      </c>
      <c r="G17" s="538">
        <f>'表16-1-2'!M157</f>
        <v>0</v>
      </c>
      <c r="H17" s="526"/>
      <c r="I17" s="538">
        <f>'表16-1-2'!N157</f>
        <v>0</v>
      </c>
      <c r="J17" s="538">
        <f>'表16-1-2'!M164</f>
        <v>0</v>
      </c>
      <c r="K17" s="526"/>
      <c r="L17" s="539">
        <f>'表16-1-2'!N164</f>
        <v>0</v>
      </c>
    </row>
    <row r="18" spans="1:13">
      <c r="A18" s="532">
        <v>13</v>
      </c>
      <c r="B18" s="3395"/>
      <c r="C18" s="559" t="s">
        <v>3048</v>
      </c>
      <c r="D18" s="538">
        <f>'表16-1-3'!N172</f>
        <v>0</v>
      </c>
      <c r="E18" s="538">
        <f>'表16-1-3'!O172</f>
        <v>0</v>
      </c>
      <c r="F18" s="538">
        <f>'表16-1-3'!P172</f>
        <v>0</v>
      </c>
      <c r="G18" s="538">
        <f>'表16-1-3'!N179</f>
        <v>0</v>
      </c>
      <c r="H18" s="538">
        <f>'表16-1-3'!O179</f>
        <v>0</v>
      </c>
      <c r="I18" s="538">
        <f>'表16-1-3'!P179</f>
        <v>0</v>
      </c>
      <c r="J18" s="538">
        <f>'表16-1-3'!N186</f>
        <v>0</v>
      </c>
      <c r="K18" s="538">
        <f>'表16-1-3'!O186</f>
        <v>0</v>
      </c>
      <c r="L18" s="539">
        <f>'表16-1-3'!P186</f>
        <v>0</v>
      </c>
    </row>
    <row r="19" spans="1:13">
      <c r="A19" s="532">
        <v>14</v>
      </c>
      <c r="B19" s="3395"/>
      <c r="C19" s="559" t="s">
        <v>3037</v>
      </c>
      <c r="D19" s="538">
        <f>'表16-1-5'!N150</f>
        <v>0</v>
      </c>
      <c r="E19" s="538">
        <f>'表16-1-5'!O150</f>
        <v>0</v>
      </c>
      <c r="F19" s="538">
        <f>'表16-1-5'!P150</f>
        <v>0</v>
      </c>
      <c r="G19" s="538">
        <f>'表16-1-5'!N157</f>
        <v>0</v>
      </c>
      <c r="H19" s="538">
        <f>'表16-1-5'!O157</f>
        <v>0</v>
      </c>
      <c r="I19" s="538">
        <f>'表16-1-5'!P157</f>
        <v>0</v>
      </c>
      <c r="J19" s="538">
        <f>'表16-1-5'!N164</f>
        <v>0</v>
      </c>
      <c r="K19" s="538">
        <f>'表16-1-5'!O164</f>
        <v>0</v>
      </c>
      <c r="L19" s="539">
        <f>'表16-1-5'!P164</f>
        <v>0</v>
      </c>
    </row>
    <row r="20" spans="1:13" ht="16.5" thickBot="1">
      <c r="A20" s="560">
        <v>15</v>
      </c>
      <c r="B20" s="3420"/>
      <c r="C20" s="561" t="s">
        <v>3042</v>
      </c>
      <c r="D20" s="545">
        <f t="shared" ref="D20:L20" si="2">SUM(D16:D19)</f>
        <v>0</v>
      </c>
      <c r="E20" s="545">
        <f t="shared" si="2"/>
        <v>0</v>
      </c>
      <c r="F20" s="545">
        <f t="shared" si="2"/>
        <v>0</v>
      </c>
      <c r="G20" s="545">
        <f t="shared" si="2"/>
        <v>0</v>
      </c>
      <c r="H20" s="545">
        <f t="shared" si="2"/>
        <v>0</v>
      </c>
      <c r="I20" s="545">
        <f t="shared" si="2"/>
        <v>0</v>
      </c>
      <c r="J20" s="545">
        <f t="shared" si="2"/>
        <v>0</v>
      </c>
      <c r="K20" s="545">
        <f t="shared" si="2"/>
        <v>0</v>
      </c>
      <c r="L20" s="546">
        <f t="shared" si="2"/>
        <v>0</v>
      </c>
    </row>
    <row r="21" spans="1:13" ht="16.5" thickBot="1">
      <c r="A21" s="563">
        <v>16</v>
      </c>
      <c r="B21" s="3421" t="s">
        <v>3043</v>
      </c>
      <c r="C21" s="3422"/>
      <c r="D21" s="553">
        <f t="shared" ref="D21:L21" si="3">D20+D15+D10</f>
        <v>0</v>
      </c>
      <c r="E21" s="554">
        <f t="shared" si="3"/>
        <v>0</v>
      </c>
      <c r="F21" s="555">
        <f t="shared" si="3"/>
        <v>0</v>
      </c>
      <c r="G21" s="556">
        <f t="shared" si="3"/>
        <v>0</v>
      </c>
      <c r="H21" s="554">
        <f t="shared" si="3"/>
        <v>0</v>
      </c>
      <c r="I21" s="554">
        <f t="shared" si="3"/>
        <v>0</v>
      </c>
      <c r="J21" s="564">
        <f t="shared" si="3"/>
        <v>0</v>
      </c>
      <c r="K21" s="554">
        <f t="shared" si="3"/>
        <v>0</v>
      </c>
      <c r="L21" s="555">
        <f t="shared" si="3"/>
        <v>0</v>
      </c>
    </row>
    <row r="22" spans="1:13">
      <c r="B22" s="252"/>
      <c r="C22" s="252"/>
      <c r="D22" s="252"/>
      <c r="E22" s="252"/>
      <c r="F22" s="252"/>
      <c r="G22" s="252"/>
      <c r="H22" s="252"/>
      <c r="I22" s="252"/>
      <c r="J22" s="252"/>
      <c r="K22" s="252"/>
      <c r="L22" s="252"/>
      <c r="M22" s="252"/>
    </row>
    <row r="23" spans="1:13" ht="16.5">
      <c r="A23" s="557" t="s">
        <v>3044</v>
      </c>
      <c r="B23" s="252" t="s">
        <v>3045</v>
      </c>
      <c r="D23" s="252"/>
      <c r="E23" s="252"/>
      <c r="F23" s="252"/>
      <c r="G23" s="252"/>
      <c r="H23" s="252"/>
      <c r="I23" s="252"/>
      <c r="J23" s="252"/>
      <c r="K23" s="252"/>
      <c r="L23" s="252"/>
      <c r="M23" s="252"/>
    </row>
    <row r="24" spans="1:13">
      <c r="A24" s="209"/>
      <c r="D24" s="252"/>
      <c r="E24" s="252"/>
      <c r="F24" s="252"/>
      <c r="G24" s="252"/>
      <c r="H24" s="252"/>
      <c r="I24" s="252"/>
      <c r="J24" s="252"/>
      <c r="K24" s="252"/>
      <c r="L24" s="252"/>
    </row>
    <row r="25" spans="1:13">
      <c r="A25" s="252"/>
      <c r="B25" s="252"/>
      <c r="C25" s="252"/>
      <c r="D25" s="252"/>
      <c r="E25" s="252"/>
      <c r="F25" s="252"/>
      <c r="G25" s="252"/>
      <c r="H25" s="252"/>
      <c r="I25" s="252"/>
      <c r="J25" s="252"/>
      <c r="K25" s="252"/>
      <c r="L25" s="252"/>
      <c r="M25" s="252"/>
    </row>
    <row r="26" spans="1:13">
      <c r="A26" s="252"/>
      <c r="B26" s="252"/>
      <c r="C26" s="252"/>
      <c r="D26" s="252"/>
      <c r="E26" s="252"/>
      <c r="F26" s="252"/>
      <c r="G26" s="252"/>
      <c r="H26" s="252"/>
      <c r="I26" s="252"/>
      <c r="J26" s="252"/>
      <c r="K26" s="252"/>
      <c r="L26" s="252"/>
      <c r="M26" s="252"/>
    </row>
  </sheetData>
  <mergeCells count="10">
    <mergeCell ref="B16:B20"/>
    <mergeCell ref="B21:C21"/>
    <mergeCell ref="A3:A5"/>
    <mergeCell ref="B3:C4"/>
    <mergeCell ref="J3:L3"/>
    <mergeCell ref="B11:B15"/>
    <mergeCell ref="B5:C5"/>
    <mergeCell ref="B6:B10"/>
    <mergeCell ref="D3:F3"/>
    <mergeCell ref="G3:I3"/>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M21"/>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3026</v>
      </c>
      <c r="B2" s="515"/>
      <c r="C2" s="287"/>
      <c r="D2" s="287"/>
      <c r="E2" s="287"/>
      <c r="F2" s="287"/>
      <c r="G2" s="287"/>
      <c r="H2" s="287"/>
      <c r="I2" s="287"/>
      <c r="J2" s="287" t="s">
        <v>3027</v>
      </c>
      <c r="K2" s="287"/>
      <c r="L2" s="287"/>
      <c r="M2" s="287"/>
    </row>
    <row r="3" spans="1:13" ht="16.5" customHeight="1">
      <c r="A3" s="3423" t="s">
        <v>1862</v>
      </c>
      <c r="B3" s="3426" t="s">
        <v>3028</v>
      </c>
      <c r="C3" s="3403"/>
      <c r="D3" s="3433" t="s">
        <v>3029</v>
      </c>
      <c r="E3" s="3299"/>
      <c r="F3" s="3434"/>
      <c r="G3" s="3429" t="s">
        <v>3030</v>
      </c>
      <c r="H3" s="3299"/>
      <c r="I3" s="3434"/>
      <c r="J3" s="3429" t="s">
        <v>3031</v>
      </c>
      <c r="K3" s="3426"/>
      <c r="L3" s="3430"/>
    </row>
    <row r="4" spans="1:13" ht="28.5">
      <c r="A4" s="3424"/>
      <c r="B4" s="3427"/>
      <c r="C4" s="3428"/>
      <c r="D4" s="516" t="s">
        <v>3032</v>
      </c>
      <c r="E4" s="33" t="s">
        <v>2765</v>
      </c>
      <c r="F4" s="517" t="s">
        <v>3033</v>
      </c>
      <c r="G4" s="518" t="s">
        <v>3032</v>
      </c>
      <c r="H4" s="33" t="s">
        <v>2765</v>
      </c>
      <c r="I4" s="517" t="s">
        <v>3033</v>
      </c>
      <c r="J4" s="518" t="s">
        <v>3032</v>
      </c>
      <c r="K4" s="33" t="s">
        <v>2765</v>
      </c>
      <c r="L4" s="517" t="s">
        <v>3033</v>
      </c>
    </row>
    <row r="5" spans="1:13" ht="16.5" thickBot="1">
      <c r="A5" s="3425"/>
      <c r="B5" s="3431" t="s">
        <v>422</v>
      </c>
      <c r="C5" s="3432"/>
      <c r="D5" s="520" t="s">
        <v>409</v>
      </c>
      <c r="E5" s="519" t="s">
        <v>171</v>
      </c>
      <c r="F5" s="521" t="s">
        <v>172</v>
      </c>
      <c r="G5" s="522" t="s">
        <v>173</v>
      </c>
      <c r="H5" s="519" t="s">
        <v>174</v>
      </c>
      <c r="I5" s="521" t="s">
        <v>175</v>
      </c>
      <c r="J5" s="522" t="s">
        <v>176</v>
      </c>
      <c r="K5" s="519" t="s">
        <v>177</v>
      </c>
      <c r="L5" s="521" t="s">
        <v>178</v>
      </c>
    </row>
    <row r="6" spans="1:13">
      <c r="A6" s="523">
        <v>1</v>
      </c>
      <c r="B6" s="3394" t="s">
        <v>3034</v>
      </c>
      <c r="C6" s="524" t="s">
        <v>3035</v>
      </c>
      <c r="D6" s="525"/>
      <c r="E6" s="526"/>
      <c r="F6" s="527"/>
      <c r="G6" s="528">
        <f>'表16-1-1'!N194</f>
        <v>0</v>
      </c>
      <c r="H6" s="529">
        <f>'表16-1-1'!O194</f>
        <v>0</v>
      </c>
      <c r="I6" s="529">
        <f>'表16-1-1'!P194</f>
        <v>0</v>
      </c>
      <c r="J6" s="530">
        <f>'表16-1-1'!N201</f>
        <v>0</v>
      </c>
      <c r="K6" s="530">
        <f>'表16-1-1'!O201</f>
        <v>0</v>
      </c>
      <c r="L6" s="531">
        <f>'表16-1-1'!P201</f>
        <v>0</v>
      </c>
    </row>
    <row r="7" spans="1:13" ht="23.25" customHeight="1" thickBot="1">
      <c r="A7" s="532">
        <v>2</v>
      </c>
      <c r="B7" s="3300"/>
      <c r="C7" s="533" t="s">
        <v>3036</v>
      </c>
      <c r="D7" s="534"/>
      <c r="E7" s="535"/>
      <c r="F7" s="536"/>
      <c r="G7" s="537">
        <f>'表16-1-4'!N115</f>
        <v>0</v>
      </c>
      <c r="H7" s="538">
        <f>'表16-1-4'!O115</f>
        <v>0</v>
      </c>
      <c r="I7" s="538">
        <f>'表16-1-4'!P115</f>
        <v>0</v>
      </c>
      <c r="J7" s="538">
        <f>'表16-1-4'!N122</f>
        <v>0</v>
      </c>
      <c r="K7" s="538">
        <f>'表16-1-4'!O122</f>
        <v>0</v>
      </c>
      <c r="L7" s="539">
        <f>'表16-1-4'!P122</f>
        <v>0</v>
      </c>
    </row>
    <row r="8" spans="1:13">
      <c r="A8" s="523">
        <v>3</v>
      </c>
      <c r="B8" s="3300"/>
      <c r="C8" s="533" t="s">
        <v>3037</v>
      </c>
      <c r="D8" s="534"/>
      <c r="E8" s="535"/>
      <c r="F8" s="536"/>
      <c r="G8" s="537">
        <f>'表16-1-5'!N172</f>
        <v>0</v>
      </c>
      <c r="H8" s="538">
        <f>'表16-1-5'!O172</f>
        <v>0</v>
      </c>
      <c r="I8" s="538">
        <f>'表16-1-5'!P172</f>
        <v>0</v>
      </c>
      <c r="J8" s="538">
        <f>'表16-1-5'!N179</f>
        <v>0</v>
      </c>
      <c r="K8" s="538">
        <f>'表16-1-5'!O179</f>
        <v>0</v>
      </c>
      <c r="L8" s="539">
        <f>'表16-1-5'!P179</f>
        <v>0</v>
      </c>
    </row>
    <row r="9" spans="1:13" ht="16.5" thickBot="1">
      <c r="A9" s="532">
        <v>4</v>
      </c>
      <c r="B9" s="3396"/>
      <c r="C9" s="540" t="s">
        <v>3038</v>
      </c>
      <c r="D9" s="541"/>
      <c r="E9" s="542"/>
      <c r="F9" s="543"/>
      <c r="G9" s="544">
        <f t="shared" ref="G9:L9" si="0">SUM(G6:G8)</f>
        <v>0</v>
      </c>
      <c r="H9" s="545">
        <f t="shared" si="0"/>
        <v>0</v>
      </c>
      <c r="I9" s="545">
        <f t="shared" si="0"/>
        <v>0</v>
      </c>
      <c r="J9" s="545">
        <f t="shared" si="0"/>
        <v>0</v>
      </c>
      <c r="K9" s="545">
        <f t="shared" si="0"/>
        <v>0</v>
      </c>
      <c r="L9" s="546">
        <f t="shared" si="0"/>
        <v>0</v>
      </c>
    </row>
    <row r="10" spans="1:13">
      <c r="A10" s="523">
        <v>5</v>
      </c>
      <c r="B10" s="3394" t="s">
        <v>3039</v>
      </c>
      <c r="C10" s="524" t="s">
        <v>3035</v>
      </c>
      <c r="D10" s="547">
        <f>'表16-1-1'!N208</f>
        <v>0</v>
      </c>
      <c r="E10" s="530">
        <f>'表16-1-1'!O208</f>
        <v>0</v>
      </c>
      <c r="F10" s="531">
        <f>'表16-1-1'!P208</f>
        <v>0</v>
      </c>
      <c r="G10" s="548">
        <f>'表16-1-1'!N215</f>
        <v>0</v>
      </c>
      <c r="H10" s="530">
        <f>'表16-1-1'!O215</f>
        <v>0</v>
      </c>
      <c r="I10" s="530">
        <f>'表16-1-1'!P215</f>
        <v>0</v>
      </c>
      <c r="J10" s="530">
        <f>'表16-1-1'!N222</f>
        <v>0</v>
      </c>
      <c r="K10" s="530">
        <f>'表16-1-1'!O222</f>
        <v>0</v>
      </c>
      <c r="L10" s="531">
        <f>'表16-1-1'!P222</f>
        <v>0</v>
      </c>
    </row>
    <row r="11" spans="1:13" ht="16.5" thickBot="1">
      <c r="A11" s="532">
        <v>6</v>
      </c>
      <c r="B11" s="3395"/>
      <c r="C11" s="533" t="s">
        <v>3036</v>
      </c>
      <c r="D11" s="549">
        <f>'表16-1-4'!N129</f>
        <v>0</v>
      </c>
      <c r="E11" s="538">
        <f>'表16-1-4'!O129</f>
        <v>0</v>
      </c>
      <c r="F11" s="539">
        <f>'表16-1-4'!P129</f>
        <v>0</v>
      </c>
      <c r="G11" s="537">
        <f>'表16-1-4'!N136</f>
        <v>0</v>
      </c>
      <c r="H11" s="538">
        <f>'表16-1-4'!O136</f>
        <v>0</v>
      </c>
      <c r="I11" s="538">
        <f>'表16-1-4'!P136</f>
        <v>0</v>
      </c>
      <c r="J11" s="538">
        <f>'表16-1-4'!N143</f>
        <v>0</v>
      </c>
      <c r="K11" s="538">
        <f>'表16-1-4'!O143</f>
        <v>0</v>
      </c>
      <c r="L11" s="539">
        <f>'表16-1-4'!P143</f>
        <v>0</v>
      </c>
    </row>
    <row r="12" spans="1:13">
      <c r="A12" s="523">
        <v>7</v>
      </c>
      <c r="B12" s="3395"/>
      <c r="C12" s="533" t="s">
        <v>3037</v>
      </c>
      <c r="D12" s="549">
        <f>'表16-1-5'!N186</f>
        <v>0</v>
      </c>
      <c r="E12" s="538">
        <f>'表16-1-5'!O186</f>
        <v>0</v>
      </c>
      <c r="F12" s="539">
        <f>'表16-1-5'!P186</f>
        <v>0</v>
      </c>
      <c r="G12" s="537">
        <f>'表16-1-5'!N193</f>
        <v>0</v>
      </c>
      <c r="H12" s="538">
        <f>'表16-1-5'!O193</f>
        <v>0</v>
      </c>
      <c r="I12" s="538">
        <f>'表16-1-5'!P193</f>
        <v>0</v>
      </c>
      <c r="J12" s="538">
        <f>'表16-1-5'!N200</f>
        <v>0</v>
      </c>
      <c r="K12" s="538">
        <f>'表16-1-5'!O200</f>
        <v>0</v>
      </c>
      <c r="L12" s="539">
        <f>'表16-1-5'!P200</f>
        <v>0</v>
      </c>
    </row>
    <row r="13" spans="1:13" ht="16.5" thickBot="1">
      <c r="A13" s="532">
        <v>8</v>
      </c>
      <c r="B13" s="3420"/>
      <c r="C13" s="540" t="s">
        <v>3040</v>
      </c>
      <c r="D13" s="550">
        <f t="shared" ref="D13:L13" si="1">SUM(D10:D12)</f>
        <v>0</v>
      </c>
      <c r="E13" s="545">
        <f t="shared" si="1"/>
        <v>0</v>
      </c>
      <c r="F13" s="546">
        <f t="shared" si="1"/>
        <v>0</v>
      </c>
      <c r="G13" s="544">
        <f t="shared" si="1"/>
        <v>0</v>
      </c>
      <c r="H13" s="545">
        <f t="shared" si="1"/>
        <v>0</v>
      </c>
      <c r="I13" s="545">
        <f t="shared" si="1"/>
        <v>0</v>
      </c>
      <c r="J13" s="545">
        <f t="shared" si="1"/>
        <v>0</v>
      </c>
      <c r="K13" s="545">
        <f t="shared" si="1"/>
        <v>0</v>
      </c>
      <c r="L13" s="546">
        <f t="shared" si="1"/>
        <v>0</v>
      </c>
    </row>
    <row r="14" spans="1:13">
      <c r="A14" s="523">
        <v>9</v>
      </c>
      <c r="B14" s="3394" t="s">
        <v>3041</v>
      </c>
      <c r="C14" s="524" t="s">
        <v>3035</v>
      </c>
      <c r="D14" s="551">
        <f>'表16-1-1'!N229</f>
        <v>0</v>
      </c>
      <c r="E14" s="529">
        <f>'表16-1-1'!O229</f>
        <v>0</v>
      </c>
      <c r="F14" s="552">
        <f>'表16-1-1'!P229</f>
        <v>0</v>
      </c>
      <c r="G14" s="548">
        <f>'表16-1-1'!N236</f>
        <v>0</v>
      </c>
      <c r="H14" s="530">
        <f>'表16-1-1'!O236</f>
        <v>0</v>
      </c>
      <c r="I14" s="530">
        <f>'表16-1-1'!P236</f>
        <v>0</v>
      </c>
      <c r="J14" s="530">
        <f>'表16-1-1'!N243</f>
        <v>0</v>
      </c>
      <c r="K14" s="530">
        <f>'表16-1-1'!O243</f>
        <v>0</v>
      </c>
      <c r="L14" s="531">
        <f>'表16-1-1'!P243</f>
        <v>0</v>
      </c>
    </row>
    <row r="15" spans="1:13" ht="16.5" thickBot="1">
      <c r="A15" s="532">
        <v>10</v>
      </c>
      <c r="B15" s="3395"/>
      <c r="C15" s="533" t="s">
        <v>3036</v>
      </c>
      <c r="D15" s="549">
        <f>'表16-1-4'!N150</f>
        <v>0</v>
      </c>
      <c r="E15" s="538">
        <f>'表16-1-4'!O150</f>
        <v>0</v>
      </c>
      <c r="F15" s="539">
        <f>'表16-1-4'!P150</f>
        <v>0</v>
      </c>
      <c r="G15" s="537">
        <f>'表16-1-4'!N157</f>
        <v>0</v>
      </c>
      <c r="H15" s="538">
        <f>'表16-1-4'!O157</f>
        <v>0</v>
      </c>
      <c r="I15" s="538">
        <f>'表16-1-4'!P157</f>
        <v>0</v>
      </c>
      <c r="J15" s="538">
        <f>'表16-1-4'!N164</f>
        <v>0</v>
      </c>
      <c r="K15" s="538">
        <f>'表16-1-4'!O164</f>
        <v>0</v>
      </c>
      <c r="L15" s="539">
        <f>'表16-1-4'!P164</f>
        <v>0</v>
      </c>
    </row>
    <row r="16" spans="1:13">
      <c r="A16" s="523">
        <v>11</v>
      </c>
      <c r="B16" s="3395"/>
      <c r="C16" s="533" t="s">
        <v>3037</v>
      </c>
      <c r="D16" s="549">
        <f>'表16-1-5'!N207</f>
        <v>0</v>
      </c>
      <c r="E16" s="538">
        <f>'表16-1-5'!O207</f>
        <v>0</v>
      </c>
      <c r="F16" s="539">
        <f>'表16-1-5'!P207</f>
        <v>0</v>
      </c>
      <c r="G16" s="537">
        <f>'表16-1-5'!N214</f>
        <v>0</v>
      </c>
      <c r="H16" s="538">
        <f>'表16-1-5'!O214</f>
        <v>0</v>
      </c>
      <c r="I16" s="538">
        <f>'表16-1-5'!P214</f>
        <v>0</v>
      </c>
      <c r="J16" s="538">
        <f>'表16-1-5'!N221</f>
        <v>0</v>
      </c>
      <c r="K16" s="538">
        <f>'表16-1-5'!O221</f>
        <v>0</v>
      </c>
      <c r="L16" s="539">
        <f>'表16-1-5'!P221</f>
        <v>0</v>
      </c>
    </row>
    <row r="17" spans="1:13" ht="16.5" thickBot="1">
      <c r="A17" s="532">
        <v>12</v>
      </c>
      <c r="B17" s="3420"/>
      <c r="C17" s="540" t="s">
        <v>3042</v>
      </c>
      <c r="D17" s="550">
        <f t="shared" ref="D17:L17" si="2">SUM(D14:D16)</f>
        <v>0</v>
      </c>
      <c r="E17" s="545">
        <f t="shared" si="2"/>
        <v>0</v>
      </c>
      <c r="F17" s="546">
        <f t="shared" si="2"/>
        <v>0</v>
      </c>
      <c r="G17" s="544">
        <f t="shared" si="2"/>
        <v>0</v>
      </c>
      <c r="H17" s="545">
        <f t="shared" si="2"/>
        <v>0</v>
      </c>
      <c r="I17" s="545">
        <f t="shared" si="2"/>
        <v>0</v>
      </c>
      <c r="J17" s="545">
        <f t="shared" si="2"/>
        <v>0</v>
      </c>
      <c r="K17" s="545">
        <f t="shared" si="2"/>
        <v>0</v>
      </c>
      <c r="L17" s="546">
        <f t="shared" si="2"/>
        <v>0</v>
      </c>
    </row>
    <row r="18" spans="1:13" ht="16.5" thickBot="1">
      <c r="A18" s="523">
        <v>13</v>
      </c>
      <c r="B18" s="3421" t="s">
        <v>3043</v>
      </c>
      <c r="C18" s="3422"/>
      <c r="D18" s="553">
        <f t="shared" ref="D18:L18" si="3">D17+D13+D9</f>
        <v>0</v>
      </c>
      <c r="E18" s="554">
        <f t="shared" si="3"/>
        <v>0</v>
      </c>
      <c r="F18" s="555">
        <f t="shared" si="3"/>
        <v>0</v>
      </c>
      <c r="G18" s="556">
        <f t="shared" si="3"/>
        <v>0</v>
      </c>
      <c r="H18" s="554">
        <f t="shared" si="3"/>
        <v>0</v>
      </c>
      <c r="I18" s="555">
        <f t="shared" si="3"/>
        <v>0</v>
      </c>
      <c r="J18" s="556">
        <f t="shared" si="3"/>
        <v>0</v>
      </c>
      <c r="K18" s="554">
        <f t="shared" si="3"/>
        <v>0</v>
      </c>
      <c r="L18" s="555">
        <f t="shared" si="3"/>
        <v>0</v>
      </c>
    </row>
    <row r="19" spans="1:13">
      <c r="B19" s="252"/>
      <c r="C19" s="252"/>
      <c r="D19" s="252"/>
      <c r="E19" s="252"/>
      <c r="F19" s="252"/>
      <c r="G19" s="252"/>
      <c r="H19" s="252"/>
      <c r="I19" s="252"/>
      <c r="J19" s="252"/>
      <c r="K19" s="252"/>
      <c r="L19" s="252"/>
      <c r="M19" s="252"/>
    </row>
    <row r="20" spans="1:13" ht="16.5">
      <c r="A20" s="557" t="s">
        <v>3044</v>
      </c>
      <c r="B20" s="252" t="s">
        <v>3045</v>
      </c>
      <c r="D20" s="252"/>
      <c r="E20" s="252"/>
      <c r="F20" s="252"/>
      <c r="G20" s="252"/>
      <c r="H20" s="252"/>
      <c r="I20" s="252"/>
      <c r="J20" s="252"/>
      <c r="K20" s="252"/>
      <c r="L20" s="252"/>
      <c r="M20" s="252"/>
    </row>
    <row r="21" spans="1:13">
      <c r="A21" s="209"/>
      <c r="D21" s="252"/>
      <c r="E21" s="252"/>
      <c r="F21" s="252"/>
      <c r="G21" s="252"/>
      <c r="H21" s="252"/>
      <c r="I21" s="252"/>
      <c r="J21" s="252"/>
      <c r="K21" s="252"/>
      <c r="L21" s="252"/>
    </row>
  </sheetData>
  <mergeCells count="10">
    <mergeCell ref="J3:L3"/>
    <mergeCell ref="B5:C5"/>
    <mergeCell ref="B6:B9"/>
    <mergeCell ref="B10:B13"/>
    <mergeCell ref="B14:B17"/>
    <mergeCell ref="A3:A5"/>
    <mergeCell ref="B3:C4"/>
    <mergeCell ref="D3:F3"/>
    <mergeCell ref="G3:I3"/>
    <mergeCell ref="B18:C18"/>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AH45"/>
  <sheetViews>
    <sheetView showGridLines="0" zoomScale="115" zoomScaleNormal="115" workbookViewId="0">
      <pane xSplit="3" ySplit="5" topLeftCell="D6" activePane="bottomRight" state="frozen"/>
      <selection activeCell="G28" sqref="G28"/>
      <selection pane="topRight" activeCell="G28" sqref="G28"/>
      <selection pane="bottomLeft" activeCell="G28" sqref="G28"/>
      <selection pane="bottomRight" activeCell="B1" sqref="B1"/>
    </sheetView>
  </sheetViews>
  <sheetFormatPr defaultRowHeight="14.25"/>
  <cols>
    <col min="1" max="1" width="3" style="474" customWidth="1"/>
    <col min="2" max="2" width="3.625" style="474" customWidth="1"/>
    <col min="3" max="3" width="30.625" style="474" customWidth="1"/>
    <col min="4" max="6" width="5.625" style="474" customWidth="1"/>
    <col min="7" max="7" width="3.625" style="474" customWidth="1"/>
    <col min="8" max="8" width="23.125" style="474" customWidth="1"/>
    <col min="9" max="9" width="5.625" style="474" customWidth="1"/>
    <col min="10" max="14" width="9.625" style="472" customWidth="1"/>
    <col min="15" max="15" width="7.625" style="472" customWidth="1"/>
    <col min="16" max="16" width="13.5" style="472" customWidth="1"/>
    <col min="17" max="17" width="9.625" style="472" customWidth="1"/>
    <col min="18" max="18" width="10.625" style="472" customWidth="1"/>
    <col min="19" max="19" width="6.625" style="472" customWidth="1"/>
    <col min="20" max="20" width="9.5" style="472" customWidth="1"/>
    <col min="21" max="16384" width="9" style="472"/>
  </cols>
  <sheetData>
    <row r="1" spans="1:19" ht="16.5">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9">
      <c r="A2" s="472" t="s">
        <v>126</v>
      </c>
      <c r="B2" s="472"/>
      <c r="C2" s="472"/>
      <c r="D2" s="472"/>
      <c r="E2" s="472"/>
      <c r="R2" s="475" t="s">
        <v>127</v>
      </c>
    </row>
    <row r="3" spans="1:19" ht="14.25" customHeight="1">
      <c r="A3" s="3435" t="s">
        <v>94</v>
      </c>
      <c r="B3" s="3438" t="s">
        <v>255</v>
      </c>
      <c r="C3" s="3438"/>
      <c r="D3" s="3438"/>
      <c r="E3" s="3438"/>
      <c r="F3" s="3438"/>
      <c r="G3" s="3441" t="s">
        <v>128</v>
      </c>
      <c r="H3" s="3442"/>
      <c r="I3" s="3443"/>
      <c r="J3" s="3439" t="s">
        <v>256</v>
      </c>
      <c r="K3" s="3439" t="s">
        <v>129</v>
      </c>
      <c r="L3" s="3439" t="s">
        <v>115</v>
      </c>
      <c r="M3" s="3445" t="s">
        <v>130</v>
      </c>
      <c r="N3" s="3445" t="s">
        <v>116</v>
      </c>
      <c r="O3" s="3445" t="s">
        <v>131</v>
      </c>
      <c r="P3" s="3439" t="s">
        <v>246</v>
      </c>
      <c r="Q3" s="3439" t="s">
        <v>247</v>
      </c>
      <c r="R3" s="3439" t="s">
        <v>132</v>
      </c>
      <c r="S3" s="3439" t="s">
        <v>27</v>
      </c>
    </row>
    <row r="4" spans="1:19" s="500" customFormat="1" ht="42.75">
      <c r="A4" s="3436"/>
      <c r="B4" s="498" t="s">
        <v>133</v>
      </c>
      <c r="C4" s="498" t="s">
        <v>134</v>
      </c>
      <c r="D4" s="498" t="s">
        <v>135</v>
      </c>
      <c r="E4" s="498" t="s">
        <v>244</v>
      </c>
      <c r="F4" s="498" t="s">
        <v>410</v>
      </c>
      <c r="G4" s="499" t="s">
        <v>411</v>
      </c>
      <c r="H4" s="499" t="s">
        <v>412</v>
      </c>
      <c r="I4" s="499" t="s">
        <v>413</v>
      </c>
      <c r="J4" s="3440"/>
      <c r="K4" s="3440"/>
      <c r="L4" s="3440"/>
      <c r="M4" s="3440"/>
      <c r="N4" s="3440"/>
      <c r="O4" s="3440"/>
      <c r="P4" s="3440"/>
      <c r="Q4" s="3440"/>
      <c r="R4" s="3440"/>
      <c r="S4" s="3440"/>
    </row>
    <row r="5" spans="1:19" s="500" customFormat="1" ht="28.5">
      <c r="A5" s="3437"/>
      <c r="B5" s="501" t="s">
        <v>271</v>
      </c>
      <c r="C5" s="501" t="s">
        <v>423</v>
      </c>
      <c r="D5" s="501" t="s">
        <v>171</v>
      </c>
      <c r="E5" s="501" t="s">
        <v>172</v>
      </c>
      <c r="F5" s="501" t="s">
        <v>173</v>
      </c>
      <c r="G5" s="501" t="s">
        <v>174</v>
      </c>
      <c r="H5" s="501" t="s">
        <v>175</v>
      </c>
      <c r="I5" s="501" t="s">
        <v>176</v>
      </c>
      <c r="J5" s="501" t="s">
        <v>272</v>
      </c>
      <c r="K5" s="501" t="s">
        <v>178</v>
      </c>
      <c r="L5" s="501" t="s">
        <v>179</v>
      </c>
      <c r="M5" s="501" t="s">
        <v>180</v>
      </c>
      <c r="N5" s="501" t="s">
        <v>416</v>
      </c>
      <c r="O5" s="501" t="s">
        <v>417</v>
      </c>
      <c r="P5" s="502" t="s">
        <v>360</v>
      </c>
      <c r="Q5" s="501" t="s">
        <v>419</v>
      </c>
      <c r="R5" s="501" t="s">
        <v>420</v>
      </c>
      <c r="S5" s="501" t="s">
        <v>424</v>
      </c>
    </row>
    <row r="6" spans="1:19" ht="18" customHeight="1">
      <c r="A6" s="476">
        <v>1</v>
      </c>
      <c r="B6" s="503"/>
      <c r="C6" s="504"/>
      <c r="D6" s="503"/>
      <c r="E6" s="503"/>
      <c r="F6" s="476"/>
      <c r="G6" s="476"/>
      <c r="H6" s="505"/>
      <c r="I6" s="476"/>
      <c r="J6" s="506"/>
      <c r="K6" s="506"/>
      <c r="L6" s="506"/>
      <c r="M6" s="506"/>
      <c r="N6" s="507"/>
      <c r="O6" s="507"/>
      <c r="P6" s="508"/>
      <c r="Q6" s="507"/>
      <c r="R6" s="507"/>
      <c r="S6" s="438"/>
    </row>
    <row r="7" spans="1:19" ht="18" customHeight="1">
      <c r="A7" s="476">
        <v>2</v>
      </c>
      <c r="B7" s="503"/>
      <c r="C7" s="504"/>
      <c r="D7" s="503"/>
      <c r="E7" s="503"/>
      <c r="F7" s="476"/>
      <c r="G7" s="476"/>
      <c r="H7" s="505"/>
      <c r="I7" s="476"/>
      <c r="J7" s="506"/>
      <c r="K7" s="506"/>
      <c r="L7" s="506"/>
      <c r="M7" s="506"/>
      <c r="N7" s="507"/>
      <c r="O7" s="507"/>
      <c r="P7" s="508"/>
      <c r="Q7" s="507"/>
      <c r="R7" s="507"/>
      <c r="S7" s="438"/>
    </row>
    <row r="8" spans="1:19">
      <c r="A8" s="476">
        <v>3</v>
      </c>
      <c r="B8" s="503"/>
      <c r="C8" s="504"/>
      <c r="D8" s="503"/>
      <c r="E8" s="503"/>
      <c r="F8" s="476"/>
      <c r="G8" s="476"/>
      <c r="H8" s="509"/>
      <c r="I8" s="476"/>
      <c r="J8" s="506"/>
      <c r="K8" s="506"/>
      <c r="L8" s="506"/>
      <c r="M8" s="506"/>
      <c r="N8" s="507"/>
      <c r="O8" s="507"/>
      <c r="P8" s="508"/>
      <c r="Q8" s="507"/>
      <c r="R8" s="507"/>
      <c r="S8" s="438"/>
    </row>
    <row r="9" spans="1:19" ht="18" customHeight="1">
      <c r="A9" s="476">
        <v>4</v>
      </c>
      <c r="B9" s="503"/>
      <c r="C9" s="504"/>
      <c r="D9" s="503"/>
      <c r="E9" s="503"/>
      <c r="F9" s="476"/>
      <c r="G9" s="476"/>
      <c r="H9" s="505"/>
      <c r="I9" s="476"/>
      <c r="J9" s="506"/>
      <c r="K9" s="506"/>
      <c r="L9" s="506"/>
      <c r="M9" s="506"/>
      <c r="N9" s="507"/>
      <c r="O9" s="507"/>
      <c r="P9" s="508"/>
      <c r="Q9" s="507"/>
      <c r="R9" s="507"/>
      <c r="S9" s="438"/>
    </row>
    <row r="10" spans="1:19" ht="18" customHeight="1">
      <c r="A10" s="476">
        <v>5</v>
      </c>
      <c r="B10" s="503"/>
      <c r="C10" s="504"/>
      <c r="D10" s="503"/>
      <c r="E10" s="503"/>
      <c r="F10" s="476"/>
      <c r="G10" s="476"/>
      <c r="H10" s="505"/>
      <c r="I10" s="476"/>
      <c r="J10" s="506"/>
      <c r="K10" s="506"/>
      <c r="L10" s="506"/>
      <c r="M10" s="506"/>
      <c r="N10" s="507"/>
      <c r="O10" s="507"/>
      <c r="P10" s="508"/>
      <c r="Q10" s="507"/>
      <c r="R10" s="507"/>
      <c r="S10" s="438"/>
    </row>
    <row r="11" spans="1:19" ht="18" customHeight="1">
      <c r="A11" s="476">
        <v>6</v>
      </c>
      <c r="B11" s="503"/>
      <c r="C11" s="504"/>
      <c r="D11" s="503"/>
      <c r="E11" s="503"/>
      <c r="F11" s="476"/>
      <c r="G11" s="476"/>
      <c r="H11" s="476"/>
      <c r="I11" s="476"/>
      <c r="J11" s="506"/>
      <c r="K11" s="506"/>
      <c r="L11" s="506"/>
      <c r="M11" s="506"/>
      <c r="N11" s="507"/>
      <c r="O11" s="507"/>
      <c r="P11" s="508"/>
      <c r="Q11" s="507"/>
      <c r="R11" s="507"/>
      <c r="S11" s="438"/>
    </row>
    <row r="12" spans="1:19" ht="18" customHeight="1">
      <c r="A12" s="476">
        <v>7</v>
      </c>
      <c r="B12" s="503"/>
      <c r="C12" s="504"/>
      <c r="D12" s="503"/>
      <c r="E12" s="503"/>
      <c r="F12" s="476"/>
      <c r="G12" s="476"/>
      <c r="H12" s="476"/>
      <c r="I12" s="476"/>
      <c r="J12" s="506"/>
      <c r="K12" s="506"/>
      <c r="L12" s="506"/>
      <c r="M12" s="506"/>
      <c r="N12" s="507"/>
      <c r="O12" s="507"/>
      <c r="P12" s="508"/>
      <c r="Q12" s="507"/>
      <c r="R12" s="507"/>
      <c r="S12" s="438"/>
    </row>
    <row r="13" spans="1:19" ht="18" customHeight="1">
      <c r="A13" s="476">
        <v>8</v>
      </c>
      <c r="B13" s="503"/>
      <c r="C13" s="504"/>
      <c r="D13" s="503"/>
      <c r="E13" s="503"/>
      <c r="F13" s="476"/>
      <c r="G13" s="476"/>
      <c r="H13" s="476"/>
      <c r="I13" s="476"/>
      <c r="J13" s="506"/>
      <c r="K13" s="506"/>
      <c r="L13" s="506"/>
      <c r="M13" s="506"/>
      <c r="N13" s="507"/>
      <c r="O13" s="507"/>
      <c r="P13" s="508"/>
      <c r="Q13" s="507"/>
      <c r="R13" s="507"/>
      <c r="S13" s="438"/>
    </row>
    <row r="14" spans="1:19" ht="18" customHeight="1">
      <c r="A14" s="476">
        <v>9</v>
      </c>
      <c r="B14" s="503"/>
      <c r="C14" s="504"/>
      <c r="D14" s="503"/>
      <c r="E14" s="503"/>
      <c r="F14" s="476"/>
      <c r="G14" s="476"/>
      <c r="H14" s="476"/>
      <c r="I14" s="476"/>
      <c r="J14" s="506"/>
      <c r="K14" s="506"/>
      <c r="L14" s="506"/>
      <c r="M14" s="506"/>
      <c r="N14" s="507"/>
      <c r="O14" s="507"/>
      <c r="P14" s="508"/>
      <c r="Q14" s="507"/>
      <c r="R14" s="507"/>
      <c r="S14" s="438"/>
    </row>
    <row r="15" spans="1:19" ht="18" customHeight="1">
      <c r="A15" s="476">
        <v>10</v>
      </c>
      <c r="B15" s="503"/>
      <c r="C15" s="504"/>
      <c r="D15" s="503"/>
      <c r="E15" s="503"/>
      <c r="F15" s="476"/>
      <c r="G15" s="476"/>
      <c r="H15" s="476"/>
      <c r="I15" s="476"/>
      <c r="J15" s="506"/>
      <c r="K15" s="506"/>
      <c r="L15" s="506"/>
      <c r="M15" s="506"/>
      <c r="N15" s="507"/>
      <c r="O15" s="507"/>
      <c r="P15" s="508"/>
      <c r="Q15" s="507"/>
      <c r="R15" s="507"/>
      <c r="S15" s="438"/>
    </row>
    <row r="16" spans="1:19" ht="18" customHeight="1">
      <c r="A16" s="476">
        <v>11</v>
      </c>
      <c r="B16" s="503"/>
      <c r="C16" s="504"/>
      <c r="D16" s="503"/>
      <c r="E16" s="503"/>
      <c r="F16" s="476"/>
      <c r="G16" s="476"/>
      <c r="H16" s="476"/>
      <c r="I16" s="476"/>
      <c r="J16" s="506"/>
      <c r="K16" s="506"/>
      <c r="L16" s="506"/>
      <c r="M16" s="506"/>
      <c r="N16" s="507"/>
      <c r="O16" s="507"/>
      <c r="P16" s="508"/>
      <c r="Q16" s="507"/>
      <c r="R16" s="507"/>
      <c r="S16" s="438"/>
    </row>
    <row r="17" spans="1:34" ht="18" customHeight="1">
      <c r="A17" s="476">
        <v>12</v>
      </c>
      <c r="B17" s="503"/>
      <c r="C17" s="504"/>
      <c r="D17" s="503"/>
      <c r="E17" s="503"/>
      <c r="F17" s="476"/>
      <c r="G17" s="476"/>
      <c r="H17" s="476"/>
      <c r="I17" s="476"/>
      <c r="J17" s="506"/>
      <c r="K17" s="506"/>
      <c r="L17" s="506"/>
      <c r="M17" s="506"/>
      <c r="N17" s="507"/>
      <c r="O17" s="507"/>
      <c r="P17" s="508"/>
      <c r="Q17" s="507"/>
      <c r="R17" s="507"/>
      <c r="S17" s="438"/>
    </row>
    <row r="18" spans="1:34" ht="18" customHeight="1">
      <c r="A18" s="476">
        <v>13</v>
      </c>
      <c r="B18" s="503"/>
      <c r="C18" s="504"/>
      <c r="D18" s="503"/>
      <c r="E18" s="503"/>
      <c r="F18" s="476"/>
      <c r="G18" s="476"/>
      <c r="H18" s="476"/>
      <c r="I18" s="476"/>
      <c r="J18" s="506"/>
      <c r="K18" s="506"/>
      <c r="L18" s="506"/>
      <c r="M18" s="506"/>
      <c r="N18" s="507"/>
      <c r="O18" s="507"/>
      <c r="P18" s="508"/>
      <c r="Q18" s="507"/>
      <c r="R18" s="507"/>
      <c r="S18" s="438"/>
    </row>
    <row r="19" spans="1:34" ht="18" customHeight="1">
      <c r="A19" s="476">
        <v>14</v>
      </c>
      <c r="B19" s="503"/>
      <c r="C19" s="504"/>
      <c r="D19" s="503"/>
      <c r="E19" s="503"/>
      <c r="F19" s="476"/>
      <c r="G19" s="476"/>
      <c r="H19" s="476"/>
      <c r="I19" s="476"/>
      <c r="J19" s="506"/>
      <c r="K19" s="506"/>
      <c r="L19" s="506"/>
      <c r="M19" s="506"/>
      <c r="N19" s="507"/>
      <c r="O19" s="507"/>
      <c r="P19" s="508"/>
      <c r="Q19" s="507"/>
      <c r="R19" s="507"/>
      <c r="S19" s="438"/>
    </row>
    <row r="20" spans="1:34" ht="18" customHeight="1">
      <c r="A20" s="476">
        <v>15</v>
      </c>
      <c r="B20" s="503"/>
      <c r="C20" s="504"/>
      <c r="D20" s="503"/>
      <c r="E20" s="503"/>
      <c r="F20" s="476"/>
      <c r="G20" s="476"/>
      <c r="H20" s="476"/>
      <c r="I20" s="476"/>
      <c r="J20" s="506"/>
      <c r="K20" s="506"/>
      <c r="L20" s="506"/>
      <c r="M20" s="506"/>
      <c r="N20" s="507"/>
      <c r="O20" s="507"/>
      <c r="P20" s="508"/>
      <c r="Q20" s="507"/>
      <c r="R20" s="507"/>
      <c r="S20" s="438"/>
    </row>
    <row r="21" spans="1:34" ht="18" customHeight="1">
      <c r="A21" s="476">
        <v>16</v>
      </c>
      <c r="B21" s="503"/>
      <c r="C21" s="504"/>
      <c r="D21" s="503"/>
      <c r="E21" s="503"/>
      <c r="F21" s="476"/>
      <c r="G21" s="476"/>
      <c r="H21" s="476"/>
      <c r="I21" s="476"/>
      <c r="J21" s="506"/>
      <c r="K21" s="506"/>
      <c r="L21" s="506"/>
      <c r="M21" s="506"/>
      <c r="N21" s="507"/>
      <c r="O21" s="507"/>
      <c r="P21" s="508"/>
      <c r="Q21" s="507"/>
      <c r="R21" s="507"/>
      <c r="S21" s="438"/>
    </row>
    <row r="22" spans="1:34" ht="18" customHeight="1">
      <c r="A22" s="476">
        <v>17</v>
      </c>
      <c r="B22" s="503"/>
      <c r="C22" s="504"/>
      <c r="D22" s="503"/>
      <c r="E22" s="503"/>
      <c r="F22" s="476"/>
      <c r="G22" s="476"/>
      <c r="H22" s="476"/>
      <c r="I22" s="476"/>
      <c r="J22" s="506"/>
      <c r="K22" s="506"/>
      <c r="L22" s="506"/>
      <c r="M22" s="506"/>
      <c r="N22" s="507"/>
      <c r="O22" s="507"/>
      <c r="P22" s="508"/>
      <c r="Q22" s="507"/>
      <c r="R22" s="507"/>
      <c r="S22" s="438"/>
    </row>
    <row r="23" spans="1:34" ht="18" customHeight="1">
      <c r="A23" s="476">
        <v>18</v>
      </c>
      <c r="B23" s="503"/>
      <c r="C23" s="504"/>
      <c r="D23" s="503"/>
      <c r="E23" s="503"/>
      <c r="F23" s="476"/>
      <c r="G23" s="476"/>
      <c r="H23" s="476"/>
      <c r="I23" s="476"/>
      <c r="J23" s="506"/>
      <c r="K23" s="506"/>
      <c r="L23" s="506"/>
      <c r="M23" s="506"/>
      <c r="N23" s="507"/>
      <c r="O23" s="507"/>
      <c r="P23" s="508"/>
      <c r="Q23" s="507"/>
      <c r="R23" s="507"/>
      <c r="S23" s="438"/>
    </row>
    <row r="24" spans="1:34" ht="18" customHeight="1">
      <c r="A24" s="476">
        <v>19</v>
      </c>
      <c r="B24" s="503"/>
      <c r="C24" s="504"/>
      <c r="D24" s="503"/>
      <c r="E24" s="503"/>
      <c r="F24" s="476"/>
      <c r="G24" s="476"/>
      <c r="H24" s="476"/>
      <c r="I24" s="476"/>
      <c r="J24" s="506"/>
      <c r="K24" s="506"/>
      <c r="L24" s="506"/>
      <c r="M24" s="506"/>
      <c r="N24" s="507"/>
      <c r="O24" s="507"/>
      <c r="P24" s="508"/>
      <c r="Q24" s="507"/>
      <c r="R24" s="507"/>
      <c r="S24" s="438"/>
    </row>
    <row r="25" spans="1:34" ht="18" customHeight="1">
      <c r="A25" s="476">
        <v>20</v>
      </c>
      <c r="B25" s="503"/>
      <c r="C25" s="504"/>
      <c r="D25" s="503"/>
      <c r="E25" s="503"/>
      <c r="F25" s="476"/>
      <c r="G25" s="476"/>
      <c r="H25" s="476"/>
      <c r="I25" s="476"/>
      <c r="J25" s="506"/>
      <c r="K25" s="506"/>
      <c r="L25" s="506"/>
      <c r="M25" s="506"/>
      <c r="N25" s="507"/>
      <c r="O25" s="507"/>
      <c r="P25" s="508"/>
      <c r="Q25" s="507"/>
      <c r="R25" s="507"/>
      <c r="S25" s="438"/>
    </row>
    <row r="26" spans="1:34" ht="18" customHeight="1">
      <c r="A26" s="476">
        <v>21</v>
      </c>
      <c r="B26" s="503"/>
      <c r="C26" s="504"/>
      <c r="D26" s="503"/>
      <c r="E26" s="503"/>
      <c r="F26" s="476"/>
      <c r="G26" s="476"/>
      <c r="H26" s="476"/>
      <c r="I26" s="476"/>
      <c r="J26" s="506"/>
      <c r="K26" s="506"/>
      <c r="L26" s="506"/>
      <c r="M26" s="506"/>
      <c r="N26" s="507"/>
      <c r="O26" s="507"/>
      <c r="P26" s="508"/>
      <c r="Q26" s="507"/>
      <c r="R26" s="507"/>
      <c r="S26" s="438"/>
      <c r="AB26" s="510"/>
    </row>
    <row r="27" spans="1:34" ht="18" customHeight="1">
      <c r="A27" s="476">
        <v>22</v>
      </c>
      <c r="B27" s="503"/>
      <c r="C27" s="504"/>
      <c r="D27" s="503"/>
      <c r="E27" s="503"/>
      <c r="F27" s="476"/>
      <c r="G27" s="476"/>
      <c r="H27" s="476"/>
      <c r="I27" s="476"/>
      <c r="J27" s="506"/>
      <c r="K27" s="506"/>
      <c r="L27" s="506"/>
      <c r="M27" s="506"/>
      <c r="N27" s="507"/>
      <c r="O27" s="507"/>
      <c r="P27" s="508"/>
      <c r="Q27" s="507"/>
      <c r="R27" s="507"/>
      <c r="S27" s="438"/>
    </row>
    <row r="28" spans="1:34" ht="18" customHeight="1">
      <c r="A28" s="476">
        <v>23</v>
      </c>
      <c r="B28" s="503"/>
      <c r="C28" s="504"/>
      <c r="D28" s="503"/>
      <c r="E28" s="503"/>
      <c r="F28" s="476"/>
      <c r="G28" s="476"/>
      <c r="H28" s="476"/>
      <c r="I28" s="476"/>
      <c r="J28" s="506"/>
      <c r="K28" s="506"/>
      <c r="L28" s="506"/>
      <c r="M28" s="506"/>
      <c r="N28" s="507"/>
      <c r="O28" s="507"/>
      <c r="P28" s="508"/>
      <c r="Q28" s="507"/>
      <c r="R28" s="507"/>
      <c r="S28" s="438"/>
    </row>
    <row r="29" spans="1:34" ht="18" customHeight="1">
      <c r="A29" s="476">
        <v>24</v>
      </c>
      <c r="B29" s="503"/>
      <c r="C29" s="504"/>
      <c r="D29" s="503"/>
      <c r="E29" s="503"/>
      <c r="F29" s="476"/>
      <c r="G29" s="476"/>
      <c r="H29" s="476"/>
      <c r="I29" s="476"/>
      <c r="J29" s="506"/>
      <c r="K29" s="506"/>
      <c r="L29" s="506"/>
      <c r="M29" s="506"/>
      <c r="N29" s="507"/>
      <c r="O29" s="507"/>
      <c r="P29" s="508"/>
      <c r="Q29" s="507"/>
      <c r="R29" s="507"/>
      <c r="S29" s="438"/>
    </row>
    <row r="30" spans="1:34" ht="18" customHeight="1">
      <c r="A30" s="476">
        <v>25</v>
      </c>
      <c r="B30" s="3441" t="s">
        <v>273</v>
      </c>
      <c r="C30" s="3442"/>
      <c r="D30" s="3442"/>
      <c r="E30" s="3442"/>
      <c r="F30" s="3443"/>
      <c r="G30" s="497"/>
      <c r="H30" s="497"/>
      <c r="I30" s="497"/>
      <c r="J30" s="507"/>
      <c r="K30" s="507"/>
      <c r="L30" s="507"/>
      <c r="M30" s="507"/>
      <c r="N30" s="507"/>
      <c r="O30" s="507"/>
      <c r="P30" s="507"/>
      <c r="Q30" s="507"/>
      <c r="R30" s="507"/>
      <c r="S30" s="507"/>
    </row>
    <row r="31" spans="1:34" s="492" customFormat="1" ht="12.4" customHeight="1">
      <c r="A31" s="492" t="s">
        <v>274</v>
      </c>
      <c r="B31" s="493"/>
      <c r="C31" s="493"/>
      <c r="D31" s="493"/>
      <c r="E31" s="493"/>
      <c r="F31" s="493"/>
      <c r="G31" s="493"/>
      <c r="H31" s="493"/>
      <c r="I31" s="493"/>
      <c r="J31" s="493"/>
      <c r="K31" s="493"/>
      <c r="L31" s="493"/>
      <c r="M31" s="493"/>
      <c r="N31" s="493"/>
      <c r="O31" s="493"/>
      <c r="P31" s="493"/>
      <c r="Q31" s="493"/>
      <c r="R31" s="493"/>
      <c r="S31" s="493"/>
      <c r="T31" s="493"/>
      <c r="V31" s="494"/>
      <c r="W31" s="494"/>
      <c r="X31" s="494"/>
      <c r="Y31" s="494"/>
      <c r="Z31" s="494"/>
      <c r="AA31" s="494"/>
      <c r="AB31" s="494"/>
      <c r="AC31" s="494"/>
      <c r="AD31" s="494"/>
      <c r="AE31" s="494"/>
      <c r="AF31" s="494"/>
      <c r="AG31" s="494"/>
      <c r="AH31" s="494"/>
    </row>
    <row r="32" spans="1:34" s="492" customFormat="1" ht="14.25" customHeight="1">
      <c r="A32" s="496">
        <v>1</v>
      </c>
      <c r="B32" s="3444" t="s">
        <v>414</v>
      </c>
      <c r="C32" s="3444"/>
      <c r="D32" s="3444"/>
      <c r="E32" s="3444"/>
      <c r="F32" s="3444"/>
      <c r="G32" s="3444"/>
      <c r="H32" s="3444"/>
      <c r="I32" s="3444"/>
      <c r="J32" s="3444"/>
      <c r="K32" s="3444"/>
      <c r="L32" s="3444"/>
      <c r="M32" s="3444"/>
      <c r="N32" s="3444"/>
      <c r="O32" s="3444"/>
      <c r="P32" s="3444"/>
      <c r="Q32" s="3444"/>
      <c r="R32" s="3444"/>
      <c r="S32" s="493"/>
      <c r="T32" s="493"/>
      <c r="V32" s="494"/>
      <c r="W32" s="494"/>
      <c r="X32" s="494"/>
      <c r="Y32" s="494"/>
      <c r="Z32" s="494"/>
      <c r="AA32" s="494"/>
      <c r="AB32" s="494"/>
      <c r="AC32" s="494"/>
      <c r="AD32" s="494"/>
      <c r="AE32" s="494"/>
      <c r="AF32" s="494"/>
      <c r="AG32" s="494"/>
      <c r="AH32" s="494"/>
    </row>
    <row r="33" spans="1:34" s="492" customFormat="1" ht="14.25" customHeight="1">
      <c r="A33" s="496">
        <v>2</v>
      </c>
      <c r="B33" s="3444" t="s">
        <v>1918</v>
      </c>
      <c r="C33" s="3444"/>
      <c r="D33" s="3444"/>
      <c r="E33" s="3444"/>
      <c r="F33" s="3444"/>
      <c r="G33" s="3444"/>
      <c r="H33" s="3444"/>
      <c r="I33" s="3444"/>
      <c r="J33" s="3444"/>
      <c r="K33" s="493"/>
      <c r="L33" s="493"/>
      <c r="M33" s="493"/>
      <c r="N33" s="493"/>
      <c r="O33" s="493"/>
      <c r="P33" s="493"/>
      <c r="Q33" s="493"/>
      <c r="R33" s="493"/>
      <c r="S33" s="3444"/>
      <c r="T33" s="3444"/>
      <c r="V33" s="494"/>
      <c r="W33" s="494"/>
      <c r="X33" s="494"/>
      <c r="Y33" s="494"/>
      <c r="Z33" s="494"/>
      <c r="AA33" s="494"/>
      <c r="AB33" s="494"/>
      <c r="AC33" s="494"/>
      <c r="AD33" s="494"/>
      <c r="AE33" s="494"/>
      <c r="AF33" s="494"/>
      <c r="AG33" s="494"/>
      <c r="AH33" s="494"/>
    </row>
    <row r="34" spans="1:34" s="492" customFormat="1">
      <c r="A34" s="496">
        <v>3</v>
      </c>
      <c r="B34" s="1167" t="s">
        <v>3482</v>
      </c>
      <c r="C34" s="493"/>
      <c r="D34" s="493"/>
      <c r="E34" s="493"/>
      <c r="F34" s="493"/>
      <c r="G34" s="493"/>
      <c r="H34" s="493"/>
      <c r="I34" s="493"/>
      <c r="J34" s="493"/>
      <c r="K34" s="493"/>
      <c r="L34" s="493"/>
      <c r="M34" s="493"/>
      <c r="N34" s="493"/>
      <c r="O34" s="493"/>
      <c r="P34" s="493"/>
      <c r="Q34" s="493"/>
      <c r="R34" s="493"/>
      <c r="S34" s="493"/>
      <c r="T34" s="493"/>
      <c r="V34" s="494"/>
      <c r="W34" s="494"/>
      <c r="X34" s="494"/>
      <c r="Y34" s="494"/>
      <c r="Z34" s="494"/>
      <c r="AA34" s="494"/>
      <c r="AB34" s="494"/>
      <c r="AC34" s="494"/>
      <c r="AD34" s="494"/>
      <c r="AE34" s="494"/>
      <c r="AF34" s="494"/>
      <c r="AG34" s="494"/>
      <c r="AH34" s="494"/>
    </row>
    <row r="35" spans="1:34" s="492" customFormat="1">
      <c r="A35" s="496">
        <v>4</v>
      </c>
      <c r="B35" s="511" t="s">
        <v>258</v>
      </c>
      <c r="C35" s="493"/>
      <c r="D35" s="493"/>
      <c r="E35" s="493"/>
      <c r="F35" s="493"/>
      <c r="G35" s="493"/>
      <c r="H35" s="493"/>
      <c r="I35" s="493"/>
      <c r="J35" s="493"/>
      <c r="K35" s="493"/>
      <c r="L35" s="493"/>
      <c r="M35" s="493"/>
      <c r="N35" s="493"/>
      <c r="O35" s="493"/>
      <c r="P35" s="493"/>
      <c r="Q35" s="493"/>
      <c r="R35" s="493"/>
      <c r="S35" s="493"/>
      <c r="T35" s="493"/>
      <c r="V35" s="494"/>
      <c r="W35" s="494"/>
      <c r="X35" s="494"/>
      <c r="Y35" s="494"/>
      <c r="Z35" s="494"/>
      <c r="AA35" s="494"/>
      <c r="AB35" s="494"/>
      <c r="AC35" s="494"/>
      <c r="AD35" s="494"/>
      <c r="AE35" s="494"/>
      <c r="AF35" s="494"/>
      <c r="AG35" s="494"/>
      <c r="AH35" s="494"/>
    </row>
    <row r="36" spans="1:34" s="492" customFormat="1">
      <c r="A36" s="496">
        <v>5</v>
      </c>
      <c r="B36" s="512" t="s">
        <v>1919</v>
      </c>
      <c r="C36" s="493"/>
      <c r="D36" s="493"/>
      <c r="E36" s="493"/>
      <c r="F36" s="493"/>
      <c r="G36" s="493"/>
      <c r="H36" s="493"/>
      <c r="I36" s="493"/>
      <c r="J36" s="493"/>
      <c r="K36" s="493"/>
      <c r="L36" s="493"/>
      <c r="M36" s="493"/>
      <c r="N36" s="493"/>
      <c r="O36" s="493"/>
      <c r="P36" s="493"/>
      <c r="Q36" s="493"/>
      <c r="R36" s="493"/>
      <c r="S36" s="493"/>
      <c r="T36" s="493"/>
      <c r="V36" s="494"/>
      <c r="W36" s="494"/>
      <c r="X36" s="494"/>
      <c r="Y36" s="494"/>
      <c r="Z36" s="494"/>
      <c r="AA36" s="494"/>
      <c r="AB36" s="494"/>
      <c r="AC36" s="494"/>
      <c r="AD36" s="494"/>
      <c r="AE36" s="494"/>
      <c r="AF36" s="494"/>
      <c r="AG36" s="494"/>
      <c r="AH36" s="494"/>
    </row>
    <row r="37" spans="1:34" s="492" customFormat="1">
      <c r="A37" s="496"/>
      <c r="B37" s="512" t="s">
        <v>452</v>
      </c>
      <c r="C37" s="493"/>
      <c r="D37" s="493"/>
      <c r="E37" s="493"/>
      <c r="F37" s="493"/>
      <c r="G37" s="493"/>
      <c r="H37" s="493"/>
      <c r="I37" s="493"/>
      <c r="J37" s="493"/>
      <c r="K37" s="493"/>
      <c r="L37" s="493"/>
      <c r="M37" s="493"/>
      <c r="N37" s="493"/>
      <c r="O37" s="493"/>
      <c r="P37" s="493"/>
      <c r="Q37" s="493"/>
      <c r="R37" s="493"/>
      <c r="S37" s="493"/>
      <c r="T37" s="493"/>
      <c r="V37" s="494"/>
      <c r="W37" s="494"/>
      <c r="X37" s="494"/>
      <c r="Y37" s="494"/>
      <c r="Z37" s="494"/>
      <c r="AA37" s="494"/>
      <c r="AB37" s="494"/>
      <c r="AC37" s="494"/>
      <c r="AD37" s="494"/>
      <c r="AE37" s="494"/>
      <c r="AF37" s="494"/>
      <c r="AG37" s="494"/>
      <c r="AH37" s="494"/>
    </row>
    <row r="38" spans="1:34" s="492" customFormat="1">
      <c r="A38" s="496">
        <v>6</v>
      </c>
      <c r="B38" s="474" t="s">
        <v>1920</v>
      </c>
      <c r="C38" s="493"/>
      <c r="D38" s="493"/>
      <c r="E38" s="493"/>
      <c r="F38" s="493"/>
      <c r="G38" s="493"/>
      <c r="H38" s="493"/>
      <c r="I38" s="493"/>
      <c r="J38" s="493"/>
      <c r="K38" s="493"/>
      <c r="L38" s="493"/>
      <c r="M38" s="493"/>
      <c r="N38" s="493"/>
      <c r="O38" s="493"/>
      <c r="P38" s="493"/>
      <c r="Q38" s="493"/>
      <c r="R38" s="493"/>
      <c r="S38" s="493"/>
      <c r="T38" s="493"/>
      <c r="V38" s="494"/>
      <c r="W38" s="494"/>
      <c r="X38" s="494"/>
      <c r="Y38" s="494"/>
      <c r="Z38" s="494"/>
      <c r="AA38" s="494"/>
      <c r="AB38" s="494"/>
      <c r="AC38" s="494"/>
      <c r="AD38" s="494"/>
      <c r="AE38" s="494"/>
      <c r="AF38" s="494"/>
      <c r="AG38" s="494"/>
      <c r="AH38" s="494"/>
    </row>
    <row r="39" spans="1:34" s="492" customFormat="1">
      <c r="A39" s="496">
        <v>7</v>
      </c>
      <c r="B39" s="474" t="s">
        <v>1921</v>
      </c>
      <c r="C39" s="493"/>
      <c r="D39" s="493"/>
      <c r="E39" s="493"/>
      <c r="F39" s="493"/>
      <c r="G39" s="493"/>
      <c r="H39" s="493"/>
      <c r="I39" s="493"/>
      <c r="J39" s="493"/>
      <c r="K39" s="493"/>
      <c r="L39" s="493"/>
      <c r="M39" s="493"/>
      <c r="N39" s="493"/>
      <c r="O39" s="493"/>
      <c r="P39" s="493"/>
      <c r="Q39" s="493"/>
      <c r="R39" s="493"/>
      <c r="S39" s="493"/>
      <c r="T39" s="493"/>
      <c r="V39" s="494"/>
      <c r="W39" s="494"/>
      <c r="X39" s="494"/>
      <c r="Y39" s="494"/>
      <c r="Z39" s="494"/>
      <c r="AA39" s="494"/>
      <c r="AB39" s="494"/>
      <c r="AC39" s="494"/>
      <c r="AD39" s="494"/>
      <c r="AE39" s="494"/>
      <c r="AF39" s="494"/>
      <c r="AG39" s="494"/>
      <c r="AH39" s="494"/>
    </row>
    <row r="40" spans="1:34" ht="14.1" customHeight="1">
      <c r="A40" s="496">
        <v>8</v>
      </c>
      <c r="B40" s="3444" t="s">
        <v>721</v>
      </c>
      <c r="C40" s="3444"/>
      <c r="D40" s="3444"/>
      <c r="E40" s="3444"/>
      <c r="F40" s="3444"/>
      <c r="G40" s="3444"/>
      <c r="H40" s="3444"/>
      <c r="I40" s="3444"/>
      <c r="J40" s="3444"/>
      <c r="K40" s="3444"/>
      <c r="L40" s="3444"/>
      <c r="M40" s="3444"/>
      <c r="N40" s="3444"/>
      <c r="O40" s="3444"/>
      <c r="P40" s="3444"/>
      <c r="Q40" s="3444"/>
      <c r="R40" s="3444"/>
    </row>
    <row r="41" spans="1:34">
      <c r="A41" s="496">
        <v>9</v>
      </c>
      <c r="B41" s="474" t="s">
        <v>1922</v>
      </c>
    </row>
    <row r="42" spans="1:34">
      <c r="A42" s="496"/>
      <c r="B42" s="474" t="s">
        <v>453</v>
      </c>
    </row>
    <row r="43" spans="1:34">
      <c r="A43" s="496">
        <v>10</v>
      </c>
      <c r="B43" s="474" t="s">
        <v>96</v>
      </c>
    </row>
    <row r="44" spans="1:34">
      <c r="A44" s="496">
        <v>11</v>
      </c>
      <c r="B44" s="474" t="s">
        <v>97</v>
      </c>
    </row>
    <row r="45" spans="1:34">
      <c r="A45" s="496"/>
      <c r="B45" s="513"/>
    </row>
  </sheetData>
  <mergeCells count="18">
    <mergeCell ref="R3:R4"/>
    <mergeCell ref="B33:J33"/>
    <mergeCell ref="S33:T33"/>
    <mergeCell ref="B40:R40"/>
    <mergeCell ref="B32:R32"/>
    <mergeCell ref="B30:F30"/>
    <mergeCell ref="S3:S4"/>
    <mergeCell ref="L3:L4"/>
    <mergeCell ref="M3:M4"/>
    <mergeCell ref="N3:N4"/>
    <mergeCell ref="Q3:Q4"/>
    <mergeCell ref="O3:O4"/>
    <mergeCell ref="P3:P4"/>
    <mergeCell ref="A3:A5"/>
    <mergeCell ref="B3:F3"/>
    <mergeCell ref="J3:J4"/>
    <mergeCell ref="K3:K4"/>
    <mergeCell ref="G3:I3"/>
  </mergeCells>
  <phoneticPr fontId="9" type="noConversion"/>
  <pageMargins left="0.51181102362204722" right="0.35433070866141736" top="0.39370078740157483" bottom="0.27559055118110237" header="0.15748031496062992" footer="0.23622047244094491"/>
  <pageSetup paperSize="9" scale="71" fitToHeight="2" orientation="landscape" r:id="rId1"/>
  <headerFooter alignWithMargins="0">
    <oddFooter>&amp;C&amp;P/&amp;N&amp;R&amp;A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4">
    <pageSetUpPr fitToPage="1"/>
  </sheetPr>
  <dimension ref="A1:AX40"/>
  <sheetViews>
    <sheetView showGridLines="0" view="pageBreakPreview" zoomScaleNormal="100" zoomScaleSheetLayoutView="100" workbookViewId="0">
      <pane xSplit="1" ySplit="7" topLeftCell="B8" activePane="bottomRight" state="frozen"/>
      <selection activeCell="G28" sqref="G28"/>
      <selection pane="topRight" activeCell="G28" sqref="G28"/>
      <selection pane="bottomLeft" activeCell="G28" sqref="G28"/>
      <selection pane="bottomRight"/>
    </sheetView>
  </sheetViews>
  <sheetFormatPr defaultRowHeight="16.5"/>
  <cols>
    <col min="1" max="1" width="4.25" style="1400" customWidth="1"/>
    <col min="2" max="2" width="6.375" style="1400" customWidth="1"/>
    <col min="3" max="5" width="5" style="1400" customWidth="1"/>
    <col min="6" max="6" width="6" style="1400" customWidth="1"/>
    <col min="7" max="8" width="5.625" style="1400" customWidth="1"/>
    <col min="9" max="9" width="6.375" style="1400" customWidth="1"/>
    <col min="10" max="10" width="6.875" style="1400" customWidth="1"/>
    <col min="11" max="11" width="5.375" style="1400" customWidth="1"/>
    <col min="12" max="13" width="4.75" style="1400" customWidth="1"/>
    <col min="14" max="15" width="6.5" style="1400" customWidth="1"/>
    <col min="16" max="16" width="5" style="1400" customWidth="1"/>
    <col min="17" max="17" width="5" style="1400" bestFit="1" customWidth="1"/>
    <col min="18" max="18" width="7.125" style="1400" customWidth="1"/>
    <col min="19" max="19" width="5" style="1400" bestFit="1" customWidth="1"/>
    <col min="20" max="20" width="6.875" style="1400" customWidth="1"/>
    <col min="21" max="21" width="5.75" style="1400" customWidth="1"/>
    <col min="22" max="22" width="4.5" style="1400" customWidth="1"/>
    <col min="23" max="24" width="5" style="1400" bestFit="1" customWidth="1"/>
    <col min="25" max="25" width="5.375" style="1400" bestFit="1" customWidth="1"/>
    <col min="26" max="27" width="5" style="1400" bestFit="1" customWidth="1"/>
    <col min="28" max="28" width="5.375" style="1400" bestFit="1" customWidth="1"/>
    <col min="29" max="30" width="5" style="1400" bestFit="1" customWidth="1"/>
    <col min="31" max="31" width="6.125" style="1400" bestFit="1" customWidth="1"/>
    <col min="32" max="32" width="6.75" style="1400" customWidth="1"/>
    <col min="33" max="33" width="7.125" style="1400" customWidth="1"/>
    <col min="34" max="34" width="14" style="1400" customWidth="1"/>
    <col min="35" max="35" width="4.75" style="1400" customWidth="1"/>
    <col min="36" max="16384" width="9" style="1400"/>
  </cols>
  <sheetData>
    <row r="1" spans="1:35" s="1379" customFormat="1">
      <c r="A1" s="1255" t="str">
        <f>+封面!A3&amp;" "&amp;封面!A2</f>
        <v xml:space="preserve">        保險股份有限公司(○○分公司) 年度(月、季、半年)報表</v>
      </c>
      <c r="B1" s="1377"/>
      <c r="C1" s="1377"/>
      <c r="D1" s="1377"/>
      <c r="E1" s="1377"/>
      <c r="F1" s="1377"/>
      <c r="G1" s="1377"/>
      <c r="H1" s="1378"/>
      <c r="I1" s="1378"/>
      <c r="J1" s="1378"/>
      <c r="K1" s="1378"/>
      <c r="L1" s="1378"/>
      <c r="M1" s="1378"/>
      <c r="N1" s="1378"/>
      <c r="O1" s="1378"/>
      <c r="P1" s="1378"/>
      <c r="Q1" s="1378"/>
      <c r="R1" s="1378"/>
    </row>
    <row r="2" spans="1:35" s="1379" customFormat="1" ht="14.25">
      <c r="A2" s="1379" t="s">
        <v>454</v>
      </c>
      <c r="H2" s="1380"/>
      <c r="I2" s="1380"/>
      <c r="J2" s="1380"/>
      <c r="K2" s="1380"/>
      <c r="AG2" s="1381"/>
      <c r="AH2" s="1381"/>
      <c r="AI2" s="1403" t="s">
        <v>4254</v>
      </c>
    </row>
    <row r="3" spans="1:35" ht="16.5" customHeight="1">
      <c r="A3" s="3449" t="s">
        <v>94</v>
      </c>
      <c r="B3" s="3457" t="s">
        <v>485</v>
      </c>
      <c r="C3" s="3458"/>
      <c r="D3" s="3458"/>
      <c r="E3" s="3459"/>
      <c r="F3" s="1382" t="s">
        <v>507</v>
      </c>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3464" t="s">
        <v>490</v>
      </c>
      <c r="AH3" s="3446" t="s">
        <v>4255</v>
      </c>
      <c r="AI3" s="3464" t="s">
        <v>491</v>
      </c>
    </row>
    <row r="4" spans="1:35" ht="29.25" customHeight="1">
      <c r="A4" s="3450"/>
      <c r="B4" s="3471" t="s">
        <v>486</v>
      </c>
      <c r="C4" s="3471" t="s">
        <v>487</v>
      </c>
      <c r="D4" s="3460" t="s">
        <v>488</v>
      </c>
      <c r="E4" s="3460" t="s">
        <v>489</v>
      </c>
      <c r="F4" s="3452" t="s">
        <v>508</v>
      </c>
      <c r="G4" s="3453"/>
      <c r="H4" s="3453"/>
      <c r="I4" s="3453"/>
      <c r="J4" s="3454"/>
      <c r="K4" s="3452" t="s">
        <v>509</v>
      </c>
      <c r="L4" s="3453"/>
      <c r="M4" s="3453"/>
      <c r="N4" s="3453"/>
      <c r="O4" s="3454"/>
      <c r="P4" s="3466" t="s">
        <v>492</v>
      </c>
      <c r="Q4" s="3466"/>
      <c r="R4" s="3466"/>
      <c r="S4" s="3466"/>
      <c r="T4" s="3466"/>
      <c r="U4" s="3466"/>
      <c r="V4" s="3466"/>
      <c r="W4" s="3466"/>
      <c r="X4" s="3466"/>
      <c r="Y4" s="3466"/>
      <c r="Z4" s="3466"/>
      <c r="AA4" s="3466"/>
      <c r="AB4" s="3466"/>
      <c r="AC4" s="3466"/>
      <c r="AD4" s="3466"/>
      <c r="AE4" s="3466"/>
      <c r="AF4" s="3467"/>
      <c r="AG4" s="3465"/>
      <c r="AH4" s="3447"/>
      <c r="AI4" s="3465"/>
    </row>
    <row r="5" spans="1:35" ht="35.65" customHeight="1">
      <c r="A5" s="3450"/>
      <c r="B5" s="3472"/>
      <c r="C5" s="3472"/>
      <c r="D5" s="3461"/>
      <c r="E5" s="3461"/>
      <c r="F5" s="3455" t="s">
        <v>493</v>
      </c>
      <c r="G5" s="3455" t="s">
        <v>494</v>
      </c>
      <c r="H5" s="3455" t="s">
        <v>700</v>
      </c>
      <c r="I5" s="3455" t="s">
        <v>701</v>
      </c>
      <c r="J5" s="3455" t="s">
        <v>495</v>
      </c>
      <c r="K5" s="3455" t="s">
        <v>496</v>
      </c>
      <c r="L5" s="3455" t="s">
        <v>497</v>
      </c>
      <c r="M5" s="3455" t="s">
        <v>702</v>
      </c>
      <c r="N5" s="3455" t="s">
        <v>701</v>
      </c>
      <c r="O5" s="3455" t="s">
        <v>495</v>
      </c>
      <c r="P5" s="3468" t="s">
        <v>498</v>
      </c>
      <c r="Q5" s="3469"/>
      <c r="R5" s="3470"/>
      <c r="S5" s="3468" t="s">
        <v>499</v>
      </c>
      <c r="T5" s="3469"/>
      <c r="U5" s="3469"/>
      <c r="V5" s="3470"/>
      <c r="W5" s="3468" t="s">
        <v>500</v>
      </c>
      <c r="X5" s="3469"/>
      <c r="Y5" s="3470"/>
      <c r="Z5" s="3468" t="s">
        <v>510</v>
      </c>
      <c r="AA5" s="3469"/>
      <c r="AB5" s="3470"/>
      <c r="AC5" s="3468" t="s">
        <v>511</v>
      </c>
      <c r="AD5" s="3469"/>
      <c r="AE5" s="3470"/>
      <c r="AF5" s="3455" t="s">
        <v>495</v>
      </c>
      <c r="AG5" s="1383"/>
      <c r="AH5" s="3447"/>
      <c r="AI5" s="1383"/>
    </row>
    <row r="6" spans="1:35" ht="33.75" customHeight="1">
      <c r="A6" s="3450"/>
      <c r="B6" s="3473"/>
      <c r="C6" s="3473"/>
      <c r="D6" s="3462"/>
      <c r="E6" s="3462"/>
      <c r="F6" s="3456" t="s">
        <v>501</v>
      </c>
      <c r="G6" s="3456" t="s">
        <v>502</v>
      </c>
      <c r="H6" s="3456" t="s">
        <v>503</v>
      </c>
      <c r="I6" s="3456" t="s">
        <v>503</v>
      </c>
      <c r="J6" s="3456" t="s">
        <v>495</v>
      </c>
      <c r="K6" s="3456" t="s">
        <v>501</v>
      </c>
      <c r="L6" s="3456" t="s">
        <v>502</v>
      </c>
      <c r="M6" s="3456" t="s">
        <v>503</v>
      </c>
      <c r="N6" s="3456" t="s">
        <v>503</v>
      </c>
      <c r="O6" s="3456" t="s">
        <v>495</v>
      </c>
      <c r="P6" s="1384" t="s">
        <v>504</v>
      </c>
      <c r="Q6" s="1384" t="s">
        <v>1878</v>
      </c>
      <c r="R6" s="1384" t="s">
        <v>495</v>
      </c>
      <c r="S6" s="1384" t="s">
        <v>505</v>
      </c>
      <c r="T6" s="1384" t="s">
        <v>506</v>
      </c>
      <c r="U6" s="1384" t="s">
        <v>1879</v>
      </c>
      <c r="V6" s="1384" t="s">
        <v>495</v>
      </c>
      <c r="W6" s="1384" t="s">
        <v>504</v>
      </c>
      <c r="X6" s="1384" t="s">
        <v>1878</v>
      </c>
      <c r="Y6" s="1384" t="s">
        <v>495</v>
      </c>
      <c r="Z6" s="1384" t="s">
        <v>504</v>
      </c>
      <c r="AA6" s="1384" t="s">
        <v>1878</v>
      </c>
      <c r="AB6" s="1384" t="s">
        <v>495</v>
      </c>
      <c r="AC6" s="1384" t="s">
        <v>504</v>
      </c>
      <c r="AD6" s="1384" t="s">
        <v>1880</v>
      </c>
      <c r="AE6" s="1384" t="s">
        <v>495</v>
      </c>
      <c r="AF6" s="3456"/>
      <c r="AG6" s="1385"/>
      <c r="AH6" s="3448"/>
      <c r="AI6" s="1385"/>
    </row>
    <row r="7" spans="1:35" ht="58.9" customHeight="1">
      <c r="A7" s="3451"/>
      <c r="B7" s="1386" t="s">
        <v>1923</v>
      </c>
      <c r="C7" s="1386" t="s">
        <v>423</v>
      </c>
      <c r="D7" s="1386" t="s">
        <v>171</v>
      </c>
      <c r="E7" s="1386" t="s">
        <v>172</v>
      </c>
      <c r="F7" s="1386" t="s">
        <v>1924</v>
      </c>
      <c r="G7" s="1386" t="s">
        <v>1925</v>
      </c>
      <c r="H7" s="1386" t="s">
        <v>1926</v>
      </c>
      <c r="I7" s="1386" t="s">
        <v>1927</v>
      </c>
      <c r="J7" s="1387" t="s">
        <v>1928</v>
      </c>
      <c r="K7" s="1386" t="s">
        <v>1929</v>
      </c>
      <c r="L7" s="1386" t="s">
        <v>1930</v>
      </c>
      <c r="M7" s="1386" t="s">
        <v>1931</v>
      </c>
      <c r="N7" s="1386" t="s">
        <v>1932</v>
      </c>
      <c r="O7" s="1387" t="s">
        <v>1933</v>
      </c>
      <c r="P7" s="1386" t="s">
        <v>1934</v>
      </c>
      <c r="Q7" s="1386" t="s">
        <v>1935</v>
      </c>
      <c r="R7" s="1387" t="s">
        <v>1936</v>
      </c>
      <c r="S7" s="1386" t="s">
        <v>1937</v>
      </c>
      <c r="T7" s="1386" t="s">
        <v>1938</v>
      </c>
      <c r="U7" s="1386" t="s">
        <v>1939</v>
      </c>
      <c r="V7" s="1387" t="s">
        <v>1940</v>
      </c>
      <c r="W7" s="1386" t="s">
        <v>1941</v>
      </c>
      <c r="X7" s="1386" t="s">
        <v>1942</v>
      </c>
      <c r="Y7" s="1387" t="s">
        <v>1943</v>
      </c>
      <c r="Z7" s="1386" t="s">
        <v>1944</v>
      </c>
      <c r="AA7" s="1386" t="s">
        <v>1945</v>
      </c>
      <c r="AB7" s="1387" t="s">
        <v>1946</v>
      </c>
      <c r="AC7" s="1386" t="s">
        <v>1947</v>
      </c>
      <c r="AD7" s="1386" t="s">
        <v>1948</v>
      </c>
      <c r="AE7" s="1387" t="s">
        <v>1949</v>
      </c>
      <c r="AF7" s="1387" t="s">
        <v>1950</v>
      </c>
      <c r="AG7" s="1387" t="s">
        <v>1951</v>
      </c>
      <c r="AH7" s="1387" t="s">
        <v>39</v>
      </c>
      <c r="AI7" s="1386" t="s">
        <v>69</v>
      </c>
    </row>
    <row r="8" spans="1:35">
      <c r="A8" s="1388">
        <v>1</v>
      </c>
      <c r="B8" s="1389"/>
      <c r="C8" s="1389"/>
      <c r="D8" s="1389"/>
      <c r="E8" s="1389"/>
      <c r="F8" s="1390"/>
      <c r="G8" s="1390"/>
      <c r="H8" s="1390"/>
      <c r="I8" s="1390"/>
      <c r="J8" s="1390"/>
      <c r="K8" s="1390"/>
      <c r="L8" s="1390"/>
      <c r="M8" s="1390"/>
      <c r="N8" s="1390"/>
      <c r="O8" s="1390"/>
      <c r="P8" s="1390"/>
      <c r="Q8" s="1390"/>
      <c r="R8" s="1390"/>
      <c r="S8" s="1390"/>
      <c r="T8" s="1390"/>
      <c r="U8" s="1390"/>
      <c r="V8" s="1390"/>
      <c r="W8" s="1390"/>
      <c r="X8" s="1390"/>
      <c r="Y8" s="1390"/>
      <c r="Z8" s="3474"/>
      <c r="AA8" s="3475"/>
      <c r="AB8" s="3475"/>
      <c r="AC8" s="3475"/>
      <c r="AD8" s="3475"/>
      <c r="AE8" s="3476"/>
      <c r="AF8" s="1390"/>
      <c r="AG8" s="1391"/>
      <c r="AH8" s="1391"/>
      <c r="AI8" s="1404"/>
    </row>
    <row r="9" spans="1:35">
      <c r="A9" s="1388">
        <v>2</v>
      </c>
      <c r="B9" s="1389"/>
      <c r="C9" s="1389"/>
      <c r="D9" s="1389"/>
      <c r="E9" s="1389"/>
      <c r="F9" s="1390"/>
      <c r="G9" s="1390"/>
      <c r="H9" s="1390"/>
      <c r="I9" s="1390"/>
      <c r="J9" s="1390"/>
      <c r="K9" s="1390"/>
      <c r="L9" s="1390"/>
      <c r="M9" s="1390"/>
      <c r="N9" s="1390"/>
      <c r="O9" s="1390"/>
      <c r="P9" s="1390"/>
      <c r="Q9" s="1390"/>
      <c r="R9" s="1390"/>
      <c r="S9" s="1390"/>
      <c r="T9" s="1390"/>
      <c r="U9" s="1390"/>
      <c r="V9" s="1390"/>
      <c r="W9" s="1390"/>
      <c r="X9" s="1390"/>
      <c r="Y9" s="1390"/>
      <c r="Z9" s="3477"/>
      <c r="AA9" s="3478"/>
      <c r="AB9" s="3478"/>
      <c r="AC9" s="3478"/>
      <c r="AD9" s="3478"/>
      <c r="AE9" s="3479"/>
      <c r="AF9" s="1390"/>
      <c r="AG9" s="1391"/>
      <c r="AH9" s="1391"/>
      <c r="AI9" s="1404"/>
    </row>
    <row r="10" spans="1:35">
      <c r="A10" s="1388">
        <v>3</v>
      </c>
      <c r="B10" s="1389"/>
      <c r="C10" s="1389"/>
      <c r="D10" s="1389"/>
      <c r="E10" s="1389"/>
      <c r="F10" s="1390"/>
      <c r="G10" s="1390"/>
      <c r="H10" s="1390"/>
      <c r="I10" s="1390"/>
      <c r="J10" s="1390"/>
      <c r="K10" s="1390"/>
      <c r="L10" s="1390"/>
      <c r="M10" s="1390"/>
      <c r="N10" s="1390"/>
      <c r="O10" s="1390"/>
      <c r="P10" s="1390"/>
      <c r="Q10" s="1390"/>
      <c r="R10" s="1390"/>
      <c r="S10" s="1390"/>
      <c r="T10" s="1390"/>
      <c r="U10" s="1390"/>
      <c r="V10" s="1390"/>
      <c r="W10" s="1390"/>
      <c r="X10" s="1390"/>
      <c r="Y10" s="1390"/>
      <c r="Z10" s="3477"/>
      <c r="AA10" s="3478"/>
      <c r="AB10" s="3478"/>
      <c r="AC10" s="3478"/>
      <c r="AD10" s="3478"/>
      <c r="AE10" s="3479"/>
      <c r="AF10" s="1390"/>
      <c r="AG10" s="1391"/>
      <c r="AH10" s="1391"/>
      <c r="AI10" s="1404"/>
    </row>
    <row r="11" spans="1:35">
      <c r="A11" s="1388">
        <v>4</v>
      </c>
      <c r="B11" s="1389"/>
      <c r="C11" s="1389"/>
      <c r="D11" s="1389"/>
      <c r="E11" s="1389"/>
      <c r="F11" s="1390"/>
      <c r="G11" s="1390"/>
      <c r="H11" s="1390"/>
      <c r="I11" s="1390"/>
      <c r="J11" s="1390"/>
      <c r="K11" s="1390"/>
      <c r="L11" s="1390"/>
      <c r="M11" s="1390"/>
      <c r="N11" s="1390"/>
      <c r="O11" s="1390"/>
      <c r="P11" s="1390"/>
      <c r="Q11" s="1390"/>
      <c r="R11" s="1390"/>
      <c r="S11" s="1390"/>
      <c r="T11" s="1390"/>
      <c r="U11" s="1390"/>
      <c r="V11" s="1390"/>
      <c r="W11" s="1390"/>
      <c r="X11" s="1390"/>
      <c r="Y11" s="1390"/>
      <c r="Z11" s="3477"/>
      <c r="AA11" s="3478"/>
      <c r="AB11" s="3478"/>
      <c r="AC11" s="3478"/>
      <c r="AD11" s="3478"/>
      <c r="AE11" s="3479"/>
      <c r="AF11" s="1390"/>
      <c r="AG11" s="1391"/>
      <c r="AH11" s="1391"/>
      <c r="AI11" s="1404"/>
    </row>
    <row r="12" spans="1:35">
      <c r="A12" s="1388">
        <v>5</v>
      </c>
      <c r="B12" s="1389"/>
      <c r="C12" s="1389"/>
      <c r="D12" s="1389"/>
      <c r="E12" s="1389"/>
      <c r="F12" s="1390"/>
      <c r="G12" s="1390"/>
      <c r="H12" s="1390"/>
      <c r="I12" s="1390"/>
      <c r="J12" s="1390"/>
      <c r="K12" s="1390"/>
      <c r="L12" s="1390"/>
      <c r="M12" s="1390"/>
      <c r="N12" s="1390"/>
      <c r="O12" s="1390"/>
      <c r="P12" s="1390"/>
      <c r="Q12" s="1390"/>
      <c r="R12" s="1390"/>
      <c r="S12" s="1390"/>
      <c r="T12" s="1390"/>
      <c r="U12" s="1390"/>
      <c r="V12" s="1390"/>
      <c r="W12" s="1390"/>
      <c r="X12" s="1390"/>
      <c r="Y12" s="1390"/>
      <c r="Z12" s="3477"/>
      <c r="AA12" s="3478"/>
      <c r="AB12" s="3478"/>
      <c r="AC12" s="3478"/>
      <c r="AD12" s="3478"/>
      <c r="AE12" s="3479"/>
      <c r="AF12" s="1390"/>
      <c r="AG12" s="1391"/>
      <c r="AH12" s="1391"/>
      <c r="AI12" s="1404"/>
    </row>
    <row r="13" spans="1:35">
      <c r="A13" s="1388">
        <v>6</v>
      </c>
      <c r="B13" s="1389"/>
      <c r="C13" s="1389"/>
      <c r="D13" s="1389"/>
      <c r="E13" s="1389"/>
      <c r="F13" s="1390"/>
      <c r="G13" s="1390"/>
      <c r="H13" s="1390"/>
      <c r="I13" s="1390"/>
      <c r="J13" s="1390"/>
      <c r="K13" s="1390"/>
      <c r="L13" s="1390"/>
      <c r="M13" s="1390"/>
      <c r="N13" s="1390"/>
      <c r="O13" s="1390"/>
      <c r="P13" s="1390"/>
      <c r="Q13" s="1390"/>
      <c r="R13" s="1390"/>
      <c r="S13" s="1390"/>
      <c r="T13" s="1390"/>
      <c r="U13" s="1390"/>
      <c r="V13" s="1390"/>
      <c r="W13" s="1390"/>
      <c r="X13" s="1390"/>
      <c r="Y13" s="1390"/>
      <c r="Z13" s="3477"/>
      <c r="AA13" s="3478"/>
      <c r="AB13" s="3478"/>
      <c r="AC13" s="3478"/>
      <c r="AD13" s="3478"/>
      <c r="AE13" s="3479"/>
      <c r="AF13" s="1390"/>
      <c r="AG13" s="1391"/>
      <c r="AH13" s="1391"/>
      <c r="AI13" s="1404"/>
    </row>
    <row r="14" spans="1:35">
      <c r="A14" s="1388">
        <v>7</v>
      </c>
      <c r="B14" s="1389"/>
      <c r="C14" s="1389"/>
      <c r="D14" s="1389"/>
      <c r="E14" s="1389"/>
      <c r="F14" s="1390"/>
      <c r="G14" s="1390"/>
      <c r="H14" s="1390"/>
      <c r="I14" s="1390"/>
      <c r="J14" s="1390"/>
      <c r="K14" s="1390"/>
      <c r="L14" s="1390"/>
      <c r="M14" s="1390"/>
      <c r="N14" s="1390"/>
      <c r="O14" s="1390"/>
      <c r="P14" s="1390"/>
      <c r="Q14" s="1390"/>
      <c r="R14" s="1390"/>
      <c r="S14" s="1390"/>
      <c r="T14" s="1390"/>
      <c r="U14" s="1390"/>
      <c r="V14" s="1390"/>
      <c r="W14" s="1390"/>
      <c r="X14" s="1390"/>
      <c r="Y14" s="1390"/>
      <c r="Z14" s="3477"/>
      <c r="AA14" s="3478"/>
      <c r="AB14" s="3478"/>
      <c r="AC14" s="3478"/>
      <c r="AD14" s="3478"/>
      <c r="AE14" s="3479"/>
      <c r="AF14" s="1390"/>
      <c r="AG14" s="1391"/>
      <c r="AH14" s="1391"/>
      <c r="AI14" s="1404"/>
    </row>
    <row r="15" spans="1:35">
      <c r="A15" s="1388">
        <v>8</v>
      </c>
      <c r="B15" s="1389"/>
      <c r="C15" s="1389"/>
      <c r="D15" s="1389"/>
      <c r="E15" s="1389"/>
      <c r="F15" s="1390"/>
      <c r="G15" s="1390"/>
      <c r="H15" s="1390"/>
      <c r="I15" s="1390"/>
      <c r="J15" s="1390"/>
      <c r="K15" s="1390"/>
      <c r="L15" s="1390"/>
      <c r="M15" s="1390"/>
      <c r="N15" s="1390"/>
      <c r="O15" s="1390"/>
      <c r="P15" s="1390"/>
      <c r="Q15" s="1390"/>
      <c r="R15" s="1390"/>
      <c r="S15" s="1390"/>
      <c r="T15" s="1390"/>
      <c r="U15" s="1390"/>
      <c r="V15" s="1390"/>
      <c r="W15" s="1390"/>
      <c r="X15" s="1390"/>
      <c r="Y15" s="1390"/>
      <c r="Z15" s="3477"/>
      <c r="AA15" s="3478"/>
      <c r="AB15" s="3478"/>
      <c r="AC15" s="3478"/>
      <c r="AD15" s="3478"/>
      <c r="AE15" s="3479"/>
      <c r="AF15" s="1390"/>
      <c r="AG15" s="1391"/>
      <c r="AH15" s="1391"/>
      <c r="AI15" s="1404"/>
    </row>
    <row r="16" spans="1:35">
      <c r="A16" s="1388">
        <v>9</v>
      </c>
      <c r="B16" s="1389"/>
      <c r="C16" s="1389"/>
      <c r="D16" s="1389"/>
      <c r="E16" s="1389"/>
      <c r="F16" s="1390"/>
      <c r="G16" s="1390"/>
      <c r="H16" s="1390"/>
      <c r="I16" s="1390"/>
      <c r="J16" s="1390"/>
      <c r="K16" s="1390"/>
      <c r="L16" s="1390"/>
      <c r="M16" s="1390"/>
      <c r="N16" s="1390"/>
      <c r="O16" s="1390"/>
      <c r="P16" s="1390"/>
      <c r="Q16" s="1390"/>
      <c r="R16" s="1390"/>
      <c r="S16" s="1390"/>
      <c r="T16" s="1390"/>
      <c r="U16" s="1390"/>
      <c r="V16" s="1390"/>
      <c r="W16" s="1390"/>
      <c r="X16" s="1390"/>
      <c r="Y16" s="1390"/>
      <c r="Z16" s="3477"/>
      <c r="AA16" s="3478"/>
      <c r="AB16" s="3478"/>
      <c r="AC16" s="3478"/>
      <c r="AD16" s="3478"/>
      <c r="AE16" s="3479"/>
      <c r="AF16" s="1390"/>
      <c r="AG16" s="1391"/>
      <c r="AH16" s="1391"/>
      <c r="AI16" s="1404"/>
    </row>
    <row r="17" spans="1:50">
      <c r="A17" s="1388">
        <v>10</v>
      </c>
      <c r="B17" s="1389"/>
      <c r="C17" s="1389"/>
      <c r="D17" s="1389"/>
      <c r="E17" s="1389"/>
      <c r="F17" s="1390"/>
      <c r="G17" s="1390"/>
      <c r="H17" s="1390"/>
      <c r="I17" s="1390"/>
      <c r="J17" s="1390"/>
      <c r="K17" s="1390"/>
      <c r="L17" s="1390"/>
      <c r="M17" s="1390"/>
      <c r="N17" s="1390"/>
      <c r="O17" s="1390"/>
      <c r="P17" s="1390"/>
      <c r="Q17" s="1390"/>
      <c r="R17" s="1390"/>
      <c r="S17" s="1390"/>
      <c r="T17" s="1390"/>
      <c r="U17" s="1390"/>
      <c r="V17" s="1390"/>
      <c r="W17" s="1390"/>
      <c r="X17" s="1390"/>
      <c r="Y17" s="1390"/>
      <c r="Z17" s="3477"/>
      <c r="AA17" s="3478"/>
      <c r="AB17" s="3478"/>
      <c r="AC17" s="3478"/>
      <c r="AD17" s="3478"/>
      <c r="AE17" s="3479"/>
      <c r="AF17" s="1390"/>
      <c r="AG17" s="1391"/>
      <c r="AH17" s="1391"/>
      <c r="AI17" s="1404"/>
    </row>
    <row r="18" spans="1:50">
      <c r="A18" s="1388">
        <v>11</v>
      </c>
      <c r="B18" s="1389"/>
      <c r="C18" s="1389"/>
      <c r="D18" s="1389"/>
      <c r="E18" s="1389"/>
      <c r="F18" s="1390"/>
      <c r="G18" s="1390"/>
      <c r="H18" s="1390"/>
      <c r="I18" s="1390"/>
      <c r="J18" s="1390"/>
      <c r="K18" s="1390"/>
      <c r="L18" s="1390"/>
      <c r="M18" s="1390"/>
      <c r="N18" s="1390"/>
      <c r="O18" s="1390"/>
      <c r="P18" s="1390"/>
      <c r="Q18" s="1390"/>
      <c r="R18" s="1390"/>
      <c r="S18" s="1390"/>
      <c r="T18" s="1390"/>
      <c r="U18" s="1390"/>
      <c r="V18" s="1390"/>
      <c r="W18" s="1390"/>
      <c r="X18" s="1390"/>
      <c r="Y18" s="1390"/>
      <c r="Z18" s="3477"/>
      <c r="AA18" s="3478"/>
      <c r="AB18" s="3478"/>
      <c r="AC18" s="3478"/>
      <c r="AD18" s="3478"/>
      <c r="AE18" s="3479"/>
      <c r="AF18" s="1390"/>
      <c r="AG18" s="1391"/>
      <c r="AH18" s="1391"/>
      <c r="AI18" s="1404"/>
    </row>
    <row r="19" spans="1:50">
      <c r="A19" s="1388">
        <v>12</v>
      </c>
      <c r="B19" s="1389"/>
      <c r="C19" s="1389"/>
      <c r="D19" s="1389"/>
      <c r="E19" s="1389"/>
      <c r="F19" s="1390"/>
      <c r="G19" s="1390"/>
      <c r="H19" s="1390"/>
      <c r="I19" s="1390"/>
      <c r="J19" s="1390"/>
      <c r="K19" s="1390"/>
      <c r="L19" s="1390"/>
      <c r="M19" s="1390"/>
      <c r="N19" s="1390"/>
      <c r="O19" s="1390"/>
      <c r="P19" s="1390"/>
      <c r="Q19" s="1390"/>
      <c r="R19" s="1390"/>
      <c r="S19" s="1390"/>
      <c r="T19" s="1390"/>
      <c r="U19" s="1390"/>
      <c r="V19" s="1390"/>
      <c r="W19" s="1390"/>
      <c r="X19" s="1390"/>
      <c r="Y19" s="1390"/>
      <c r="Z19" s="3477"/>
      <c r="AA19" s="3478"/>
      <c r="AB19" s="3478"/>
      <c r="AC19" s="3478"/>
      <c r="AD19" s="3478"/>
      <c r="AE19" s="3479"/>
      <c r="AF19" s="1390"/>
      <c r="AG19" s="1391"/>
      <c r="AH19" s="1391"/>
      <c r="AI19" s="1404"/>
      <c r="AJ19" s="1379"/>
      <c r="AK19" s="1379"/>
      <c r="AL19" s="1379"/>
      <c r="AM19" s="1379"/>
      <c r="AN19" s="1379"/>
      <c r="AO19" s="1379"/>
      <c r="AP19" s="1379"/>
      <c r="AQ19" s="1379"/>
      <c r="AR19" s="1379"/>
      <c r="AS19" s="1379"/>
      <c r="AT19" s="1379"/>
      <c r="AU19" s="1379"/>
      <c r="AV19" s="1379"/>
      <c r="AW19" s="1379"/>
      <c r="AX19" s="1379"/>
    </row>
    <row r="20" spans="1:50">
      <c r="A20" s="1388">
        <v>13</v>
      </c>
      <c r="B20" s="1389"/>
      <c r="C20" s="1389"/>
      <c r="D20" s="1389"/>
      <c r="E20" s="1389"/>
      <c r="F20" s="1390"/>
      <c r="G20" s="1390"/>
      <c r="H20" s="1390"/>
      <c r="I20" s="1390"/>
      <c r="J20" s="1390"/>
      <c r="K20" s="1390"/>
      <c r="L20" s="1390"/>
      <c r="M20" s="1390"/>
      <c r="N20" s="1390"/>
      <c r="O20" s="1390"/>
      <c r="P20" s="1390"/>
      <c r="Q20" s="1390"/>
      <c r="R20" s="1390"/>
      <c r="S20" s="1390"/>
      <c r="T20" s="1390"/>
      <c r="U20" s="1390"/>
      <c r="V20" s="1390"/>
      <c r="W20" s="1390"/>
      <c r="X20" s="1390"/>
      <c r="Y20" s="1390"/>
      <c r="Z20" s="3477"/>
      <c r="AA20" s="3478"/>
      <c r="AB20" s="3478"/>
      <c r="AC20" s="3478"/>
      <c r="AD20" s="3478"/>
      <c r="AE20" s="3479"/>
      <c r="AF20" s="1390"/>
      <c r="AG20" s="1391"/>
      <c r="AH20" s="1391"/>
      <c r="AI20" s="1404"/>
      <c r="AJ20" s="1379"/>
      <c r="AK20" s="1379"/>
      <c r="AL20" s="1379"/>
      <c r="AM20" s="1379"/>
      <c r="AN20" s="1379"/>
      <c r="AO20" s="1379"/>
      <c r="AP20" s="1379"/>
      <c r="AQ20" s="1379"/>
      <c r="AR20" s="1379"/>
      <c r="AS20" s="1379"/>
      <c r="AT20" s="1379"/>
      <c r="AU20" s="1379"/>
      <c r="AV20" s="1379"/>
      <c r="AW20" s="1379"/>
      <c r="AX20" s="1379"/>
    </row>
    <row r="21" spans="1:50">
      <c r="A21" s="1388">
        <v>14</v>
      </c>
      <c r="B21" s="1389"/>
      <c r="C21" s="1389"/>
      <c r="D21" s="1389"/>
      <c r="E21" s="1389"/>
      <c r="F21" s="1390"/>
      <c r="G21" s="1390"/>
      <c r="H21" s="1390"/>
      <c r="I21" s="1390"/>
      <c r="J21" s="1390"/>
      <c r="K21" s="1390"/>
      <c r="L21" s="1390"/>
      <c r="M21" s="1390"/>
      <c r="N21" s="1390"/>
      <c r="O21" s="1390"/>
      <c r="P21" s="1390"/>
      <c r="Q21" s="1390"/>
      <c r="R21" s="1390"/>
      <c r="S21" s="1390"/>
      <c r="T21" s="1390"/>
      <c r="U21" s="1390"/>
      <c r="V21" s="1390"/>
      <c r="W21" s="1390"/>
      <c r="X21" s="1390"/>
      <c r="Y21" s="1390"/>
      <c r="Z21" s="3477"/>
      <c r="AA21" s="3478"/>
      <c r="AB21" s="3478"/>
      <c r="AC21" s="3478"/>
      <c r="AD21" s="3478"/>
      <c r="AE21" s="3479"/>
      <c r="AF21" s="1390"/>
      <c r="AG21" s="1391"/>
      <c r="AH21" s="1391"/>
      <c r="AI21" s="1404"/>
      <c r="AJ21" s="1379"/>
      <c r="AK21" s="1379"/>
      <c r="AL21" s="1379"/>
      <c r="AM21" s="1379"/>
      <c r="AN21" s="1379"/>
      <c r="AO21" s="1379"/>
      <c r="AP21" s="1379"/>
      <c r="AQ21" s="1379"/>
      <c r="AR21" s="1379"/>
      <c r="AS21" s="1379"/>
      <c r="AT21" s="1379"/>
      <c r="AU21" s="1379"/>
      <c r="AV21" s="1379"/>
      <c r="AW21" s="1379"/>
      <c r="AX21" s="1379"/>
    </row>
    <row r="22" spans="1:50">
      <c r="A22" s="1388">
        <v>15</v>
      </c>
      <c r="B22" s="1389"/>
      <c r="C22" s="1389"/>
      <c r="D22" s="1389"/>
      <c r="E22" s="1389"/>
      <c r="F22" s="1390"/>
      <c r="G22" s="1390"/>
      <c r="H22" s="1390"/>
      <c r="I22" s="1390"/>
      <c r="J22" s="1390"/>
      <c r="K22" s="1390"/>
      <c r="L22" s="1390"/>
      <c r="M22" s="1390"/>
      <c r="N22" s="1390"/>
      <c r="O22" s="1390"/>
      <c r="P22" s="1390"/>
      <c r="Q22" s="1390"/>
      <c r="R22" s="1390"/>
      <c r="S22" s="1390"/>
      <c r="T22" s="1390"/>
      <c r="U22" s="1390"/>
      <c r="V22" s="1390"/>
      <c r="W22" s="1390"/>
      <c r="X22" s="1390"/>
      <c r="Y22" s="1390"/>
      <c r="Z22" s="3477"/>
      <c r="AA22" s="3478"/>
      <c r="AB22" s="3478"/>
      <c r="AC22" s="3478"/>
      <c r="AD22" s="3478"/>
      <c r="AE22" s="3479"/>
      <c r="AF22" s="1390"/>
      <c r="AG22" s="1391"/>
      <c r="AH22" s="1391"/>
      <c r="AI22" s="1404"/>
      <c r="AJ22" s="1379"/>
      <c r="AK22" s="1379"/>
      <c r="AL22" s="1379"/>
      <c r="AM22" s="1379"/>
      <c r="AN22" s="1379"/>
      <c r="AO22" s="1379"/>
      <c r="AP22" s="1379"/>
      <c r="AQ22" s="1379"/>
      <c r="AR22" s="1379"/>
      <c r="AS22" s="1379"/>
      <c r="AT22" s="1379"/>
      <c r="AU22" s="1379"/>
      <c r="AV22" s="1379"/>
      <c r="AW22" s="1379"/>
      <c r="AX22" s="1379"/>
    </row>
    <row r="23" spans="1:50">
      <c r="A23" s="1388">
        <v>16</v>
      </c>
      <c r="B23" s="1389"/>
      <c r="C23" s="1389"/>
      <c r="D23" s="1389"/>
      <c r="E23" s="1389"/>
      <c r="F23" s="1390"/>
      <c r="G23" s="1390"/>
      <c r="H23" s="1390"/>
      <c r="I23" s="1390"/>
      <c r="J23" s="1390"/>
      <c r="K23" s="1390"/>
      <c r="L23" s="1390"/>
      <c r="M23" s="1390"/>
      <c r="N23" s="1390"/>
      <c r="O23" s="1390"/>
      <c r="P23" s="1390"/>
      <c r="Q23" s="1390"/>
      <c r="R23" s="1390"/>
      <c r="S23" s="1390"/>
      <c r="T23" s="1390"/>
      <c r="U23" s="1390"/>
      <c r="V23" s="1390"/>
      <c r="W23" s="1390"/>
      <c r="X23" s="1390"/>
      <c r="Y23" s="1390"/>
      <c r="Z23" s="3477"/>
      <c r="AA23" s="3478"/>
      <c r="AB23" s="3478"/>
      <c r="AC23" s="3478"/>
      <c r="AD23" s="3478"/>
      <c r="AE23" s="3479"/>
      <c r="AF23" s="1390"/>
      <c r="AG23" s="1391"/>
      <c r="AH23" s="1391"/>
      <c r="AI23" s="1404"/>
      <c r="AJ23" s="1379"/>
      <c r="AK23" s="1379"/>
      <c r="AL23" s="1379"/>
      <c r="AM23" s="1379"/>
      <c r="AN23" s="1379"/>
      <c r="AO23" s="1379"/>
      <c r="AP23" s="1379"/>
      <c r="AQ23" s="1379"/>
      <c r="AR23" s="1379"/>
      <c r="AS23" s="1379"/>
      <c r="AT23" s="1379"/>
      <c r="AU23" s="1379"/>
      <c r="AV23" s="1379"/>
      <c r="AW23" s="1379"/>
      <c r="AX23" s="1379"/>
    </row>
    <row r="24" spans="1:50">
      <c r="A24" s="1388">
        <v>17</v>
      </c>
      <c r="B24" s="1389"/>
      <c r="C24" s="1389"/>
      <c r="D24" s="1389"/>
      <c r="E24" s="1389"/>
      <c r="F24" s="1390"/>
      <c r="G24" s="1390"/>
      <c r="H24" s="1390"/>
      <c r="I24" s="1390"/>
      <c r="J24" s="1390"/>
      <c r="K24" s="1390"/>
      <c r="L24" s="1390"/>
      <c r="M24" s="1390"/>
      <c r="N24" s="1390"/>
      <c r="O24" s="1390"/>
      <c r="P24" s="1390"/>
      <c r="Q24" s="1390"/>
      <c r="R24" s="1390"/>
      <c r="S24" s="1390"/>
      <c r="T24" s="1390"/>
      <c r="U24" s="1390"/>
      <c r="V24" s="1390"/>
      <c r="W24" s="1390"/>
      <c r="X24" s="1390"/>
      <c r="Y24" s="1390"/>
      <c r="Z24" s="3477"/>
      <c r="AA24" s="3478"/>
      <c r="AB24" s="3478"/>
      <c r="AC24" s="3478"/>
      <c r="AD24" s="3478"/>
      <c r="AE24" s="3479"/>
      <c r="AF24" s="1390"/>
      <c r="AG24" s="1391"/>
      <c r="AH24" s="1391"/>
      <c r="AI24" s="1404"/>
      <c r="AJ24" s="1379"/>
      <c r="AK24" s="1379"/>
      <c r="AL24" s="1379"/>
      <c r="AM24" s="1379"/>
      <c r="AN24" s="1379"/>
      <c r="AO24" s="1379"/>
      <c r="AP24" s="1379"/>
      <c r="AQ24" s="1379"/>
      <c r="AR24" s="1379"/>
      <c r="AS24" s="1379"/>
      <c r="AT24" s="1379"/>
      <c r="AU24" s="1379"/>
      <c r="AV24" s="1379"/>
      <c r="AW24" s="1379"/>
      <c r="AX24" s="1379"/>
    </row>
    <row r="25" spans="1:50">
      <c r="A25" s="1388">
        <v>18</v>
      </c>
      <c r="B25" s="1389"/>
      <c r="C25" s="1389"/>
      <c r="D25" s="1389"/>
      <c r="E25" s="1389"/>
      <c r="F25" s="1390"/>
      <c r="G25" s="1390"/>
      <c r="H25" s="1390"/>
      <c r="I25" s="1390"/>
      <c r="J25" s="1390"/>
      <c r="K25" s="1390"/>
      <c r="L25" s="1390"/>
      <c r="M25" s="1390"/>
      <c r="N25" s="1390"/>
      <c r="O25" s="1390"/>
      <c r="P25" s="1390"/>
      <c r="Q25" s="1390"/>
      <c r="R25" s="1390"/>
      <c r="S25" s="1390"/>
      <c r="T25" s="1390"/>
      <c r="U25" s="1390"/>
      <c r="V25" s="1390"/>
      <c r="W25" s="1390"/>
      <c r="X25" s="1390"/>
      <c r="Y25" s="1390"/>
      <c r="Z25" s="3477"/>
      <c r="AA25" s="3478"/>
      <c r="AB25" s="3478"/>
      <c r="AC25" s="3478"/>
      <c r="AD25" s="3478"/>
      <c r="AE25" s="3479"/>
      <c r="AF25" s="1390"/>
      <c r="AG25" s="1391"/>
      <c r="AH25" s="1391"/>
      <c r="AI25" s="1404"/>
      <c r="AJ25" s="1379"/>
      <c r="AK25" s="1379"/>
      <c r="AL25" s="1379"/>
      <c r="AM25" s="1379"/>
      <c r="AN25" s="1379"/>
      <c r="AO25" s="1379"/>
      <c r="AP25" s="1379"/>
      <c r="AQ25" s="1379"/>
      <c r="AR25" s="1379"/>
      <c r="AS25" s="1379"/>
      <c r="AT25" s="1379"/>
      <c r="AU25" s="1379"/>
      <c r="AV25" s="1379"/>
      <c r="AW25" s="1379"/>
      <c r="AX25" s="1379"/>
    </row>
    <row r="26" spans="1:50">
      <c r="A26" s="1388">
        <v>19</v>
      </c>
      <c r="B26" s="1389"/>
      <c r="C26" s="1389"/>
      <c r="D26" s="1389"/>
      <c r="E26" s="1389"/>
      <c r="F26" s="1390"/>
      <c r="G26" s="1390"/>
      <c r="H26" s="1390"/>
      <c r="I26" s="1390"/>
      <c r="J26" s="1390"/>
      <c r="K26" s="1390"/>
      <c r="L26" s="1390"/>
      <c r="M26" s="1390"/>
      <c r="N26" s="1390"/>
      <c r="O26" s="1390"/>
      <c r="P26" s="1390"/>
      <c r="Q26" s="1390"/>
      <c r="R26" s="1390"/>
      <c r="S26" s="1390"/>
      <c r="T26" s="1390"/>
      <c r="U26" s="1390"/>
      <c r="V26" s="1390"/>
      <c r="W26" s="1390"/>
      <c r="X26" s="1390"/>
      <c r="Y26" s="1390"/>
      <c r="Z26" s="3480"/>
      <c r="AA26" s="3481"/>
      <c r="AB26" s="3482"/>
      <c r="AC26" s="3481"/>
      <c r="AD26" s="3481"/>
      <c r="AE26" s="3483"/>
      <c r="AF26" s="1390"/>
      <c r="AG26" s="1391"/>
      <c r="AH26" s="1391"/>
      <c r="AI26" s="1404"/>
      <c r="AJ26" s="1379"/>
      <c r="AK26" s="1379"/>
      <c r="AL26" s="1379"/>
      <c r="AM26" s="1379"/>
      <c r="AN26" s="1379"/>
      <c r="AO26" s="1379"/>
      <c r="AP26" s="1379"/>
      <c r="AQ26" s="1379"/>
      <c r="AR26" s="1379"/>
      <c r="AS26" s="1379"/>
      <c r="AT26" s="1379"/>
      <c r="AU26" s="1379"/>
      <c r="AV26" s="1379"/>
      <c r="AW26" s="1379"/>
      <c r="AX26" s="1379"/>
    </row>
    <row r="27" spans="1:50">
      <c r="A27" s="1388">
        <v>20</v>
      </c>
      <c r="B27" s="3457" t="s">
        <v>464</v>
      </c>
      <c r="C27" s="3458"/>
      <c r="D27" s="1392"/>
      <c r="E27" s="1392"/>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405"/>
      <c r="AJ27" s="1379"/>
      <c r="AK27" s="1379"/>
      <c r="AL27" s="1379"/>
      <c r="AM27" s="1379"/>
      <c r="AN27" s="1379"/>
      <c r="AO27" s="1379"/>
      <c r="AP27" s="1379"/>
      <c r="AQ27" s="1379"/>
      <c r="AR27" s="1379"/>
      <c r="AS27" s="1379"/>
      <c r="AT27" s="1379"/>
      <c r="AU27" s="1379"/>
      <c r="AV27" s="1379"/>
      <c r="AW27" s="1379"/>
      <c r="AX27" s="1379"/>
    </row>
    <row r="28" spans="1:50">
      <c r="A28" s="1393" t="s">
        <v>465</v>
      </c>
      <c r="B28" s="1394"/>
      <c r="C28" s="1394"/>
      <c r="D28" s="1394"/>
      <c r="E28" s="1394"/>
      <c r="F28" s="1394"/>
      <c r="G28" s="1394"/>
      <c r="H28" s="1394"/>
      <c r="I28" s="1394"/>
      <c r="J28" s="1394"/>
      <c r="K28" s="1394"/>
      <c r="L28" s="1394"/>
      <c r="M28" s="1394"/>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3"/>
      <c r="AL28" s="1406"/>
      <c r="AM28" s="1406"/>
      <c r="AN28" s="1406"/>
      <c r="AO28" s="1406"/>
      <c r="AP28" s="1406"/>
      <c r="AQ28" s="1406"/>
      <c r="AR28" s="1406"/>
      <c r="AS28" s="1406"/>
      <c r="AT28" s="1406"/>
      <c r="AU28" s="1406"/>
      <c r="AV28" s="1406"/>
      <c r="AW28" s="1406"/>
      <c r="AX28" s="1406"/>
    </row>
    <row r="29" spans="1:50" ht="16.5" customHeight="1">
      <c r="A29" s="1395">
        <v>1</v>
      </c>
      <c r="B29" s="3463" t="s">
        <v>4247</v>
      </c>
      <c r="C29" s="3484"/>
      <c r="D29" s="3484"/>
      <c r="E29" s="3484"/>
      <c r="F29" s="3484"/>
      <c r="G29" s="3484"/>
      <c r="H29" s="3484"/>
      <c r="I29" s="3484"/>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c r="AG29" s="3484"/>
      <c r="AH29" s="1407"/>
    </row>
    <row r="30" spans="1:50" ht="16.5" customHeight="1">
      <c r="A30" s="1395">
        <v>2</v>
      </c>
      <c r="B30" s="3463" t="s">
        <v>4248</v>
      </c>
      <c r="C30" s="3463"/>
      <c r="D30" s="3463"/>
      <c r="E30" s="3463"/>
      <c r="F30" s="3463"/>
      <c r="G30" s="3463"/>
      <c r="H30" s="3463"/>
      <c r="I30" s="3463"/>
      <c r="J30" s="3463"/>
      <c r="K30" s="3463"/>
      <c r="L30" s="3463"/>
      <c r="M30" s="3463"/>
      <c r="N30" s="3463"/>
      <c r="O30" s="3463"/>
      <c r="P30" s="3463"/>
      <c r="Q30" s="3463"/>
      <c r="R30" s="3463"/>
      <c r="S30" s="3463"/>
      <c r="T30" s="3463"/>
      <c r="U30" s="3463"/>
      <c r="V30" s="3463"/>
      <c r="W30" s="3463"/>
      <c r="X30" s="3463"/>
      <c r="Y30" s="3463"/>
      <c r="Z30" s="3463"/>
      <c r="AA30" s="3463"/>
      <c r="AB30" s="3463"/>
      <c r="AC30" s="3463"/>
      <c r="AD30" s="3463"/>
      <c r="AE30" s="3463"/>
      <c r="AF30" s="3463"/>
      <c r="AG30" s="3463"/>
      <c r="AH30" s="1394"/>
    </row>
    <row r="31" spans="1:50" ht="16.5" customHeight="1">
      <c r="A31" s="1396">
        <v>3</v>
      </c>
      <c r="B31" s="3463" t="s">
        <v>4249</v>
      </c>
      <c r="C31" s="3463"/>
      <c r="D31" s="3463"/>
      <c r="E31" s="3463"/>
      <c r="F31" s="3463"/>
      <c r="G31" s="3463"/>
      <c r="H31" s="3463"/>
      <c r="I31" s="3463"/>
      <c r="J31" s="3463"/>
      <c r="K31" s="3463"/>
      <c r="L31" s="3463"/>
      <c r="M31" s="3463"/>
      <c r="N31" s="3463"/>
      <c r="O31" s="3463"/>
      <c r="P31" s="3463"/>
      <c r="Q31" s="3463"/>
      <c r="R31" s="3463"/>
      <c r="S31" s="3463"/>
      <c r="T31" s="3463"/>
      <c r="U31" s="3463"/>
      <c r="V31" s="3463"/>
      <c r="W31" s="3463"/>
      <c r="X31" s="3463"/>
      <c r="Y31" s="3463"/>
      <c r="Z31" s="3463"/>
      <c r="AA31" s="3463"/>
      <c r="AB31" s="3463"/>
      <c r="AC31" s="3463"/>
      <c r="AD31" s="3463"/>
      <c r="AE31" s="3463"/>
      <c r="AF31" s="3463"/>
      <c r="AG31" s="3463"/>
      <c r="AH31" s="1408"/>
    </row>
    <row r="32" spans="1:50" ht="16.5" customHeight="1">
      <c r="A32" s="1395">
        <v>4</v>
      </c>
      <c r="B32" s="3463" t="s">
        <v>4250</v>
      </c>
      <c r="C32" s="3463"/>
      <c r="D32" s="3463"/>
      <c r="E32" s="3463"/>
      <c r="F32" s="3463"/>
      <c r="G32" s="3463"/>
      <c r="H32" s="3463"/>
      <c r="I32" s="3463"/>
      <c r="J32" s="3463"/>
      <c r="K32" s="3463"/>
      <c r="L32" s="3463"/>
      <c r="M32" s="3463"/>
      <c r="N32" s="3463"/>
      <c r="O32" s="3463"/>
      <c r="P32" s="3463"/>
      <c r="Q32" s="3463"/>
      <c r="R32" s="3463"/>
      <c r="S32" s="3463"/>
      <c r="T32" s="3463"/>
      <c r="U32" s="3463"/>
      <c r="V32" s="3463"/>
      <c r="W32" s="3463"/>
      <c r="X32" s="3463"/>
      <c r="Y32" s="3463"/>
      <c r="Z32" s="3463"/>
      <c r="AA32" s="3463"/>
      <c r="AB32" s="3463"/>
      <c r="AC32" s="3463"/>
      <c r="AD32" s="3463"/>
      <c r="AE32" s="3463"/>
      <c r="AF32" s="3463"/>
      <c r="AG32" s="3463"/>
      <c r="AH32" s="1394"/>
    </row>
    <row r="33" spans="1:34" ht="16.5" customHeight="1">
      <c r="A33" s="1395">
        <v>5</v>
      </c>
      <c r="B33" s="3463" t="s">
        <v>4251</v>
      </c>
      <c r="C33" s="3463"/>
      <c r="D33" s="3463"/>
      <c r="E33" s="3463"/>
      <c r="F33" s="3463"/>
      <c r="G33" s="3463"/>
      <c r="H33" s="3463"/>
      <c r="I33" s="3463"/>
      <c r="J33" s="3463"/>
      <c r="K33" s="3463"/>
      <c r="L33" s="3463"/>
      <c r="M33" s="3463"/>
      <c r="N33" s="3463"/>
      <c r="O33" s="3463"/>
      <c r="P33" s="3463"/>
      <c r="Q33" s="3463"/>
      <c r="R33" s="3463"/>
      <c r="S33" s="3463"/>
      <c r="T33" s="3463"/>
      <c r="U33" s="3463"/>
      <c r="V33" s="3463"/>
      <c r="W33" s="3463"/>
      <c r="X33" s="3463"/>
      <c r="Y33" s="3463"/>
      <c r="Z33" s="3463"/>
      <c r="AA33" s="3463"/>
      <c r="AB33" s="3463"/>
      <c r="AC33" s="3463"/>
      <c r="AD33" s="3463"/>
      <c r="AE33" s="3463"/>
      <c r="AF33" s="3463"/>
      <c r="AG33" s="3463"/>
      <c r="AH33" s="1394"/>
    </row>
    <row r="34" spans="1:34" ht="16.5" customHeight="1">
      <c r="A34" s="1395">
        <v>6</v>
      </c>
      <c r="B34" s="3463" t="s">
        <v>4252</v>
      </c>
      <c r="C34" s="3463"/>
      <c r="D34" s="3463"/>
      <c r="E34" s="3463"/>
      <c r="F34" s="3463"/>
      <c r="G34" s="3463"/>
      <c r="H34" s="3463"/>
      <c r="I34" s="3463"/>
      <c r="J34" s="3463"/>
      <c r="K34" s="3463"/>
      <c r="L34" s="3463"/>
      <c r="M34" s="3463"/>
      <c r="N34" s="3463"/>
      <c r="O34" s="3463"/>
      <c r="P34" s="3463"/>
      <c r="Q34" s="3463"/>
      <c r="R34" s="3463"/>
      <c r="S34" s="3463"/>
      <c r="T34" s="3463"/>
      <c r="U34" s="3463"/>
      <c r="V34" s="3463"/>
      <c r="W34" s="3463"/>
      <c r="X34" s="3463"/>
      <c r="Y34" s="3463"/>
      <c r="Z34" s="3463"/>
      <c r="AA34" s="3463"/>
      <c r="AB34" s="3463"/>
      <c r="AC34" s="3463"/>
      <c r="AD34" s="3463"/>
      <c r="AE34" s="3463"/>
      <c r="AF34" s="3463"/>
      <c r="AG34" s="3463"/>
      <c r="AH34" s="1394"/>
    </row>
    <row r="35" spans="1:34">
      <c r="A35" s="1395">
        <v>7</v>
      </c>
      <c r="B35" s="1397" t="s">
        <v>4253</v>
      </c>
      <c r="C35" s="1398"/>
      <c r="D35" s="1398"/>
      <c r="E35" s="1398"/>
      <c r="F35" s="1398"/>
      <c r="G35" s="1398"/>
      <c r="H35" s="1398"/>
      <c r="I35" s="1398"/>
      <c r="J35" s="1398"/>
      <c r="K35" s="1398"/>
      <c r="L35" s="1398"/>
      <c r="M35" s="1398"/>
      <c r="N35" s="1398"/>
      <c r="O35" s="1398"/>
      <c r="P35" s="1399"/>
      <c r="Q35" s="1399"/>
      <c r="R35" s="1399"/>
      <c r="S35" s="1399"/>
      <c r="T35" s="1399"/>
      <c r="U35" s="1399"/>
      <c r="V35" s="1399"/>
      <c r="W35" s="1399"/>
      <c r="X35" s="1399"/>
      <c r="Y35" s="1399"/>
      <c r="Z35" s="1398"/>
      <c r="AA35" s="1398"/>
      <c r="AB35" s="1398"/>
      <c r="AC35" s="1398"/>
      <c r="AD35" s="1398"/>
      <c r="AE35" s="1398"/>
      <c r="AF35" s="1398"/>
      <c r="AG35" s="1398"/>
      <c r="AH35" s="1394"/>
    </row>
    <row r="37" spans="1:34">
      <c r="B37" s="1401"/>
      <c r="C37" s="1401"/>
      <c r="D37" s="1401"/>
      <c r="E37" s="1401"/>
      <c r="F37" s="1401"/>
      <c r="G37" s="1401"/>
      <c r="H37" s="1401"/>
      <c r="I37" s="1401"/>
      <c r="J37" s="1401"/>
      <c r="K37" s="1401"/>
      <c r="L37" s="1401"/>
      <c r="M37" s="1401"/>
      <c r="N37" s="1401"/>
      <c r="O37" s="1401"/>
    </row>
    <row r="38" spans="1:34">
      <c r="B38" s="1402"/>
      <c r="C38" s="1402"/>
      <c r="D38" s="1402"/>
      <c r="E38" s="1402"/>
      <c r="F38" s="1402"/>
      <c r="G38" s="1402"/>
      <c r="H38" s="1402"/>
      <c r="I38" s="1402"/>
      <c r="J38" s="1402"/>
      <c r="K38" s="1402"/>
      <c r="L38" s="1402"/>
      <c r="M38" s="1402"/>
      <c r="N38" s="1402"/>
      <c r="O38" s="1402"/>
    </row>
    <row r="39" spans="1:34">
      <c r="B39" s="1402"/>
      <c r="C39" s="1402"/>
      <c r="D39" s="1402"/>
      <c r="E39" s="1402"/>
      <c r="F39" s="1402"/>
      <c r="G39" s="1402"/>
      <c r="H39" s="1402"/>
      <c r="I39" s="1402"/>
      <c r="J39" s="1402"/>
      <c r="K39" s="1402"/>
      <c r="L39" s="1402"/>
      <c r="M39" s="1402"/>
      <c r="N39" s="1402"/>
      <c r="O39" s="1402"/>
    </row>
    <row r="40" spans="1:34">
      <c r="B40" s="1402"/>
      <c r="C40" s="1402"/>
      <c r="D40" s="1402"/>
      <c r="E40" s="1402"/>
      <c r="F40" s="1402"/>
      <c r="G40" s="1402"/>
      <c r="H40" s="1402"/>
      <c r="I40" s="1402"/>
      <c r="J40" s="1402"/>
      <c r="K40" s="1402"/>
      <c r="L40" s="1402"/>
      <c r="M40" s="1402"/>
      <c r="N40" s="1402"/>
      <c r="O40" s="1402"/>
    </row>
  </sheetData>
  <mergeCells count="36">
    <mergeCell ref="B30:AG30"/>
    <mergeCell ref="H5:H6"/>
    <mergeCell ref="M5:M6"/>
    <mergeCell ref="I5:I6"/>
    <mergeCell ref="AC5:AE5"/>
    <mergeCell ref="Z5:AB5"/>
    <mergeCell ref="Z8:AE26"/>
    <mergeCell ref="J5:J6"/>
    <mergeCell ref="B29:AG29"/>
    <mergeCell ref="F5:F6"/>
    <mergeCell ref="B33:AG33"/>
    <mergeCell ref="B34:AG34"/>
    <mergeCell ref="AI3:AI4"/>
    <mergeCell ref="P4:AF4"/>
    <mergeCell ref="AG3:AG4"/>
    <mergeCell ref="AF5:AF6"/>
    <mergeCell ref="S5:V5"/>
    <mergeCell ref="W5:Y5"/>
    <mergeCell ref="P5:R5"/>
    <mergeCell ref="B31:AG31"/>
    <mergeCell ref="B32:AG32"/>
    <mergeCell ref="L5:L6"/>
    <mergeCell ref="O5:O6"/>
    <mergeCell ref="C4:C6"/>
    <mergeCell ref="B27:C27"/>
    <mergeCell ref="B4:B6"/>
    <mergeCell ref="AH3:AH6"/>
    <mergeCell ref="A3:A7"/>
    <mergeCell ref="K4:O4"/>
    <mergeCell ref="K5:K6"/>
    <mergeCell ref="N5:N6"/>
    <mergeCell ref="F4:J4"/>
    <mergeCell ref="G5:G6"/>
    <mergeCell ref="B3:E3"/>
    <mergeCell ref="D4:D6"/>
    <mergeCell ref="E4:E6"/>
  </mergeCells>
  <phoneticPr fontId="9" type="noConversion"/>
  <pageMargins left="0.51181102362204722" right="0.35433070866141736" top="0.39370078740157483" bottom="0.27559055118110237" header="0.15748031496062992" footer="0.23622047244094491"/>
  <pageSetup paperSize="9" scale="68" fitToHeight="2" orientation="landscape" r:id="rId1"/>
  <headerFooter alignWithMargins="0">
    <oddFooter>&amp;C&amp;P/&amp;N&amp;R&amp;A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5">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62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14.25">
      <c r="A2" s="472" t="s">
        <v>324</v>
      </c>
      <c r="F2" s="474"/>
      <c r="G2" s="474"/>
      <c r="H2" s="474"/>
      <c r="I2" s="474"/>
      <c r="O2" s="475" t="s">
        <v>127</v>
      </c>
    </row>
    <row r="3" spans="1:16" ht="30.4" customHeight="1">
      <c r="A3" s="3435" t="s">
        <v>94</v>
      </c>
      <c r="B3" s="3438" t="s">
        <v>255</v>
      </c>
      <c r="C3" s="3438"/>
      <c r="D3" s="477" t="s">
        <v>317</v>
      </c>
      <c r="E3" s="477"/>
      <c r="F3" s="477"/>
      <c r="G3" s="477"/>
      <c r="H3" s="477"/>
      <c r="I3" s="477"/>
      <c r="J3" s="477"/>
      <c r="K3" s="477"/>
      <c r="L3" s="3489" t="s">
        <v>318</v>
      </c>
      <c r="M3" s="3490"/>
      <c r="N3" s="3439" t="s">
        <v>319</v>
      </c>
      <c r="O3" s="3439" t="s">
        <v>320</v>
      </c>
      <c r="P3" s="478" t="s">
        <v>198</v>
      </c>
    </row>
    <row r="4" spans="1:16" ht="28.5" customHeight="1">
      <c r="A4" s="3436"/>
      <c r="B4" s="479" t="s">
        <v>133</v>
      </c>
      <c r="C4" s="479" t="s">
        <v>134</v>
      </c>
      <c r="D4" s="480" t="s">
        <v>215</v>
      </c>
      <c r="E4" s="480" t="s">
        <v>216</v>
      </c>
      <c r="F4" s="480" t="s">
        <v>217</v>
      </c>
      <c r="G4" s="481" t="s">
        <v>218</v>
      </c>
      <c r="H4" s="480" t="s">
        <v>219</v>
      </c>
      <c r="I4" s="481" t="s">
        <v>220</v>
      </c>
      <c r="J4" s="480" t="s">
        <v>321</v>
      </c>
      <c r="K4" s="481" t="s">
        <v>138</v>
      </c>
      <c r="L4" s="480" t="s">
        <v>322</v>
      </c>
      <c r="M4" s="480" t="s">
        <v>323</v>
      </c>
      <c r="N4" s="3488"/>
      <c r="O4" s="3488"/>
      <c r="P4" s="480"/>
    </row>
    <row r="5" spans="1:16" ht="45" customHeight="1">
      <c r="A5" s="3437"/>
      <c r="B5" s="482" t="s">
        <v>103</v>
      </c>
      <c r="C5" s="482" t="s">
        <v>423</v>
      </c>
      <c r="D5" s="482" t="s">
        <v>171</v>
      </c>
      <c r="E5" s="482" t="s">
        <v>172</v>
      </c>
      <c r="F5" s="482" t="s">
        <v>173</v>
      </c>
      <c r="G5" s="482" t="s">
        <v>174</v>
      </c>
      <c r="H5" s="482" t="s">
        <v>175</v>
      </c>
      <c r="I5" s="482" t="s">
        <v>176</v>
      </c>
      <c r="J5" s="482" t="s">
        <v>177</v>
      </c>
      <c r="K5" s="483" t="s">
        <v>466</v>
      </c>
      <c r="L5" s="483" t="s">
        <v>467</v>
      </c>
      <c r="M5" s="483" t="s">
        <v>463</v>
      </c>
      <c r="N5" s="483" t="s">
        <v>468</v>
      </c>
      <c r="O5" s="483" t="s">
        <v>469</v>
      </c>
      <c r="P5" s="482" t="s">
        <v>470</v>
      </c>
    </row>
    <row r="6" spans="1:16">
      <c r="A6" s="476">
        <v>1</v>
      </c>
      <c r="B6" s="484"/>
      <c r="C6" s="484"/>
      <c r="D6" s="485"/>
      <c r="E6" s="485"/>
      <c r="F6" s="486"/>
      <c r="G6" s="487"/>
      <c r="H6" s="487"/>
      <c r="I6" s="487"/>
      <c r="J6" s="485"/>
      <c r="K6" s="486"/>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89"/>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1" t="s">
        <v>464</v>
      </c>
      <c r="C25" s="344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ht="16.5" customHeight="1">
      <c r="A27" s="496">
        <v>1</v>
      </c>
      <c r="B27" s="3444" t="s">
        <v>471</v>
      </c>
      <c r="C27" s="3444"/>
      <c r="D27" s="3444"/>
      <c r="E27" s="3444"/>
      <c r="F27" s="3444"/>
      <c r="G27" s="3444"/>
      <c r="H27" s="3444"/>
      <c r="I27" s="3444"/>
      <c r="J27" s="3444"/>
      <c r="K27" s="3444"/>
      <c r="L27" s="3487"/>
      <c r="M27" s="3487"/>
      <c r="N27" s="3487"/>
      <c r="O27" s="3487"/>
      <c r="P27" s="493"/>
      <c r="Q27" s="493"/>
      <c r="R27" s="492"/>
      <c r="S27" s="494"/>
      <c r="T27" s="494"/>
      <c r="U27" s="494"/>
      <c r="V27" s="494"/>
      <c r="W27" s="494"/>
      <c r="X27" s="494"/>
      <c r="Y27" s="494"/>
      <c r="Z27" s="494"/>
      <c r="AA27" s="494"/>
      <c r="AB27" s="494"/>
      <c r="AC27" s="494"/>
      <c r="AD27" s="494"/>
      <c r="AE27" s="494"/>
    </row>
    <row r="28" spans="1:31">
      <c r="B28" s="3485"/>
      <c r="C28" s="3486"/>
      <c r="D28" s="3486"/>
      <c r="E28" s="3486"/>
      <c r="F28" s="3486"/>
      <c r="G28" s="3486"/>
      <c r="H28" s="3486"/>
      <c r="I28" s="3486"/>
      <c r="J28" s="3486"/>
      <c r="K28" s="3486"/>
      <c r="L28" s="3486"/>
      <c r="M28" s="3486"/>
      <c r="N28" s="3486"/>
      <c r="O28" s="3486"/>
      <c r="P28" s="3486"/>
      <c r="Q28" s="3486"/>
      <c r="R28" s="3486"/>
      <c r="S28" s="3486"/>
    </row>
    <row r="29" spans="1:31">
      <c r="B29" s="3485"/>
      <c r="C29" s="3486"/>
      <c r="D29" s="3486"/>
      <c r="E29" s="3486"/>
      <c r="F29" s="3486"/>
      <c r="G29" s="3486"/>
      <c r="H29" s="3486"/>
      <c r="I29" s="3486"/>
      <c r="J29" s="3486"/>
      <c r="K29" s="3486"/>
      <c r="L29" s="3486"/>
      <c r="M29" s="3486"/>
      <c r="N29" s="3486"/>
      <c r="O29" s="3486"/>
      <c r="P29" s="3486"/>
      <c r="Q29" s="3486"/>
      <c r="R29" s="3486"/>
      <c r="S29" s="3486"/>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B29:S29"/>
    <mergeCell ref="A3:A5"/>
    <mergeCell ref="B3:C3"/>
    <mergeCell ref="B25:C25"/>
    <mergeCell ref="B27:O27"/>
    <mergeCell ref="O3:O4"/>
    <mergeCell ref="L3:M3"/>
    <mergeCell ref="B28:S28"/>
    <mergeCell ref="N3:N4"/>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111"/>
  <sheetViews>
    <sheetView showGridLines="0" view="pageBreakPreview" zoomScale="115" zoomScaleNormal="90" zoomScaleSheetLayoutView="115" workbookViewId="0">
      <pane xSplit="2" ySplit="5" topLeftCell="C6" activePane="bottomRight" state="frozen"/>
      <selection activeCell="G28" sqref="G28"/>
      <selection pane="topRight" activeCell="G28" sqref="G28"/>
      <selection pane="bottomLeft" activeCell="G28" sqref="G28"/>
      <selection pane="bottomRight" activeCell="D25" sqref="D25"/>
    </sheetView>
  </sheetViews>
  <sheetFormatPr defaultColWidth="8.125" defaultRowHeight="12.75"/>
  <cols>
    <col min="1" max="1" width="5.125" style="2176" customWidth="1"/>
    <col min="2" max="2" width="53.875" style="2155" customWidth="1"/>
    <col min="3" max="3" width="10" style="2155" customWidth="1"/>
    <col min="4" max="4" width="13.875" style="2155" customWidth="1"/>
    <col min="5" max="5" width="12.875" style="2155" customWidth="1"/>
    <col min="6" max="6" width="12.625" style="2155" customWidth="1"/>
    <col min="7" max="7" width="13.375" style="2155" customWidth="1"/>
    <col min="8" max="9" width="14.125" style="2155" customWidth="1"/>
    <col min="10" max="10" width="9.375" style="2155" customWidth="1"/>
    <col min="11" max="11" width="13.5" style="2155" customWidth="1"/>
    <col min="12" max="12" width="9" style="2155" customWidth="1"/>
    <col min="13" max="13" width="8.75" style="2155" customWidth="1"/>
    <col min="14" max="14" width="43.625" style="2155" bestFit="1" customWidth="1"/>
    <col min="15" max="15" width="15.75" style="2155" customWidth="1"/>
    <col min="16" max="16" width="15" style="2155" customWidth="1"/>
    <col min="17" max="17" width="9" style="2155" customWidth="1"/>
    <col min="18" max="18" width="8.75" style="2155" customWidth="1"/>
    <col min="19" max="16384" width="8.125" style="2155"/>
  </cols>
  <sheetData>
    <row r="1" spans="1:18" ht="16.5">
      <c r="A1" s="1199" t="str">
        <f>+封面!A3&amp;" "&amp;封面!A2</f>
        <v xml:space="preserve">        保險股份有限公司(○○分公司) 年度(月、季、半年)報表</v>
      </c>
      <c r="B1" s="1199"/>
      <c r="C1" s="1626"/>
      <c r="D1" s="1626"/>
      <c r="E1" s="1626"/>
      <c r="F1" s="1626"/>
      <c r="G1" s="1626"/>
      <c r="H1" s="1626"/>
      <c r="I1" s="1626"/>
      <c r="J1" s="1626"/>
      <c r="K1" s="1626"/>
      <c r="L1" s="1626"/>
      <c r="M1" s="1626"/>
      <c r="N1" s="1626"/>
      <c r="Q1" s="1626"/>
      <c r="R1" s="1626"/>
    </row>
    <row r="2" spans="1:18" ht="14.25">
      <c r="A2" s="2156" t="s">
        <v>5498</v>
      </c>
      <c r="C2" s="2157"/>
      <c r="D2" s="2157"/>
      <c r="N2" s="2158"/>
      <c r="P2" s="3176" t="s">
        <v>5410</v>
      </c>
      <c r="Q2" s="3176"/>
      <c r="R2" s="3176"/>
    </row>
    <row r="3" spans="1:18" ht="14.25">
      <c r="A3" s="3173" t="s">
        <v>5499</v>
      </c>
      <c r="B3" s="3179" t="s">
        <v>5500</v>
      </c>
      <c r="C3" s="3180" t="s">
        <v>5501</v>
      </c>
      <c r="D3" s="3181"/>
      <c r="E3" s="3181"/>
      <c r="F3" s="3181"/>
      <c r="G3" s="3181"/>
      <c r="H3" s="3182"/>
      <c r="I3" s="3180" t="s">
        <v>5502</v>
      </c>
      <c r="J3" s="3181"/>
      <c r="K3" s="3183"/>
      <c r="L3" s="3177" t="s">
        <v>5503</v>
      </c>
      <c r="M3" s="3178"/>
      <c r="N3" s="3173" t="s">
        <v>5500</v>
      </c>
      <c r="O3" s="2159" t="s">
        <v>5504</v>
      </c>
      <c r="P3" s="2159" t="s">
        <v>5502</v>
      </c>
      <c r="Q3" s="3177" t="s">
        <v>5505</v>
      </c>
      <c r="R3" s="3178"/>
    </row>
    <row r="4" spans="1:18" s="2162" customFormat="1" ht="24.6" customHeight="1">
      <c r="A4" s="3174"/>
      <c r="B4" s="3173"/>
      <c r="C4" s="2160" t="s">
        <v>5506</v>
      </c>
      <c r="D4" s="2160" t="s">
        <v>5507</v>
      </c>
      <c r="E4" s="2160" t="s">
        <v>5508</v>
      </c>
      <c r="F4" s="2160" t="s">
        <v>5509</v>
      </c>
      <c r="G4" s="2160" t="s">
        <v>5510</v>
      </c>
      <c r="H4" s="2160" t="s">
        <v>5511</v>
      </c>
      <c r="I4" s="2161" t="s">
        <v>5512</v>
      </c>
      <c r="J4" s="2161" t="s">
        <v>5513</v>
      </c>
      <c r="K4" s="2162" t="s">
        <v>5514</v>
      </c>
      <c r="L4" s="2160" t="s">
        <v>5441</v>
      </c>
      <c r="M4" s="2160" t="s">
        <v>442</v>
      </c>
      <c r="N4" s="3174"/>
      <c r="O4" s="2160" t="s">
        <v>5512</v>
      </c>
      <c r="P4" s="2160" t="s">
        <v>5512</v>
      </c>
      <c r="Q4" s="2160" t="s">
        <v>5441</v>
      </c>
      <c r="R4" s="2160" t="s">
        <v>442</v>
      </c>
    </row>
    <row r="5" spans="1:18" s="2162" customFormat="1">
      <c r="A5" s="3175"/>
      <c r="B5" s="2163" t="s">
        <v>443</v>
      </c>
      <c r="C5" s="2164" t="s">
        <v>444</v>
      </c>
      <c r="D5" s="2164" t="s">
        <v>171</v>
      </c>
      <c r="E5" s="2164" t="s">
        <v>172</v>
      </c>
      <c r="F5" s="2164" t="s">
        <v>173</v>
      </c>
      <c r="G5" s="2164" t="s">
        <v>174</v>
      </c>
      <c r="H5" s="2164" t="s">
        <v>175</v>
      </c>
      <c r="I5" s="2164" t="s">
        <v>176</v>
      </c>
      <c r="J5" s="2164" t="s">
        <v>177</v>
      </c>
      <c r="K5" s="2164" t="s">
        <v>178</v>
      </c>
      <c r="L5" s="2164" t="s">
        <v>179</v>
      </c>
      <c r="M5" s="2164" t="s">
        <v>180</v>
      </c>
      <c r="N5" s="2164" t="s">
        <v>416</v>
      </c>
      <c r="O5" s="2164" t="s">
        <v>417</v>
      </c>
      <c r="P5" s="2164" t="s">
        <v>418</v>
      </c>
      <c r="Q5" s="2164" t="s">
        <v>419</v>
      </c>
      <c r="R5" s="2164" t="s">
        <v>420</v>
      </c>
    </row>
    <row r="6" spans="1:18" ht="14.25">
      <c r="A6" s="2165">
        <v>1</v>
      </c>
      <c r="B6" s="2166" t="s">
        <v>5515</v>
      </c>
      <c r="C6" s="2137"/>
      <c r="D6" s="2137"/>
      <c r="E6" s="2138">
        <f>SUM(C6:D6)</f>
        <v>0</v>
      </c>
      <c r="F6" s="2167" t="str">
        <f t="shared" ref="F6:F47" si="0">IF(C6=0,"",IFERROR(+E6/$E$104,""))</f>
        <v/>
      </c>
      <c r="G6" s="2137"/>
      <c r="H6" s="2138">
        <f>+E6-G6</f>
        <v>0</v>
      </c>
      <c r="I6" s="2137"/>
      <c r="J6" s="2139"/>
      <c r="K6" s="2137"/>
      <c r="L6" s="2138">
        <f>+E6-I6</f>
        <v>0</v>
      </c>
      <c r="M6" s="2167" t="str">
        <f t="shared" ref="M6:M47" si="1">IF(AND(I6=0,OR(E6&gt;0,E6&lt;0)),+L6/L6,IFERROR(+L6/I6,""))</f>
        <v/>
      </c>
      <c r="N6" s="2166" t="s">
        <v>5516</v>
      </c>
      <c r="O6" s="2137"/>
      <c r="P6" s="2137"/>
      <c r="Q6" s="2138">
        <f>+O6-P6</f>
        <v>0</v>
      </c>
      <c r="R6" s="2167" t="str">
        <f t="shared" ref="R6:R16" si="2">IF(AND(P6=0,OR(O6&gt;0,O6&lt;0)),+Q6/Q6,IFERROR(+Q6/P6,""))</f>
        <v/>
      </c>
    </row>
    <row r="7" spans="1:18" ht="14.25">
      <c r="A7" s="2165">
        <f>A6+1</f>
        <v>2</v>
      </c>
      <c r="B7" s="2166" t="s">
        <v>5517</v>
      </c>
      <c r="C7" s="2138">
        <f>SUM(C8:C18)-C10-C11</f>
        <v>0</v>
      </c>
      <c r="D7" s="2138">
        <f>SUM(D8:D18)-D10-D11</f>
        <v>0</v>
      </c>
      <c r="E7" s="2138">
        <f>SUM(C7:D7)</f>
        <v>0</v>
      </c>
      <c r="F7" s="2167" t="str">
        <f t="shared" si="0"/>
        <v/>
      </c>
      <c r="G7" s="2138">
        <f>SUM(G8:G18)-G10-G11</f>
        <v>0</v>
      </c>
      <c r="H7" s="2138">
        <f t="shared" ref="H7:H72" si="3">+E7-G7</f>
        <v>0</v>
      </c>
      <c r="I7" s="2137">
        <v>0</v>
      </c>
      <c r="J7" s="2139"/>
      <c r="K7" s="2137"/>
      <c r="L7" s="2138">
        <f t="shared" ref="L7:L72" si="4">+E7-I7</f>
        <v>0</v>
      </c>
      <c r="M7" s="2167" t="str">
        <f t="shared" si="1"/>
        <v/>
      </c>
      <c r="N7" s="2166" t="s">
        <v>5518</v>
      </c>
      <c r="O7" s="2138">
        <f>SUM(O8:O14)</f>
        <v>0</v>
      </c>
      <c r="P7" s="2138">
        <f>SUM(P8:P14)</f>
        <v>0</v>
      </c>
      <c r="Q7" s="2138">
        <f t="shared" ref="Q7:Q55" si="5">+O7-P7</f>
        <v>0</v>
      </c>
      <c r="R7" s="2167" t="str">
        <f t="shared" si="2"/>
        <v/>
      </c>
    </row>
    <row r="8" spans="1:18" ht="14.25">
      <c r="A8" s="2165">
        <f t="shared" ref="A8:A72" si="6">A7+1</f>
        <v>3</v>
      </c>
      <c r="B8" s="2168" t="s">
        <v>5519</v>
      </c>
      <c r="C8" s="2137"/>
      <c r="D8" s="2137"/>
      <c r="E8" s="2138">
        <f t="shared" ref="E8:E73" si="7">SUM(C8:D8)</f>
        <v>0</v>
      </c>
      <c r="F8" s="2167" t="str">
        <f t="shared" si="0"/>
        <v/>
      </c>
      <c r="G8" s="2137"/>
      <c r="H8" s="2138">
        <f t="shared" si="3"/>
        <v>0</v>
      </c>
      <c r="I8" s="2137"/>
      <c r="J8" s="2139"/>
      <c r="K8" s="2137"/>
      <c r="L8" s="2138">
        <f t="shared" si="4"/>
        <v>0</v>
      </c>
      <c r="M8" s="2167" t="str">
        <f t="shared" si="1"/>
        <v/>
      </c>
      <c r="N8" s="2168" t="s">
        <v>5520</v>
      </c>
      <c r="O8" s="2137"/>
      <c r="P8" s="2137"/>
      <c r="Q8" s="2138">
        <f t="shared" si="5"/>
        <v>0</v>
      </c>
      <c r="R8" s="2167" t="str">
        <f t="shared" si="2"/>
        <v/>
      </c>
    </row>
    <row r="9" spans="1:18" ht="14.25">
      <c r="A9" s="2165">
        <f t="shared" si="6"/>
        <v>4</v>
      </c>
      <c r="B9" s="2168" t="s">
        <v>5521</v>
      </c>
      <c r="C9" s="2138">
        <f>+C10+C11</f>
        <v>0</v>
      </c>
      <c r="D9" s="2138">
        <f>+D10+D11</f>
        <v>0</v>
      </c>
      <c r="E9" s="2138">
        <f t="shared" si="7"/>
        <v>0</v>
      </c>
      <c r="F9" s="2167" t="str">
        <f t="shared" si="0"/>
        <v/>
      </c>
      <c r="G9" s="2138">
        <f>+G10+G11</f>
        <v>0</v>
      </c>
      <c r="H9" s="2138">
        <f t="shared" si="3"/>
        <v>0</v>
      </c>
      <c r="I9" s="2137"/>
      <c r="J9" s="2139"/>
      <c r="K9" s="2137"/>
      <c r="L9" s="2138">
        <f t="shared" si="4"/>
        <v>0</v>
      </c>
      <c r="M9" s="2167" t="str">
        <f t="shared" si="1"/>
        <v/>
      </c>
      <c r="N9" s="2168" t="s">
        <v>5522</v>
      </c>
      <c r="O9" s="2137"/>
      <c r="P9" s="2137"/>
      <c r="Q9" s="2138">
        <f t="shared" si="5"/>
        <v>0</v>
      </c>
      <c r="R9" s="2167" t="str">
        <f t="shared" si="2"/>
        <v/>
      </c>
    </row>
    <row r="10" spans="1:18" ht="14.25">
      <c r="A10" s="2165">
        <f t="shared" si="6"/>
        <v>5</v>
      </c>
      <c r="B10" s="2168" t="s">
        <v>5523</v>
      </c>
      <c r="C10" s="2137"/>
      <c r="D10" s="2137"/>
      <c r="E10" s="2138">
        <f t="shared" si="7"/>
        <v>0</v>
      </c>
      <c r="F10" s="2167" t="str">
        <f t="shared" si="0"/>
        <v/>
      </c>
      <c r="G10" s="2137"/>
      <c r="H10" s="2138">
        <f t="shared" si="3"/>
        <v>0</v>
      </c>
      <c r="I10" s="2137"/>
      <c r="J10" s="2139"/>
      <c r="K10" s="2137"/>
      <c r="L10" s="2138">
        <f t="shared" si="4"/>
        <v>0</v>
      </c>
      <c r="M10" s="2167" t="str">
        <f t="shared" si="1"/>
        <v/>
      </c>
      <c r="N10" s="2168" t="s">
        <v>5524</v>
      </c>
      <c r="O10" s="2137"/>
      <c r="P10" s="2137"/>
      <c r="Q10" s="2138">
        <f t="shared" si="5"/>
        <v>0</v>
      </c>
      <c r="R10" s="2167" t="str">
        <f t="shared" si="2"/>
        <v/>
      </c>
    </row>
    <row r="11" spans="1:18" ht="14.25">
      <c r="A11" s="2165">
        <f t="shared" si="6"/>
        <v>6</v>
      </c>
      <c r="B11" s="2168" t="s">
        <v>5525</v>
      </c>
      <c r="C11" s="2137"/>
      <c r="D11" s="2137"/>
      <c r="E11" s="2138">
        <f t="shared" si="7"/>
        <v>0</v>
      </c>
      <c r="F11" s="2167" t="str">
        <f t="shared" si="0"/>
        <v/>
      </c>
      <c r="G11" s="2137"/>
      <c r="H11" s="2138">
        <f t="shared" si="3"/>
        <v>0</v>
      </c>
      <c r="I11" s="2137"/>
      <c r="J11" s="2139"/>
      <c r="K11" s="2137"/>
      <c r="L11" s="2138">
        <f t="shared" si="4"/>
        <v>0</v>
      </c>
      <c r="M11" s="2167" t="str">
        <f t="shared" si="1"/>
        <v/>
      </c>
      <c r="N11" s="2168" t="s">
        <v>5526</v>
      </c>
      <c r="O11" s="2137"/>
      <c r="P11" s="2137"/>
      <c r="Q11" s="2138">
        <f t="shared" si="5"/>
        <v>0</v>
      </c>
      <c r="R11" s="2167" t="str">
        <f t="shared" si="2"/>
        <v/>
      </c>
    </row>
    <row r="12" spans="1:18" ht="14.25">
      <c r="A12" s="2165">
        <f t="shared" si="6"/>
        <v>7</v>
      </c>
      <c r="B12" s="2168" t="s">
        <v>5527</v>
      </c>
      <c r="C12" s="2137"/>
      <c r="D12" s="2137"/>
      <c r="E12" s="2138">
        <f t="shared" si="7"/>
        <v>0</v>
      </c>
      <c r="F12" s="2167" t="str">
        <f t="shared" si="0"/>
        <v/>
      </c>
      <c r="G12" s="2137"/>
      <c r="H12" s="2138">
        <f t="shared" si="3"/>
        <v>0</v>
      </c>
      <c r="I12" s="2137"/>
      <c r="J12" s="2139"/>
      <c r="K12" s="2137"/>
      <c r="L12" s="2138">
        <f t="shared" si="4"/>
        <v>0</v>
      </c>
      <c r="M12" s="2167" t="str">
        <f t="shared" si="1"/>
        <v/>
      </c>
      <c r="N12" s="2168" t="s">
        <v>5528</v>
      </c>
      <c r="O12" s="2137"/>
      <c r="P12" s="2137"/>
      <c r="Q12" s="2138">
        <f t="shared" si="5"/>
        <v>0</v>
      </c>
      <c r="R12" s="2167" t="str">
        <f t="shared" si="2"/>
        <v/>
      </c>
    </row>
    <row r="13" spans="1:18" ht="14.25">
      <c r="A13" s="2165">
        <f t="shared" si="6"/>
        <v>8</v>
      </c>
      <c r="B13" s="2168" t="s">
        <v>5529</v>
      </c>
      <c r="C13" s="2137"/>
      <c r="D13" s="2137"/>
      <c r="E13" s="2138">
        <f t="shared" si="7"/>
        <v>0</v>
      </c>
      <c r="F13" s="2167" t="str">
        <f t="shared" si="0"/>
        <v/>
      </c>
      <c r="G13" s="2137"/>
      <c r="H13" s="2138">
        <f t="shared" si="3"/>
        <v>0</v>
      </c>
      <c r="I13" s="2137"/>
      <c r="J13" s="2139"/>
      <c r="K13" s="2137"/>
      <c r="L13" s="2138">
        <f t="shared" si="4"/>
        <v>0</v>
      </c>
      <c r="M13" s="2167" t="str">
        <f t="shared" si="1"/>
        <v/>
      </c>
      <c r="N13" s="2168" t="s">
        <v>5530</v>
      </c>
      <c r="O13" s="2137"/>
      <c r="P13" s="2137"/>
      <c r="Q13" s="2138">
        <f t="shared" si="5"/>
        <v>0</v>
      </c>
      <c r="R13" s="2167" t="str">
        <f t="shared" si="2"/>
        <v/>
      </c>
    </row>
    <row r="14" spans="1:18" ht="14.25">
      <c r="A14" s="2165">
        <f t="shared" si="6"/>
        <v>9</v>
      </c>
      <c r="B14" s="2168" t="s">
        <v>5531</v>
      </c>
      <c r="C14" s="2137"/>
      <c r="D14" s="2137"/>
      <c r="E14" s="2138">
        <f t="shared" si="7"/>
        <v>0</v>
      </c>
      <c r="F14" s="2167" t="str">
        <f t="shared" si="0"/>
        <v/>
      </c>
      <c r="G14" s="2137"/>
      <c r="H14" s="2138">
        <f t="shared" si="3"/>
        <v>0</v>
      </c>
      <c r="I14" s="2137"/>
      <c r="J14" s="2139"/>
      <c r="K14" s="2137"/>
      <c r="L14" s="2138">
        <f t="shared" si="4"/>
        <v>0</v>
      </c>
      <c r="M14" s="2167" t="str">
        <f t="shared" si="1"/>
        <v/>
      </c>
      <c r="N14" s="2168" t="s">
        <v>5532</v>
      </c>
      <c r="O14" s="2137"/>
      <c r="P14" s="2137"/>
      <c r="Q14" s="2138">
        <f t="shared" si="5"/>
        <v>0</v>
      </c>
      <c r="R14" s="2167" t="str">
        <f t="shared" si="2"/>
        <v/>
      </c>
    </row>
    <row r="15" spans="1:18" ht="14.25">
      <c r="A15" s="2165">
        <v>10</v>
      </c>
      <c r="B15" s="2166" t="s">
        <v>5533</v>
      </c>
      <c r="C15" s="2137"/>
      <c r="D15" s="2137"/>
      <c r="E15" s="2138">
        <f t="shared" si="7"/>
        <v>0</v>
      </c>
      <c r="F15" s="2167" t="str">
        <f t="shared" si="0"/>
        <v/>
      </c>
      <c r="G15" s="2137"/>
      <c r="H15" s="2138">
        <f t="shared" si="3"/>
        <v>0</v>
      </c>
      <c r="I15" s="2137"/>
      <c r="J15" s="2139"/>
      <c r="K15" s="2137"/>
      <c r="L15" s="2138">
        <f t="shared" si="4"/>
        <v>0</v>
      </c>
      <c r="M15" s="2167" t="str">
        <f t="shared" si="1"/>
        <v/>
      </c>
      <c r="N15" s="2166" t="s">
        <v>5534</v>
      </c>
      <c r="O15" s="2137"/>
      <c r="P15" s="2137"/>
      <c r="Q15" s="2138">
        <f t="shared" si="5"/>
        <v>0</v>
      </c>
      <c r="R15" s="2167" t="str">
        <f t="shared" si="2"/>
        <v/>
      </c>
    </row>
    <row r="16" spans="1:18" ht="14.25">
      <c r="A16" s="2165">
        <f t="shared" si="6"/>
        <v>11</v>
      </c>
      <c r="B16" s="2166" t="s">
        <v>5535</v>
      </c>
      <c r="C16" s="2137"/>
      <c r="D16" s="2137"/>
      <c r="E16" s="2138">
        <f t="shared" si="7"/>
        <v>0</v>
      </c>
      <c r="F16" s="2167" t="str">
        <f t="shared" si="0"/>
        <v/>
      </c>
      <c r="G16" s="2137"/>
      <c r="H16" s="2138">
        <f t="shared" si="3"/>
        <v>0</v>
      </c>
      <c r="I16" s="2137"/>
      <c r="J16" s="2139"/>
      <c r="K16" s="2137"/>
      <c r="L16" s="2138">
        <f t="shared" si="4"/>
        <v>0</v>
      </c>
      <c r="M16" s="2167" t="str">
        <f t="shared" si="1"/>
        <v/>
      </c>
      <c r="N16" s="2166" t="s">
        <v>5536</v>
      </c>
      <c r="O16" s="2137"/>
      <c r="P16" s="2137"/>
      <c r="Q16" s="2138">
        <f t="shared" si="5"/>
        <v>0</v>
      </c>
      <c r="R16" s="2167" t="str">
        <f t="shared" si="2"/>
        <v/>
      </c>
    </row>
    <row r="17" spans="1:18" ht="14.25">
      <c r="A17" s="2165">
        <f t="shared" si="6"/>
        <v>12</v>
      </c>
      <c r="B17" s="2166" t="s">
        <v>5537</v>
      </c>
      <c r="C17" s="2137"/>
      <c r="D17" s="2137"/>
      <c r="E17" s="2138">
        <f t="shared" si="7"/>
        <v>0</v>
      </c>
      <c r="F17" s="2167" t="str">
        <f t="shared" si="0"/>
        <v/>
      </c>
      <c r="G17" s="2137"/>
      <c r="H17" s="2138">
        <f t="shared" si="3"/>
        <v>0</v>
      </c>
      <c r="I17" s="2137"/>
      <c r="J17" s="2139"/>
      <c r="K17" s="2137"/>
      <c r="L17" s="2138">
        <f t="shared" si="4"/>
        <v>0</v>
      </c>
      <c r="M17" s="2167" t="str">
        <f t="shared" si="1"/>
        <v/>
      </c>
      <c r="N17" s="2168"/>
      <c r="O17" s="2137"/>
      <c r="P17" s="2137"/>
      <c r="Q17" s="2137"/>
      <c r="R17" s="2139"/>
    </row>
    <row r="18" spans="1:18" ht="14.25">
      <c r="A18" s="2165">
        <f t="shared" si="6"/>
        <v>13</v>
      </c>
      <c r="B18" s="2168" t="s">
        <v>5538</v>
      </c>
      <c r="C18" s="2137"/>
      <c r="D18" s="2137"/>
      <c r="E18" s="2138">
        <f t="shared" si="7"/>
        <v>0</v>
      </c>
      <c r="F18" s="2167" t="str">
        <f t="shared" si="0"/>
        <v/>
      </c>
      <c r="G18" s="2137"/>
      <c r="H18" s="2138">
        <f t="shared" si="3"/>
        <v>0</v>
      </c>
      <c r="I18" s="2137"/>
      <c r="J18" s="2139"/>
      <c r="K18" s="2137"/>
      <c r="L18" s="2138">
        <f t="shared" si="4"/>
        <v>0</v>
      </c>
      <c r="M18" s="2167" t="str">
        <f t="shared" si="1"/>
        <v/>
      </c>
      <c r="N18" s="2169" t="s">
        <v>5539</v>
      </c>
      <c r="O18" s="2137"/>
      <c r="P18" s="2137"/>
      <c r="Q18" s="2138">
        <f t="shared" si="5"/>
        <v>0</v>
      </c>
      <c r="R18" s="2167" t="str">
        <f>IF(AND(P18=0,OR(O18&gt;0,O18&lt;0)),+Q18/Q18,IFERROR(+Q18/P18,""))</f>
        <v/>
      </c>
    </row>
    <row r="19" spans="1:18" ht="14.25">
      <c r="A19" s="2165">
        <f t="shared" si="6"/>
        <v>14</v>
      </c>
      <c r="B19" s="2168" t="s">
        <v>5540</v>
      </c>
      <c r="C19" s="2137"/>
      <c r="D19" s="2137"/>
      <c r="E19" s="2138">
        <f t="shared" si="7"/>
        <v>0</v>
      </c>
      <c r="F19" s="2167" t="str">
        <f t="shared" si="0"/>
        <v/>
      </c>
      <c r="G19" s="2137"/>
      <c r="H19" s="2138">
        <f t="shared" si="3"/>
        <v>0</v>
      </c>
      <c r="I19" s="2137"/>
      <c r="J19" s="2139"/>
      <c r="K19" s="2137"/>
      <c r="L19" s="2138">
        <f t="shared" si="4"/>
        <v>0</v>
      </c>
      <c r="M19" s="2167" t="str">
        <f t="shared" si="1"/>
        <v/>
      </c>
      <c r="N19" s="2168" t="s">
        <v>5541</v>
      </c>
      <c r="O19" s="2137"/>
      <c r="P19" s="2137"/>
      <c r="Q19" s="2138">
        <f t="shared" si="5"/>
        <v>0</v>
      </c>
      <c r="R19" s="2167" t="str">
        <f>IF(AND(P19=0,OR(O19&gt;0,O19&lt;0)),+Q19/Q19,IFERROR(+Q19/P19,""))</f>
        <v/>
      </c>
    </row>
    <row r="20" spans="1:18" ht="14.25">
      <c r="A20" s="2165">
        <f t="shared" si="6"/>
        <v>15</v>
      </c>
      <c r="B20" s="2166" t="s">
        <v>5542</v>
      </c>
      <c r="C20" s="2137"/>
      <c r="D20" s="2137"/>
      <c r="E20" s="2138">
        <f t="shared" si="7"/>
        <v>0</v>
      </c>
      <c r="F20" s="2167" t="str">
        <f t="shared" si="0"/>
        <v/>
      </c>
      <c r="G20" s="2137"/>
      <c r="H20" s="2138">
        <f t="shared" si="3"/>
        <v>0</v>
      </c>
      <c r="I20" s="2137"/>
      <c r="J20" s="2139"/>
      <c r="K20" s="2137"/>
      <c r="L20" s="2138">
        <f t="shared" si="4"/>
        <v>0</v>
      </c>
      <c r="M20" s="2167" t="str">
        <f t="shared" si="1"/>
        <v/>
      </c>
      <c r="N20" s="2166" t="s">
        <v>5543</v>
      </c>
      <c r="O20" s="2137"/>
      <c r="P20" s="2137"/>
      <c r="Q20" s="2138">
        <f t="shared" si="5"/>
        <v>0</v>
      </c>
      <c r="R20" s="2167" t="str">
        <f>IF(AND(P20=0,OR(O20&gt;0,O20&lt;0)),+Q20/Q20,IFERROR(+Q20/P20,""))</f>
        <v/>
      </c>
    </row>
    <row r="21" spans="1:18" ht="14.25">
      <c r="A21" s="2165">
        <f t="shared" si="6"/>
        <v>16</v>
      </c>
      <c r="B21" s="2166" t="s">
        <v>5544</v>
      </c>
      <c r="C21" s="2137"/>
      <c r="D21" s="2137"/>
      <c r="E21" s="2138">
        <f t="shared" si="7"/>
        <v>0</v>
      </c>
      <c r="F21" s="2167" t="str">
        <f t="shared" si="0"/>
        <v/>
      </c>
      <c r="G21" s="2137"/>
      <c r="H21" s="2138">
        <f t="shared" si="3"/>
        <v>0</v>
      </c>
      <c r="I21" s="2137"/>
      <c r="J21" s="2139"/>
      <c r="K21" s="2137"/>
      <c r="L21" s="2138">
        <f t="shared" si="4"/>
        <v>0</v>
      </c>
      <c r="M21" s="2167" t="str">
        <f t="shared" si="1"/>
        <v/>
      </c>
      <c r="N21" s="2166" t="s">
        <v>5545</v>
      </c>
      <c r="O21" s="2137"/>
      <c r="P21" s="2137"/>
      <c r="Q21" s="2138">
        <f t="shared" si="5"/>
        <v>0</v>
      </c>
      <c r="R21" s="2167" t="str">
        <f>IF(AND(P21=0,OR(O21&gt;0,O21&lt;0)),+Q21/Q21,IFERROR(+Q21/P21,""))</f>
        <v/>
      </c>
    </row>
    <row r="22" spans="1:18" ht="14.25">
      <c r="A22" s="2165">
        <f t="shared" si="6"/>
        <v>17</v>
      </c>
      <c r="B22" s="2170" t="s">
        <v>5546</v>
      </c>
      <c r="C22" s="2138">
        <f>SUM(C23:C32)</f>
        <v>0</v>
      </c>
      <c r="D22" s="2138">
        <f>SUM(D23:D32)</f>
        <v>0</v>
      </c>
      <c r="E22" s="2138">
        <f t="shared" si="7"/>
        <v>0</v>
      </c>
      <c r="F22" s="2167" t="str">
        <f t="shared" si="0"/>
        <v/>
      </c>
      <c r="G22" s="2138">
        <f>SUM(G23:G32)</f>
        <v>0</v>
      </c>
      <c r="H22" s="2138">
        <f t="shared" si="3"/>
        <v>0</v>
      </c>
      <c r="I22" s="2137"/>
      <c r="J22" s="2139"/>
      <c r="K22" s="2137"/>
      <c r="L22" s="2138">
        <f t="shared" si="4"/>
        <v>0</v>
      </c>
      <c r="M22" s="2167" t="str">
        <f t="shared" si="1"/>
        <v/>
      </c>
      <c r="N22" s="2166" t="s">
        <v>5547</v>
      </c>
      <c r="O22" s="2137"/>
      <c r="P22" s="2137"/>
      <c r="Q22" s="2138">
        <f t="shared" si="5"/>
        <v>0</v>
      </c>
      <c r="R22" s="2167" t="str">
        <f>IF(AND(P22=0,OR(O22&gt;0,O22&lt;0)),+Q22/Q22,IFERROR(+Q22/P22,""))</f>
        <v/>
      </c>
    </row>
    <row r="23" spans="1:18" ht="14.25">
      <c r="A23" s="2165">
        <f t="shared" si="6"/>
        <v>18</v>
      </c>
      <c r="B23" s="2171" t="s">
        <v>5548</v>
      </c>
      <c r="C23" s="2137"/>
      <c r="D23" s="2137"/>
      <c r="E23" s="2138">
        <f t="shared" si="7"/>
        <v>0</v>
      </c>
      <c r="F23" s="2167" t="str">
        <f t="shared" si="0"/>
        <v/>
      </c>
      <c r="G23" s="2137"/>
      <c r="H23" s="2138">
        <f t="shared" si="3"/>
        <v>0</v>
      </c>
      <c r="I23" s="2137"/>
      <c r="J23" s="2139"/>
      <c r="K23" s="2137"/>
      <c r="L23" s="2138">
        <f t="shared" si="4"/>
        <v>0</v>
      </c>
      <c r="M23" s="2167" t="str">
        <f t="shared" si="1"/>
        <v/>
      </c>
      <c r="N23" s="2166" t="s">
        <v>74</v>
      </c>
      <c r="O23" s="2137"/>
      <c r="P23" s="2137"/>
      <c r="Q23" s="2137"/>
      <c r="R23" s="2139"/>
    </row>
    <row r="24" spans="1:18" ht="14.25">
      <c r="A24" s="2165">
        <f t="shared" si="6"/>
        <v>19</v>
      </c>
      <c r="B24" s="2171" t="s">
        <v>5549</v>
      </c>
      <c r="C24" s="2137"/>
      <c r="D24" s="2137"/>
      <c r="E24" s="2138">
        <f t="shared" si="7"/>
        <v>0</v>
      </c>
      <c r="F24" s="2167" t="str">
        <f t="shared" si="0"/>
        <v/>
      </c>
      <c r="G24" s="2137"/>
      <c r="H24" s="2138">
        <f t="shared" si="3"/>
        <v>0</v>
      </c>
      <c r="I24" s="2137"/>
      <c r="J24" s="2139"/>
      <c r="K24" s="2137"/>
      <c r="L24" s="2138">
        <f t="shared" si="4"/>
        <v>0</v>
      </c>
      <c r="M24" s="2167" t="str">
        <f t="shared" si="1"/>
        <v/>
      </c>
      <c r="N24" s="2166" t="s">
        <v>5550</v>
      </c>
      <c r="O24" s="2138">
        <f>SUM(O26:O32)</f>
        <v>0</v>
      </c>
      <c r="P24" s="2138">
        <f>SUM(P26:P32)</f>
        <v>0</v>
      </c>
      <c r="Q24" s="2138">
        <f t="shared" si="5"/>
        <v>0</v>
      </c>
      <c r="R24" s="2167" t="str">
        <f t="shared" ref="R24:R33" si="8">IF(AND(P24=0,OR(O24&gt;0,O24&lt;0)),+Q24/Q24,IFERROR(+Q24/P24,""))</f>
        <v/>
      </c>
    </row>
    <row r="25" spans="1:18" ht="14.25">
      <c r="A25" s="2165">
        <f t="shared" si="6"/>
        <v>20</v>
      </c>
      <c r="B25" s="2171" t="s">
        <v>5551</v>
      </c>
      <c r="C25" s="2137"/>
      <c r="D25" s="2137"/>
      <c r="E25" s="2138">
        <f t="shared" si="7"/>
        <v>0</v>
      </c>
      <c r="F25" s="2167" t="str">
        <f t="shared" si="0"/>
        <v/>
      </c>
      <c r="G25" s="2137"/>
      <c r="H25" s="2138">
        <f t="shared" si="3"/>
        <v>0</v>
      </c>
      <c r="I25" s="2137"/>
      <c r="J25" s="2139"/>
      <c r="K25" s="2137"/>
      <c r="L25" s="2138">
        <f t="shared" si="4"/>
        <v>0</v>
      </c>
      <c r="M25" s="2167" t="str">
        <f t="shared" si="1"/>
        <v/>
      </c>
      <c r="N25" s="2168" t="s">
        <v>5552</v>
      </c>
      <c r="O25" s="2138">
        <f>SUM(O26:O33)</f>
        <v>0</v>
      </c>
      <c r="P25" s="2138">
        <f>SUM(P26:P33)</f>
        <v>0</v>
      </c>
      <c r="Q25" s="2138">
        <f t="shared" si="5"/>
        <v>0</v>
      </c>
      <c r="R25" s="2167" t="str">
        <f t="shared" si="8"/>
        <v/>
      </c>
    </row>
    <row r="26" spans="1:18" ht="14.25">
      <c r="A26" s="2165">
        <f t="shared" si="6"/>
        <v>21</v>
      </c>
      <c r="B26" s="2171" t="s">
        <v>5553</v>
      </c>
      <c r="C26" s="2137"/>
      <c r="D26" s="2137"/>
      <c r="E26" s="2138">
        <f t="shared" si="7"/>
        <v>0</v>
      </c>
      <c r="F26" s="2167" t="str">
        <f t="shared" si="0"/>
        <v/>
      </c>
      <c r="G26" s="2137"/>
      <c r="H26" s="2138">
        <f t="shared" si="3"/>
        <v>0</v>
      </c>
      <c r="I26" s="2137"/>
      <c r="J26" s="2139"/>
      <c r="K26" s="2137"/>
      <c r="L26" s="2138">
        <f t="shared" si="4"/>
        <v>0</v>
      </c>
      <c r="M26" s="2167" t="str">
        <f t="shared" si="1"/>
        <v/>
      </c>
      <c r="N26" s="2168" t="s">
        <v>5554</v>
      </c>
      <c r="O26" s="2137"/>
      <c r="P26" s="2137"/>
      <c r="Q26" s="2138">
        <f t="shared" si="5"/>
        <v>0</v>
      </c>
      <c r="R26" s="2167" t="str">
        <f t="shared" si="8"/>
        <v/>
      </c>
    </row>
    <row r="27" spans="1:18" ht="14.25">
      <c r="A27" s="2165">
        <f t="shared" si="6"/>
        <v>22</v>
      </c>
      <c r="B27" s="2171" t="s">
        <v>5555</v>
      </c>
      <c r="C27" s="2137"/>
      <c r="D27" s="2137"/>
      <c r="E27" s="2138">
        <f t="shared" si="7"/>
        <v>0</v>
      </c>
      <c r="F27" s="2167" t="str">
        <f t="shared" si="0"/>
        <v/>
      </c>
      <c r="G27" s="2137"/>
      <c r="H27" s="2138">
        <f t="shared" si="3"/>
        <v>0</v>
      </c>
      <c r="I27" s="2137"/>
      <c r="J27" s="2139"/>
      <c r="K27" s="2137"/>
      <c r="L27" s="2138">
        <f t="shared" si="4"/>
        <v>0</v>
      </c>
      <c r="M27" s="2167" t="str">
        <f t="shared" si="1"/>
        <v/>
      </c>
      <c r="N27" s="2168" t="s">
        <v>5556</v>
      </c>
      <c r="O27" s="2137"/>
      <c r="P27" s="2137"/>
      <c r="Q27" s="2138">
        <f t="shared" si="5"/>
        <v>0</v>
      </c>
      <c r="R27" s="2167" t="str">
        <f t="shared" si="8"/>
        <v/>
      </c>
    </row>
    <row r="28" spans="1:18" ht="14.25">
      <c r="A28" s="2165">
        <f t="shared" si="6"/>
        <v>23</v>
      </c>
      <c r="B28" s="2171" t="s">
        <v>5557</v>
      </c>
      <c r="C28" s="2137"/>
      <c r="D28" s="2137"/>
      <c r="E28" s="2138">
        <f t="shared" si="7"/>
        <v>0</v>
      </c>
      <c r="F28" s="2167" t="str">
        <f t="shared" si="0"/>
        <v/>
      </c>
      <c r="G28" s="2137"/>
      <c r="H28" s="2138">
        <f t="shared" si="3"/>
        <v>0</v>
      </c>
      <c r="I28" s="2137"/>
      <c r="J28" s="2139"/>
      <c r="K28" s="2137"/>
      <c r="L28" s="2138">
        <f t="shared" si="4"/>
        <v>0</v>
      </c>
      <c r="M28" s="2167" t="str">
        <f t="shared" si="1"/>
        <v/>
      </c>
      <c r="N28" s="2168" t="s">
        <v>5558</v>
      </c>
      <c r="O28" s="2137"/>
      <c r="P28" s="2137"/>
      <c r="Q28" s="2138">
        <f t="shared" si="5"/>
        <v>0</v>
      </c>
      <c r="R28" s="2167" t="str">
        <f t="shared" si="8"/>
        <v/>
      </c>
    </row>
    <row r="29" spans="1:18" ht="14.25">
      <c r="A29" s="2165">
        <f t="shared" si="6"/>
        <v>24</v>
      </c>
      <c r="B29" s="2171" t="s">
        <v>5559</v>
      </c>
      <c r="C29" s="2137"/>
      <c r="D29" s="2137"/>
      <c r="E29" s="2138">
        <f t="shared" si="7"/>
        <v>0</v>
      </c>
      <c r="F29" s="2167" t="str">
        <f t="shared" si="0"/>
        <v/>
      </c>
      <c r="G29" s="2137"/>
      <c r="H29" s="2138">
        <f t="shared" si="3"/>
        <v>0</v>
      </c>
      <c r="I29" s="2137"/>
      <c r="J29" s="2139"/>
      <c r="K29" s="2137"/>
      <c r="L29" s="2138">
        <f t="shared" si="4"/>
        <v>0</v>
      </c>
      <c r="M29" s="2167" t="str">
        <f t="shared" si="1"/>
        <v/>
      </c>
      <c r="N29" s="2168" t="s">
        <v>5560</v>
      </c>
      <c r="O29" s="2137"/>
      <c r="P29" s="2137"/>
      <c r="Q29" s="2138">
        <f t="shared" si="5"/>
        <v>0</v>
      </c>
      <c r="R29" s="2167" t="str">
        <f t="shared" si="8"/>
        <v/>
      </c>
    </row>
    <row r="30" spans="1:18" ht="14.25">
      <c r="A30" s="2165">
        <f t="shared" si="6"/>
        <v>25</v>
      </c>
      <c r="B30" s="2166" t="s">
        <v>5561</v>
      </c>
      <c r="C30" s="2137"/>
      <c r="D30" s="2137"/>
      <c r="E30" s="2138">
        <f t="shared" si="7"/>
        <v>0</v>
      </c>
      <c r="F30" s="2167" t="str">
        <f t="shared" si="0"/>
        <v/>
      </c>
      <c r="G30" s="2137"/>
      <c r="H30" s="2138">
        <f t="shared" si="3"/>
        <v>0</v>
      </c>
      <c r="I30" s="2137"/>
      <c r="J30" s="2139"/>
      <c r="K30" s="2137"/>
      <c r="L30" s="2138">
        <f t="shared" si="4"/>
        <v>0</v>
      </c>
      <c r="M30" s="2167" t="str">
        <f t="shared" si="1"/>
        <v/>
      </c>
      <c r="N30" s="2172" t="s">
        <v>1874</v>
      </c>
      <c r="O30" s="2137"/>
      <c r="P30" s="2137"/>
      <c r="Q30" s="2138">
        <f t="shared" si="5"/>
        <v>0</v>
      </c>
      <c r="R30" s="2167" t="str">
        <f t="shared" si="8"/>
        <v/>
      </c>
    </row>
    <row r="31" spans="1:18" ht="14.25">
      <c r="A31" s="2165">
        <f t="shared" si="6"/>
        <v>26</v>
      </c>
      <c r="B31" s="2171" t="s">
        <v>5562</v>
      </c>
      <c r="C31" s="2137"/>
      <c r="D31" s="2137"/>
      <c r="E31" s="2138">
        <f t="shared" si="7"/>
        <v>0</v>
      </c>
      <c r="F31" s="2167" t="str">
        <f t="shared" si="0"/>
        <v/>
      </c>
      <c r="G31" s="2137"/>
      <c r="H31" s="2138">
        <f t="shared" si="3"/>
        <v>0</v>
      </c>
      <c r="I31" s="2137"/>
      <c r="J31" s="2139"/>
      <c r="K31" s="2137"/>
      <c r="L31" s="2138">
        <f t="shared" si="4"/>
        <v>0</v>
      </c>
      <c r="M31" s="2167" t="str">
        <f t="shared" si="1"/>
        <v/>
      </c>
      <c r="N31" s="2172" t="s">
        <v>1875</v>
      </c>
      <c r="O31" s="2137"/>
      <c r="P31" s="2137"/>
      <c r="Q31" s="2138">
        <f t="shared" si="5"/>
        <v>0</v>
      </c>
      <c r="R31" s="2167" t="str">
        <f t="shared" si="8"/>
        <v/>
      </c>
    </row>
    <row r="32" spans="1:18" ht="14.25">
      <c r="A32" s="2165">
        <f t="shared" si="6"/>
        <v>27</v>
      </c>
      <c r="B32" s="2171" t="s">
        <v>5563</v>
      </c>
      <c r="C32" s="2137"/>
      <c r="D32" s="2137"/>
      <c r="E32" s="2138">
        <f t="shared" si="7"/>
        <v>0</v>
      </c>
      <c r="F32" s="2167" t="str">
        <f t="shared" si="0"/>
        <v/>
      </c>
      <c r="G32" s="2137"/>
      <c r="H32" s="2138">
        <f t="shared" si="3"/>
        <v>0</v>
      </c>
      <c r="I32" s="2137"/>
      <c r="J32" s="2139"/>
      <c r="K32" s="2137"/>
      <c r="L32" s="2138">
        <f t="shared" si="4"/>
        <v>0</v>
      </c>
      <c r="M32" s="2167" t="str">
        <f t="shared" si="1"/>
        <v/>
      </c>
      <c r="N32" s="2172" t="s">
        <v>1876</v>
      </c>
      <c r="O32" s="2137"/>
      <c r="P32" s="2137"/>
      <c r="Q32" s="2138">
        <f t="shared" si="5"/>
        <v>0</v>
      </c>
      <c r="R32" s="2167" t="str">
        <f t="shared" si="8"/>
        <v/>
      </c>
    </row>
    <row r="33" spans="1:18" ht="14.25">
      <c r="A33" s="2165">
        <f t="shared" si="6"/>
        <v>28</v>
      </c>
      <c r="B33" s="2171" t="s">
        <v>5564</v>
      </c>
      <c r="C33" s="2138">
        <f>SUM(C34:C42)</f>
        <v>0</v>
      </c>
      <c r="D33" s="2138">
        <f>SUM(D34:D42)</f>
        <v>0</v>
      </c>
      <c r="E33" s="2138">
        <f t="shared" si="7"/>
        <v>0</v>
      </c>
      <c r="F33" s="2167" t="str">
        <f t="shared" si="0"/>
        <v/>
      </c>
      <c r="G33" s="2138">
        <f>SUM(G34:G42)</f>
        <v>0</v>
      </c>
      <c r="H33" s="2138">
        <f t="shared" si="3"/>
        <v>0</v>
      </c>
      <c r="I33" s="2137"/>
      <c r="J33" s="2139"/>
      <c r="K33" s="2137"/>
      <c r="L33" s="2138">
        <f t="shared" si="4"/>
        <v>0</v>
      </c>
      <c r="M33" s="2167" t="str">
        <f t="shared" si="1"/>
        <v/>
      </c>
      <c r="N33" s="2168" t="s">
        <v>5565</v>
      </c>
      <c r="O33" s="2137"/>
      <c r="P33" s="2137"/>
      <c r="Q33" s="2138">
        <f t="shared" si="5"/>
        <v>0</v>
      </c>
      <c r="R33" s="2167" t="str">
        <f t="shared" si="8"/>
        <v/>
      </c>
    </row>
    <row r="34" spans="1:18" ht="14.25">
      <c r="A34" s="2165">
        <f t="shared" si="6"/>
        <v>29</v>
      </c>
      <c r="B34" s="2171" t="s">
        <v>5548</v>
      </c>
      <c r="C34" s="2137"/>
      <c r="D34" s="2137"/>
      <c r="E34" s="2138">
        <f t="shared" si="7"/>
        <v>0</v>
      </c>
      <c r="F34" s="2167" t="str">
        <f t="shared" si="0"/>
        <v/>
      </c>
      <c r="G34" s="2137"/>
      <c r="H34" s="2138">
        <f t="shared" si="3"/>
        <v>0</v>
      </c>
      <c r="I34" s="2137"/>
      <c r="J34" s="2139"/>
      <c r="K34" s="2137"/>
      <c r="L34" s="2138">
        <f t="shared" si="4"/>
        <v>0</v>
      </c>
      <c r="M34" s="2167" t="str">
        <f t="shared" si="1"/>
        <v/>
      </c>
      <c r="N34" s="2168"/>
      <c r="O34" s="2137"/>
      <c r="P34" s="2137"/>
      <c r="Q34" s="2137"/>
      <c r="R34" s="2139"/>
    </row>
    <row r="35" spans="1:18" ht="14.25">
      <c r="A35" s="2165">
        <f t="shared" si="6"/>
        <v>30</v>
      </c>
      <c r="B35" s="2171" t="s">
        <v>5549</v>
      </c>
      <c r="C35" s="2137"/>
      <c r="D35" s="2137"/>
      <c r="E35" s="2138">
        <f t="shared" si="7"/>
        <v>0</v>
      </c>
      <c r="F35" s="2167" t="str">
        <f t="shared" si="0"/>
        <v/>
      </c>
      <c r="G35" s="2137"/>
      <c r="H35" s="2138">
        <f t="shared" si="3"/>
        <v>0</v>
      </c>
      <c r="I35" s="2137"/>
      <c r="J35" s="2139"/>
      <c r="K35" s="2137"/>
      <c r="L35" s="2138">
        <f t="shared" si="4"/>
        <v>0</v>
      </c>
      <c r="M35" s="2167" t="str">
        <f t="shared" si="1"/>
        <v/>
      </c>
      <c r="N35" s="2168" t="s">
        <v>5566</v>
      </c>
      <c r="O35" s="2137"/>
      <c r="P35" s="2137"/>
      <c r="Q35" s="2138">
        <f t="shared" si="5"/>
        <v>0</v>
      </c>
      <c r="R35" s="2167" t="str">
        <f t="shared" ref="R35:R40" si="9">IF(AND(P35=0,OR(O35&gt;0,O35&lt;0)),+Q35/Q35,IFERROR(+Q35/P35,""))</f>
        <v/>
      </c>
    </row>
    <row r="36" spans="1:18" ht="14.25">
      <c r="A36" s="2165">
        <f t="shared" si="6"/>
        <v>31</v>
      </c>
      <c r="B36" s="2171" t="s">
        <v>5551</v>
      </c>
      <c r="C36" s="2137"/>
      <c r="D36" s="2137"/>
      <c r="E36" s="2138">
        <f t="shared" si="7"/>
        <v>0</v>
      </c>
      <c r="F36" s="2167" t="str">
        <f t="shared" si="0"/>
        <v/>
      </c>
      <c r="G36" s="2137"/>
      <c r="H36" s="2138">
        <f t="shared" si="3"/>
        <v>0</v>
      </c>
      <c r="I36" s="2137"/>
      <c r="J36" s="2139"/>
      <c r="K36" s="2137"/>
      <c r="L36" s="2138">
        <f t="shared" si="4"/>
        <v>0</v>
      </c>
      <c r="M36" s="2167" t="str">
        <f t="shared" si="1"/>
        <v/>
      </c>
      <c r="N36" s="2168" t="s">
        <v>5567</v>
      </c>
      <c r="O36" s="2137"/>
      <c r="P36" s="2137"/>
      <c r="Q36" s="2138">
        <f t="shared" si="5"/>
        <v>0</v>
      </c>
      <c r="R36" s="2167" t="str">
        <f t="shared" si="9"/>
        <v/>
      </c>
    </row>
    <row r="37" spans="1:18" ht="14.25">
      <c r="A37" s="2165">
        <f t="shared" si="6"/>
        <v>32</v>
      </c>
      <c r="B37" s="2171" t="s">
        <v>5553</v>
      </c>
      <c r="C37" s="2137"/>
      <c r="D37" s="2137"/>
      <c r="E37" s="2138">
        <f t="shared" si="7"/>
        <v>0</v>
      </c>
      <c r="F37" s="2167" t="str">
        <f t="shared" si="0"/>
        <v/>
      </c>
      <c r="G37" s="2137"/>
      <c r="H37" s="2138">
        <f t="shared" si="3"/>
        <v>0</v>
      </c>
      <c r="I37" s="2137"/>
      <c r="J37" s="2139"/>
      <c r="K37" s="2137"/>
      <c r="L37" s="2138">
        <f t="shared" si="4"/>
        <v>0</v>
      </c>
      <c r="M37" s="2167" t="str">
        <f t="shared" si="1"/>
        <v/>
      </c>
      <c r="N37" s="2168" t="s">
        <v>5568</v>
      </c>
      <c r="O37" s="2138">
        <f>SUM(O38:O39)</f>
        <v>0</v>
      </c>
      <c r="P37" s="2138">
        <f>SUM(P38:P39)</f>
        <v>0</v>
      </c>
      <c r="Q37" s="2138">
        <f t="shared" si="5"/>
        <v>0</v>
      </c>
      <c r="R37" s="2167" t="str">
        <f t="shared" si="9"/>
        <v/>
      </c>
    </row>
    <row r="38" spans="1:18" ht="14.25">
      <c r="A38" s="2165">
        <f t="shared" si="6"/>
        <v>33</v>
      </c>
      <c r="B38" s="2171" t="s">
        <v>5555</v>
      </c>
      <c r="C38" s="2137"/>
      <c r="D38" s="2137"/>
      <c r="E38" s="2138">
        <f t="shared" si="7"/>
        <v>0</v>
      </c>
      <c r="F38" s="2167" t="str">
        <f t="shared" si="0"/>
        <v/>
      </c>
      <c r="G38" s="2137"/>
      <c r="H38" s="2138">
        <f t="shared" si="3"/>
        <v>0</v>
      </c>
      <c r="I38" s="2137"/>
      <c r="J38" s="2139"/>
      <c r="K38" s="2137"/>
      <c r="L38" s="2138">
        <f t="shared" si="4"/>
        <v>0</v>
      </c>
      <c r="M38" s="2167" t="str">
        <f t="shared" si="1"/>
        <v/>
      </c>
      <c r="N38" s="2168" t="s">
        <v>5569</v>
      </c>
      <c r="O38" s="2137"/>
      <c r="P38" s="2137"/>
      <c r="Q38" s="2138">
        <f t="shared" si="5"/>
        <v>0</v>
      </c>
      <c r="R38" s="2167" t="str">
        <f t="shared" si="9"/>
        <v/>
      </c>
    </row>
    <row r="39" spans="1:18" ht="14.25">
      <c r="A39" s="2165">
        <f t="shared" si="6"/>
        <v>34</v>
      </c>
      <c r="B39" s="2171" t="s">
        <v>5557</v>
      </c>
      <c r="C39" s="2137"/>
      <c r="D39" s="2137"/>
      <c r="E39" s="2138">
        <f t="shared" si="7"/>
        <v>0</v>
      </c>
      <c r="F39" s="2167" t="str">
        <f t="shared" si="0"/>
        <v/>
      </c>
      <c r="G39" s="2137"/>
      <c r="H39" s="2138">
        <f t="shared" si="3"/>
        <v>0</v>
      </c>
      <c r="I39" s="2137"/>
      <c r="J39" s="2139"/>
      <c r="K39" s="2137"/>
      <c r="L39" s="2138">
        <f t="shared" si="4"/>
        <v>0</v>
      </c>
      <c r="M39" s="2167" t="str">
        <f t="shared" si="1"/>
        <v/>
      </c>
      <c r="N39" s="2168" t="s">
        <v>5570</v>
      </c>
      <c r="O39" s="2137"/>
      <c r="P39" s="2137"/>
      <c r="Q39" s="2138">
        <f t="shared" si="5"/>
        <v>0</v>
      </c>
      <c r="R39" s="2167" t="str">
        <f t="shared" si="9"/>
        <v/>
      </c>
    </row>
    <row r="40" spans="1:18" ht="14.25">
      <c r="A40" s="2165">
        <f t="shared" si="6"/>
        <v>35</v>
      </c>
      <c r="B40" s="2171" t="s">
        <v>5559</v>
      </c>
      <c r="C40" s="2137"/>
      <c r="D40" s="2137"/>
      <c r="E40" s="2138">
        <f t="shared" si="7"/>
        <v>0</v>
      </c>
      <c r="F40" s="2167" t="str">
        <f t="shared" si="0"/>
        <v/>
      </c>
      <c r="G40" s="2137"/>
      <c r="H40" s="2138">
        <f t="shared" si="3"/>
        <v>0</v>
      </c>
      <c r="I40" s="2137"/>
      <c r="J40" s="2139"/>
      <c r="K40" s="2137"/>
      <c r="L40" s="2138">
        <f t="shared" si="4"/>
        <v>0</v>
      </c>
      <c r="M40" s="2167" t="str">
        <f t="shared" si="1"/>
        <v/>
      </c>
      <c r="N40" s="2168" t="s">
        <v>5571</v>
      </c>
      <c r="O40" s="2137"/>
      <c r="P40" s="2137"/>
      <c r="Q40" s="2138">
        <f>+O40-P40</f>
        <v>0</v>
      </c>
      <c r="R40" s="2167" t="str">
        <f t="shared" si="9"/>
        <v/>
      </c>
    </row>
    <row r="41" spans="1:18" ht="14.25">
      <c r="A41" s="2165">
        <f t="shared" si="6"/>
        <v>36</v>
      </c>
      <c r="B41" s="2171" t="s">
        <v>5561</v>
      </c>
      <c r="C41" s="2137"/>
      <c r="D41" s="2137"/>
      <c r="E41" s="2138">
        <f t="shared" si="7"/>
        <v>0</v>
      </c>
      <c r="F41" s="2167" t="str">
        <f t="shared" si="0"/>
        <v/>
      </c>
      <c r="G41" s="2137"/>
      <c r="H41" s="2138">
        <f t="shared" si="3"/>
        <v>0</v>
      </c>
      <c r="I41" s="2137"/>
      <c r="J41" s="2139"/>
      <c r="K41" s="2137"/>
      <c r="L41" s="2138">
        <f t="shared" si="4"/>
        <v>0</v>
      </c>
      <c r="M41" s="2167" t="str">
        <f t="shared" si="1"/>
        <v/>
      </c>
      <c r="N41" s="2166"/>
      <c r="O41" s="2137"/>
      <c r="P41" s="2137"/>
      <c r="Q41" s="2137"/>
      <c r="R41" s="2139"/>
    </row>
    <row r="42" spans="1:18" ht="14.25">
      <c r="A42" s="2165">
        <f t="shared" si="6"/>
        <v>37</v>
      </c>
      <c r="B42" s="2171" t="s">
        <v>5563</v>
      </c>
      <c r="C42" s="2137"/>
      <c r="D42" s="2137"/>
      <c r="E42" s="2138">
        <f t="shared" si="7"/>
        <v>0</v>
      </c>
      <c r="F42" s="2167" t="str">
        <f t="shared" si="0"/>
        <v/>
      </c>
      <c r="G42" s="2137"/>
      <c r="H42" s="2138">
        <f t="shared" si="3"/>
        <v>0</v>
      </c>
      <c r="I42" s="2137"/>
      <c r="J42" s="2139"/>
      <c r="K42" s="2137"/>
      <c r="L42" s="2138">
        <f t="shared" si="4"/>
        <v>0</v>
      </c>
      <c r="M42" s="2167" t="str">
        <f t="shared" si="1"/>
        <v/>
      </c>
      <c r="N42" s="2166" t="s">
        <v>5572</v>
      </c>
      <c r="O42" s="2138">
        <f>SUM(O45:O47)</f>
        <v>0</v>
      </c>
      <c r="P42" s="2138">
        <f>SUM(P45:P47)</f>
        <v>0</v>
      </c>
      <c r="Q42" s="2138">
        <f t="shared" si="5"/>
        <v>0</v>
      </c>
      <c r="R42" s="2167" t="str">
        <f t="shared" ref="R42:R47" si="10">IF(AND(P42=0,OR(O42&gt;0,O42&lt;0)),+Q42/Q42,IFERROR(+Q42/P42,""))</f>
        <v/>
      </c>
    </row>
    <row r="43" spans="1:18" ht="14.25">
      <c r="A43" s="2165">
        <f t="shared" si="6"/>
        <v>38</v>
      </c>
      <c r="B43" s="2171" t="s">
        <v>5573</v>
      </c>
      <c r="C43" s="2138">
        <f>SUM(C44:C52)</f>
        <v>0</v>
      </c>
      <c r="D43" s="2138">
        <f>SUM(D44:D52)</f>
        <v>0</v>
      </c>
      <c r="E43" s="2138">
        <f t="shared" si="7"/>
        <v>0</v>
      </c>
      <c r="F43" s="2167" t="str">
        <f t="shared" si="0"/>
        <v/>
      </c>
      <c r="G43" s="2138">
        <f>SUM(G44:G52)</f>
        <v>0</v>
      </c>
      <c r="H43" s="2138">
        <f t="shared" si="3"/>
        <v>0</v>
      </c>
      <c r="I43" s="2137"/>
      <c r="J43" s="2139"/>
      <c r="K43" s="2137"/>
      <c r="L43" s="2138">
        <f t="shared" si="4"/>
        <v>0</v>
      </c>
      <c r="M43" s="2167" t="str">
        <f t="shared" si="1"/>
        <v/>
      </c>
      <c r="N43" s="2168" t="s">
        <v>5574</v>
      </c>
      <c r="O43" s="2137"/>
      <c r="P43" s="2137"/>
      <c r="Q43" s="2138">
        <f t="shared" si="5"/>
        <v>0</v>
      </c>
      <c r="R43" s="2167" t="str">
        <f t="shared" si="10"/>
        <v/>
      </c>
    </row>
    <row r="44" spans="1:18" ht="14.25">
      <c r="A44" s="2165">
        <f t="shared" si="6"/>
        <v>39</v>
      </c>
      <c r="B44" s="2171" t="s">
        <v>5548</v>
      </c>
      <c r="C44" s="2137"/>
      <c r="D44" s="2137"/>
      <c r="E44" s="2138">
        <f t="shared" si="7"/>
        <v>0</v>
      </c>
      <c r="F44" s="2167" t="str">
        <f t="shared" si="0"/>
        <v/>
      </c>
      <c r="G44" s="2137"/>
      <c r="H44" s="2138">
        <f t="shared" si="3"/>
        <v>0</v>
      </c>
      <c r="I44" s="2137"/>
      <c r="J44" s="2139"/>
      <c r="K44" s="2137"/>
      <c r="L44" s="2138">
        <f t="shared" si="4"/>
        <v>0</v>
      </c>
      <c r="M44" s="2167" t="str">
        <f t="shared" si="1"/>
        <v/>
      </c>
      <c r="N44" s="2168" t="s">
        <v>5575</v>
      </c>
      <c r="O44" s="2138">
        <f>SUM(O45:O46)</f>
        <v>0</v>
      </c>
      <c r="P44" s="2138">
        <f>SUM(P45:P46)</f>
        <v>0</v>
      </c>
      <c r="Q44" s="2138">
        <f t="shared" si="5"/>
        <v>0</v>
      </c>
      <c r="R44" s="2167" t="str">
        <f t="shared" si="10"/>
        <v/>
      </c>
    </row>
    <row r="45" spans="1:18" ht="14.25">
      <c r="A45" s="2165">
        <f t="shared" si="6"/>
        <v>40</v>
      </c>
      <c r="B45" s="2171" t="s">
        <v>5549</v>
      </c>
      <c r="C45" s="2137"/>
      <c r="D45" s="2137"/>
      <c r="E45" s="2138">
        <f t="shared" si="7"/>
        <v>0</v>
      </c>
      <c r="F45" s="2167" t="str">
        <f t="shared" si="0"/>
        <v/>
      </c>
      <c r="G45" s="2137"/>
      <c r="H45" s="2138">
        <f t="shared" si="3"/>
        <v>0</v>
      </c>
      <c r="I45" s="2137"/>
      <c r="J45" s="2139"/>
      <c r="K45" s="2137"/>
      <c r="L45" s="2138">
        <f t="shared" si="4"/>
        <v>0</v>
      </c>
      <c r="M45" s="2167" t="str">
        <f t="shared" si="1"/>
        <v/>
      </c>
      <c r="N45" s="2168" t="s">
        <v>5576</v>
      </c>
      <c r="O45" s="2137"/>
      <c r="P45" s="2137"/>
      <c r="Q45" s="2138">
        <f t="shared" si="5"/>
        <v>0</v>
      </c>
      <c r="R45" s="2167" t="str">
        <f t="shared" si="10"/>
        <v/>
      </c>
    </row>
    <row r="46" spans="1:18" ht="14.25">
      <c r="A46" s="2165">
        <f t="shared" si="6"/>
        <v>41</v>
      </c>
      <c r="B46" s="2171" t="s">
        <v>5577</v>
      </c>
      <c r="C46" s="2137"/>
      <c r="D46" s="2137"/>
      <c r="E46" s="2138">
        <f t="shared" si="7"/>
        <v>0</v>
      </c>
      <c r="F46" s="2167" t="str">
        <f t="shared" si="0"/>
        <v/>
      </c>
      <c r="G46" s="2137"/>
      <c r="H46" s="2138">
        <f t="shared" si="3"/>
        <v>0</v>
      </c>
      <c r="I46" s="2137"/>
      <c r="J46" s="2139"/>
      <c r="K46" s="2137"/>
      <c r="L46" s="2138">
        <f t="shared" si="4"/>
        <v>0</v>
      </c>
      <c r="M46" s="2167" t="str">
        <f t="shared" si="1"/>
        <v/>
      </c>
      <c r="N46" s="2168" t="s">
        <v>5578</v>
      </c>
      <c r="O46" s="2137"/>
      <c r="P46" s="2137"/>
      <c r="Q46" s="2138">
        <f t="shared" si="5"/>
        <v>0</v>
      </c>
      <c r="R46" s="2167" t="str">
        <f t="shared" si="10"/>
        <v/>
      </c>
    </row>
    <row r="47" spans="1:18" ht="14.25">
      <c r="A47" s="2165">
        <f t="shared" si="6"/>
        <v>42</v>
      </c>
      <c r="B47" s="2171" t="s">
        <v>5553</v>
      </c>
      <c r="C47" s="2137"/>
      <c r="D47" s="2137"/>
      <c r="E47" s="2138">
        <f t="shared" si="7"/>
        <v>0</v>
      </c>
      <c r="F47" s="2167" t="str">
        <f t="shared" si="0"/>
        <v/>
      </c>
      <c r="G47" s="2137"/>
      <c r="H47" s="2138">
        <f t="shared" si="3"/>
        <v>0</v>
      </c>
      <c r="I47" s="2137"/>
      <c r="J47" s="2139"/>
      <c r="K47" s="2137"/>
      <c r="L47" s="2138">
        <f t="shared" si="4"/>
        <v>0</v>
      </c>
      <c r="M47" s="2167" t="str">
        <f t="shared" si="1"/>
        <v/>
      </c>
      <c r="N47" s="2168" t="s">
        <v>5579</v>
      </c>
      <c r="O47" s="2137"/>
      <c r="P47" s="2137"/>
      <c r="Q47" s="2138">
        <f t="shared" si="5"/>
        <v>0</v>
      </c>
      <c r="R47" s="2167" t="str">
        <f t="shared" si="10"/>
        <v/>
      </c>
    </row>
    <row r="48" spans="1:18" ht="14.25">
      <c r="A48" s="2165">
        <f t="shared" si="6"/>
        <v>43</v>
      </c>
      <c r="B48" s="2171" t="s">
        <v>5555</v>
      </c>
      <c r="C48" s="2137"/>
      <c r="D48" s="2137"/>
      <c r="E48" s="2138"/>
      <c r="F48" s="2167"/>
      <c r="G48" s="2137"/>
      <c r="H48" s="2138"/>
      <c r="I48" s="2137"/>
      <c r="J48" s="2139"/>
      <c r="K48" s="2137"/>
      <c r="L48" s="2138"/>
      <c r="M48" s="2167"/>
      <c r="N48" s="2168"/>
      <c r="O48" s="2137"/>
      <c r="P48" s="2137"/>
      <c r="Q48" s="2137"/>
      <c r="R48" s="2139"/>
    </row>
    <row r="49" spans="1:18" ht="14.25">
      <c r="A49" s="2165">
        <f t="shared" si="6"/>
        <v>44</v>
      </c>
      <c r="B49" s="2171" t="s">
        <v>5557</v>
      </c>
      <c r="C49" s="2137"/>
      <c r="D49" s="2137"/>
      <c r="E49" s="2138">
        <f t="shared" si="7"/>
        <v>0</v>
      </c>
      <c r="F49" s="2167" t="str">
        <f t="shared" ref="F49:F81" si="11">IF(C49=0,"",IFERROR(+E49/$E$104,""))</f>
        <v/>
      </c>
      <c r="G49" s="2137"/>
      <c r="H49" s="2138">
        <f t="shared" si="3"/>
        <v>0</v>
      </c>
      <c r="I49" s="2137"/>
      <c r="J49" s="2139"/>
      <c r="K49" s="2137"/>
      <c r="L49" s="2138">
        <f t="shared" si="4"/>
        <v>0</v>
      </c>
      <c r="M49" s="2167" t="str">
        <f t="shared" ref="M49:M81" si="12">IF(AND(I49=0,OR(E49&gt;0,E49&lt;0)),+L49/L49,IFERROR(+L49/I49,""))</f>
        <v/>
      </c>
      <c r="N49" s="2168" t="s">
        <v>5580</v>
      </c>
      <c r="O49" s="2138">
        <f>SUM(O50:O57)</f>
        <v>0</v>
      </c>
      <c r="P49" s="2138">
        <f>SUM(P50:P57)</f>
        <v>0</v>
      </c>
      <c r="Q49" s="2138">
        <f t="shared" si="5"/>
        <v>0</v>
      </c>
      <c r="R49" s="2167" t="str">
        <f t="shared" ref="R49:R55" si="13">IF(AND(P49=0,OR(O49&gt;0,O49&lt;0)),+Q49/Q49,IFERROR(+Q49/P49,""))</f>
        <v/>
      </c>
    </row>
    <row r="50" spans="1:18" ht="14.25">
      <c r="A50" s="2165">
        <f t="shared" si="6"/>
        <v>45</v>
      </c>
      <c r="B50" s="2171" t="s">
        <v>5581</v>
      </c>
      <c r="C50" s="2137"/>
      <c r="D50" s="2137"/>
      <c r="E50" s="2138">
        <f t="shared" si="7"/>
        <v>0</v>
      </c>
      <c r="F50" s="2167" t="str">
        <f t="shared" si="11"/>
        <v/>
      </c>
      <c r="G50" s="2137"/>
      <c r="H50" s="2138">
        <f t="shared" si="3"/>
        <v>0</v>
      </c>
      <c r="I50" s="2137"/>
      <c r="J50" s="2139"/>
      <c r="K50" s="2137"/>
      <c r="L50" s="2138">
        <f t="shared" si="4"/>
        <v>0</v>
      </c>
      <c r="M50" s="2167" t="str">
        <f t="shared" si="12"/>
        <v/>
      </c>
      <c r="N50" s="2168" t="s">
        <v>5582</v>
      </c>
      <c r="O50" s="2137"/>
      <c r="P50" s="2137"/>
      <c r="Q50" s="2138">
        <f t="shared" si="5"/>
        <v>0</v>
      </c>
      <c r="R50" s="2167" t="str">
        <f t="shared" si="13"/>
        <v/>
      </c>
    </row>
    <row r="51" spans="1:18" ht="14.25">
      <c r="A51" s="2165">
        <f t="shared" si="6"/>
        <v>46</v>
      </c>
      <c r="B51" s="2171" t="s">
        <v>5561</v>
      </c>
      <c r="C51" s="2137"/>
      <c r="D51" s="2137"/>
      <c r="E51" s="2138">
        <f t="shared" si="7"/>
        <v>0</v>
      </c>
      <c r="F51" s="2167" t="str">
        <f t="shared" si="11"/>
        <v/>
      </c>
      <c r="G51" s="2137"/>
      <c r="H51" s="2138">
        <f t="shared" si="3"/>
        <v>0</v>
      </c>
      <c r="I51" s="2137"/>
      <c r="J51" s="2139"/>
      <c r="K51" s="2137"/>
      <c r="L51" s="2138">
        <f t="shared" si="4"/>
        <v>0</v>
      </c>
      <c r="M51" s="2167" t="str">
        <f t="shared" si="12"/>
        <v/>
      </c>
      <c r="N51" s="2168" t="s">
        <v>5583</v>
      </c>
      <c r="O51" s="2137"/>
      <c r="P51" s="2137"/>
      <c r="Q51" s="2138">
        <f t="shared" si="5"/>
        <v>0</v>
      </c>
      <c r="R51" s="2167" t="str">
        <f t="shared" si="13"/>
        <v/>
      </c>
    </row>
    <row r="52" spans="1:18" ht="14.25">
      <c r="A52" s="2165">
        <f t="shared" si="6"/>
        <v>47</v>
      </c>
      <c r="B52" s="2171" t="s">
        <v>5563</v>
      </c>
      <c r="C52" s="2137"/>
      <c r="D52" s="2137"/>
      <c r="E52" s="2138">
        <f t="shared" si="7"/>
        <v>0</v>
      </c>
      <c r="F52" s="2167" t="str">
        <f t="shared" si="11"/>
        <v/>
      </c>
      <c r="G52" s="2137"/>
      <c r="H52" s="2138">
        <f t="shared" si="3"/>
        <v>0</v>
      </c>
      <c r="I52" s="2137"/>
      <c r="J52" s="2139"/>
      <c r="K52" s="2137"/>
      <c r="L52" s="2138">
        <f t="shared" si="4"/>
        <v>0</v>
      </c>
      <c r="M52" s="2167" t="str">
        <f t="shared" si="12"/>
        <v/>
      </c>
      <c r="N52" s="2166" t="s">
        <v>5584</v>
      </c>
      <c r="O52" s="2137"/>
      <c r="P52" s="2137"/>
      <c r="Q52" s="2138">
        <f t="shared" si="5"/>
        <v>0</v>
      </c>
      <c r="R52" s="2167" t="str">
        <f t="shared" si="13"/>
        <v/>
      </c>
    </row>
    <row r="53" spans="1:18" ht="14.25">
      <c r="A53" s="2165">
        <f t="shared" si="6"/>
        <v>48</v>
      </c>
      <c r="B53" s="2166" t="s">
        <v>5585</v>
      </c>
      <c r="C53" s="2137"/>
      <c r="D53" s="2137"/>
      <c r="E53" s="2138">
        <f t="shared" si="7"/>
        <v>0</v>
      </c>
      <c r="F53" s="2167" t="str">
        <f t="shared" si="11"/>
        <v/>
      </c>
      <c r="G53" s="2137"/>
      <c r="H53" s="2138">
        <f t="shared" si="3"/>
        <v>0</v>
      </c>
      <c r="I53" s="2137"/>
      <c r="J53" s="2139"/>
      <c r="K53" s="2137"/>
      <c r="L53" s="2138">
        <f t="shared" si="4"/>
        <v>0</v>
      </c>
      <c r="M53" s="2167" t="str">
        <f t="shared" si="12"/>
        <v/>
      </c>
      <c r="N53" s="2168" t="s">
        <v>5586</v>
      </c>
      <c r="O53" s="2137"/>
      <c r="P53" s="2137"/>
      <c r="Q53" s="2138">
        <f t="shared" si="5"/>
        <v>0</v>
      </c>
      <c r="R53" s="2167" t="str">
        <f t="shared" si="13"/>
        <v/>
      </c>
    </row>
    <row r="54" spans="1:18" ht="14.25">
      <c r="A54" s="2165">
        <f t="shared" si="6"/>
        <v>49</v>
      </c>
      <c r="B54" s="2166" t="s">
        <v>5587</v>
      </c>
      <c r="C54" s="2137"/>
      <c r="D54" s="2137"/>
      <c r="E54" s="2138">
        <f t="shared" si="7"/>
        <v>0</v>
      </c>
      <c r="F54" s="2167" t="str">
        <f t="shared" si="11"/>
        <v/>
      </c>
      <c r="G54" s="2137"/>
      <c r="H54" s="2138">
        <f t="shared" si="3"/>
        <v>0</v>
      </c>
      <c r="I54" s="2137"/>
      <c r="J54" s="2139"/>
      <c r="K54" s="2137"/>
      <c r="L54" s="2138">
        <f t="shared" si="4"/>
        <v>0</v>
      </c>
      <c r="M54" s="2167" t="str">
        <f t="shared" si="12"/>
        <v/>
      </c>
      <c r="N54" s="2168" t="s">
        <v>5588</v>
      </c>
      <c r="O54" s="2137"/>
      <c r="P54" s="2137"/>
      <c r="Q54" s="2138">
        <f t="shared" si="5"/>
        <v>0</v>
      </c>
      <c r="R54" s="2167" t="str">
        <f t="shared" si="13"/>
        <v/>
      </c>
    </row>
    <row r="55" spans="1:18" ht="14.25">
      <c r="A55" s="2165">
        <f t="shared" si="6"/>
        <v>50</v>
      </c>
      <c r="B55" s="2166" t="s">
        <v>5589</v>
      </c>
      <c r="C55" s="2137"/>
      <c r="D55" s="2137"/>
      <c r="E55" s="2138">
        <f t="shared" si="7"/>
        <v>0</v>
      </c>
      <c r="F55" s="2167" t="str">
        <f t="shared" si="11"/>
        <v/>
      </c>
      <c r="G55" s="2137"/>
      <c r="H55" s="2138">
        <f t="shared" si="3"/>
        <v>0</v>
      </c>
      <c r="I55" s="2137"/>
      <c r="J55" s="2139"/>
      <c r="K55" s="2137"/>
      <c r="L55" s="2138">
        <f t="shared" si="4"/>
        <v>0</v>
      </c>
      <c r="M55" s="2167" t="str">
        <f t="shared" si="12"/>
        <v/>
      </c>
      <c r="N55" s="2168" t="s">
        <v>5590</v>
      </c>
      <c r="O55" s="2137"/>
      <c r="P55" s="2137"/>
      <c r="Q55" s="2138">
        <f t="shared" si="5"/>
        <v>0</v>
      </c>
      <c r="R55" s="2167" t="str">
        <f t="shared" si="13"/>
        <v/>
      </c>
    </row>
    <row r="56" spans="1:18" ht="14.25">
      <c r="A56" s="2165">
        <f t="shared" si="6"/>
        <v>51</v>
      </c>
      <c r="B56" s="2166" t="s">
        <v>5591</v>
      </c>
      <c r="C56" s="2137"/>
      <c r="D56" s="2137"/>
      <c r="E56" s="2138">
        <f>SUM(C56:D56)</f>
        <v>0</v>
      </c>
      <c r="F56" s="2167" t="str">
        <f t="shared" si="11"/>
        <v/>
      </c>
      <c r="G56" s="2137"/>
      <c r="H56" s="2138">
        <f>+E56-G56</f>
        <v>0</v>
      </c>
      <c r="I56" s="2137"/>
      <c r="J56" s="2139"/>
      <c r="K56" s="2137"/>
      <c r="L56" s="2138"/>
      <c r="M56" s="2167"/>
      <c r="N56" s="2168" t="s">
        <v>5592</v>
      </c>
      <c r="O56" s="2137"/>
      <c r="P56" s="2137"/>
      <c r="Q56" s="2138">
        <f>+O56-P56</f>
        <v>0</v>
      </c>
      <c r="R56" s="2167" t="str">
        <f>IF(AND(P56=0,OR(O56&gt;0,O56&lt;0)),+Q56/Q56,IFERROR(+Q56/P56,""))</f>
        <v/>
      </c>
    </row>
    <row r="57" spans="1:18" ht="14.25">
      <c r="A57" s="2165">
        <f t="shared" si="6"/>
        <v>52</v>
      </c>
      <c r="B57" s="2166" t="s">
        <v>5593</v>
      </c>
      <c r="C57" s="2137"/>
      <c r="D57" s="2137"/>
      <c r="E57" s="2138">
        <f t="shared" si="7"/>
        <v>0</v>
      </c>
      <c r="F57" s="2167" t="str">
        <f t="shared" si="11"/>
        <v/>
      </c>
      <c r="G57" s="2137"/>
      <c r="H57" s="2138">
        <f t="shared" si="3"/>
        <v>0</v>
      </c>
      <c r="I57" s="2137"/>
      <c r="J57" s="2139"/>
      <c r="K57" s="2137"/>
      <c r="L57" s="2138">
        <f t="shared" si="4"/>
        <v>0</v>
      </c>
      <c r="M57" s="2167" t="str">
        <f t="shared" si="12"/>
        <v/>
      </c>
      <c r="N57" s="2166" t="s">
        <v>5594</v>
      </c>
      <c r="O57" s="2137"/>
      <c r="P57" s="2137"/>
      <c r="Q57" s="2138">
        <f>+O57-P57</f>
        <v>0</v>
      </c>
      <c r="R57" s="2167" t="str">
        <f>IF(AND(P57=0,OR(O57&gt;0,O57&lt;0)),+Q57/Q57,IFERROR(+Q57/P57,""))</f>
        <v/>
      </c>
    </row>
    <row r="58" spans="1:18" ht="14.25">
      <c r="A58" s="2165">
        <f t="shared" si="6"/>
        <v>53</v>
      </c>
      <c r="B58" s="2166" t="s">
        <v>5595</v>
      </c>
      <c r="C58" s="2138">
        <f>SUM(C59:C62)</f>
        <v>0</v>
      </c>
      <c r="D58" s="2138">
        <f>SUM(D59:D62)</f>
        <v>0</v>
      </c>
      <c r="E58" s="2138">
        <f t="shared" si="7"/>
        <v>0</v>
      </c>
      <c r="F58" s="2167" t="str">
        <f t="shared" si="11"/>
        <v/>
      </c>
      <c r="G58" s="2138">
        <f>SUM(G59:G62)</f>
        <v>0</v>
      </c>
      <c r="H58" s="2138">
        <f t="shared" si="3"/>
        <v>0</v>
      </c>
      <c r="I58" s="2137"/>
      <c r="J58" s="2139"/>
      <c r="K58" s="2137"/>
      <c r="L58" s="2138">
        <f t="shared" si="4"/>
        <v>0</v>
      </c>
      <c r="M58" s="2167" t="str">
        <f t="shared" si="12"/>
        <v/>
      </c>
      <c r="N58" s="2166"/>
      <c r="O58" s="2137"/>
      <c r="P58" s="2137"/>
      <c r="Q58" s="2137"/>
      <c r="R58" s="2139"/>
    </row>
    <row r="59" spans="1:18" ht="14.25">
      <c r="A59" s="2165">
        <f t="shared" si="6"/>
        <v>54</v>
      </c>
      <c r="B59" s="2166" t="s">
        <v>5596</v>
      </c>
      <c r="C59" s="2137"/>
      <c r="D59" s="2137"/>
      <c r="E59" s="2138">
        <f t="shared" si="7"/>
        <v>0</v>
      </c>
      <c r="F59" s="2167" t="str">
        <f t="shared" si="11"/>
        <v/>
      </c>
      <c r="G59" s="2137"/>
      <c r="H59" s="2138">
        <f t="shared" si="3"/>
        <v>0</v>
      </c>
      <c r="I59" s="2137"/>
      <c r="J59" s="2139"/>
      <c r="K59" s="2137"/>
      <c r="L59" s="2138">
        <f t="shared" si="4"/>
        <v>0</v>
      </c>
      <c r="M59" s="2167" t="str">
        <f t="shared" si="12"/>
        <v/>
      </c>
      <c r="N59" s="2166" t="s">
        <v>5597</v>
      </c>
      <c r="O59" s="2138">
        <f>SUM(O60:O61)</f>
        <v>0</v>
      </c>
      <c r="P59" s="2138">
        <f>SUM(P60:P61)</f>
        <v>0</v>
      </c>
      <c r="Q59" s="2138">
        <f>+O59-P59</f>
        <v>0</v>
      </c>
      <c r="R59" s="2167" t="str">
        <f>IF(AND(P59=0,OR(O59&gt;0,O59&lt;0)),+Q59/Q59,IFERROR(+Q59/P59,""))</f>
        <v/>
      </c>
    </row>
    <row r="60" spans="1:18" ht="14.25">
      <c r="A60" s="2165">
        <f t="shared" si="6"/>
        <v>55</v>
      </c>
      <c r="B60" s="2166" t="s">
        <v>5598</v>
      </c>
      <c r="C60" s="2137"/>
      <c r="D60" s="2137"/>
      <c r="E60" s="2138">
        <f t="shared" si="7"/>
        <v>0</v>
      </c>
      <c r="F60" s="2167" t="str">
        <f t="shared" si="11"/>
        <v/>
      </c>
      <c r="G60" s="2137"/>
      <c r="H60" s="2138">
        <f t="shared" si="3"/>
        <v>0</v>
      </c>
      <c r="I60" s="2137"/>
      <c r="J60" s="2139"/>
      <c r="K60" s="2137"/>
      <c r="L60" s="2138">
        <f t="shared" si="4"/>
        <v>0</v>
      </c>
      <c r="M60" s="2167" t="str">
        <f t="shared" si="12"/>
        <v/>
      </c>
      <c r="N60" s="2166" t="s">
        <v>5599</v>
      </c>
      <c r="O60" s="2137"/>
      <c r="P60" s="2137"/>
      <c r="Q60" s="2138">
        <f>+O60-P60</f>
        <v>0</v>
      </c>
      <c r="R60" s="2167" t="str">
        <f>IF(AND(P60=0,OR(O60&gt;0,O60&lt;0)),+Q60/Q60,IFERROR(+Q60/P60,""))</f>
        <v/>
      </c>
    </row>
    <row r="61" spans="1:18" ht="14.25">
      <c r="A61" s="2165">
        <f t="shared" si="6"/>
        <v>56</v>
      </c>
      <c r="B61" s="2166" t="s">
        <v>5600</v>
      </c>
      <c r="C61" s="2137"/>
      <c r="D61" s="2137"/>
      <c r="E61" s="2138">
        <f t="shared" si="7"/>
        <v>0</v>
      </c>
      <c r="F61" s="2167" t="str">
        <f t="shared" si="11"/>
        <v/>
      </c>
      <c r="G61" s="2137"/>
      <c r="H61" s="2138">
        <f t="shared" si="3"/>
        <v>0</v>
      </c>
      <c r="I61" s="2137"/>
      <c r="J61" s="2139"/>
      <c r="K61" s="2137"/>
      <c r="L61" s="2138">
        <f t="shared" si="4"/>
        <v>0</v>
      </c>
      <c r="M61" s="2167" t="str">
        <f t="shared" si="12"/>
        <v/>
      </c>
      <c r="N61" s="2166" t="s">
        <v>5601</v>
      </c>
      <c r="O61" s="2137"/>
      <c r="P61" s="2137"/>
      <c r="Q61" s="2138">
        <f>+O61-P61</f>
        <v>0</v>
      </c>
      <c r="R61" s="2167" t="str">
        <f>IF(AND(P61=0,OR(O61&gt;0,O61&lt;0)),+Q61/Q61,IFERROR(+Q61/P61,""))</f>
        <v/>
      </c>
    </row>
    <row r="62" spans="1:18" ht="14.25">
      <c r="A62" s="2165">
        <f t="shared" si="6"/>
        <v>57</v>
      </c>
      <c r="B62" s="2166" t="s">
        <v>5602</v>
      </c>
      <c r="C62" s="2137"/>
      <c r="D62" s="2137"/>
      <c r="E62" s="2138">
        <f t="shared" si="7"/>
        <v>0</v>
      </c>
      <c r="F62" s="2167" t="str">
        <f t="shared" si="11"/>
        <v/>
      </c>
      <c r="G62" s="2137"/>
      <c r="H62" s="2138">
        <f t="shared" si="3"/>
        <v>0</v>
      </c>
      <c r="I62" s="2137"/>
      <c r="J62" s="2139"/>
      <c r="K62" s="2137"/>
      <c r="L62" s="2138">
        <f t="shared" si="4"/>
        <v>0</v>
      </c>
      <c r="M62" s="2167" t="str">
        <f t="shared" si="12"/>
        <v/>
      </c>
      <c r="N62" s="2166"/>
      <c r="O62" s="2137"/>
      <c r="P62" s="2137"/>
      <c r="Q62" s="2137"/>
      <c r="R62" s="2139"/>
    </row>
    <row r="63" spans="1:18" ht="14.25">
      <c r="A63" s="2165">
        <f t="shared" si="6"/>
        <v>58</v>
      </c>
      <c r="B63" s="2166" t="s">
        <v>5603</v>
      </c>
      <c r="C63" s="2138">
        <f>SUM(C64:C72)</f>
        <v>0</v>
      </c>
      <c r="D63" s="2138">
        <f>SUM(D64:D72)</f>
        <v>0</v>
      </c>
      <c r="E63" s="2138">
        <f t="shared" si="7"/>
        <v>0</v>
      </c>
      <c r="F63" s="2167" t="str">
        <f t="shared" si="11"/>
        <v/>
      </c>
      <c r="G63" s="2138">
        <f>SUM(G64:G72)</f>
        <v>0</v>
      </c>
      <c r="H63" s="2138">
        <f t="shared" si="3"/>
        <v>0</v>
      </c>
      <c r="I63" s="2137"/>
      <c r="J63" s="2139"/>
      <c r="K63" s="2137"/>
      <c r="L63" s="2138">
        <f t="shared" si="4"/>
        <v>0</v>
      </c>
      <c r="M63" s="2167" t="str">
        <f t="shared" si="12"/>
        <v/>
      </c>
      <c r="N63" s="2168" t="s">
        <v>5604</v>
      </c>
      <c r="O63" s="2138">
        <f>+O59+O49+O42+O40+O37+O36+O35+O24+O22+O21+O20+O19+O18+O16+O15+O7+O6</f>
        <v>0</v>
      </c>
      <c r="P63" s="2138">
        <f>+P59+P49+P42+P40+P37+P36+P35+P24+P22+P21+P20+P19+P18+P16+P15+P7+P6</f>
        <v>0</v>
      </c>
      <c r="Q63" s="2138">
        <f>+O63-P63</f>
        <v>0</v>
      </c>
      <c r="R63" s="2167" t="str">
        <f>IF(AND(P63=0,OR(O63&gt;0,O63&lt;0)),+Q63/Q63,IFERROR(+Q63/P63,""))</f>
        <v/>
      </c>
    </row>
    <row r="64" spans="1:18" ht="14.25">
      <c r="A64" s="2165">
        <f t="shared" si="6"/>
        <v>59</v>
      </c>
      <c r="B64" s="2166" t="s">
        <v>5605</v>
      </c>
      <c r="C64" s="2137"/>
      <c r="D64" s="2137"/>
      <c r="E64" s="2138">
        <f t="shared" si="7"/>
        <v>0</v>
      </c>
      <c r="F64" s="2167" t="str">
        <f t="shared" si="11"/>
        <v/>
      </c>
      <c r="G64" s="2137"/>
      <c r="H64" s="2138">
        <f t="shared" si="3"/>
        <v>0</v>
      </c>
      <c r="I64" s="2137"/>
      <c r="J64" s="2139"/>
      <c r="K64" s="2137"/>
      <c r="L64" s="2138">
        <f t="shared" si="4"/>
        <v>0</v>
      </c>
      <c r="M64" s="2167" t="str">
        <f t="shared" si="12"/>
        <v/>
      </c>
      <c r="N64" s="2168" t="s">
        <v>5606</v>
      </c>
      <c r="O64" s="2138">
        <f>+O63-O42+O43-O24+O25</f>
        <v>0</v>
      </c>
      <c r="P64" s="2138">
        <f>+P63-P42+P43-P24+P25</f>
        <v>0</v>
      </c>
      <c r="Q64" s="2138">
        <f>+O64-P64</f>
        <v>0</v>
      </c>
      <c r="R64" s="2167" t="str">
        <f>IF(AND(P64=0,OR(O64&gt;0,O64&lt;0)),+Q64/Q64,IFERROR(+Q64/P64,""))</f>
        <v/>
      </c>
    </row>
    <row r="65" spans="1:18" ht="14.25">
      <c r="A65" s="2165">
        <f t="shared" si="6"/>
        <v>60</v>
      </c>
      <c r="B65" s="2168" t="s">
        <v>5607</v>
      </c>
      <c r="C65" s="2137"/>
      <c r="D65" s="2137"/>
      <c r="E65" s="2138">
        <f t="shared" si="7"/>
        <v>0</v>
      </c>
      <c r="F65" s="2167" t="str">
        <f t="shared" si="11"/>
        <v/>
      </c>
      <c r="G65" s="2137"/>
      <c r="H65" s="2138">
        <f t="shared" si="3"/>
        <v>0</v>
      </c>
      <c r="I65" s="2137"/>
      <c r="J65" s="2139"/>
      <c r="K65" s="2137"/>
      <c r="L65" s="2138">
        <f t="shared" si="4"/>
        <v>0</v>
      </c>
      <c r="M65" s="2167" t="str">
        <f t="shared" si="12"/>
        <v/>
      </c>
      <c r="N65" s="2166"/>
      <c r="O65" s="2137"/>
      <c r="P65" s="2137"/>
      <c r="Q65" s="2137"/>
      <c r="R65" s="2139"/>
    </row>
    <row r="66" spans="1:18" ht="14.25">
      <c r="A66" s="2165">
        <f t="shared" si="6"/>
        <v>61</v>
      </c>
      <c r="B66" s="2166" t="s">
        <v>5608</v>
      </c>
      <c r="C66" s="2137"/>
      <c r="D66" s="2137"/>
      <c r="E66" s="2138">
        <f t="shared" si="7"/>
        <v>0</v>
      </c>
      <c r="F66" s="2167" t="str">
        <f t="shared" si="11"/>
        <v/>
      </c>
      <c r="G66" s="2137"/>
      <c r="H66" s="2138">
        <f t="shared" si="3"/>
        <v>0</v>
      </c>
      <c r="I66" s="2137"/>
      <c r="J66" s="2139"/>
      <c r="K66" s="2137"/>
      <c r="L66" s="2138">
        <f t="shared" si="4"/>
        <v>0</v>
      </c>
      <c r="M66" s="2167" t="str">
        <f t="shared" si="12"/>
        <v/>
      </c>
      <c r="N66" s="2168" t="s">
        <v>5609</v>
      </c>
      <c r="O66" s="2138">
        <f>SUM(O67:O70)</f>
        <v>0</v>
      </c>
      <c r="P66" s="2138">
        <f>SUM(P67:P70)</f>
        <v>0</v>
      </c>
      <c r="Q66" s="2138">
        <f>+O66-P66</f>
        <v>0</v>
      </c>
      <c r="R66" s="2167" t="str">
        <f>IF(AND(P66=0,OR(O66&gt;0,O66&lt;0)),+Q66/Q66,IFERROR(+Q66/P66,""))</f>
        <v/>
      </c>
    </row>
    <row r="67" spans="1:18" ht="14.25">
      <c r="A67" s="2165">
        <f t="shared" si="6"/>
        <v>62</v>
      </c>
      <c r="B67" s="2168" t="s">
        <v>5610</v>
      </c>
      <c r="C67" s="2137"/>
      <c r="D67" s="2137"/>
      <c r="E67" s="2138">
        <f t="shared" si="7"/>
        <v>0</v>
      </c>
      <c r="F67" s="2167" t="str">
        <f t="shared" si="11"/>
        <v/>
      </c>
      <c r="G67" s="2137"/>
      <c r="H67" s="2138">
        <f t="shared" si="3"/>
        <v>0</v>
      </c>
      <c r="I67" s="2137"/>
      <c r="J67" s="2139"/>
      <c r="K67" s="2137"/>
      <c r="L67" s="2138">
        <f t="shared" si="4"/>
        <v>0</v>
      </c>
      <c r="M67" s="2167" t="str">
        <f t="shared" si="12"/>
        <v/>
      </c>
      <c r="N67" s="2168" t="s">
        <v>5611</v>
      </c>
      <c r="O67" s="2137"/>
      <c r="P67" s="2137"/>
      <c r="Q67" s="2138">
        <f>+O67-P67</f>
        <v>0</v>
      </c>
      <c r="R67" s="2167" t="str">
        <f>IF(AND(P67=0,OR(O67&gt;0,O67&lt;0)),+Q67/Q67,IFERROR(+Q67/P67,""))</f>
        <v/>
      </c>
    </row>
    <row r="68" spans="1:18" ht="14.25">
      <c r="A68" s="2165">
        <f t="shared" si="6"/>
        <v>63</v>
      </c>
      <c r="B68" s="2166" t="s">
        <v>5612</v>
      </c>
      <c r="C68" s="2137"/>
      <c r="D68" s="2137"/>
      <c r="E68" s="2138">
        <f t="shared" si="7"/>
        <v>0</v>
      </c>
      <c r="F68" s="2167" t="str">
        <f t="shared" si="11"/>
        <v/>
      </c>
      <c r="G68" s="2137"/>
      <c r="H68" s="2138">
        <f t="shared" si="3"/>
        <v>0</v>
      </c>
      <c r="I68" s="2137"/>
      <c r="J68" s="2139"/>
      <c r="K68" s="2137"/>
      <c r="L68" s="2138">
        <f t="shared" si="4"/>
        <v>0</v>
      </c>
      <c r="M68" s="2167" t="str">
        <f t="shared" si="12"/>
        <v/>
      </c>
      <c r="N68" s="2168" t="s">
        <v>5613</v>
      </c>
      <c r="O68" s="2137"/>
      <c r="P68" s="2137"/>
      <c r="Q68" s="2138">
        <f>+O68-P68</f>
        <v>0</v>
      </c>
      <c r="R68" s="2167" t="str">
        <f>IF(AND(P68=0,OR(O68&gt;0,O68&lt;0)),+Q68/Q68,IFERROR(+Q68/P68,""))</f>
        <v/>
      </c>
    </row>
    <row r="69" spans="1:18" ht="14.25">
      <c r="A69" s="2165">
        <f t="shared" si="6"/>
        <v>64</v>
      </c>
      <c r="B69" s="2166" t="s">
        <v>5614</v>
      </c>
      <c r="C69" s="2137"/>
      <c r="D69" s="2137"/>
      <c r="E69" s="2138">
        <f t="shared" si="7"/>
        <v>0</v>
      </c>
      <c r="F69" s="2167" t="str">
        <f t="shared" si="11"/>
        <v/>
      </c>
      <c r="G69" s="2137"/>
      <c r="H69" s="2138">
        <f t="shared" si="3"/>
        <v>0</v>
      </c>
      <c r="I69" s="2137"/>
      <c r="J69" s="2139"/>
      <c r="K69" s="2137"/>
      <c r="L69" s="2138">
        <f t="shared" si="4"/>
        <v>0</v>
      </c>
      <c r="M69" s="2167" t="str">
        <f t="shared" si="12"/>
        <v/>
      </c>
      <c r="N69" s="2168" t="s">
        <v>5615</v>
      </c>
      <c r="O69" s="2137"/>
      <c r="P69" s="2137"/>
      <c r="Q69" s="2138">
        <f>+O69-P69</f>
        <v>0</v>
      </c>
      <c r="R69" s="2167" t="str">
        <f>IF(AND(P69=0,OR(O69&gt;0,O69&lt;0)),+Q69/Q69,IFERROR(+Q69/P69,""))</f>
        <v/>
      </c>
    </row>
    <row r="70" spans="1:18" ht="14.25">
      <c r="A70" s="2165">
        <f t="shared" si="6"/>
        <v>65</v>
      </c>
      <c r="B70" s="2166" t="s">
        <v>5616</v>
      </c>
      <c r="C70" s="2137"/>
      <c r="D70" s="2137"/>
      <c r="E70" s="2138">
        <f t="shared" si="7"/>
        <v>0</v>
      </c>
      <c r="F70" s="2167" t="str">
        <f t="shared" si="11"/>
        <v/>
      </c>
      <c r="G70" s="2137"/>
      <c r="H70" s="2138">
        <f t="shared" si="3"/>
        <v>0</v>
      </c>
      <c r="I70" s="2137"/>
      <c r="J70" s="2139"/>
      <c r="K70" s="2137"/>
      <c r="L70" s="2138">
        <f t="shared" si="4"/>
        <v>0</v>
      </c>
      <c r="M70" s="2167" t="str">
        <f t="shared" si="12"/>
        <v/>
      </c>
      <c r="N70" s="2168" t="s">
        <v>5617</v>
      </c>
      <c r="O70" s="2137"/>
      <c r="P70" s="2137"/>
      <c r="Q70" s="2138">
        <f>+O70-P70</f>
        <v>0</v>
      </c>
      <c r="R70" s="2167" t="str">
        <f>IF(AND(P70=0,OR(O70&gt;0,O70&lt;0)),+Q70/Q70,IFERROR(+Q70/P70,""))</f>
        <v/>
      </c>
    </row>
    <row r="71" spans="1:18" ht="14.25">
      <c r="A71" s="2165">
        <f t="shared" si="6"/>
        <v>66</v>
      </c>
      <c r="B71" s="2166" t="s">
        <v>5618</v>
      </c>
      <c r="C71" s="2137"/>
      <c r="D71" s="2137"/>
      <c r="E71" s="2138">
        <f t="shared" si="7"/>
        <v>0</v>
      </c>
      <c r="F71" s="2167" t="str">
        <f t="shared" si="11"/>
        <v/>
      </c>
      <c r="G71" s="2137"/>
      <c r="H71" s="2138">
        <f t="shared" si="3"/>
        <v>0</v>
      </c>
      <c r="I71" s="2137"/>
      <c r="J71" s="2139"/>
      <c r="K71" s="2137"/>
      <c r="L71" s="2138">
        <f t="shared" si="4"/>
        <v>0</v>
      </c>
      <c r="M71" s="2167" t="str">
        <f t="shared" si="12"/>
        <v/>
      </c>
      <c r="N71" s="2168"/>
      <c r="O71" s="2137"/>
      <c r="P71" s="2137"/>
      <c r="Q71" s="2137"/>
      <c r="R71" s="2139"/>
    </row>
    <row r="72" spans="1:18" ht="14.25">
      <c r="A72" s="2165">
        <f t="shared" si="6"/>
        <v>67</v>
      </c>
      <c r="B72" s="2166" t="s">
        <v>5619</v>
      </c>
      <c r="C72" s="2137"/>
      <c r="D72" s="2137"/>
      <c r="E72" s="2138">
        <f t="shared" si="7"/>
        <v>0</v>
      </c>
      <c r="F72" s="2167" t="str">
        <f t="shared" si="11"/>
        <v/>
      </c>
      <c r="G72" s="2137"/>
      <c r="H72" s="2138">
        <f t="shared" si="3"/>
        <v>0</v>
      </c>
      <c r="I72" s="2137"/>
      <c r="J72" s="2139"/>
      <c r="K72" s="2137"/>
      <c r="L72" s="2138">
        <f t="shared" si="4"/>
        <v>0</v>
      </c>
      <c r="M72" s="2167" t="str">
        <f t="shared" si="12"/>
        <v/>
      </c>
      <c r="N72" s="2168" t="s">
        <v>5620</v>
      </c>
      <c r="O72" s="2138">
        <f>SUM(O73:O78)</f>
        <v>0</v>
      </c>
      <c r="P72" s="2138">
        <f>SUM(P73:P78)</f>
        <v>0</v>
      </c>
      <c r="Q72" s="2138">
        <f t="shared" ref="Q72:Q78" si="14">+O72-P72</f>
        <v>0</v>
      </c>
      <c r="R72" s="2167" t="str">
        <f t="shared" ref="R72:R78" si="15">IF(AND(P72=0,OR(O72&gt;0,O72&lt;0)),+Q72/Q72,IFERROR(+Q72/P72,""))</f>
        <v/>
      </c>
    </row>
    <row r="73" spans="1:18" ht="14.25">
      <c r="A73" s="2165">
        <f>A72+1</f>
        <v>68</v>
      </c>
      <c r="B73" s="2166" t="s">
        <v>5621</v>
      </c>
      <c r="C73" s="2138">
        <f>SUM(C74:C80)</f>
        <v>0</v>
      </c>
      <c r="D73" s="2138">
        <f>SUM(D74:D80)</f>
        <v>0</v>
      </c>
      <c r="E73" s="2138">
        <f t="shared" si="7"/>
        <v>0</v>
      </c>
      <c r="F73" s="2167" t="str">
        <f t="shared" si="11"/>
        <v/>
      </c>
      <c r="G73" s="2138">
        <f>SUM(G74:G80)</f>
        <v>0</v>
      </c>
      <c r="H73" s="2138">
        <f t="shared" ref="H73:H100" si="16">+E73-G73</f>
        <v>0</v>
      </c>
      <c r="I73" s="2137"/>
      <c r="J73" s="2139"/>
      <c r="K73" s="2137"/>
      <c r="L73" s="2138">
        <f t="shared" ref="L73:L100" si="17">+E73-I73</f>
        <v>0</v>
      </c>
      <c r="M73" s="2167" t="str">
        <f t="shared" si="12"/>
        <v/>
      </c>
      <c r="N73" s="2168" t="s">
        <v>5622</v>
      </c>
      <c r="O73" s="2137"/>
      <c r="P73" s="2137"/>
      <c r="Q73" s="2138">
        <f t="shared" si="14"/>
        <v>0</v>
      </c>
      <c r="R73" s="2167" t="str">
        <f t="shared" si="15"/>
        <v/>
      </c>
    </row>
    <row r="74" spans="1:18" ht="14.25">
      <c r="A74" s="2165">
        <f>A73+1</f>
        <v>69</v>
      </c>
      <c r="B74" s="2166" t="s">
        <v>5623</v>
      </c>
      <c r="C74" s="2137"/>
      <c r="D74" s="2137"/>
      <c r="E74" s="2138">
        <f t="shared" ref="E74:E100" si="18">SUM(C74:D74)</f>
        <v>0</v>
      </c>
      <c r="F74" s="2167" t="str">
        <f t="shared" si="11"/>
        <v/>
      </c>
      <c r="G74" s="2137"/>
      <c r="H74" s="2138">
        <f t="shared" si="16"/>
        <v>0</v>
      </c>
      <c r="I74" s="2137"/>
      <c r="J74" s="2139"/>
      <c r="K74" s="2137"/>
      <c r="L74" s="2138">
        <f t="shared" si="17"/>
        <v>0</v>
      </c>
      <c r="M74" s="2167" t="str">
        <f t="shared" si="12"/>
        <v/>
      </c>
      <c r="N74" s="2168" t="s">
        <v>5624</v>
      </c>
      <c r="O74" s="2137"/>
      <c r="P74" s="2137"/>
      <c r="Q74" s="2138">
        <f t="shared" si="14"/>
        <v>0</v>
      </c>
      <c r="R74" s="2167" t="str">
        <f t="shared" si="15"/>
        <v/>
      </c>
    </row>
    <row r="75" spans="1:18" ht="14.25">
      <c r="A75" s="2165">
        <f>A74+1</f>
        <v>70</v>
      </c>
      <c r="B75" s="2166" t="s">
        <v>5625</v>
      </c>
      <c r="C75" s="2137"/>
      <c r="D75" s="2137"/>
      <c r="E75" s="2138">
        <f t="shared" si="18"/>
        <v>0</v>
      </c>
      <c r="F75" s="2167" t="str">
        <f t="shared" si="11"/>
        <v/>
      </c>
      <c r="G75" s="2137"/>
      <c r="H75" s="2138">
        <f t="shared" si="16"/>
        <v>0</v>
      </c>
      <c r="I75" s="2137"/>
      <c r="J75" s="2139"/>
      <c r="K75" s="2137"/>
      <c r="L75" s="2138">
        <f t="shared" si="17"/>
        <v>0</v>
      </c>
      <c r="M75" s="2167" t="str">
        <f t="shared" si="12"/>
        <v/>
      </c>
      <c r="N75" s="2168" t="s">
        <v>5626</v>
      </c>
      <c r="O75" s="2137"/>
      <c r="P75" s="2137"/>
      <c r="Q75" s="2138">
        <f t="shared" si="14"/>
        <v>0</v>
      </c>
      <c r="R75" s="2167" t="str">
        <f t="shared" si="15"/>
        <v/>
      </c>
    </row>
    <row r="76" spans="1:18" ht="14.25">
      <c r="A76" s="2173" t="s">
        <v>712</v>
      </c>
      <c r="B76" s="2166" t="s">
        <v>5627</v>
      </c>
      <c r="C76" s="2137"/>
      <c r="D76" s="2137"/>
      <c r="E76" s="2138">
        <f t="shared" si="18"/>
        <v>0</v>
      </c>
      <c r="F76" s="2167" t="str">
        <f t="shared" si="11"/>
        <v/>
      </c>
      <c r="G76" s="2137"/>
      <c r="H76" s="2138">
        <f t="shared" si="16"/>
        <v>0</v>
      </c>
      <c r="I76" s="2137"/>
      <c r="J76" s="2139"/>
      <c r="K76" s="2137"/>
      <c r="L76" s="2138">
        <f t="shared" si="17"/>
        <v>0</v>
      </c>
      <c r="M76" s="2167" t="str">
        <f t="shared" si="12"/>
        <v/>
      </c>
      <c r="N76" s="2168" t="s">
        <v>5628</v>
      </c>
      <c r="O76" s="2137"/>
      <c r="P76" s="2137"/>
      <c r="Q76" s="2138">
        <f t="shared" si="14"/>
        <v>0</v>
      </c>
      <c r="R76" s="2167" t="str">
        <f t="shared" si="15"/>
        <v/>
      </c>
    </row>
    <row r="77" spans="1:18" ht="14.25">
      <c r="A77" s="2165">
        <f>A75+1</f>
        <v>71</v>
      </c>
      <c r="B77" s="2166" t="s">
        <v>5629</v>
      </c>
      <c r="C77" s="2137"/>
      <c r="D77" s="2137"/>
      <c r="E77" s="2138">
        <f t="shared" si="18"/>
        <v>0</v>
      </c>
      <c r="F77" s="2167" t="str">
        <f t="shared" si="11"/>
        <v/>
      </c>
      <c r="G77" s="2137"/>
      <c r="H77" s="2138">
        <f t="shared" si="16"/>
        <v>0</v>
      </c>
      <c r="I77" s="2137"/>
      <c r="J77" s="2139"/>
      <c r="K77" s="2137"/>
      <c r="L77" s="2138">
        <f t="shared" si="17"/>
        <v>0</v>
      </c>
      <c r="M77" s="2167" t="str">
        <f t="shared" si="12"/>
        <v/>
      </c>
      <c r="N77" s="2168" t="s">
        <v>5630</v>
      </c>
      <c r="O77" s="2137"/>
      <c r="P77" s="2137"/>
      <c r="Q77" s="2138">
        <f t="shared" si="14"/>
        <v>0</v>
      </c>
      <c r="R77" s="2167" t="str">
        <f t="shared" si="15"/>
        <v/>
      </c>
    </row>
    <row r="78" spans="1:18" ht="14.25">
      <c r="A78" s="2165">
        <f t="shared" ref="A78:A104" si="19">A77+1</f>
        <v>72</v>
      </c>
      <c r="B78" s="2166" t="s">
        <v>5631</v>
      </c>
      <c r="C78" s="2137"/>
      <c r="D78" s="2137"/>
      <c r="E78" s="2138">
        <f t="shared" si="18"/>
        <v>0</v>
      </c>
      <c r="F78" s="2167" t="str">
        <f t="shared" si="11"/>
        <v/>
      </c>
      <c r="G78" s="2137"/>
      <c r="H78" s="2138">
        <f t="shared" si="16"/>
        <v>0</v>
      </c>
      <c r="I78" s="2137"/>
      <c r="J78" s="2139"/>
      <c r="K78" s="2137"/>
      <c r="L78" s="2138">
        <f t="shared" si="17"/>
        <v>0</v>
      </c>
      <c r="M78" s="2167" t="str">
        <f t="shared" si="12"/>
        <v/>
      </c>
      <c r="N78" s="2168" t="s">
        <v>5632</v>
      </c>
      <c r="O78" s="2137"/>
      <c r="P78" s="2137"/>
      <c r="Q78" s="2138">
        <f t="shared" si="14"/>
        <v>0</v>
      </c>
      <c r="R78" s="2167" t="str">
        <f t="shared" si="15"/>
        <v/>
      </c>
    </row>
    <row r="79" spans="1:18" ht="14.25">
      <c r="A79" s="2165">
        <f t="shared" si="19"/>
        <v>73</v>
      </c>
      <c r="B79" s="2166" t="s">
        <v>5633</v>
      </c>
      <c r="C79" s="2137"/>
      <c r="D79" s="2137"/>
      <c r="E79" s="2138">
        <f t="shared" si="18"/>
        <v>0</v>
      </c>
      <c r="F79" s="2167" t="str">
        <f t="shared" si="11"/>
        <v/>
      </c>
      <c r="G79" s="2137"/>
      <c r="H79" s="2138">
        <f t="shared" si="16"/>
        <v>0</v>
      </c>
      <c r="I79" s="2137"/>
      <c r="J79" s="2139"/>
      <c r="K79" s="2137"/>
      <c r="L79" s="2138">
        <f t="shared" si="17"/>
        <v>0</v>
      </c>
      <c r="M79" s="2167" t="str">
        <f t="shared" si="12"/>
        <v/>
      </c>
      <c r="O79" s="2137"/>
      <c r="P79" s="2137"/>
      <c r="Q79" s="2137"/>
      <c r="R79" s="2139"/>
    </row>
    <row r="80" spans="1:18" ht="14.25">
      <c r="A80" s="2165">
        <f t="shared" si="19"/>
        <v>74</v>
      </c>
      <c r="B80" s="2166" t="s">
        <v>5634</v>
      </c>
      <c r="C80" s="2137"/>
      <c r="D80" s="2137"/>
      <c r="E80" s="2138">
        <f t="shared" si="18"/>
        <v>0</v>
      </c>
      <c r="F80" s="2167" t="str">
        <f t="shared" si="11"/>
        <v/>
      </c>
      <c r="G80" s="2137"/>
      <c r="H80" s="2138">
        <f t="shared" si="16"/>
        <v>0</v>
      </c>
      <c r="I80" s="2137"/>
      <c r="J80" s="2139"/>
      <c r="K80" s="2137"/>
      <c r="L80" s="2138">
        <f t="shared" si="17"/>
        <v>0</v>
      </c>
      <c r="M80" s="2167" t="str">
        <f t="shared" si="12"/>
        <v/>
      </c>
      <c r="O80" s="2137"/>
      <c r="P80" s="2137"/>
      <c r="Q80" s="2137"/>
      <c r="R80" s="2139"/>
    </row>
    <row r="81" spans="1:18" ht="14.25">
      <c r="A81" s="2165">
        <f t="shared" si="19"/>
        <v>75</v>
      </c>
      <c r="B81" s="2166" t="s">
        <v>5635</v>
      </c>
      <c r="C81" s="2138">
        <f>SUM(C82:C85)</f>
        <v>0</v>
      </c>
      <c r="D81" s="2138">
        <f>SUM(D82:D85)</f>
        <v>0</v>
      </c>
      <c r="E81" s="2138">
        <f t="shared" si="18"/>
        <v>0</v>
      </c>
      <c r="F81" s="2167" t="str">
        <f t="shared" si="11"/>
        <v/>
      </c>
      <c r="G81" s="2138">
        <f>SUM(G82:G85)</f>
        <v>0</v>
      </c>
      <c r="H81" s="2138">
        <f t="shared" si="16"/>
        <v>0</v>
      </c>
      <c r="I81" s="2137"/>
      <c r="J81" s="2139"/>
      <c r="K81" s="2137"/>
      <c r="L81" s="2138">
        <f t="shared" si="17"/>
        <v>0</v>
      </c>
      <c r="M81" s="2167" t="str">
        <f t="shared" si="12"/>
        <v/>
      </c>
      <c r="N81" s="2168" t="s">
        <v>5636</v>
      </c>
      <c r="O81" s="2138">
        <f>SUM(O82:O84)</f>
        <v>0</v>
      </c>
      <c r="P81" s="2138">
        <f>SUM(P82:P84)</f>
        <v>0</v>
      </c>
      <c r="Q81" s="2138">
        <f t="shared" ref="Q81:Q104" si="20">+O81-P81</f>
        <v>0</v>
      </c>
      <c r="R81" s="2167" t="str">
        <f>IF(AND(P81=0,OR(O81&gt;0,O81&lt;0)),+Q81/Q81,IFERROR(+Q81/P81,""))</f>
        <v/>
      </c>
    </row>
    <row r="82" spans="1:18" ht="14.25">
      <c r="A82" s="2165">
        <f t="shared" si="19"/>
        <v>76</v>
      </c>
      <c r="B82" s="2166" t="s">
        <v>5637</v>
      </c>
      <c r="C82" s="2137"/>
      <c r="D82" s="2137"/>
      <c r="E82" s="2138">
        <f t="shared" si="18"/>
        <v>0</v>
      </c>
      <c r="F82" s="2167" t="str">
        <f t="shared" ref="F82:F100" si="21">IF(C82=0,"",IFERROR(+E82/$E$104,""))</f>
        <v/>
      </c>
      <c r="G82" s="2137"/>
      <c r="H82" s="2138">
        <f t="shared" si="16"/>
        <v>0</v>
      </c>
      <c r="I82" s="2137"/>
      <c r="J82" s="2139"/>
      <c r="K82" s="2137"/>
      <c r="L82" s="2138">
        <f t="shared" si="17"/>
        <v>0</v>
      </c>
      <c r="M82" s="2167" t="str">
        <f t="shared" ref="M82:M100" si="22">IF(AND(I82=0,OR(E82&gt;0,E82&lt;0)),+L82/L82,IFERROR(+L82/I82,""))</f>
        <v/>
      </c>
      <c r="N82" s="2168" t="s">
        <v>5638</v>
      </c>
      <c r="O82" s="2137"/>
      <c r="P82" s="2137"/>
      <c r="Q82" s="2138">
        <f t="shared" si="20"/>
        <v>0</v>
      </c>
      <c r="R82" s="2167" t="str">
        <f>IF(AND(P82=0,OR(O82&gt;0,O82&lt;0)),+Q82/Q82,IFERROR(+Q82/P82,""))</f>
        <v/>
      </c>
    </row>
    <row r="83" spans="1:18" ht="14.25">
      <c r="A83" s="2165">
        <f t="shared" si="19"/>
        <v>77</v>
      </c>
      <c r="B83" s="2166" t="s">
        <v>5639</v>
      </c>
      <c r="C83" s="2137"/>
      <c r="D83" s="2137"/>
      <c r="E83" s="2138">
        <f t="shared" si="18"/>
        <v>0</v>
      </c>
      <c r="F83" s="2167" t="str">
        <f t="shared" si="21"/>
        <v/>
      </c>
      <c r="G83" s="2137"/>
      <c r="H83" s="2138">
        <f t="shared" si="16"/>
        <v>0</v>
      </c>
      <c r="I83" s="2137"/>
      <c r="J83" s="2139"/>
      <c r="K83" s="2137"/>
      <c r="L83" s="2138">
        <f t="shared" si="17"/>
        <v>0</v>
      </c>
      <c r="M83" s="2167" t="str">
        <f t="shared" si="22"/>
        <v/>
      </c>
      <c r="N83" s="2168" t="s">
        <v>5640</v>
      </c>
      <c r="O83" s="2137"/>
      <c r="P83" s="2137"/>
      <c r="Q83" s="2138">
        <f t="shared" si="20"/>
        <v>0</v>
      </c>
      <c r="R83" s="2167" t="str">
        <f>IF(AND(P83=0,OR(O83&gt;0,O83&lt;0)),+Q83/Q83,IFERROR(+Q83/P83,""))</f>
        <v/>
      </c>
    </row>
    <row r="84" spans="1:18" ht="14.25">
      <c r="A84" s="2165">
        <f t="shared" si="19"/>
        <v>78</v>
      </c>
      <c r="B84" s="2166" t="s">
        <v>5641</v>
      </c>
      <c r="C84" s="2137"/>
      <c r="D84" s="2137"/>
      <c r="E84" s="2138">
        <f t="shared" si="18"/>
        <v>0</v>
      </c>
      <c r="F84" s="2167" t="str">
        <f t="shared" si="21"/>
        <v/>
      </c>
      <c r="G84" s="2137"/>
      <c r="H84" s="2138">
        <f t="shared" si="16"/>
        <v>0</v>
      </c>
      <c r="I84" s="2137"/>
      <c r="J84" s="2139"/>
      <c r="K84" s="2137"/>
      <c r="L84" s="2138">
        <f t="shared" si="17"/>
        <v>0</v>
      </c>
      <c r="M84" s="2167" t="str">
        <f t="shared" si="22"/>
        <v/>
      </c>
      <c r="N84" s="2168" t="s">
        <v>5642</v>
      </c>
      <c r="O84" s="2137"/>
      <c r="P84" s="2137"/>
      <c r="Q84" s="2138">
        <f t="shared" si="20"/>
        <v>0</v>
      </c>
      <c r="R84" s="2167" t="str">
        <f>IF(AND(P84=0,OR(O84&gt;0,O84&lt;0)),+Q84/Q84,IFERROR(+Q84/P84,""))</f>
        <v/>
      </c>
    </row>
    <row r="85" spans="1:18" ht="14.25">
      <c r="A85" s="2165">
        <f t="shared" si="19"/>
        <v>79</v>
      </c>
      <c r="B85" s="2166" t="s">
        <v>5643</v>
      </c>
      <c r="C85" s="2137"/>
      <c r="D85" s="2137"/>
      <c r="E85" s="2138">
        <f t="shared" si="18"/>
        <v>0</v>
      </c>
      <c r="F85" s="2167" t="str">
        <f t="shared" si="21"/>
        <v/>
      </c>
      <c r="G85" s="2137"/>
      <c r="H85" s="2138">
        <f t="shared" si="16"/>
        <v>0</v>
      </c>
      <c r="I85" s="2137"/>
      <c r="J85" s="2139"/>
      <c r="K85" s="2137"/>
      <c r="L85" s="2138">
        <f t="shared" si="17"/>
        <v>0</v>
      </c>
      <c r="M85" s="2167" t="str">
        <f t="shared" si="22"/>
        <v/>
      </c>
      <c r="N85" s="2166"/>
      <c r="O85" s="2137"/>
      <c r="P85" s="2137"/>
      <c r="Q85" s="2137"/>
      <c r="R85" s="2139"/>
    </row>
    <row r="86" spans="1:18" ht="14.25">
      <c r="A86" s="2165">
        <f t="shared" si="19"/>
        <v>80</v>
      </c>
      <c r="B86" s="2166" t="s">
        <v>5644</v>
      </c>
      <c r="C86" s="2137"/>
      <c r="D86" s="2137"/>
      <c r="E86" s="2138">
        <f t="shared" si="18"/>
        <v>0</v>
      </c>
      <c r="F86" s="2167" t="str">
        <f t="shared" si="21"/>
        <v/>
      </c>
      <c r="G86" s="2137"/>
      <c r="H86" s="2138">
        <f t="shared" si="16"/>
        <v>0</v>
      </c>
      <c r="I86" s="2137"/>
      <c r="J86" s="2139"/>
      <c r="K86" s="2137"/>
      <c r="L86" s="2138">
        <f t="shared" si="17"/>
        <v>0</v>
      </c>
      <c r="M86" s="2167" t="str">
        <f t="shared" si="22"/>
        <v/>
      </c>
      <c r="N86" s="2169" t="s">
        <v>5645</v>
      </c>
      <c r="O86" s="2138">
        <f>SUM(O87:O95)</f>
        <v>0</v>
      </c>
      <c r="P86" s="2138">
        <f>SUM(P87:P95)</f>
        <v>0</v>
      </c>
      <c r="Q86" s="2138">
        <f t="shared" si="20"/>
        <v>0</v>
      </c>
      <c r="R86" s="2167" t="str">
        <f t="shared" ref="R86:R101" si="23">IF(AND(P86=0,OR(O86&gt;0,O86&lt;0)),+Q86/Q86,IFERROR(+Q86/P86,""))</f>
        <v/>
      </c>
    </row>
    <row r="87" spans="1:18" ht="14.25">
      <c r="A87" s="2165">
        <f t="shared" si="19"/>
        <v>81</v>
      </c>
      <c r="B87" s="2166" t="s">
        <v>5646</v>
      </c>
      <c r="C87" s="2138">
        <f>SUM(C88:C97)</f>
        <v>0</v>
      </c>
      <c r="D87" s="2138">
        <f>SUM(D88:D97)</f>
        <v>0</v>
      </c>
      <c r="E87" s="2138">
        <f t="shared" si="18"/>
        <v>0</v>
      </c>
      <c r="F87" s="2167" t="str">
        <f t="shared" si="21"/>
        <v/>
      </c>
      <c r="G87" s="2138">
        <f>SUM(G88:G97)</f>
        <v>0</v>
      </c>
      <c r="H87" s="2138">
        <f t="shared" si="16"/>
        <v>0</v>
      </c>
      <c r="I87" s="2137"/>
      <c r="J87" s="2139"/>
      <c r="K87" s="2137"/>
      <c r="L87" s="2138">
        <f t="shared" si="17"/>
        <v>0</v>
      </c>
      <c r="M87" s="2167" t="str">
        <f t="shared" si="22"/>
        <v/>
      </c>
      <c r="N87" s="2169" t="s">
        <v>5647</v>
      </c>
      <c r="O87" s="2137"/>
      <c r="P87" s="2137"/>
      <c r="Q87" s="2138">
        <f t="shared" si="20"/>
        <v>0</v>
      </c>
      <c r="R87" s="2167" t="str">
        <f t="shared" si="23"/>
        <v/>
      </c>
    </row>
    <row r="88" spans="1:18" ht="14.25">
      <c r="A88" s="2165">
        <f t="shared" si="19"/>
        <v>82</v>
      </c>
      <c r="B88" s="2166" t="s">
        <v>5648</v>
      </c>
      <c r="C88" s="2137"/>
      <c r="D88" s="2137"/>
      <c r="E88" s="2138">
        <f t="shared" si="18"/>
        <v>0</v>
      </c>
      <c r="F88" s="2167" t="str">
        <f t="shared" si="21"/>
        <v/>
      </c>
      <c r="G88" s="2137"/>
      <c r="H88" s="2138">
        <f t="shared" si="16"/>
        <v>0</v>
      </c>
      <c r="I88" s="2137"/>
      <c r="J88" s="2139"/>
      <c r="K88" s="2137"/>
      <c r="L88" s="2138">
        <f t="shared" si="17"/>
        <v>0</v>
      </c>
      <c r="M88" s="2167" t="str">
        <f t="shared" si="22"/>
        <v/>
      </c>
      <c r="N88" s="2168" t="s">
        <v>5649</v>
      </c>
      <c r="O88" s="2137"/>
      <c r="P88" s="2137"/>
      <c r="Q88" s="2138">
        <f t="shared" si="20"/>
        <v>0</v>
      </c>
      <c r="R88" s="2167" t="str">
        <f t="shared" si="23"/>
        <v/>
      </c>
    </row>
    <row r="89" spans="1:18" ht="14.25">
      <c r="A89" s="2165">
        <f t="shared" si="19"/>
        <v>83</v>
      </c>
      <c r="B89" s="2166" t="s">
        <v>5650</v>
      </c>
      <c r="C89" s="2137"/>
      <c r="D89" s="2137"/>
      <c r="E89" s="2138">
        <f t="shared" si="18"/>
        <v>0</v>
      </c>
      <c r="F89" s="2167" t="str">
        <f t="shared" si="21"/>
        <v/>
      </c>
      <c r="G89" s="2137"/>
      <c r="H89" s="2138">
        <f t="shared" si="16"/>
        <v>0</v>
      </c>
      <c r="I89" s="2137"/>
      <c r="J89" s="2139"/>
      <c r="K89" s="2137"/>
      <c r="L89" s="2138">
        <f t="shared" si="17"/>
        <v>0</v>
      </c>
      <c r="M89" s="2167" t="str">
        <f t="shared" si="22"/>
        <v/>
      </c>
      <c r="N89" s="2168" t="s">
        <v>5651</v>
      </c>
      <c r="O89" s="2137"/>
      <c r="P89" s="2137"/>
      <c r="Q89" s="2138">
        <f t="shared" si="20"/>
        <v>0</v>
      </c>
      <c r="R89" s="2167" t="str">
        <f t="shared" si="23"/>
        <v/>
      </c>
    </row>
    <row r="90" spans="1:18" ht="14.25">
      <c r="A90" s="2165">
        <f t="shared" si="19"/>
        <v>84</v>
      </c>
      <c r="B90" s="2166" t="s">
        <v>5652</v>
      </c>
      <c r="C90" s="2137"/>
      <c r="D90" s="2137"/>
      <c r="E90" s="2138">
        <f t="shared" si="18"/>
        <v>0</v>
      </c>
      <c r="F90" s="2167" t="str">
        <f t="shared" si="21"/>
        <v/>
      </c>
      <c r="G90" s="2137"/>
      <c r="H90" s="2138">
        <f t="shared" si="16"/>
        <v>0</v>
      </c>
      <c r="I90" s="2137"/>
      <c r="J90" s="2139"/>
      <c r="K90" s="2137"/>
      <c r="L90" s="2138">
        <f t="shared" si="17"/>
        <v>0</v>
      </c>
      <c r="M90" s="2167" t="str">
        <f t="shared" si="22"/>
        <v/>
      </c>
      <c r="N90" s="2174" t="s">
        <v>5653</v>
      </c>
      <c r="O90" s="2137"/>
      <c r="P90" s="2137"/>
      <c r="Q90" s="2138">
        <f t="shared" si="20"/>
        <v>0</v>
      </c>
      <c r="R90" s="2167" t="str">
        <f t="shared" si="23"/>
        <v/>
      </c>
    </row>
    <row r="91" spans="1:18" ht="14.25">
      <c r="A91" s="2165">
        <f t="shared" si="19"/>
        <v>85</v>
      </c>
      <c r="B91" s="2166" t="s">
        <v>5654</v>
      </c>
      <c r="C91" s="2137"/>
      <c r="D91" s="2137"/>
      <c r="E91" s="2138">
        <f t="shared" si="18"/>
        <v>0</v>
      </c>
      <c r="F91" s="2167" t="str">
        <f t="shared" si="21"/>
        <v/>
      </c>
      <c r="G91" s="2137"/>
      <c r="H91" s="2138">
        <f t="shared" si="16"/>
        <v>0</v>
      </c>
      <c r="I91" s="2137"/>
      <c r="J91" s="2139"/>
      <c r="K91" s="2137"/>
      <c r="L91" s="2138">
        <f t="shared" si="17"/>
        <v>0</v>
      </c>
      <c r="M91" s="2167" t="str">
        <f t="shared" si="22"/>
        <v/>
      </c>
      <c r="N91" s="2174" t="s">
        <v>5655</v>
      </c>
      <c r="O91" s="2137"/>
      <c r="P91" s="2137"/>
      <c r="Q91" s="2138">
        <f>+O91-P91</f>
        <v>0</v>
      </c>
      <c r="R91" s="2167" t="str">
        <f t="shared" si="23"/>
        <v/>
      </c>
    </row>
    <row r="92" spans="1:18" ht="14.25">
      <c r="A92" s="2165">
        <f t="shared" si="19"/>
        <v>86</v>
      </c>
      <c r="B92" s="2166" t="s">
        <v>5656</v>
      </c>
      <c r="C92" s="2137"/>
      <c r="D92" s="2137"/>
      <c r="E92" s="2138">
        <f t="shared" si="18"/>
        <v>0</v>
      </c>
      <c r="F92" s="2167" t="str">
        <f t="shared" si="21"/>
        <v/>
      </c>
      <c r="G92" s="2137"/>
      <c r="H92" s="2138">
        <f t="shared" si="16"/>
        <v>0</v>
      </c>
      <c r="I92" s="2137"/>
      <c r="J92" s="2139"/>
      <c r="K92" s="2137"/>
      <c r="L92" s="2138">
        <f>+E92-I92</f>
        <v>0</v>
      </c>
      <c r="M92" s="2167" t="str">
        <f t="shared" si="22"/>
        <v/>
      </c>
      <c r="N92" s="2174" t="s">
        <v>5657</v>
      </c>
      <c r="O92" s="2137"/>
      <c r="P92" s="2137"/>
      <c r="Q92" s="2138">
        <f>+O92-P92</f>
        <v>0</v>
      </c>
      <c r="R92" s="2167" t="str">
        <f t="shared" si="23"/>
        <v/>
      </c>
    </row>
    <row r="93" spans="1:18" ht="14.25">
      <c r="A93" s="2165">
        <f t="shared" si="19"/>
        <v>87</v>
      </c>
      <c r="B93" s="2166" t="s">
        <v>5658</v>
      </c>
      <c r="C93" s="2137"/>
      <c r="D93" s="2137"/>
      <c r="E93" s="2138">
        <f t="shared" si="18"/>
        <v>0</v>
      </c>
      <c r="F93" s="2167" t="str">
        <f t="shared" si="21"/>
        <v/>
      </c>
      <c r="G93" s="2137"/>
      <c r="H93" s="2138">
        <f t="shared" si="16"/>
        <v>0</v>
      </c>
      <c r="I93" s="2137"/>
      <c r="J93" s="2139"/>
      <c r="K93" s="2137"/>
      <c r="L93" s="2138">
        <f t="shared" si="17"/>
        <v>0</v>
      </c>
      <c r="M93" s="2167" t="str">
        <f t="shared" si="22"/>
        <v/>
      </c>
      <c r="N93" s="2166" t="s">
        <v>5659</v>
      </c>
      <c r="O93" s="2137"/>
      <c r="P93" s="2137"/>
      <c r="Q93" s="2138">
        <f t="shared" si="20"/>
        <v>0</v>
      </c>
      <c r="R93" s="2167" t="str">
        <f t="shared" si="23"/>
        <v/>
      </c>
    </row>
    <row r="94" spans="1:18" ht="14.25">
      <c r="A94" s="2165">
        <f t="shared" si="19"/>
        <v>88</v>
      </c>
      <c r="B94" s="2166" t="s">
        <v>5660</v>
      </c>
      <c r="C94" s="2137"/>
      <c r="D94" s="2137"/>
      <c r="E94" s="2138">
        <f t="shared" si="18"/>
        <v>0</v>
      </c>
      <c r="F94" s="2167" t="str">
        <f t="shared" si="21"/>
        <v/>
      </c>
      <c r="G94" s="2137"/>
      <c r="H94" s="2138">
        <f t="shared" si="16"/>
        <v>0</v>
      </c>
      <c r="I94" s="2137"/>
      <c r="J94" s="2139"/>
      <c r="K94" s="2137"/>
      <c r="L94" s="2138">
        <f t="shared" si="17"/>
        <v>0</v>
      </c>
      <c r="M94" s="2167" t="str">
        <f t="shared" si="22"/>
        <v/>
      </c>
      <c r="N94" s="2166" t="s">
        <v>5661</v>
      </c>
      <c r="O94" s="2137"/>
      <c r="P94" s="2137"/>
      <c r="Q94" s="2138">
        <f t="shared" si="20"/>
        <v>0</v>
      </c>
      <c r="R94" s="2167" t="str">
        <f t="shared" si="23"/>
        <v/>
      </c>
    </row>
    <row r="95" spans="1:18" ht="14.25">
      <c r="A95" s="2165">
        <f t="shared" si="19"/>
        <v>89</v>
      </c>
      <c r="B95" s="2166" t="s">
        <v>5662</v>
      </c>
      <c r="C95" s="2137"/>
      <c r="D95" s="2137"/>
      <c r="E95" s="2138">
        <f t="shared" si="18"/>
        <v>0</v>
      </c>
      <c r="F95" s="2167" t="str">
        <f t="shared" si="21"/>
        <v/>
      </c>
      <c r="G95" s="2137"/>
      <c r="H95" s="2138">
        <f t="shared" si="16"/>
        <v>0</v>
      </c>
      <c r="I95" s="2137"/>
      <c r="J95" s="2139"/>
      <c r="K95" s="2137"/>
      <c r="L95" s="2138">
        <f t="shared" si="17"/>
        <v>0</v>
      </c>
      <c r="M95" s="2167" t="str">
        <f t="shared" si="22"/>
        <v/>
      </c>
      <c r="N95" s="2174" t="s">
        <v>5663</v>
      </c>
      <c r="O95" s="2137"/>
      <c r="P95" s="2137"/>
      <c r="Q95" s="2138">
        <f t="shared" si="20"/>
        <v>0</v>
      </c>
      <c r="R95" s="2167" t="str">
        <f t="shared" si="23"/>
        <v/>
      </c>
    </row>
    <row r="96" spans="1:18" ht="14.25">
      <c r="A96" s="2165">
        <f t="shared" si="19"/>
        <v>90</v>
      </c>
      <c r="B96" s="2166" t="s">
        <v>5664</v>
      </c>
      <c r="C96" s="2137"/>
      <c r="D96" s="2137"/>
      <c r="E96" s="2138">
        <f t="shared" si="18"/>
        <v>0</v>
      </c>
      <c r="F96" s="2167" t="str">
        <f t="shared" si="21"/>
        <v/>
      </c>
      <c r="G96" s="2137"/>
      <c r="H96" s="2138">
        <f t="shared" si="16"/>
        <v>0</v>
      </c>
      <c r="I96" s="2137"/>
      <c r="J96" s="2139"/>
      <c r="K96" s="2137"/>
      <c r="L96" s="2138">
        <f t="shared" si="17"/>
        <v>0</v>
      </c>
      <c r="M96" s="2167" t="str">
        <f t="shared" si="22"/>
        <v/>
      </c>
      <c r="N96" s="2168" t="s">
        <v>5665</v>
      </c>
      <c r="O96" s="2138">
        <f>+O66+O72+O81+O86</f>
        <v>0</v>
      </c>
      <c r="P96" s="2138">
        <f>+P66+P72+P81+P86</f>
        <v>0</v>
      </c>
      <c r="Q96" s="2138">
        <f t="shared" si="20"/>
        <v>0</v>
      </c>
      <c r="R96" s="2167" t="str">
        <f t="shared" si="23"/>
        <v/>
      </c>
    </row>
    <row r="97" spans="1:18" ht="14.25">
      <c r="A97" s="2165">
        <f t="shared" si="19"/>
        <v>91</v>
      </c>
      <c r="B97" s="2166" t="s">
        <v>5666</v>
      </c>
      <c r="C97" s="2137"/>
      <c r="D97" s="2137"/>
      <c r="E97" s="2138">
        <f t="shared" si="18"/>
        <v>0</v>
      </c>
      <c r="F97" s="2167" t="str">
        <f t="shared" si="21"/>
        <v/>
      </c>
      <c r="G97" s="2137"/>
      <c r="H97" s="2138">
        <f t="shared" si="16"/>
        <v>0</v>
      </c>
      <c r="I97" s="2137"/>
      <c r="J97" s="2139"/>
      <c r="K97" s="2137"/>
      <c r="L97" s="2138">
        <f t="shared" si="17"/>
        <v>0</v>
      </c>
      <c r="M97" s="2167" t="str">
        <f t="shared" si="22"/>
        <v/>
      </c>
      <c r="N97" s="2168" t="s">
        <v>5667</v>
      </c>
      <c r="O97" s="2137"/>
      <c r="P97" s="2137"/>
      <c r="Q97" s="2138">
        <f t="shared" si="20"/>
        <v>0</v>
      </c>
      <c r="R97" s="2167" t="str">
        <f t="shared" si="23"/>
        <v/>
      </c>
    </row>
    <row r="98" spans="1:18" ht="14.25">
      <c r="A98" s="2165">
        <f t="shared" si="19"/>
        <v>92</v>
      </c>
      <c r="B98" s="2166" t="s">
        <v>5668</v>
      </c>
      <c r="C98" s="2138">
        <f>SUM(C99:C100)</f>
        <v>0</v>
      </c>
      <c r="D98" s="2138">
        <f>SUM(D99:D100)</f>
        <v>0</v>
      </c>
      <c r="E98" s="2138">
        <f>SUM(C98:D98)</f>
        <v>0</v>
      </c>
      <c r="F98" s="2167" t="str">
        <f t="shared" si="21"/>
        <v/>
      </c>
      <c r="G98" s="2138">
        <f>SUM(G99:G100)</f>
        <v>0</v>
      </c>
      <c r="H98" s="2138">
        <f>+E98-G98</f>
        <v>0</v>
      </c>
      <c r="I98" s="2137"/>
      <c r="J98" s="2139"/>
      <c r="K98" s="2137"/>
      <c r="L98" s="2138">
        <f t="shared" si="17"/>
        <v>0</v>
      </c>
      <c r="M98" s="2167" t="str">
        <f t="shared" si="22"/>
        <v/>
      </c>
      <c r="N98" s="2168" t="s">
        <v>5669</v>
      </c>
      <c r="O98" s="2138">
        <f>+G104</f>
        <v>0</v>
      </c>
      <c r="P98" s="2137"/>
      <c r="Q98" s="2138">
        <f t="shared" si="20"/>
        <v>0</v>
      </c>
      <c r="R98" s="2167" t="str">
        <f t="shared" si="23"/>
        <v/>
      </c>
    </row>
    <row r="99" spans="1:18" ht="14.25">
      <c r="A99" s="2165">
        <f t="shared" si="19"/>
        <v>93</v>
      </c>
      <c r="B99" s="2166" t="s">
        <v>5670</v>
      </c>
      <c r="C99" s="2137"/>
      <c r="D99" s="2137"/>
      <c r="E99" s="2138">
        <f t="shared" si="18"/>
        <v>0</v>
      </c>
      <c r="F99" s="2167" t="str">
        <f t="shared" si="21"/>
        <v/>
      </c>
      <c r="G99" s="2137"/>
      <c r="H99" s="2138">
        <f t="shared" si="16"/>
        <v>0</v>
      </c>
      <c r="I99" s="2137"/>
      <c r="J99" s="2139"/>
      <c r="K99" s="2137"/>
      <c r="L99" s="2138">
        <f t="shared" si="17"/>
        <v>0</v>
      </c>
      <c r="M99" s="2167" t="str">
        <f t="shared" si="22"/>
        <v/>
      </c>
      <c r="N99" s="2168" t="s">
        <v>5671</v>
      </c>
      <c r="O99" s="2137"/>
      <c r="P99" s="2137"/>
      <c r="Q99" s="2138">
        <f t="shared" si="20"/>
        <v>0</v>
      </c>
      <c r="R99" s="2167" t="str">
        <f t="shared" si="23"/>
        <v/>
      </c>
    </row>
    <row r="100" spans="1:18" ht="14.25">
      <c r="A100" s="2165">
        <f t="shared" si="19"/>
        <v>94</v>
      </c>
      <c r="B100" s="2166" t="s">
        <v>5672</v>
      </c>
      <c r="C100" s="2137"/>
      <c r="D100" s="2137"/>
      <c r="E100" s="2138">
        <f t="shared" si="18"/>
        <v>0</v>
      </c>
      <c r="F100" s="2167" t="str">
        <f t="shared" si="21"/>
        <v/>
      </c>
      <c r="G100" s="2137"/>
      <c r="H100" s="2138">
        <f t="shared" si="16"/>
        <v>0</v>
      </c>
      <c r="I100" s="2137"/>
      <c r="J100" s="2139"/>
      <c r="K100" s="2137"/>
      <c r="L100" s="2138">
        <f t="shared" si="17"/>
        <v>0</v>
      </c>
      <c r="M100" s="2167" t="str">
        <f t="shared" si="22"/>
        <v/>
      </c>
      <c r="N100" s="2168"/>
      <c r="O100" s="2137"/>
      <c r="P100" s="2137"/>
      <c r="Q100" s="2138">
        <f t="shared" si="20"/>
        <v>0</v>
      </c>
      <c r="R100" s="2167" t="str">
        <f t="shared" si="23"/>
        <v/>
      </c>
    </row>
    <row r="101" spans="1:18" ht="14.25">
      <c r="A101" s="2165">
        <f t="shared" si="19"/>
        <v>95</v>
      </c>
      <c r="B101" s="2166"/>
      <c r="C101" s="2137"/>
      <c r="D101" s="2137"/>
      <c r="E101" s="2137"/>
      <c r="F101" s="2139"/>
      <c r="G101" s="2137"/>
      <c r="H101" s="2137"/>
      <c r="I101" s="2137"/>
      <c r="J101" s="2139"/>
      <c r="K101" s="2137"/>
      <c r="L101" s="2137"/>
      <c r="M101" s="2139"/>
      <c r="N101" s="2168" t="s">
        <v>5673</v>
      </c>
      <c r="O101" s="2138">
        <f>+O96-O97-O98+O99</f>
        <v>0</v>
      </c>
      <c r="P101" s="2138">
        <f>+P96-P97-P98+P99</f>
        <v>0</v>
      </c>
      <c r="Q101" s="2138">
        <f t="shared" si="20"/>
        <v>0</v>
      </c>
      <c r="R101" s="2167" t="str">
        <f t="shared" si="23"/>
        <v/>
      </c>
    </row>
    <row r="102" spans="1:18">
      <c r="A102" s="2165">
        <f t="shared" si="19"/>
        <v>96</v>
      </c>
      <c r="B102" s="2166"/>
      <c r="C102" s="2137"/>
      <c r="D102" s="2137"/>
      <c r="E102" s="2137"/>
      <c r="F102" s="2139"/>
      <c r="G102" s="2137"/>
      <c r="H102" s="2137"/>
      <c r="I102" s="2137"/>
      <c r="J102" s="2139"/>
      <c r="K102" s="2137"/>
      <c r="L102" s="2137"/>
      <c r="M102" s="2139"/>
      <c r="N102" s="2168"/>
      <c r="O102" s="2137"/>
      <c r="P102" s="2137"/>
      <c r="Q102" s="2137"/>
      <c r="R102" s="2139"/>
    </row>
    <row r="103" spans="1:18" ht="14.25">
      <c r="A103" s="2165">
        <f t="shared" si="19"/>
        <v>97</v>
      </c>
      <c r="B103" s="2166"/>
      <c r="C103" s="2137"/>
      <c r="D103" s="2137"/>
      <c r="E103" s="2137"/>
      <c r="F103" s="2139"/>
      <c r="G103" s="2137"/>
      <c r="H103" s="2137"/>
      <c r="I103" s="2137"/>
      <c r="J103" s="2139"/>
      <c r="K103" s="2137"/>
      <c r="L103" s="2137"/>
      <c r="M103" s="2175"/>
      <c r="N103" s="2168" t="s">
        <v>5674</v>
      </c>
      <c r="O103" s="2138">
        <f>+O96+O63</f>
        <v>0</v>
      </c>
      <c r="P103" s="2137"/>
      <c r="Q103" s="2138">
        <f t="shared" si="20"/>
        <v>0</v>
      </c>
      <c r="R103" s="2167" t="str">
        <f>IF(AND(P103=0,OR(O103&gt;0,O103&lt;0)),+Q103/Q103,IFERROR(+Q103/P103,""))</f>
        <v/>
      </c>
    </row>
    <row r="104" spans="1:18" ht="14.25">
      <c r="A104" s="2165">
        <f t="shared" si="19"/>
        <v>98</v>
      </c>
      <c r="B104" s="2168" t="s">
        <v>5675</v>
      </c>
      <c r="C104" s="2138">
        <f>+C98+C87+C86+C81+C73+C63+C58+C57+C56+C55+C54+C53+C43+C33+C22+C21+C20+C19+C7+C6</f>
        <v>0</v>
      </c>
      <c r="D104" s="2138">
        <f>+D98+D87+D86+D81+D73+D63+D58+D57+D56+D55+D54+D53+D43+D33+D22+D21+D20+D19+D7+D6</f>
        <v>0</v>
      </c>
      <c r="E104" s="2138">
        <f>+E98+E87+E86+E81+E73+E63+E58+E57+E56+E55+E54+E53+E43+E33+E22+E21+E20+E19+E7+E6</f>
        <v>0</v>
      </c>
      <c r="F104" s="2167" t="str">
        <f>IF(C104=0,"",IFERROR(+E104/$E$104,""))</f>
        <v/>
      </c>
      <c r="G104" s="2138">
        <f>+G98+G87+G86+G81+G73+G63+G58+G57+G56+G55+G54+G53+G43+G33+G22+G21+G20+G19+G7+G6</f>
        <v>0</v>
      </c>
      <c r="H104" s="2138">
        <f>+H98+H87+H86+H81+H73+H63+H58+H57+H56+H55+H54+H53+H43+H33+H22+H21+H20+H19+H7+H6</f>
        <v>0</v>
      </c>
      <c r="I104" s="2137"/>
      <c r="J104" s="2139"/>
      <c r="K104" s="2137"/>
      <c r="L104" s="2138">
        <f>+E104-I104</f>
        <v>0</v>
      </c>
      <c r="M104" s="2167" t="str">
        <f>IF(AND(I104=0,OR(E104&gt;0,E104&lt;0)),+L104/L104,IFERROR(+L104/I104,""))</f>
        <v/>
      </c>
      <c r="N104" s="2168" t="s">
        <v>5676</v>
      </c>
      <c r="O104" s="2138">
        <f>+O101+O64</f>
        <v>0</v>
      </c>
      <c r="P104" s="2138">
        <f>+P101+P64</f>
        <v>0</v>
      </c>
      <c r="Q104" s="2138">
        <f t="shared" si="20"/>
        <v>0</v>
      </c>
      <c r="R104" s="2167" t="str">
        <f>IF(AND(P104=0,OR(O104&gt;0,O104&lt;0)),+Q104/Q104,IFERROR(+Q104/P104,""))</f>
        <v/>
      </c>
    </row>
    <row r="105" spans="1:18">
      <c r="B105" s="2177"/>
      <c r="C105" s="2177"/>
      <c r="D105" s="2177"/>
      <c r="E105" s="2177"/>
      <c r="F105" s="2177"/>
      <c r="G105" s="2157"/>
      <c r="H105" s="2157"/>
      <c r="I105" s="2157"/>
      <c r="J105" s="2157"/>
      <c r="K105" s="2157"/>
      <c r="L105" s="2157"/>
      <c r="M105" s="2157"/>
      <c r="N105" s="2177"/>
    </row>
    <row r="106" spans="1:18" ht="14.25">
      <c r="A106" s="2177" t="s">
        <v>5488</v>
      </c>
      <c r="B106" s="2156"/>
      <c r="C106" s="2178"/>
      <c r="D106" s="2178"/>
      <c r="E106" s="2178"/>
      <c r="F106" s="2156"/>
      <c r="G106" s="2156"/>
      <c r="H106" s="2156"/>
      <c r="I106" s="2156"/>
      <c r="J106" s="2156"/>
      <c r="K106" s="2156"/>
      <c r="L106" s="2156"/>
      <c r="M106" s="2156"/>
      <c r="N106" s="2156"/>
    </row>
    <row r="107" spans="1:18" ht="14.25">
      <c r="A107" s="2179">
        <v>1</v>
      </c>
      <c r="B107" s="2156" t="s">
        <v>5677</v>
      </c>
      <c r="C107" s="2178"/>
      <c r="D107" s="2178"/>
      <c r="E107" s="2178"/>
      <c r="F107" s="2178"/>
      <c r="G107" s="2178"/>
      <c r="H107" s="2178"/>
      <c r="I107" s="2156"/>
      <c r="J107" s="2156"/>
      <c r="K107" s="2156"/>
      <c r="L107" s="2156"/>
      <c r="M107" s="2156"/>
      <c r="N107" s="2156"/>
    </row>
    <row r="108" spans="1:18" ht="14.25">
      <c r="A108" s="2179">
        <v>2</v>
      </c>
      <c r="B108" s="2156" t="s">
        <v>5678</v>
      </c>
      <c r="C108" s="2178"/>
      <c r="D108" s="2178"/>
      <c r="E108" s="2178"/>
      <c r="F108" s="2156"/>
      <c r="G108" s="2156"/>
      <c r="H108" s="2156"/>
      <c r="I108" s="2156"/>
      <c r="J108" s="2156"/>
      <c r="K108" s="2156"/>
      <c r="L108" s="2156"/>
      <c r="M108" s="2156"/>
      <c r="N108" s="2156"/>
    </row>
    <row r="109" spans="1:18" ht="14.25">
      <c r="A109" s="2179">
        <v>3</v>
      </c>
      <c r="B109" s="2155" t="s">
        <v>5679</v>
      </c>
      <c r="G109" s="2156"/>
      <c r="H109" s="2156"/>
    </row>
    <row r="110" spans="1:18" ht="14.25">
      <c r="A110" s="2179">
        <v>4</v>
      </c>
      <c r="B110" s="2155" t="s">
        <v>5680</v>
      </c>
      <c r="G110" s="2156"/>
      <c r="H110" s="2156"/>
    </row>
    <row r="111" spans="1:18" ht="14.25">
      <c r="A111" s="2176">
        <v>5</v>
      </c>
      <c r="B111" s="2155" t="s">
        <v>5681</v>
      </c>
      <c r="C111" s="1626"/>
      <c r="D111" s="1626"/>
      <c r="E111" s="1626"/>
    </row>
  </sheetData>
  <mergeCells count="8">
    <mergeCell ref="A3:A5"/>
    <mergeCell ref="P2:R2"/>
    <mergeCell ref="Q3:R3"/>
    <mergeCell ref="B3:B4"/>
    <mergeCell ref="N3:N4"/>
    <mergeCell ref="C3:H3"/>
    <mergeCell ref="I3:K3"/>
    <mergeCell ref="L3:M3"/>
  </mergeCells>
  <phoneticPr fontId="7" type="noConversion"/>
  <pageMargins left="0" right="0" top="0" bottom="0" header="0" footer="0"/>
  <pageSetup paperSize="9" scale="3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6">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37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21.4" customHeight="1">
      <c r="A2" s="472" t="s">
        <v>316</v>
      </c>
      <c r="F2" s="474"/>
      <c r="G2" s="474"/>
      <c r="H2" s="474"/>
      <c r="I2" s="474"/>
      <c r="O2" s="475" t="s">
        <v>127</v>
      </c>
    </row>
    <row r="3" spans="1:16" ht="30.4" customHeight="1">
      <c r="A3" s="3435" t="s">
        <v>94</v>
      </c>
      <c r="B3" s="3438" t="s">
        <v>255</v>
      </c>
      <c r="C3" s="3438"/>
      <c r="D3" s="477" t="s">
        <v>317</v>
      </c>
      <c r="E3" s="477"/>
      <c r="F3" s="477"/>
      <c r="G3" s="477"/>
      <c r="H3" s="477"/>
      <c r="I3" s="477"/>
      <c r="J3" s="477"/>
      <c r="K3" s="477"/>
      <c r="L3" s="3489" t="s">
        <v>318</v>
      </c>
      <c r="M3" s="3490"/>
      <c r="N3" s="3439" t="s">
        <v>319</v>
      </c>
      <c r="O3" s="3439" t="s">
        <v>320</v>
      </c>
      <c r="P3" s="478" t="s">
        <v>198</v>
      </c>
    </row>
    <row r="4" spans="1:16" ht="28.5" customHeight="1">
      <c r="A4" s="3436"/>
      <c r="B4" s="479" t="s">
        <v>133</v>
      </c>
      <c r="C4" s="479" t="s">
        <v>134</v>
      </c>
      <c r="D4" s="480" t="s">
        <v>215</v>
      </c>
      <c r="E4" s="480" t="s">
        <v>216</v>
      </c>
      <c r="F4" s="480" t="s">
        <v>217</v>
      </c>
      <c r="G4" s="481" t="s">
        <v>218</v>
      </c>
      <c r="H4" s="480" t="s">
        <v>219</v>
      </c>
      <c r="I4" s="481" t="s">
        <v>220</v>
      </c>
      <c r="J4" s="480" t="s">
        <v>321</v>
      </c>
      <c r="K4" s="481" t="s">
        <v>138</v>
      </c>
      <c r="L4" s="480" t="s">
        <v>322</v>
      </c>
      <c r="M4" s="480" t="s">
        <v>323</v>
      </c>
      <c r="N4" s="3488"/>
      <c r="O4" s="3488"/>
      <c r="P4" s="480"/>
    </row>
    <row r="5" spans="1:16" ht="45" customHeight="1">
      <c r="A5" s="3437"/>
      <c r="B5" s="482" t="s">
        <v>103</v>
      </c>
      <c r="C5" s="482" t="s">
        <v>423</v>
      </c>
      <c r="D5" s="482" t="s">
        <v>171</v>
      </c>
      <c r="E5" s="482" t="s">
        <v>172</v>
      </c>
      <c r="F5" s="482" t="s">
        <v>173</v>
      </c>
      <c r="G5" s="482" t="s">
        <v>174</v>
      </c>
      <c r="H5" s="482" t="s">
        <v>175</v>
      </c>
      <c r="I5" s="482" t="s">
        <v>176</v>
      </c>
      <c r="J5" s="482" t="s">
        <v>177</v>
      </c>
      <c r="K5" s="483" t="s">
        <v>472</v>
      </c>
      <c r="L5" s="483" t="s">
        <v>467</v>
      </c>
      <c r="M5" s="483" t="s">
        <v>463</v>
      </c>
      <c r="N5" s="483" t="s">
        <v>473</v>
      </c>
      <c r="O5" s="483" t="s">
        <v>469</v>
      </c>
      <c r="P5" s="482" t="s">
        <v>470</v>
      </c>
    </row>
    <row r="6" spans="1:16">
      <c r="A6" s="476">
        <v>1</v>
      </c>
      <c r="B6" s="484"/>
      <c r="C6" s="484"/>
      <c r="D6" s="485"/>
      <c r="E6" s="485"/>
      <c r="F6" s="486"/>
      <c r="G6" s="487"/>
      <c r="H6" s="487"/>
      <c r="I6" s="487"/>
      <c r="J6" s="485"/>
      <c r="K6" s="485"/>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90"/>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1" t="s">
        <v>464</v>
      </c>
      <c r="C25" s="344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c r="A27" s="496">
        <v>1</v>
      </c>
      <c r="B27" s="3444" t="s">
        <v>474</v>
      </c>
      <c r="C27" s="3444"/>
      <c r="D27" s="3444"/>
      <c r="E27" s="3444"/>
      <c r="F27" s="3444"/>
      <c r="G27" s="3444"/>
      <c r="H27" s="3444"/>
      <c r="I27" s="3444"/>
      <c r="J27" s="3444"/>
      <c r="K27" s="3444"/>
      <c r="L27" s="3487"/>
      <c r="M27" s="3487"/>
      <c r="N27" s="3487"/>
      <c r="O27" s="3487"/>
      <c r="P27" s="493"/>
      <c r="Q27" s="493"/>
      <c r="R27" s="492"/>
      <c r="S27" s="494"/>
      <c r="T27" s="494"/>
      <c r="U27" s="494"/>
      <c r="V27" s="494"/>
      <c r="W27" s="494"/>
      <c r="X27" s="494"/>
      <c r="Y27" s="494"/>
      <c r="Z27" s="494"/>
      <c r="AA27" s="494"/>
      <c r="AB27" s="494"/>
      <c r="AC27" s="494"/>
      <c r="AD27" s="494"/>
      <c r="AE27" s="494"/>
    </row>
    <row r="28" spans="1:31">
      <c r="B28" s="3485"/>
      <c r="C28" s="3486"/>
      <c r="D28" s="3486"/>
      <c r="E28" s="3486"/>
      <c r="F28" s="3486"/>
      <c r="G28" s="3486"/>
      <c r="H28" s="3486"/>
      <c r="I28" s="3486"/>
      <c r="J28" s="3486"/>
      <c r="K28" s="3486"/>
      <c r="L28" s="3486"/>
      <c r="M28" s="3486"/>
      <c r="N28" s="3486"/>
      <c r="O28" s="3486"/>
      <c r="P28" s="3486"/>
      <c r="Q28" s="3486"/>
      <c r="R28" s="3486"/>
      <c r="S28" s="3486"/>
    </row>
    <row r="29" spans="1:31">
      <c r="B29" s="3485"/>
      <c r="C29" s="3486"/>
      <c r="D29" s="3486"/>
      <c r="E29" s="3486"/>
      <c r="F29" s="3486"/>
      <c r="G29" s="3486"/>
      <c r="H29" s="3486"/>
      <c r="I29" s="3486"/>
      <c r="J29" s="3486"/>
      <c r="K29" s="3486"/>
      <c r="L29" s="3486"/>
      <c r="M29" s="3486"/>
      <c r="N29" s="3486"/>
      <c r="O29" s="3486"/>
      <c r="P29" s="3486"/>
      <c r="Q29" s="3486"/>
      <c r="R29" s="3486"/>
      <c r="S29" s="3486"/>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O3:O4"/>
    <mergeCell ref="L3:M3"/>
    <mergeCell ref="B29:S29"/>
    <mergeCell ref="A3:A5"/>
    <mergeCell ref="B3:C3"/>
    <mergeCell ref="B25:C25"/>
    <mergeCell ref="B28:S28"/>
    <mergeCell ref="N3:N4"/>
    <mergeCell ref="B27:O27"/>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5">
    <pageSetUpPr fitToPage="1"/>
  </sheetPr>
  <dimension ref="A1:AO45"/>
  <sheetViews>
    <sheetView showGridLines="0" workbookViewId="0"/>
  </sheetViews>
  <sheetFormatPr defaultRowHeight="14.25"/>
  <cols>
    <col min="1" max="1" width="4.125" style="926" customWidth="1"/>
    <col min="2" max="2" width="24.125" style="926" customWidth="1"/>
    <col min="3" max="3" width="9.625" style="926" customWidth="1"/>
    <col min="4" max="4" width="11.5" style="926" customWidth="1"/>
    <col min="5" max="5" width="6.875" style="926" customWidth="1"/>
    <col min="6" max="6" width="9.625" style="926" customWidth="1"/>
    <col min="7" max="7" width="11.625" style="926" customWidth="1"/>
    <col min="8" max="9" width="9.625" style="926" customWidth="1"/>
    <col min="10" max="10" width="11.625" style="926" customWidth="1"/>
    <col min="11" max="11" width="6.625" style="926" customWidth="1"/>
    <col min="12" max="12" width="9.625" style="926" customWidth="1"/>
    <col min="13" max="13" width="11.625" style="926" customWidth="1"/>
    <col min="14" max="15" width="9.625" style="926" customWidth="1"/>
    <col min="16" max="16384" width="9" style="926"/>
  </cols>
  <sheetData>
    <row r="1" spans="1:41" ht="16.5">
      <c r="A1" s="924" t="str">
        <f>+封面!A3&amp;" "&amp;封面!A2</f>
        <v xml:space="preserve">        保險股份有限公司(○○分公司) 年度(月、季、半年)報表</v>
      </c>
    </row>
    <row r="2" spans="1:41">
      <c r="A2" s="927" t="s">
        <v>594</v>
      </c>
      <c r="B2" s="928"/>
      <c r="C2" s="928"/>
      <c r="O2" s="929" t="s">
        <v>117</v>
      </c>
    </row>
    <row r="3" spans="1:41" ht="14.1" customHeight="1">
      <c r="A3" s="3493" t="s">
        <v>118</v>
      </c>
      <c r="B3" s="3495" t="s">
        <v>119</v>
      </c>
      <c r="C3" s="3497" t="s">
        <v>99</v>
      </c>
      <c r="D3" s="3498"/>
      <c r="E3" s="3498"/>
      <c r="F3" s="3498"/>
      <c r="G3" s="3498"/>
      <c r="H3" s="3498"/>
      <c r="I3" s="3497" t="s">
        <v>100</v>
      </c>
      <c r="J3" s="3498"/>
      <c r="K3" s="3498"/>
      <c r="L3" s="3498"/>
      <c r="M3" s="3498"/>
      <c r="N3" s="3498"/>
      <c r="O3" s="3491" t="s">
        <v>120</v>
      </c>
    </row>
    <row r="4" spans="1:41" ht="45.75" customHeight="1">
      <c r="A4" s="3493"/>
      <c r="B4" s="3495"/>
      <c r="C4" s="930" t="s">
        <v>101</v>
      </c>
      <c r="D4" s="931" t="s">
        <v>121</v>
      </c>
      <c r="E4" s="931" t="s">
        <v>211</v>
      </c>
      <c r="F4" s="930" t="s">
        <v>122</v>
      </c>
      <c r="G4" s="930" t="s">
        <v>123</v>
      </c>
      <c r="H4" s="931" t="s">
        <v>124</v>
      </c>
      <c r="I4" s="930" t="s">
        <v>101</v>
      </c>
      <c r="J4" s="931" t="s">
        <v>121</v>
      </c>
      <c r="K4" s="931" t="s">
        <v>211</v>
      </c>
      <c r="L4" s="930" t="s">
        <v>122</v>
      </c>
      <c r="M4" s="930" t="s">
        <v>123</v>
      </c>
      <c r="N4" s="931" t="s">
        <v>124</v>
      </c>
      <c r="O4" s="3492"/>
    </row>
    <row r="5" spans="1:41">
      <c r="A5" s="3494"/>
      <c r="B5" s="3496"/>
      <c r="C5" s="932" t="s">
        <v>212</v>
      </c>
      <c r="D5" s="932" t="s">
        <v>423</v>
      </c>
      <c r="E5" s="932" t="s">
        <v>171</v>
      </c>
      <c r="F5" s="932" t="s">
        <v>172</v>
      </c>
      <c r="G5" s="932" t="s">
        <v>173</v>
      </c>
      <c r="H5" s="932" t="s">
        <v>174</v>
      </c>
      <c r="I5" s="932" t="s">
        <v>175</v>
      </c>
      <c r="J5" s="932" t="s">
        <v>176</v>
      </c>
      <c r="K5" s="932" t="s">
        <v>177</v>
      </c>
      <c r="L5" s="932" t="s">
        <v>178</v>
      </c>
      <c r="M5" s="932" t="s">
        <v>179</v>
      </c>
      <c r="N5" s="932" t="s">
        <v>180</v>
      </c>
      <c r="O5" s="932" t="s">
        <v>416</v>
      </c>
    </row>
    <row r="6" spans="1:41" s="940" customFormat="1">
      <c r="A6" s="933">
        <v>1</v>
      </c>
      <c r="B6" s="934" t="s">
        <v>199</v>
      </c>
      <c r="C6" s="935"/>
      <c r="D6" s="935"/>
      <c r="E6" s="936"/>
      <c r="F6" s="935"/>
      <c r="G6" s="935"/>
      <c r="H6" s="937"/>
      <c r="I6" s="938"/>
      <c r="J6" s="935"/>
      <c r="K6" s="936"/>
      <c r="L6" s="938"/>
      <c r="M6" s="935"/>
      <c r="N6" s="937"/>
      <c r="O6" s="939"/>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row>
    <row r="7" spans="1:41" s="941" customFormat="1">
      <c r="A7" s="933">
        <v>2</v>
      </c>
      <c r="B7" s="934" t="s">
        <v>200</v>
      </c>
      <c r="C7" s="935"/>
      <c r="D7" s="935"/>
      <c r="E7" s="936"/>
      <c r="F7" s="935"/>
      <c r="G7" s="935"/>
      <c r="H7" s="937"/>
      <c r="I7" s="938"/>
      <c r="J7" s="935"/>
      <c r="K7" s="936"/>
      <c r="L7" s="938"/>
      <c r="M7" s="935"/>
      <c r="N7" s="937"/>
      <c r="O7" s="939"/>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row>
    <row r="8" spans="1:41" s="941" customFormat="1">
      <c r="A8" s="933">
        <v>3</v>
      </c>
      <c r="B8" s="934" t="s">
        <v>201</v>
      </c>
      <c r="C8" s="935"/>
      <c r="D8" s="935"/>
      <c r="E8" s="936"/>
      <c r="F8" s="935"/>
      <c r="G8" s="935"/>
      <c r="H8" s="937"/>
      <c r="I8" s="938"/>
      <c r="J8" s="935"/>
      <c r="K8" s="936"/>
      <c r="L8" s="938"/>
      <c r="M8" s="935"/>
      <c r="N8" s="937"/>
      <c r="O8" s="939"/>
      <c r="P8" s="926"/>
      <c r="Q8" s="926"/>
      <c r="R8" s="926"/>
      <c r="S8" s="926"/>
      <c r="T8" s="926"/>
      <c r="U8" s="926"/>
      <c r="V8" s="926"/>
      <c r="W8" s="926"/>
      <c r="X8" s="926"/>
      <c r="Y8" s="926"/>
      <c r="Z8" s="926"/>
      <c r="AA8" s="926"/>
      <c r="AB8" s="926"/>
      <c r="AC8" s="926"/>
      <c r="AD8" s="926"/>
      <c r="AE8" s="926"/>
      <c r="AF8" s="926"/>
      <c r="AG8" s="926"/>
      <c r="AH8" s="926"/>
      <c r="AI8" s="926"/>
      <c r="AJ8" s="926"/>
      <c r="AK8" s="926"/>
      <c r="AL8" s="926"/>
      <c r="AM8" s="926"/>
      <c r="AN8" s="926"/>
      <c r="AO8" s="926"/>
    </row>
    <row r="9" spans="1:41" s="941" customFormat="1">
      <c r="A9" s="933">
        <v>4</v>
      </c>
      <c r="B9" s="934" t="s">
        <v>188</v>
      </c>
      <c r="C9" s="935"/>
      <c r="D9" s="935"/>
      <c r="E9" s="936"/>
      <c r="F9" s="935"/>
      <c r="G9" s="935"/>
      <c r="H9" s="937"/>
      <c r="I9" s="938"/>
      <c r="J9" s="935"/>
      <c r="K9" s="936"/>
      <c r="L9" s="938"/>
      <c r="M9" s="935"/>
      <c r="N9" s="937"/>
      <c r="O9" s="939"/>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row>
    <row r="10" spans="1:41" s="941" customFormat="1">
      <c r="A10" s="933">
        <v>5</v>
      </c>
      <c r="B10" s="934" t="s">
        <v>189</v>
      </c>
      <c r="C10" s="935"/>
      <c r="D10" s="935"/>
      <c r="E10" s="936"/>
      <c r="F10" s="935"/>
      <c r="G10" s="935"/>
      <c r="H10" s="937"/>
      <c r="I10" s="938"/>
      <c r="J10" s="935"/>
      <c r="K10" s="936"/>
      <c r="L10" s="938"/>
      <c r="M10" s="935"/>
      <c r="N10" s="937"/>
      <c r="O10" s="939"/>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row>
    <row r="11" spans="1:41" s="941" customFormat="1">
      <c r="A11" s="933">
        <v>6</v>
      </c>
      <c r="B11" s="934" t="s">
        <v>190</v>
      </c>
      <c r="C11" s="935"/>
      <c r="D11" s="935"/>
      <c r="E11" s="936"/>
      <c r="F11" s="935"/>
      <c r="G11" s="935"/>
      <c r="H11" s="937"/>
      <c r="I11" s="938"/>
      <c r="J11" s="935"/>
      <c r="K11" s="936"/>
      <c r="L11" s="938"/>
      <c r="M11" s="935"/>
      <c r="N11" s="937"/>
      <c r="O11" s="939"/>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row>
    <row r="12" spans="1:41" s="941" customFormat="1">
      <c r="A12" s="933">
        <v>7</v>
      </c>
      <c r="B12" s="934" t="s">
        <v>182</v>
      </c>
      <c r="C12" s="935"/>
      <c r="D12" s="935"/>
      <c r="E12" s="936"/>
      <c r="F12" s="935"/>
      <c r="G12" s="935"/>
      <c r="H12" s="937"/>
      <c r="I12" s="938"/>
      <c r="J12" s="935"/>
      <c r="K12" s="936"/>
      <c r="L12" s="938"/>
      <c r="M12" s="935"/>
      <c r="N12" s="937"/>
      <c r="O12" s="939"/>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row>
    <row r="13" spans="1:41" s="941" customFormat="1">
      <c r="A13" s="933">
        <v>8</v>
      </c>
      <c r="B13" s="934" t="s">
        <v>183</v>
      </c>
      <c r="C13" s="935"/>
      <c r="D13" s="935"/>
      <c r="E13" s="936"/>
      <c r="F13" s="935"/>
      <c r="G13" s="935"/>
      <c r="H13" s="937"/>
      <c r="I13" s="938"/>
      <c r="J13" s="935"/>
      <c r="K13" s="936"/>
      <c r="L13" s="938"/>
      <c r="M13" s="935"/>
      <c r="N13" s="937"/>
      <c r="O13" s="939"/>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row>
    <row r="14" spans="1:41" s="941" customFormat="1">
      <c r="A14" s="933">
        <v>9</v>
      </c>
      <c r="B14" s="934" t="s">
        <v>184</v>
      </c>
      <c r="C14" s="935"/>
      <c r="D14" s="935"/>
      <c r="E14" s="936"/>
      <c r="F14" s="935"/>
      <c r="G14" s="935"/>
      <c r="H14" s="937"/>
      <c r="I14" s="938"/>
      <c r="J14" s="935"/>
      <c r="K14" s="936"/>
      <c r="L14" s="938"/>
      <c r="M14" s="935"/>
      <c r="N14" s="937"/>
      <c r="O14" s="939"/>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row>
    <row r="15" spans="1:41">
      <c r="A15" s="933">
        <v>10</v>
      </c>
      <c r="B15" s="934" t="s">
        <v>185</v>
      </c>
      <c r="C15" s="935"/>
      <c r="D15" s="935"/>
      <c r="E15" s="936"/>
      <c r="F15" s="935"/>
      <c r="G15" s="935"/>
      <c r="H15" s="937"/>
      <c r="I15" s="938"/>
      <c r="J15" s="935"/>
      <c r="K15" s="936"/>
      <c r="L15" s="938"/>
      <c r="M15" s="935"/>
      <c r="N15" s="937"/>
      <c r="O15" s="939"/>
    </row>
    <row r="16" spans="1:41">
      <c r="A16" s="933">
        <v>11</v>
      </c>
      <c r="B16" s="934" t="s">
        <v>383</v>
      </c>
      <c r="C16" s="935"/>
      <c r="D16" s="935"/>
      <c r="E16" s="936"/>
      <c r="F16" s="935"/>
      <c r="G16" s="935"/>
      <c r="H16" s="937"/>
      <c r="I16" s="938"/>
      <c r="J16" s="935"/>
      <c r="K16" s="936"/>
      <c r="L16" s="938"/>
      <c r="M16" s="935"/>
      <c r="N16" s="937"/>
      <c r="O16" s="939"/>
    </row>
    <row r="17" spans="1:41" s="940" customFormat="1">
      <c r="A17" s="933">
        <v>12</v>
      </c>
      <c r="B17" s="934" t="s">
        <v>384</v>
      </c>
      <c r="C17" s="935"/>
      <c r="D17" s="935"/>
      <c r="E17" s="936"/>
      <c r="F17" s="935"/>
      <c r="G17" s="935"/>
      <c r="H17" s="937"/>
      <c r="I17" s="938"/>
      <c r="J17" s="935"/>
      <c r="K17" s="936"/>
      <c r="L17" s="938"/>
      <c r="M17" s="935"/>
      <c r="N17" s="937"/>
      <c r="O17" s="939"/>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row>
    <row r="18" spans="1:41" s="941" customFormat="1">
      <c r="A18" s="933">
        <v>13</v>
      </c>
      <c r="B18" s="934" t="s">
        <v>385</v>
      </c>
      <c r="C18" s="935"/>
      <c r="D18" s="935"/>
      <c r="E18" s="936"/>
      <c r="F18" s="935"/>
      <c r="G18" s="935"/>
      <c r="H18" s="937"/>
      <c r="I18" s="938"/>
      <c r="J18" s="935"/>
      <c r="K18" s="936"/>
      <c r="L18" s="938"/>
      <c r="M18" s="935"/>
      <c r="N18" s="937"/>
      <c r="O18" s="939"/>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row>
    <row r="19" spans="1:41" s="941" customFormat="1">
      <c r="A19" s="933">
        <v>14</v>
      </c>
      <c r="B19" s="934" t="s">
        <v>289</v>
      </c>
      <c r="C19" s="935"/>
      <c r="D19" s="935"/>
      <c r="E19" s="936"/>
      <c r="F19" s="935"/>
      <c r="G19" s="935"/>
      <c r="H19" s="937"/>
      <c r="I19" s="938"/>
      <c r="J19" s="935"/>
      <c r="K19" s="936"/>
      <c r="L19" s="938"/>
      <c r="M19" s="935"/>
      <c r="N19" s="937"/>
      <c r="O19" s="939"/>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row>
    <row r="20" spans="1:41" s="942" customFormat="1">
      <c r="A20" s="933">
        <v>15</v>
      </c>
      <c r="B20" s="934" t="s">
        <v>290</v>
      </c>
      <c r="C20" s="935"/>
      <c r="D20" s="935"/>
      <c r="E20" s="936"/>
      <c r="F20" s="935"/>
      <c r="G20" s="935"/>
      <c r="H20" s="937"/>
      <c r="I20" s="938"/>
      <c r="J20" s="935"/>
      <c r="K20" s="936"/>
      <c r="L20" s="938"/>
      <c r="M20" s="935"/>
      <c r="N20" s="937"/>
      <c r="O20" s="939"/>
      <c r="P20" s="926"/>
      <c r="Q20" s="926"/>
      <c r="R20" s="926"/>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row>
    <row r="21" spans="1:41">
      <c r="A21" s="933">
        <v>16</v>
      </c>
      <c r="B21" s="934" t="s">
        <v>291</v>
      </c>
      <c r="C21" s="935"/>
      <c r="D21" s="935"/>
      <c r="E21" s="936"/>
      <c r="F21" s="935"/>
      <c r="G21" s="935"/>
      <c r="H21" s="937"/>
      <c r="I21" s="938"/>
      <c r="J21" s="935"/>
      <c r="K21" s="936"/>
      <c r="L21" s="938"/>
      <c r="M21" s="935"/>
      <c r="N21" s="937"/>
      <c r="O21" s="939"/>
    </row>
    <row r="22" spans="1:41">
      <c r="A22" s="933">
        <v>17</v>
      </c>
      <c r="B22" s="934" t="s">
        <v>292</v>
      </c>
      <c r="C22" s="935"/>
      <c r="D22" s="935"/>
      <c r="E22" s="936"/>
      <c r="F22" s="935"/>
      <c r="G22" s="935"/>
      <c r="H22" s="937"/>
      <c r="I22" s="938"/>
      <c r="J22" s="935"/>
      <c r="K22" s="936"/>
      <c r="L22" s="938"/>
      <c r="M22" s="935"/>
      <c r="N22" s="937"/>
      <c r="O22" s="939"/>
    </row>
    <row r="23" spans="1:41">
      <c r="A23" s="933">
        <v>18</v>
      </c>
      <c r="B23" s="934" t="s">
        <v>293</v>
      </c>
      <c r="C23" s="935"/>
      <c r="D23" s="935"/>
      <c r="E23" s="936"/>
      <c r="F23" s="935"/>
      <c r="G23" s="935"/>
      <c r="H23" s="937"/>
      <c r="I23" s="938"/>
      <c r="J23" s="935"/>
      <c r="K23" s="936"/>
      <c r="L23" s="938"/>
      <c r="M23" s="935"/>
      <c r="N23" s="937"/>
      <c r="O23" s="939"/>
    </row>
    <row r="24" spans="1:41">
      <c r="A24" s="933">
        <v>19</v>
      </c>
      <c r="B24" s="934" t="s">
        <v>294</v>
      </c>
      <c r="C24" s="935"/>
      <c r="D24" s="935"/>
      <c r="E24" s="936"/>
      <c r="F24" s="935"/>
      <c r="G24" s="935"/>
      <c r="H24" s="937"/>
      <c r="I24" s="938"/>
      <c r="J24" s="935"/>
      <c r="K24" s="936"/>
      <c r="L24" s="938"/>
      <c r="M24" s="935"/>
      <c r="N24" s="937"/>
      <c r="O24" s="939"/>
    </row>
    <row r="25" spans="1:41">
      <c r="A25" s="933">
        <v>20</v>
      </c>
      <c r="B25" s="934" t="s">
        <v>295</v>
      </c>
      <c r="C25" s="935"/>
      <c r="D25" s="935"/>
      <c r="E25" s="936"/>
      <c r="F25" s="935"/>
      <c r="G25" s="935"/>
      <c r="H25" s="937"/>
      <c r="I25" s="938"/>
      <c r="J25" s="935"/>
      <c r="K25" s="936"/>
      <c r="L25" s="938"/>
      <c r="M25" s="935"/>
      <c r="N25" s="937"/>
      <c r="O25" s="939"/>
    </row>
    <row r="26" spans="1:41" ht="16.5">
      <c r="A26" s="933">
        <v>21</v>
      </c>
      <c r="B26" s="934" t="s">
        <v>205</v>
      </c>
      <c r="C26" s="935"/>
      <c r="D26" s="935"/>
      <c r="E26" s="936"/>
      <c r="F26" s="935"/>
      <c r="G26" s="935"/>
      <c r="H26" s="937"/>
      <c r="I26" s="938"/>
      <c r="J26" s="935"/>
      <c r="K26" s="936"/>
      <c r="L26" s="938"/>
      <c r="M26" s="935"/>
      <c r="N26" s="937"/>
      <c r="O26" s="939"/>
      <c r="AB26" s="943"/>
    </row>
    <row r="27" spans="1:41">
      <c r="A27" s="933">
        <v>22</v>
      </c>
      <c r="B27" s="934" t="s">
        <v>186</v>
      </c>
      <c r="C27" s="935"/>
      <c r="D27" s="935"/>
      <c r="E27" s="936"/>
      <c r="F27" s="935"/>
      <c r="G27" s="935"/>
      <c r="H27" s="937"/>
      <c r="I27" s="938"/>
      <c r="J27" s="935"/>
      <c r="K27" s="936"/>
      <c r="L27" s="938"/>
      <c r="M27" s="935"/>
      <c r="N27" s="937"/>
      <c r="O27" s="939"/>
    </row>
    <row r="28" spans="1:41">
      <c r="A28" s="933">
        <v>23</v>
      </c>
      <c r="B28" s="934" t="s">
        <v>187</v>
      </c>
      <c r="C28" s="935"/>
      <c r="D28" s="935"/>
      <c r="E28" s="936"/>
      <c r="F28" s="935"/>
      <c r="G28" s="935"/>
      <c r="H28" s="937"/>
      <c r="I28" s="938"/>
      <c r="J28" s="935"/>
      <c r="K28" s="936"/>
      <c r="L28" s="938"/>
      <c r="M28" s="935"/>
      <c r="N28" s="937"/>
      <c r="O28" s="939"/>
    </row>
    <row r="29" spans="1:41">
      <c r="A29" s="944">
        <v>24</v>
      </c>
      <c r="B29" s="934" t="s">
        <v>598</v>
      </c>
      <c r="C29" s="935"/>
      <c r="D29" s="935"/>
      <c r="E29" s="936"/>
      <c r="F29" s="935"/>
      <c r="G29" s="935"/>
      <c r="H29" s="937"/>
      <c r="I29" s="938"/>
      <c r="J29" s="935"/>
      <c r="K29" s="936"/>
      <c r="L29" s="938"/>
      <c r="M29" s="935"/>
      <c r="N29" s="937"/>
      <c r="O29" s="939"/>
    </row>
    <row r="30" spans="1:41" ht="13.15" customHeight="1">
      <c r="A30" s="933">
        <v>25</v>
      </c>
      <c r="B30" s="945" t="s">
        <v>206</v>
      </c>
      <c r="C30" s="935"/>
      <c r="D30" s="935"/>
      <c r="E30" s="936"/>
      <c r="F30" s="935"/>
      <c r="G30" s="935"/>
      <c r="H30" s="937"/>
      <c r="I30" s="938"/>
      <c r="J30" s="935"/>
      <c r="K30" s="936"/>
      <c r="L30" s="938"/>
      <c r="M30" s="935"/>
      <c r="N30" s="937"/>
      <c r="O30" s="939"/>
    </row>
    <row r="31" spans="1:41">
      <c r="A31" s="933">
        <v>26</v>
      </c>
      <c r="B31" s="934" t="s">
        <v>361</v>
      </c>
      <c r="C31" s="935"/>
      <c r="D31" s="935"/>
      <c r="E31" s="936"/>
      <c r="F31" s="935"/>
      <c r="G31" s="935"/>
      <c r="H31" s="937"/>
      <c r="I31" s="938"/>
      <c r="J31" s="935"/>
      <c r="K31" s="936"/>
      <c r="L31" s="938"/>
      <c r="M31" s="935"/>
      <c r="N31" s="937"/>
      <c r="O31" s="939"/>
    </row>
    <row r="32" spans="1:41">
      <c r="A32" s="933">
        <v>27</v>
      </c>
      <c r="B32" s="934" t="s">
        <v>362</v>
      </c>
      <c r="C32" s="935"/>
      <c r="D32" s="935"/>
      <c r="E32" s="936"/>
      <c r="F32" s="935"/>
      <c r="G32" s="935"/>
      <c r="H32" s="937"/>
      <c r="I32" s="938"/>
      <c r="J32" s="935"/>
      <c r="K32" s="936"/>
      <c r="L32" s="938"/>
      <c r="M32" s="935"/>
      <c r="N32" s="937"/>
      <c r="O32" s="939"/>
    </row>
    <row r="33" spans="1:41">
      <c r="A33" s="933">
        <v>28</v>
      </c>
      <c r="B33" s="934" t="s">
        <v>259</v>
      </c>
      <c r="C33" s="935"/>
      <c r="D33" s="935"/>
      <c r="E33" s="936"/>
      <c r="F33" s="935"/>
      <c r="G33" s="935"/>
      <c r="H33" s="937"/>
      <c r="I33" s="938"/>
      <c r="J33" s="935"/>
      <c r="K33" s="936"/>
      <c r="L33" s="938"/>
      <c r="M33" s="935"/>
      <c r="N33" s="937"/>
      <c r="O33" s="939"/>
    </row>
    <row r="34" spans="1:41">
      <c r="A34" s="933">
        <v>29</v>
      </c>
      <c r="B34" s="934" t="s">
        <v>366</v>
      </c>
      <c r="C34" s="935"/>
      <c r="D34" s="935"/>
      <c r="E34" s="936"/>
      <c r="F34" s="935"/>
      <c r="G34" s="935"/>
      <c r="H34" s="937"/>
      <c r="I34" s="938"/>
      <c r="J34" s="935"/>
      <c r="K34" s="936"/>
      <c r="L34" s="938"/>
      <c r="M34" s="935"/>
      <c r="N34" s="937"/>
      <c r="O34" s="939"/>
    </row>
    <row r="35" spans="1:41" s="955" customFormat="1" ht="16.5">
      <c r="A35" s="946">
        <v>30</v>
      </c>
      <c r="B35" s="947" t="s">
        <v>600</v>
      </c>
      <c r="C35" s="948"/>
      <c r="D35" s="948"/>
      <c r="E35" s="949"/>
      <c r="F35" s="950"/>
      <c r="G35" s="950"/>
      <c r="H35" s="951"/>
      <c r="I35" s="952"/>
      <c r="J35" s="950"/>
      <c r="K35" s="949"/>
      <c r="L35" s="952"/>
      <c r="M35" s="950"/>
      <c r="N35" s="951"/>
      <c r="O35" s="953"/>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row>
    <row r="36" spans="1:41" s="955" customFormat="1" ht="16.5">
      <c r="A36" s="956">
        <v>31</v>
      </c>
      <c r="B36" s="947" t="s">
        <v>585</v>
      </c>
      <c r="C36" s="948"/>
      <c r="D36" s="948"/>
      <c r="E36" s="949"/>
      <c r="F36" s="950"/>
      <c r="G36" s="950"/>
      <c r="H36" s="951"/>
      <c r="I36" s="952"/>
      <c r="J36" s="950"/>
      <c r="K36" s="949"/>
      <c r="L36" s="952"/>
      <c r="M36" s="950"/>
      <c r="N36" s="951"/>
      <c r="O36" s="953"/>
      <c r="P36" s="954"/>
      <c r="Q36" s="954"/>
      <c r="R36" s="954"/>
      <c r="S36" s="954"/>
      <c r="T36" s="954"/>
      <c r="U36" s="954"/>
      <c r="V36" s="954"/>
      <c r="W36" s="954"/>
      <c r="X36" s="954"/>
      <c r="Y36" s="954"/>
      <c r="Z36" s="954"/>
      <c r="AA36" s="954"/>
      <c r="AB36" s="954"/>
      <c r="AC36" s="954"/>
      <c r="AD36" s="954"/>
      <c r="AE36" s="954"/>
      <c r="AF36" s="954"/>
      <c r="AG36" s="954"/>
      <c r="AH36" s="954"/>
      <c r="AI36" s="954"/>
      <c r="AJ36" s="954"/>
      <c r="AK36" s="954"/>
      <c r="AL36" s="954"/>
      <c r="AM36" s="954"/>
      <c r="AN36" s="954"/>
      <c r="AO36" s="954"/>
    </row>
    <row r="37" spans="1:41" s="955" customFormat="1" ht="16.5">
      <c r="A37" s="956">
        <v>32</v>
      </c>
      <c r="B37" s="947" t="s">
        <v>3271</v>
      </c>
      <c r="C37" s="948"/>
      <c r="D37" s="948"/>
      <c r="E37" s="949"/>
      <c r="F37" s="950"/>
      <c r="G37" s="950"/>
      <c r="H37" s="951"/>
      <c r="I37" s="952"/>
      <c r="J37" s="950"/>
      <c r="K37" s="949"/>
      <c r="L37" s="952"/>
      <c r="M37" s="950"/>
      <c r="N37" s="951"/>
      <c r="O37" s="953"/>
      <c r="P37" s="954"/>
      <c r="Q37" s="954"/>
      <c r="R37" s="954"/>
      <c r="S37" s="954"/>
      <c r="T37" s="954"/>
      <c r="U37" s="954"/>
      <c r="V37" s="954"/>
      <c r="W37" s="954"/>
      <c r="X37" s="954"/>
      <c r="Y37" s="954"/>
      <c r="Z37" s="954"/>
      <c r="AA37" s="954"/>
      <c r="AB37" s="954"/>
      <c r="AC37" s="954"/>
      <c r="AD37" s="954"/>
      <c r="AE37" s="954"/>
      <c r="AF37" s="954"/>
      <c r="AG37" s="954"/>
      <c r="AH37" s="954"/>
      <c r="AI37" s="954"/>
      <c r="AJ37" s="954"/>
      <c r="AK37" s="954"/>
      <c r="AL37" s="954"/>
      <c r="AM37" s="954"/>
      <c r="AN37" s="954"/>
      <c r="AO37" s="954"/>
    </row>
    <row r="38" spans="1:41">
      <c r="A38" s="956">
        <v>33</v>
      </c>
      <c r="B38" s="957" t="s">
        <v>260</v>
      </c>
      <c r="C38" s="935"/>
      <c r="D38" s="935"/>
      <c r="E38" s="936"/>
      <c r="F38" s="935"/>
      <c r="G38" s="935"/>
      <c r="H38" s="937"/>
      <c r="I38" s="938"/>
      <c r="J38" s="935"/>
      <c r="K38" s="936"/>
      <c r="L38" s="938"/>
      <c r="M38" s="935"/>
      <c r="N38" s="937"/>
      <c r="O38" s="939"/>
    </row>
    <row r="39" spans="1:41">
      <c r="A39" s="956">
        <v>34</v>
      </c>
      <c r="B39" s="958" t="s">
        <v>125</v>
      </c>
      <c r="C39" s="939"/>
      <c r="D39" s="939"/>
      <c r="E39" s="959"/>
      <c r="F39" s="939"/>
      <c r="G39" s="939"/>
      <c r="H39" s="937"/>
      <c r="I39" s="939"/>
      <c r="J39" s="939"/>
      <c r="K39" s="959"/>
      <c r="L39" s="939"/>
      <c r="M39" s="939"/>
      <c r="N39" s="937"/>
      <c r="O39" s="939"/>
    </row>
    <row r="40" spans="1:41">
      <c r="A40" s="960"/>
      <c r="C40" s="960"/>
    </row>
    <row r="41" spans="1:41">
      <c r="A41" s="961"/>
      <c r="C41" s="962"/>
      <c r="D41" s="962"/>
      <c r="E41" s="962"/>
      <c r="F41" s="962"/>
      <c r="G41" s="962"/>
      <c r="H41" s="962"/>
    </row>
    <row r="42" spans="1:41">
      <c r="A42" s="961"/>
    </row>
    <row r="43" spans="1:41">
      <c r="A43" s="961"/>
    </row>
    <row r="44" spans="1:41">
      <c r="A44" s="961"/>
    </row>
    <row r="45" spans="1:41">
      <c r="A45" s="961"/>
    </row>
  </sheetData>
  <mergeCells count="5">
    <mergeCell ref="O3:O4"/>
    <mergeCell ref="A3:A5"/>
    <mergeCell ref="B3:B5"/>
    <mergeCell ref="C3:H3"/>
    <mergeCell ref="I3:N3"/>
  </mergeCells>
  <phoneticPr fontId="9" type="noConversion"/>
  <pageMargins left="0.51181102362204722" right="0.35433070866141736" top="0.39370078740157483" bottom="0.27559055118110237" header="0.15748031496062992" footer="0.23622047244094491"/>
  <pageSetup paperSize="9" scale="88" fitToHeight="2" orientation="landscape" r:id="rId1"/>
  <headerFooter alignWithMargins="0">
    <oddFooter>&amp;C&amp;P/&amp;N&amp;R&amp;A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B51"/>
  <sheetViews>
    <sheetView showGridLines="0" zoomScaleNormal="100" zoomScaleSheetLayoutView="100" workbookViewId="0">
      <selection sqref="A1:XFD1"/>
    </sheetView>
  </sheetViews>
  <sheetFormatPr defaultColWidth="9.625" defaultRowHeight="14.25"/>
  <cols>
    <col min="1" max="1" width="4.5" style="964" customWidth="1"/>
    <col min="2" max="2" width="23.625" style="964" customWidth="1"/>
    <col min="3" max="11" width="10.5" style="964" customWidth="1"/>
    <col min="12" max="12" width="9.375" style="964" customWidth="1"/>
    <col min="13" max="16384" width="9.625" style="964"/>
  </cols>
  <sheetData>
    <row r="1" spans="1:12" ht="16.5">
      <c r="A1" s="924" t="str">
        <f>+封面!A3&amp;" "&amp;封面!A2</f>
        <v xml:space="preserve">        保險股份有限公司(○○分公司) 年度(月、季、半年)報表</v>
      </c>
      <c r="B1" s="963"/>
      <c r="C1" s="963"/>
      <c r="D1" s="963"/>
      <c r="E1" s="963"/>
      <c r="F1" s="963"/>
      <c r="G1" s="963"/>
      <c r="H1" s="963"/>
      <c r="I1" s="963"/>
      <c r="J1" s="963"/>
      <c r="K1" s="963"/>
      <c r="L1" s="963"/>
    </row>
    <row r="2" spans="1:12">
      <c r="A2" s="965" t="s">
        <v>636</v>
      </c>
      <c r="B2" s="966"/>
      <c r="C2" s="966"/>
      <c r="F2" s="966"/>
      <c r="I2" s="966"/>
      <c r="L2" s="929" t="s">
        <v>117</v>
      </c>
    </row>
    <row r="3" spans="1:12">
      <c r="A3" s="3503" t="s">
        <v>243</v>
      </c>
      <c r="B3" s="3506" t="s">
        <v>456</v>
      </c>
      <c r="C3" s="3499" t="s">
        <v>325</v>
      </c>
      <c r="D3" s="3500"/>
      <c r="E3" s="3507"/>
      <c r="F3" s="3499" t="s">
        <v>326</v>
      </c>
      <c r="G3" s="3500"/>
      <c r="H3" s="3507"/>
      <c r="I3" s="3499" t="s">
        <v>195</v>
      </c>
      <c r="J3" s="3500"/>
      <c r="K3" s="3500"/>
      <c r="L3" s="3501" t="s">
        <v>198</v>
      </c>
    </row>
    <row r="4" spans="1:12">
      <c r="A4" s="3504"/>
      <c r="B4" s="3506"/>
      <c r="C4" s="967" t="s">
        <v>446</v>
      </c>
      <c r="D4" s="967" t="s">
        <v>446</v>
      </c>
      <c r="E4" s="967" t="s">
        <v>377</v>
      </c>
      <c r="F4" s="967" t="s">
        <v>446</v>
      </c>
      <c r="G4" s="967" t="s">
        <v>446</v>
      </c>
      <c r="H4" s="967" t="s">
        <v>377</v>
      </c>
      <c r="I4" s="967" t="s">
        <v>446</v>
      </c>
      <c r="J4" s="967" t="s">
        <v>446</v>
      </c>
      <c r="K4" s="967" t="s">
        <v>377</v>
      </c>
      <c r="L4" s="3502"/>
    </row>
    <row r="5" spans="1:12">
      <c r="A5" s="3504"/>
      <c r="B5" s="3506"/>
      <c r="C5" s="968" t="s">
        <v>261</v>
      </c>
      <c r="D5" s="968" t="s">
        <v>283</v>
      </c>
      <c r="E5" s="968" t="s">
        <v>378</v>
      </c>
      <c r="F5" s="968" t="s">
        <v>261</v>
      </c>
      <c r="G5" s="968" t="s">
        <v>283</v>
      </c>
      <c r="H5" s="968" t="s">
        <v>378</v>
      </c>
      <c r="I5" s="968" t="s">
        <v>261</v>
      </c>
      <c r="J5" s="968" t="s">
        <v>283</v>
      </c>
      <c r="K5" s="968" t="s">
        <v>378</v>
      </c>
      <c r="L5" s="3502"/>
    </row>
    <row r="6" spans="1:12">
      <c r="A6" s="3505"/>
      <c r="B6" s="3506"/>
      <c r="C6" s="969" t="s">
        <v>422</v>
      </c>
      <c r="D6" s="969" t="s">
        <v>423</v>
      </c>
      <c r="E6" s="969" t="s">
        <v>171</v>
      </c>
      <c r="F6" s="969" t="s">
        <v>172</v>
      </c>
      <c r="G6" s="969" t="s">
        <v>173</v>
      </c>
      <c r="H6" s="969" t="s">
        <v>174</v>
      </c>
      <c r="I6" s="969" t="s">
        <v>175</v>
      </c>
      <c r="J6" s="969" t="s">
        <v>176</v>
      </c>
      <c r="K6" s="969" t="s">
        <v>177</v>
      </c>
      <c r="L6" s="969" t="s">
        <v>178</v>
      </c>
    </row>
    <row r="7" spans="1:12" ht="14.25" customHeight="1">
      <c r="A7" s="970">
        <v>1</v>
      </c>
      <c r="B7" s="934" t="s">
        <v>199</v>
      </c>
      <c r="C7" s="971"/>
      <c r="D7" s="971"/>
      <c r="E7" s="971"/>
      <c r="F7" s="971"/>
      <c r="G7" s="971"/>
      <c r="H7" s="971"/>
      <c r="I7" s="971"/>
      <c r="J7" s="971"/>
      <c r="K7" s="971"/>
      <c r="L7" s="971"/>
    </row>
    <row r="8" spans="1:12" ht="14.25" customHeight="1">
      <c r="A8" s="970">
        <v>2</v>
      </c>
      <c r="B8" s="934" t="s">
        <v>200</v>
      </c>
      <c r="C8" s="971"/>
      <c r="D8" s="971"/>
      <c r="E8" s="971"/>
      <c r="F8" s="971"/>
      <c r="G8" s="971"/>
      <c r="H8" s="971"/>
      <c r="I8" s="971"/>
      <c r="J8" s="971"/>
      <c r="K8" s="971"/>
      <c r="L8" s="971"/>
    </row>
    <row r="9" spans="1:12" ht="14.25" customHeight="1">
      <c r="A9" s="970">
        <v>3</v>
      </c>
      <c r="B9" s="934" t="s">
        <v>201</v>
      </c>
      <c r="C9" s="971"/>
      <c r="D9" s="971"/>
      <c r="E9" s="971"/>
      <c r="F9" s="971"/>
      <c r="G9" s="971"/>
      <c r="H9" s="971"/>
      <c r="I9" s="971"/>
      <c r="J9" s="971"/>
      <c r="K9" s="971"/>
      <c r="L9" s="971"/>
    </row>
    <row r="10" spans="1:12" ht="14.25" customHeight="1">
      <c r="A10" s="970">
        <v>4</v>
      </c>
      <c r="B10" s="934" t="s">
        <v>188</v>
      </c>
      <c r="C10" s="971"/>
      <c r="D10" s="971"/>
      <c r="E10" s="971"/>
      <c r="F10" s="971"/>
      <c r="G10" s="971"/>
      <c r="H10" s="971"/>
      <c r="I10" s="971"/>
      <c r="J10" s="971"/>
      <c r="K10" s="971"/>
      <c r="L10" s="971"/>
    </row>
    <row r="11" spans="1:12" ht="14.25" customHeight="1">
      <c r="A11" s="970">
        <v>5</v>
      </c>
      <c r="B11" s="934" t="s">
        <v>189</v>
      </c>
      <c r="C11" s="971"/>
      <c r="D11" s="971"/>
      <c r="E11" s="971"/>
      <c r="F11" s="971"/>
      <c r="G11" s="971"/>
      <c r="H11" s="971"/>
      <c r="I11" s="971"/>
      <c r="J11" s="971"/>
      <c r="K11" s="971"/>
      <c r="L11" s="971"/>
    </row>
    <row r="12" spans="1:12" ht="14.25" customHeight="1">
      <c r="A12" s="970">
        <v>6</v>
      </c>
      <c r="B12" s="934" t="s">
        <v>190</v>
      </c>
      <c r="C12" s="971"/>
      <c r="D12" s="971"/>
      <c r="E12" s="971"/>
      <c r="F12" s="971"/>
      <c r="G12" s="971"/>
      <c r="H12" s="971"/>
      <c r="I12" s="971"/>
      <c r="J12" s="971"/>
      <c r="K12" s="971"/>
      <c r="L12" s="971"/>
    </row>
    <row r="13" spans="1:12" ht="14.25" customHeight="1">
      <c r="A13" s="970">
        <v>7</v>
      </c>
      <c r="B13" s="934" t="s">
        <v>182</v>
      </c>
      <c r="C13" s="971"/>
      <c r="D13" s="971"/>
      <c r="E13" s="971"/>
      <c r="F13" s="971"/>
      <c r="G13" s="971"/>
      <c r="H13" s="971"/>
      <c r="I13" s="971"/>
      <c r="J13" s="971"/>
      <c r="K13" s="971"/>
      <c r="L13" s="971"/>
    </row>
    <row r="14" spans="1:12" ht="14.25" customHeight="1">
      <c r="A14" s="970">
        <v>8</v>
      </c>
      <c r="B14" s="934" t="s">
        <v>183</v>
      </c>
      <c r="C14" s="971"/>
      <c r="D14" s="971"/>
      <c r="E14" s="971"/>
      <c r="F14" s="971"/>
      <c r="G14" s="971"/>
      <c r="H14" s="971"/>
      <c r="I14" s="971"/>
      <c r="J14" s="971"/>
      <c r="K14" s="971"/>
      <c r="L14" s="971"/>
    </row>
    <row r="15" spans="1:12" ht="14.25" customHeight="1">
      <c r="A15" s="970">
        <v>9</v>
      </c>
      <c r="B15" s="934" t="s">
        <v>184</v>
      </c>
      <c r="C15" s="971"/>
      <c r="D15" s="971"/>
      <c r="E15" s="971"/>
      <c r="F15" s="971"/>
      <c r="G15" s="971"/>
      <c r="H15" s="971"/>
      <c r="I15" s="971"/>
      <c r="J15" s="971"/>
      <c r="K15" s="971"/>
      <c r="L15" s="971"/>
    </row>
    <row r="16" spans="1:12" ht="14.25" customHeight="1">
      <c r="A16" s="970">
        <v>10</v>
      </c>
      <c r="B16" s="934" t="s">
        <v>185</v>
      </c>
      <c r="C16" s="971"/>
      <c r="D16" s="971"/>
      <c r="E16" s="971"/>
      <c r="F16" s="971"/>
      <c r="G16" s="971"/>
      <c r="H16" s="971"/>
      <c r="I16" s="971"/>
      <c r="J16" s="971"/>
      <c r="K16" s="971"/>
      <c r="L16" s="971"/>
    </row>
    <row r="17" spans="1:28" ht="14.25" customHeight="1">
      <c r="A17" s="970">
        <v>11</v>
      </c>
      <c r="B17" s="934" t="s">
        <v>383</v>
      </c>
      <c r="C17" s="971"/>
      <c r="D17" s="971"/>
      <c r="E17" s="971"/>
      <c r="F17" s="971"/>
      <c r="G17" s="971"/>
      <c r="H17" s="971"/>
      <c r="I17" s="971"/>
      <c r="J17" s="971"/>
      <c r="K17" s="971"/>
      <c r="L17" s="971"/>
    </row>
    <row r="18" spans="1:28" ht="14.25" customHeight="1">
      <c r="A18" s="970">
        <v>12</v>
      </c>
      <c r="B18" s="934" t="s">
        <v>384</v>
      </c>
      <c r="C18" s="971"/>
      <c r="D18" s="971"/>
      <c r="E18" s="971"/>
      <c r="F18" s="971"/>
      <c r="G18" s="971"/>
      <c r="H18" s="971"/>
      <c r="I18" s="971"/>
      <c r="J18" s="971"/>
      <c r="K18" s="971"/>
      <c r="L18" s="971"/>
    </row>
    <row r="19" spans="1:28" ht="14.25" customHeight="1">
      <c r="A19" s="970">
        <v>13</v>
      </c>
      <c r="B19" s="934" t="s">
        <v>385</v>
      </c>
      <c r="C19" s="971"/>
      <c r="D19" s="971"/>
      <c r="E19" s="971"/>
      <c r="F19" s="971"/>
      <c r="G19" s="971"/>
      <c r="H19" s="971"/>
      <c r="I19" s="971"/>
      <c r="J19" s="971"/>
      <c r="K19" s="971"/>
      <c r="L19" s="971"/>
    </row>
    <row r="20" spans="1:28" ht="14.25" customHeight="1">
      <c r="A20" s="970">
        <v>14</v>
      </c>
      <c r="B20" s="934" t="s">
        <v>289</v>
      </c>
      <c r="C20" s="971"/>
      <c r="D20" s="971"/>
      <c r="E20" s="971"/>
      <c r="F20" s="971"/>
      <c r="G20" s="971"/>
      <c r="H20" s="971"/>
      <c r="I20" s="971"/>
      <c r="J20" s="971"/>
      <c r="K20" s="971"/>
      <c r="L20" s="971"/>
    </row>
    <row r="21" spans="1:28" ht="14.25" customHeight="1">
      <c r="A21" s="970">
        <v>15</v>
      </c>
      <c r="B21" s="934" t="s">
        <v>290</v>
      </c>
      <c r="C21" s="971"/>
      <c r="D21" s="971"/>
      <c r="E21" s="971"/>
      <c r="F21" s="971"/>
      <c r="G21" s="971"/>
      <c r="H21" s="971"/>
      <c r="I21" s="971"/>
      <c r="J21" s="971"/>
      <c r="K21" s="971"/>
      <c r="L21" s="971"/>
    </row>
    <row r="22" spans="1:28" ht="14.25" customHeight="1">
      <c r="A22" s="970">
        <v>16</v>
      </c>
      <c r="B22" s="934" t="s">
        <v>291</v>
      </c>
      <c r="C22" s="971"/>
      <c r="D22" s="971"/>
      <c r="E22" s="971"/>
      <c r="F22" s="971"/>
      <c r="G22" s="971"/>
      <c r="H22" s="971"/>
      <c r="I22" s="971"/>
      <c r="J22" s="971"/>
      <c r="K22" s="971"/>
      <c r="L22" s="972"/>
    </row>
    <row r="23" spans="1:28" ht="14.25" customHeight="1">
      <c r="A23" s="970">
        <v>17</v>
      </c>
      <c r="B23" s="934" t="s">
        <v>292</v>
      </c>
      <c r="C23" s="972"/>
      <c r="D23" s="972"/>
      <c r="E23" s="972"/>
      <c r="F23" s="971"/>
      <c r="G23" s="971"/>
      <c r="H23" s="971"/>
      <c r="I23" s="971"/>
      <c r="J23" s="971"/>
      <c r="K23" s="971"/>
      <c r="L23" s="972"/>
    </row>
    <row r="24" spans="1:28" ht="14.25" customHeight="1">
      <c r="A24" s="970">
        <v>18</v>
      </c>
      <c r="B24" s="934" t="s">
        <v>293</v>
      </c>
      <c r="C24" s="972"/>
      <c r="D24" s="972"/>
      <c r="E24" s="972"/>
      <c r="F24" s="971"/>
      <c r="G24" s="971"/>
      <c r="H24" s="971"/>
      <c r="I24" s="971"/>
      <c r="J24" s="971"/>
      <c r="K24" s="971"/>
      <c r="L24" s="972"/>
    </row>
    <row r="25" spans="1:28" ht="14.25" customHeight="1">
      <c r="A25" s="970">
        <v>19</v>
      </c>
      <c r="B25" s="934" t="s">
        <v>294</v>
      </c>
      <c r="C25" s="972"/>
      <c r="D25" s="972"/>
      <c r="E25" s="972"/>
      <c r="F25" s="971"/>
      <c r="G25" s="971"/>
      <c r="H25" s="971"/>
      <c r="I25" s="971"/>
      <c r="J25" s="971"/>
      <c r="K25" s="971"/>
      <c r="L25" s="972"/>
    </row>
    <row r="26" spans="1:28" ht="14.25" customHeight="1">
      <c r="A26" s="970">
        <v>20</v>
      </c>
      <c r="B26" s="934" t="s">
        <v>295</v>
      </c>
      <c r="C26" s="972"/>
      <c r="D26" s="972"/>
      <c r="E26" s="972"/>
      <c r="F26" s="971"/>
      <c r="G26" s="971"/>
      <c r="H26" s="971"/>
      <c r="I26" s="971"/>
      <c r="J26" s="971"/>
      <c r="K26" s="971"/>
      <c r="L26" s="972"/>
      <c r="AB26" s="973"/>
    </row>
    <row r="27" spans="1:28" ht="14.25" customHeight="1">
      <c r="A27" s="970">
        <v>21</v>
      </c>
      <c r="B27" s="934" t="s">
        <v>205</v>
      </c>
      <c r="C27" s="972"/>
      <c r="D27" s="972"/>
      <c r="E27" s="972"/>
      <c r="F27" s="971"/>
      <c r="G27" s="971"/>
      <c r="H27" s="971"/>
      <c r="I27" s="971"/>
      <c r="J27" s="971"/>
      <c r="K27" s="971"/>
      <c r="L27" s="972"/>
    </row>
    <row r="28" spans="1:28" ht="14.25" customHeight="1">
      <c r="A28" s="970">
        <v>22</v>
      </c>
      <c r="B28" s="934" t="s">
        <v>186</v>
      </c>
      <c r="C28" s="972"/>
      <c r="D28" s="972"/>
      <c r="E28" s="972"/>
      <c r="F28" s="971"/>
      <c r="G28" s="971"/>
      <c r="H28" s="971"/>
      <c r="I28" s="971"/>
      <c r="J28" s="971"/>
      <c r="K28" s="971"/>
      <c r="L28" s="972"/>
    </row>
    <row r="29" spans="1:28" ht="14.25" customHeight="1">
      <c r="A29" s="970">
        <v>23</v>
      </c>
      <c r="B29" s="934" t="s">
        <v>187</v>
      </c>
      <c r="C29" s="972"/>
      <c r="D29" s="972"/>
      <c r="E29" s="972"/>
      <c r="F29" s="971"/>
      <c r="G29" s="971"/>
      <c r="H29" s="971"/>
      <c r="I29" s="971"/>
      <c r="J29" s="971"/>
      <c r="K29" s="971"/>
      <c r="L29" s="972"/>
    </row>
    <row r="30" spans="1:28" ht="14.25" customHeight="1">
      <c r="A30" s="944">
        <v>24</v>
      </c>
      <c r="B30" s="934" t="s">
        <v>599</v>
      </c>
      <c r="C30" s="972"/>
      <c r="D30" s="972"/>
      <c r="E30" s="972"/>
      <c r="F30" s="971"/>
      <c r="G30" s="971"/>
      <c r="H30" s="971"/>
      <c r="I30" s="971"/>
      <c r="J30" s="971"/>
      <c r="K30" s="971"/>
      <c r="L30" s="972"/>
    </row>
    <row r="31" spans="1:28" ht="14.25" customHeight="1">
      <c r="A31" s="970">
        <v>25</v>
      </c>
      <c r="B31" s="945" t="s">
        <v>206</v>
      </c>
      <c r="C31" s="972"/>
      <c r="D31" s="972"/>
      <c r="E31" s="972"/>
      <c r="F31" s="971"/>
      <c r="G31" s="971"/>
      <c r="H31" s="971"/>
      <c r="I31" s="971"/>
      <c r="J31" s="971"/>
      <c r="K31" s="971"/>
      <c r="L31" s="972"/>
    </row>
    <row r="32" spans="1:28" ht="14.25" customHeight="1">
      <c r="A32" s="970">
        <v>26</v>
      </c>
      <c r="B32" s="934" t="s">
        <v>361</v>
      </c>
      <c r="C32" s="972"/>
      <c r="D32" s="972"/>
      <c r="E32" s="972"/>
      <c r="F32" s="971"/>
      <c r="G32" s="971"/>
      <c r="H32" s="971"/>
      <c r="I32" s="971"/>
      <c r="J32" s="971"/>
      <c r="K32" s="971"/>
      <c r="L32" s="972"/>
    </row>
    <row r="33" spans="1:13" ht="14.25" customHeight="1">
      <c r="A33" s="970">
        <v>27</v>
      </c>
      <c r="B33" s="934" t="s">
        <v>362</v>
      </c>
      <c r="C33" s="972"/>
      <c r="D33" s="972"/>
      <c r="E33" s="972"/>
      <c r="F33" s="971"/>
      <c r="G33" s="971"/>
      <c r="H33" s="971"/>
      <c r="I33" s="971"/>
      <c r="J33" s="971"/>
      <c r="K33" s="971"/>
      <c r="L33" s="972"/>
      <c r="M33" s="974"/>
    </row>
    <row r="34" spans="1:13" ht="14.25" customHeight="1">
      <c r="A34" s="970">
        <v>28</v>
      </c>
      <c r="B34" s="934" t="s">
        <v>363</v>
      </c>
      <c r="C34" s="972"/>
      <c r="D34" s="972"/>
      <c r="E34" s="972"/>
      <c r="F34" s="971"/>
      <c r="G34" s="971"/>
      <c r="H34" s="971"/>
      <c r="I34" s="971"/>
      <c r="J34" s="971"/>
      <c r="K34" s="971"/>
      <c r="L34" s="972"/>
      <c r="M34" s="974"/>
    </row>
    <row r="35" spans="1:13" ht="14.25" customHeight="1">
      <c r="A35" s="970">
        <v>29</v>
      </c>
      <c r="B35" s="934" t="s">
        <v>366</v>
      </c>
      <c r="C35" s="972"/>
      <c r="D35" s="972"/>
      <c r="E35" s="972"/>
      <c r="F35" s="971"/>
      <c r="G35" s="971"/>
      <c r="H35" s="971"/>
      <c r="I35" s="971"/>
      <c r="J35" s="971"/>
      <c r="K35" s="971"/>
      <c r="L35" s="972"/>
      <c r="M35" s="974"/>
    </row>
    <row r="36" spans="1:13" ht="14.25" customHeight="1">
      <c r="A36" s="946">
        <v>30</v>
      </c>
      <c r="B36" s="947" t="s">
        <v>603</v>
      </c>
      <c r="C36" s="972"/>
      <c r="D36" s="972"/>
      <c r="E36" s="972"/>
      <c r="F36" s="971"/>
      <c r="G36" s="971"/>
      <c r="H36" s="971"/>
      <c r="I36" s="971"/>
      <c r="J36" s="971"/>
      <c r="K36" s="971"/>
      <c r="L36" s="972"/>
      <c r="M36" s="974"/>
    </row>
    <row r="37" spans="1:13" ht="14.25" customHeight="1">
      <c r="A37" s="944">
        <v>31</v>
      </c>
      <c r="B37" s="947" t="s">
        <v>585</v>
      </c>
      <c r="C37" s="972"/>
      <c r="D37" s="972"/>
      <c r="E37" s="972"/>
      <c r="F37" s="971"/>
      <c r="G37" s="971"/>
      <c r="H37" s="971"/>
      <c r="I37" s="971"/>
      <c r="J37" s="971"/>
      <c r="K37" s="971"/>
      <c r="L37" s="972"/>
      <c r="M37" s="974"/>
    </row>
    <row r="38" spans="1:13" ht="14.25" customHeight="1">
      <c r="A38" s="970">
        <v>32</v>
      </c>
      <c r="B38" s="947" t="s">
        <v>3271</v>
      </c>
      <c r="C38" s="972"/>
      <c r="D38" s="972"/>
      <c r="E38" s="972"/>
      <c r="F38" s="971"/>
      <c r="G38" s="971"/>
      <c r="H38" s="971"/>
      <c r="I38" s="971"/>
      <c r="J38" s="971"/>
      <c r="K38" s="971"/>
      <c r="L38" s="972"/>
      <c r="M38" s="974"/>
    </row>
    <row r="39" spans="1:13" s="978" customFormat="1" ht="14.25" customHeight="1">
      <c r="A39" s="970">
        <v>33</v>
      </c>
      <c r="B39" s="957" t="s">
        <v>367</v>
      </c>
      <c r="C39" s="975"/>
      <c r="D39" s="975"/>
      <c r="E39" s="975"/>
      <c r="F39" s="975"/>
      <c r="G39" s="975"/>
      <c r="H39" s="975"/>
      <c r="I39" s="975"/>
      <c r="J39" s="975"/>
      <c r="K39" s="975"/>
      <c r="L39" s="976"/>
      <c r="M39" s="977"/>
    </row>
    <row r="40" spans="1:13" s="978" customFormat="1" ht="14.25" customHeight="1">
      <c r="A40" s="970">
        <v>34</v>
      </c>
      <c r="B40" s="957" t="s">
        <v>368</v>
      </c>
      <c r="C40" s="972"/>
      <c r="D40" s="972"/>
      <c r="E40" s="972"/>
      <c r="F40" s="971"/>
      <c r="G40" s="971"/>
      <c r="H40" s="971"/>
      <c r="I40" s="971"/>
      <c r="J40" s="971"/>
      <c r="K40" s="971"/>
      <c r="L40" s="976"/>
      <c r="M40" s="977"/>
    </row>
    <row r="41" spans="1:13" s="978" customFormat="1" ht="14.25" customHeight="1">
      <c r="A41" s="970">
        <v>35</v>
      </c>
      <c r="B41" s="957" t="s">
        <v>369</v>
      </c>
      <c r="C41" s="972"/>
      <c r="D41" s="972"/>
      <c r="E41" s="972"/>
      <c r="F41" s="979"/>
      <c r="G41" s="979"/>
      <c r="H41" s="979"/>
      <c r="I41" s="979"/>
      <c r="J41" s="979"/>
      <c r="K41" s="979"/>
      <c r="L41" s="976"/>
      <c r="M41" s="977"/>
    </row>
    <row r="42" spans="1:13" s="978" customFormat="1" ht="14.25" customHeight="1">
      <c r="A42" s="970">
        <v>36</v>
      </c>
      <c r="B42" s="957" t="s">
        <v>370</v>
      </c>
      <c r="C42" s="972"/>
      <c r="D42" s="972"/>
      <c r="E42" s="972"/>
      <c r="F42" s="979"/>
      <c r="G42" s="979"/>
      <c r="H42" s="979"/>
      <c r="I42" s="979"/>
      <c r="J42" s="979"/>
      <c r="K42" s="979"/>
      <c r="L42" s="976"/>
      <c r="M42" s="977"/>
    </row>
    <row r="43" spans="1:13" s="978" customFormat="1" ht="14.25" customHeight="1">
      <c r="A43" s="946">
        <v>37</v>
      </c>
      <c r="B43" s="957" t="s">
        <v>371</v>
      </c>
      <c r="C43" s="972"/>
      <c r="D43" s="972"/>
      <c r="E43" s="972"/>
      <c r="F43" s="979"/>
      <c r="G43" s="979"/>
      <c r="H43" s="979"/>
      <c r="I43" s="979"/>
      <c r="J43" s="979"/>
      <c r="K43" s="979"/>
      <c r="L43" s="976"/>
      <c r="M43" s="977"/>
    </row>
    <row r="44" spans="1:13" s="978" customFormat="1" ht="14.25" customHeight="1">
      <c r="A44" s="944">
        <v>38</v>
      </c>
      <c r="B44" s="957" t="s">
        <v>372</v>
      </c>
      <c r="C44" s="972"/>
      <c r="D44" s="972"/>
      <c r="E44" s="972"/>
      <c r="F44" s="971"/>
      <c r="G44" s="971"/>
      <c r="H44" s="971"/>
      <c r="I44" s="971"/>
      <c r="J44" s="971"/>
      <c r="K44" s="971"/>
      <c r="L44" s="976"/>
      <c r="M44" s="977"/>
    </row>
    <row r="45" spans="1:13" s="978" customFormat="1" ht="14.25" customHeight="1">
      <c r="A45" s="970">
        <v>39</v>
      </c>
      <c r="B45" s="957" t="s">
        <v>373</v>
      </c>
      <c r="C45" s="972"/>
      <c r="D45" s="972"/>
      <c r="E45" s="972"/>
      <c r="F45" s="971"/>
      <c r="G45" s="971"/>
      <c r="H45" s="971"/>
      <c r="I45" s="971"/>
      <c r="J45" s="971"/>
      <c r="K45" s="971"/>
      <c r="L45" s="976"/>
      <c r="M45" s="977"/>
    </row>
    <row r="46" spans="1:13" s="978" customFormat="1" ht="14.25" customHeight="1">
      <c r="A46" s="970">
        <v>40</v>
      </c>
      <c r="B46" s="957" t="s">
        <v>374</v>
      </c>
      <c r="C46" s="972"/>
      <c r="D46" s="972"/>
      <c r="E46" s="972"/>
      <c r="F46" s="971"/>
      <c r="G46" s="971"/>
      <c r="H46" s="971"/>
      <c r="I46" s="971"/>
      <c r="J46" s="971"/>
      <c r="K46" s="971"/>
      <c r="L46" s="976"/>
      <c r="M46" s="977"/>
    </row>
    <row r="47" spans="1:13" s="978" customFormat="1" ht="14.25" customHeight="1">
      <c r="A47" s="970">
        <v>41</v>
      </c>
      <c r="B47" s="957" t="s">
        <v>375</v>
      </c>
      <c r="C47" s="972"/>
      <c r="D47" s="972"/>
      <c r="E47" s="972"/>
      <c r="F47" s="971"/>
      <c r="G47" s="971"/>
      <c r="H47" s="971"/>
      <c r="I47" s="971"/>
      <c r="J47" s="971"/>
      <c r="K47" s="971"/>
      <c r="L47" s="976"/>
      <c r="M47" s="977"/>
    </row>
    <row r="48" spans="1:13" s="978" customFormat="1" ht="14.25" customHeight="1">
      <c r="A48" s="970">
        <v>42</v>
      </c>
      <c r="B48" s="957" t="s">
        <v>376</v>
      </c>
      <c r="C48" s="972"/>
      <c r="D48" s="972"/>
      <c r="E48" s="972"/>
      <c r="F48" s="971"/>
      <c r="G48" s="971"/>
      <c r="H48" s="971"/>
      <c r="I48" s="971"/>
      <c r="J48" s="971"/>
      <c r="K48" s="971"/>
      <c r="L48" s="976"/>
      <c r="M48" s="977"/>
    </row>
    <row r="49" spans="1:13" s="978" customFormat="1" ht="14.25" customHeight="1">
      <c r="A49" s="970">
        <v>43</v>
      </c>
      <c r="B49" s="980" t="s">
        <v>265</v>
      </c>
      <c r="C49" s="976"/>
      <c r="D49" s="976"/>
      <c r="E49" s="976"/>
      <c r="F49" s="976"/>
      <c r="G49" s="976"/>
      <c r="H49" s="976"/>
      <c r="I49" s="976"/>
      <c r="J49" s="976"/>
      <c r="K49" s="976"/>
      <c r="L49" s="976"/>
      <c r="M49" s="977"/>
    </row>
    <row r="50" spans="1:13" ht="12.6" customHeight="1">
      <c r="A50" s="981" t="s">
        <v>197</v>
      </c>
    </row>
    <row r="51" spans="1:13">
      <c r="A51" s="982"/>
    </row>
  </sheetData>
  <mergeCells count="6">
    <mergeCell ref="I3:K3"/>
    <mergeCell ref="L3:L5"/>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6" orientation="landscape" r:id="rId1"/>
  <headerFooter alignWithMargins="0">
    <oddFooter>&amp;C&amp;P/&amp;N&amp;R&amp;A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pageSetUpPr fitToPage="1"/>
  </sheetPr>
  <dimension ref="A1:AB51"/>
  <sheetViews>
    <sheetView showGridLines="0" workbookViewId="0"/>
  </sheetViews>
  <sheetFormatPr defaultColWidth="9.625" defaultRowHeight="14.25"/>
  <cols>
    <col min="1" max="1" width="4.375" style="964" customWidth="1"/>
    <col min="2" max="2" width="28.625" style="964" customWidth="1"/>
    <col min="3" max="12" width="10.5" style="964" customWidth="1"/>
    <col min="13" max="16384" width="9.625" style="964"/>
  </cols>
  <sheetData>
    <row r="1" spans="1:12" ht="16.5">
      <c r="A1" s="924" t="str">
        <f>+封面!A3&amp;" "&amp;封面!A2</f>
        <v xml:space="preserve">        保險股份有限公司(○○分公司) 年度(月、季、半年)報表</v>
      </c>
      <c r="B1" s="983"/>
      <c r="C1" s="983"/>
      <c r="D1" s="983"/>
      <c r="E1" s="983"/>
      <c r="F1" s="983"/>
      <c r="G1" s="983"/>
      <c r="H1" s="983"/>
      <c r="I1" s="983"/>
      <c r="J1" s="983"/>
      <c r="K1" s="983"/>
    </row>
    <row r="2" spans="1:12">
      <c r="A2" s="984" t="s">
        <v>635</v>
      </c>
      <c r="B2" s="985"/>
      <c r="C2" s="985"/>
      <c r="F2" s="985"/>
      <c r="I2" s="985"/>
      <c r="J2" s="929"/>
      <c r="L2" s="929" t="s">
        <v>117</v>
      </c>
    </row>
    <row r="3" spans="1:12">
      <c r="A3" s="3508" t="s">
        <v>243</v>
      </c>
      <c r="B3" s="3506" t="s">
        <v>456</v>
      </c>
      <c r="C3" s="3499" t="s">
        <v>325</v>
      </c>
      <c r="D3" s="3500"/>
      <c r="E3" s="3507"/>
      <c r="F3" s="3499" t="s">
        <v>326</v>
      </c>
      <c r="G3" s="3500"/>
      <c r="H3" s="3507"/>
      <c r="I3" s="3499" t="s">
        <v>195</v>
      </c>
      <c r="J3" s="3500"/>
      <c r="K3" s="3507"/>
      <c r="L3" s="986"/>
    </row>
    <row r="4" spans="1:12">
      <c r="A4" s="3508"/>
      <c r="B4" s="3506"/>
      <c r="C4" s="968" t="s">
        <v>305</v>
      </c>
      <c r="D4" s="968" t="s">
        <v>446</v>
      </c>
      <c r="E4" s="968" t="s">
        <v>446</v>
      </c>
      <c r="F4" s="968" t="s">
        <v>305</v>
      </c>
      <c r="G4" s="968" t="s">
        <v>446</v>
      </c>
      <c r="H4" s="968" t="s">
        <v>446</v>
      </c>
      <c r="I4" s="968" t="s">
        <v>305</v>
      </c>
      <c r="J4" s="968" t="s">
        <v>446</v>
      </c>
      <c r="K4" s="968" t="s">
        <v>446</v>
      </c>
      <c r="L4" s="987" t="s">
        <v>198</v>
      </c>
    </row>
    <row r="5" spans="1:12">
      <c r="A5" s="3508"/>
      <c r="B5" s="3506"/>
      <c r="C5" s="968" t="s">
        <v>306</v>
      </c>
      <c r="D5" s="968" t="s">
        <v>266</v>
      </c>
      <c r="E5" s="988" t="s">
        <v>307</v>
      </c>
      <c r="F5" s="968" t="s">
        <v>306</v>
      </c>
      <c r="G5" s="968" t="s">
        <v>266</v>
      </c>
      <c r="H5" s="988" t="s">
        <v>307</v>
      </c>
      <c r="I5" s="968" t="s">
        <v>306</v>
      </c>
      <c r="J5" s="968" t="s">
        <v>266</v>
      </c>
      <c r="K5" s="988" t="s">
        <v>307</v>
      </c>
      <c r="L5" s="987"/>
    </row>
    <row r="6" spans="1:12">
      <c r="A6" s="3508"/>
      <c r="B6" s="3506"/>
      <c r="C6" s="969" t="s">
        <v>422</v>
      </c>
      <c r="D6" s="969" t="s">
        <v>423</v>
      </c>
      <c r="E6" s="969" t="s">
        <v>171</v>
      </c>
      <c r="F6" s="969" t="s">
        <v>172</v>
      </c>
      <c r="G6" s="969" t="s">
        <v>173</v>
      </c>
      <c r="H6" s="969" t="s">
        <v>174</v>
      </c>
      <c r="I6" s="969" t="s">
        <v>175</v>
      </c>
      <c r="J6" s="969" t="s">
        <v>176</v>
      </c>
      <c r="K6" s="969" t="s">
        <v>177</v>
      </c>
      <c r="L6" s="969" t="s">
        <v>178</v>
      </c>
    </row>
    <row r="7" spans="1:12">
      <c r="A7" s="933">
        <v>1</v>
      </c>
      <c r="B7" s="934" t="s">
        <v>199</v>
      </c>
      <c r="C7" s="972"/>
      <c r="D7" s="972"/>
      <c r="E7" s="972"/>
      <c r="F7" s="989"/>
      <c r="G7" s="989"/>
      <c r="H7" s="989"/>
      <c r="I7" s="972"/>
      <c r="J7" s="972"/>
      <c r="K7" s="972"/>
      <c r="L7" s="972"/>
    </row>
    <row r="8" spans="1:12">
      <c r="A8" s="933">
        <v>2</v>
      </c>
      <c r="B8" s="934" t="s">
        <v>200</v>
      </c>
      <c r="C8" s="972"/>
      <c r="D8" s="972"/>
      <c r="E8" s="972"/>
      <c r="F8" s="989"/>
      <c r="G8" s="989"/>
      <c r="H8" s="989"/>
      <c r="I8" s="972"/>
      <c r="J8" s="972"/>
      <c r="K8" s="972"/>
      <c r="L8" s="972"/>
    </row>
    <row r="9" spans="1:12">
      <c r="A9" s="933">
        <v>3</v>
      </c>
      <c r="B9" s="934" t="s">
        <v>201</v>
      </c>
      <c r="C9" s="972"/>
      <c r="D9" s="972"/>
      <c r="E9" s="972"/>
      <c r="F9" s="989"/>
      <c r="G9" s="989"/>
      <c r="H9" s="989"/>
      <c r="I9" s="972"/>
      <c r="J9" s="972"/>
      <c r="K9" s="972"/>
      <c r="L9" s="972"/>
    </row>
    <row r="10" spans="1:12">
      <c r="A10" s="933">
        <v>4</v>
      </c>
      <c r="B10" s="934" t="s">
        <v>188</v>
      </c>
      <c r="C10" s="972"/>
      <c r="D10" s="972"/>
      <c r="E10" s="972"/>
      <c r="F10" s="989"/>
      <c r="G10" s="989"/>
      <c r="H10" s="989"/>
      <c r="I10" s="972"/>
      <c r="J10" s="972"/>
      <c r="K10" s="972"/>
      <c r="L10" s="972"/>
    </row>
    <row r="11" spans="1:12">
      <c r="A11" s="933">
        <v>5</v>
      </c>
      <c r="B11" s="934" t="s">
        <v>189</v>
      </c>
      <c r="C11" s="972"/>
      <c r="D11" s="972"/>
      <c r="E11" s="972"/>
      <c r="F11" s="989"/>
      <c r="G11" s="989"/>
      <c r="H11" s="989"/>
      <c r="I11" s="972"/>
      <c r="J11" s="972"/>
      <c r="K11" s="972"/>
      <c r="L11" s="972"/>
    </row>
    <row r="12" spans="1:12">
      <c r="A12" s="933">
        <v>6</v>
      </c>
      <c r="B12" s="934" t="s">
        <v>190</v>
      </c>
      <c r="C12" s="972"/>
      <c r="D12" s="972"/>
      <c r="E12" s="972"/>
      <c r="F12" s="989"/>
      <c r="G12" s="989"/>
      <c r="H12" s="989"/>
      <c r="I12" s="972"/>
      <c r="J12" s="972"/>
      <c r="K12" s="972"/>
      <c r="L12" s="972"/>
    </row>
    <row r="13" spans="1:12">
      <c r="A13" s="933">
        <v>7</v>
      </c>
      <c r="B13" s="934" t="s">
        <v>182</v>
      </c>
      <c r="C13" s="972"/>
      <c r="D13" s="972"/>
      <c r="E13" s="972"/>
      <c r="F13" s="989"/>
      <c r="G13" s="989"/>
      <c r="H13" s="989"/>
      <c r="I13" s="972"/>
      <c r="J13" s="972"/>
      <c r="K13" s="972"/>
      <c r="L13" s="972"/>
    </row>
    <row r="14" spans="1:12">
      <c r="A14" s="933">
        <v>8</v>
      </c>
      <c r="B14" s="934" t="s">
        <v>183</v>
      </c>
      <c r="C14" s="972"/>
      <c r="D14" s="972"/>
      <c r="E14" s="972"/>
      <c r="F14" s="989"/>
      <c r="G14" s="989"/>
      <c r="H14" s="989"/>
      <c r="I14" s="972"/>
      <c r="J14" s="972"/>
      <c r="K14" s="972"/>
      <c r="L14" s="972"/>
    </row>
    <row r="15" spans="1:12">
      <c r="A15" s="933">
        <v>9</v>
      </c>
      <c r="B15" s="934" t="s">
        <v>184</v>
      </c>
      <c r="C15" s="972"/>
      <c r="D15" s="972"/>
      <c r="E15" s="972"/>
      <c r="F15" s="989"/>
      <c r="G15" s="989"/>
      <c r="H15" s="989"/>
      <c r="I15" s="972"/>
      <c r="J15" s="972"/>
      <c r="K15" s="972"/>
      <c r="L15" s="972"/>
    </row>
    <row r="16" spans="1:12">
      <c r="A16" s="933">
        <v>10</v>
      </c>
      <c r="B16" s="934" t="s">
        <v>185</v>
      </c>
      <c r="C16" s="972"/>
      <c r="D16" s="972"/>
      <c r="E16" s="972"/>
      <c r="F16" s="989"/>
      <c r="G16" s="989"/>
      <c r="H16" s="989"/>
      <c r="I16" s="972"/>
      <c r="J16" s="972"/>
      <c r="K16" s="972"/>
      <c r="L16" s="972"/>
    </row>
    <row r="17" spans="1:28">
      <c r="A17" s="933">
        <v>11</v>
      </c>
      <c r="B17" s="934" t="s">
        <v>383</v>
      </c>
      <c r="C17" s="972"/>
      <c r="D17" s="972"/>
      <c r="E17" s="972"/>
      <c r="F17" s="989"/>
      <c r="G17" s="989"/>
      <c r="H17" s="989"/>
      <c r="I17" s="972"/>
      <c r="J17" s="972"/>
      <c r="K17" s="972"/>
      <c r="L17" s="972"/>
    </row>
    <row r="18" spans="1:28">
      <c r="A18" s="933">
        <v>12</v>
      </c>
      <c r="B18" s="934" t="s">
        <v>384</v>
      </c>
      <c r="C18" s="972"/>
      <c r="D18" s="972"/>
      <c r="E18" s="972"/>
      <c r="F18" s="989"/>
      <c r="G18" s="989"/>
      <c r="H18" s="989"/>
      <c r="I18" s="972"/>
      <c r="J18" s="972"/>
      <c r="K18" s="972"/>
      <c r="L18" s="972"/>
    </row>
    <row r="19" spans="1:28">
      <c r="A19" s="933">
        <v>13</v>
      </c>
      <c r="B19" s="934" t="s">
        <v>385</v>
      </c>
      <c r="C19" s="972"/>
      <c r="D19" s="972"/>
      <c r="E19" s="972"/>
      <c r="F19" s="989"/>
      <c r="G19" s="989"/>
      <c r="H19" s="989"/>
      <c r="I19" s="972"/>
      <c r="J19" s="972"/>
      <c r="K19" s="972"/>
      <c r="L19" s="972"/>
    </row>
    <row r="20" spans="1:28">
      <c r="A20" s="933">
        <v>14</v>
      </c>
      <c r="B20" s="934" t="s">
        <v>289</v>
      </c>
      <c r="C20" s="972"/>
      <c r="D20" s="972"/>
      <c r="E20" s="972"/>
      <c r="F20" s="989"/>
      <c r="G20" s="989"/>
      <c r="H20" s="989"/>
      <c r="I20" s="972"/>
      <c r="J20" s="972"/>
      <c r="K20" s="972"/>
      <c r="L20" s="972"/>
    </row>
    <row r="21" spans="1:28">
      <c r="A21" s="933">
        <v>15</v>
      </c>
      <c r="B21" s="934" t="s">
        <v>290</v>
      </c>
      <c r="C21" s="972"/>
      <c r="D21" s="972"/>
      <c r="E21" s="972"/>
      <c r="F21" s="989"/>
      <c r="G21" s="989"/>
      <c r="H21" s="989"/>
      <c r="I21" s="972"/>
      <c r="J21" s="972"/>
      <c r="K21" s="972"/>
      <c r="L21" s="972"/>
    </row>
    <row r="22" spans="1:28">
      <c r="A22" s="933">
        <v>16</v>
      </c>
      <c r="B22" s="934" t="s">
        <v>291</v>
      </c>
      <c r="C22" s="972"/>
      <c r="D22" s="972"/>
      <c r="E22" s="972"/>
      <c r="F22" s="989"/>
      <c r="G22" s="989"/>
      <c r="H22" s="989"/>
      <c r="I22" s="972"/>
      <c r="J22" s="972"/>
      <c r="K22" s="972"/>
      <c r="L22" s="972"/>
    </row>
    <row r="23" spans="1:28" ht="14.25" customHeight="1">
      <c r="A23" s="933">
        <v>17</v>
      </c>
      <c r="B23" s="934" t="s">
        <v>292</v>
      </c>
      <c r="C23" s="972"/>
      <c r="D23" s="972"/>
      <c r="E23" s="972"/>
      <c r="F23" s="989"/>
      <c r="G23" s="989"/>
      <c r="H23" s="989"/>
      <c r="I23" s="972"/>
      <c r="J23" s="972"/>
      <c r="K23" s="972"/>
      <c r="L23" s="972"/>
    </row>
    <row r="24" spans="1:28">
      <c r="A24" s="933">
        <v>18</v>
      </c>
      <c r="B24" s="934" t="s">
        <v>293</v>
      </c>
      <c r="C24" s="972"/>
      <c r="D24" s="972"/>
      <c r="E24" s="972"/>
      <c r="F24" s="989"/>
      <c r="G24" s="989"/>
      <c r="H24" s="989"/>
      <c r="I24" s="972"/>
      <c r="J24" s="972"/>
      <c r="K24" s="972"/>
      <c r="L24" s="972"/>
    </row>
    <row r="25" spans="1:28">
      <c r="A25" s="933">
        <v>19</v>
      </c>
      <c r="B25" s="934" t="s">
        <v>294</v>
      </c>
      <c r="C25" s="972"/>
      <c r="D25" s="972"/>
      <c r="E25" s="972"/>
      <c r="F25" s="989"/>
      <c r="G25" s="989"/>
      <c r="H25" s="989"/>
      <c r="I25" s="972"/>
      <c r="J25" s="972"/>
      <c r="K25" s="972"/>
      <c r="L25" s="972"/>
    </row>
    <row r="26" spans="1:28" ht="16.5">
      <c r="A26" s="933">
        <v>20</v>
      </c>
      <c r="B26" s="934" t="s">
        <v>295</v>
      </c>
      <c r="C26" s="972"/>
      <c r="D26" s="972"/>
      <c r="E26" s="972"/>
      <c r="F26" s="972"/>
      <c r="G26" s="972"/>
      <c r="H26" s="972"/>
      <c r="I26" s="972"/>
      <c r="J26" s="972"/>
      <c r="K26" s="972"/>
      <c r="L26" s="972"/>
      <c r="AB26" s="973"/>
    </row>
    <row r="27" spans="1:28">
      <c r="A27" s="933">
        <v>21</v>
      </c>
      <c r="B27" s="934" t="s">
        <v>205</v>
      </c>
      <c r="C27" s="972"/>
      <c r="D27" s="972"/>
      <c r="E27" s="972"/>
      <c r="F27" s="989"/>
      <c r="G27" s="989"/>
      <c r="H27" s="989"/>
      <c r="I27" s="972"/>
      <c r="J27" s="972"/>
      <c r="K27" s="972"/>
      <c r="L27" s="972"/>
    </row>
    <row r="28" spans="1:28">
      <c r="A28" s="933">
        <v>22</v>
      </c>
      <c r="B28" s="934" t="s">
        <v>186</v>
      </c>
      <c r="C28" s="972"/>
      <c r="D28" s="972"/>
      <c r="E28" s="972"/>
      <c r="F28" s="989"/>
      <c r="G28" s="989"/>
      <c r="H28" s="989"/>
      <c r="I28" s="972"/>
      <c r="J28" s="972"/>
      <c r="K28" s="972"/>
      <c r="L28" s="972"/>
    </row>
    <row r="29" spans="1:28">
      <c r="A29" s="933">
        <v>23</v>
      </c>
      <c r="B29" s="934" t="s">
        <v>187</v>
      </c>
      <c r="C29" s="972"/>
      <c r="D29" s="972"/>
      <c r="E29" s="972"/>
      <c r="F29" s="989"/>
      <c r="G29" s="989"/>
      <c r="H29" s="989"/>
      <c r="I29" s="972"/>
      <c r="J29" s="972"/>
      <c r="K29" s="972"/>
      <c r="L29" s="972"/>
    </row>
    <row r="30" spans="1:28">
      <c r="A30" s="944">
        <v>24</v>
      </c>
      <c r="B30" s="934" t="s">
        <v>599</v>
      </c>
      <c r="C30" s="972"/>
      <c r="D30" s="972"/>
      <c r="E30" s="972"/>
      <c r="F30" s="989"/>
      <c r="G30" s="989"/>
      <c r="H30" s="989"/>
      <c r="I30" s="972"/>
      <c r="J30" s="972"/>
      <c r="K30" s="972"/>
      <c r="L30" s="972"/>
    </row>
    <row r="31" spans="1:28">
      <c r="A31" s="933">
        <v>25</v>
      </c>
      <c r="B31" s="934" t="s">
        <v>206</v>
      </c>
      <c r="C31" s="972"/>
      <c r="D31" s="972"/>
      <c r="E31" s="972"/>
      <c r="F31" s="989"/>
      <c r="G31" s="989"/>
      <c r="H31" s="989"/>
      <c r="I31" s="972"/>
      <c r="J31" s="972"/>
      <c r="K31" s="972"/>
      <c r="L31" s="972"/>
    </row>
    <row r="32" spans="1:28">
      <c r="A32" s="933">
        <v>26</v>
      </c>
      <c r="B32" s="934" t="s">
        <v>361</v>
      </c>
      <c r="C32" s="972"/>
      <c r="D32" s="972"/>
      <c r="E32" s="972"/>
      <c r="F32" s="989"/>
      <c r="G32" s="989"/>
      <c r="H32" s="989"/>
      <c r="I32" s="972"/>
      <c r="J32" s="972"/>
      <c r="K32" s="972"/>
      <c r="L32" s="972"/>
    </row>
    <row r="33" spans="1:12">
      <c r="A33" s="933">
        <v>27</v>
      </c>
      <c r="B33" s="934" t="s">
        <v>362</v>
      </c>
      <c r="C33" s="972"/>
      <c r="D33" s="972"/>
      <c r="E33" s="972"/>
      <c r="F33" s="989"/>
      <c r="G33" s="989"/>
      <c r="H33" s="989"/>
      <c r="I33" s="972"/>
      <c r="J33" s="972"/>
      <c r="K33" s="972"/>
      <c r="L33" s="972"/>
    </row>
    <row r="34" spans="1:12">
      <c r="A34" s="933">
        <v>28</v>
      </c>
      <c r="B34" s="934" t="s">
        <v>363</v>
      </c>
      <c r="C34" s="972"/>
      <c r="D34" s="972"/>
      <c r="E34" s="972"/>
      <c r="F34" s="989"/>
      <c r="G34" s="989"/>
      <c r="H34" s="989"/>
      <c r="I34" s="972"/>
      <c r="J34" s="972"/>
      <c r="K34" s="972"/>
      <c r="L34" s="972"/>
    </row>
    <row r="35" spans="1:12">
      <c r="A35" s="933">
        <v>29</v>
      </c>
      <c r="B35" s="934" t="s">
        <v>267</v>
      </c>
      <c r="C35" s="972"/>
      <c r="D35" s="972"/>
      <c r="E35" s="972"/>
      <c r="F35" s="989"/>
      <c r="G35" s="989"/>
      <c r="H35" s="989"/>
      <c r="I35" s="972"/>
      <c r="J35" s="972"/>
      <c r="K35" s="972"/>
      <c r="L35" s="972"/>
    </row>
    <row r="36" spans="1:12">
      <c r="A36" s="933">
        <v>30</v>
      </c>
      <c r="B36" s="947" t="s">
        <v>602</v>
      </c>
      <c r="C36" s="972"/>
      <c r="D36" s="972"/>
      <c r="E36" s="972"/>
      <c r="F36" s="989"/>
      <c r="G36" s="989"/>
      <c r="H36" s="989"/>
      <c r="I36" s="972"/>
      <c r="J36" s="972"/>
      <c r="K36" s="972"/>
      <c r="L36" s="972"/>
    </row>
    <row r="37" spans="1:12">
      <c r="A37" s="933">
        <v>31</v>
      </c>
      <c r="B37" s="947" t="s">
        <v>585</v>
      </c>
      <c r="C37" s="972"/>
      <c r="D37" s="972"/>
      <c r="E37" s="972"/>
      <c r="F37" s="972"/>
      <c r="G37" s="972"/>
      <c r="H37" s="972"/>
      <c r="I37" s="972"/>
      <c r="J37" s="972"/>
      <c r="K37" s="972"/>
      <c r="L37" s="972"/>
    </row>
    <row r="38" spans="1:12">
      <c r="A38" s="970">
        <v>32</v>
      </c>
      <c r="B38" s="947" t="s">
        <v>3271</v>
      </c>
      <c r="C38" s="972"/>
      <c r="D38" s="972"/>
      <c r="E38" s="972"/>
      <c r="F38" s="989"/>
      <c r="G38" s="989"/>
      <c r="H38" s="989"/>
      <c r="I38" s="972"/>
      <c r="J38" s="972"/>
      <c r="K38" s="972"/>
      <c r="L38" s="972"/>
    </row>
    <row r="39" spans="1:12">
      <c r="A39" s="933">
        <v>33</v>
      </c>
      <c r="B39" s="957" t="s">
        <v>367</v>
      </c>
      <c r="C39" s="989"/>
      <c r="D39" s="989"/>
      <c r="E39" s="989"/>
      <c r="F39" s="972"/>
      <c r="G39" s="972"/>
      <c r="H39" s="972"/>
      <c r="I39" s="972"/>
      <c r="J39" s="972"/>
      <c r="K39" s="972"/>
      <c r="L39" s="976"/>
    </row>
    <row r="40" spans="1:12">
      <c r="A40" s="933">
        <v>34</v>
      </c>
      <c r="B40" s="957" t="s">
        <v>368</v>
      </c>
      <c r="C40" s="989"/>
      <c r="D40" s="989"/>
      <c r="E40" s="989"/>
      <c r="F40" s="975"/>
      <c r="G40" s="975"/>
      <c r="H40" s="975"/>
      <c r="I40" s="972"/>
      <c r="J40" s="972"/>
      <c r="K40" s="972"/>
      <c r="L40" s="976"/>
    </row>
    <row r="41" spans="1:12">
      <c r="A41" s="933">
        <v>35</v>
      </c>
      <c r="B41" s="957" t="s">
        <v>369</v>
      </c>
      <c r="C41" s="989"/>
      <c r="D41" s="989"/>
      <c r="E41" s="989"/>
      <c r="F41" s="975"/>
      <c r="G41" s="975"/>
      <c r="H41" s="975"/>
      <c r="I41" s="972"/>
      <c r="J41" s="972"/>
      <c r="K41" s="972"/>
      <c r="L41" s="976"/>
    </row>
    <row r="42" spans="1:12">
      <c r="A42" s="933">
        <v>36</v>
      </c>
      <c r="B42" s="957" t="s">
        <v>370</v>
      </c>
      <c r="C42" s="989"/>
      <c r="D42" s="989"/>
      <c r="E42" s="989"/>
      <c r="F42" s="975"/>
      <c r="G42" s="975"/>
      <c r="H42" s="975"/>
      <c r="I42" s="972"/>
      <c r="J42" s="972"/>
      <c r="K42" s="972"/>
      <c r="L42" s="976"/>
    </row>
    <row r="43" spans="1:12">
      <c r="A43" s="933">
        <v>37</v>
      </c>
      <c r="B43" s="957" t="s">
        <v>371</v>
      </c>
      <c r="C43" s="989"/>
      <c r="D43" s="989"/>
      <c r="E43" s="989"/>
      <c r="F43" s="975"/>
      <c r="G43" s="975"/>
      <c r="H43" s="975"/>
      <c r="I43" s="972"/>
      <c r="J43" s="972"/>
      <c r="K43" s="972"/>
      <c r="L43" s="976"/>
    </row>
    <row r="44" spans="1:12">
      <c r="A44" s="933">
        <v>38</v>
      </c>
      <c r="B44" s="957" t="s">
        <v>372</v>
      </c>
      <c r="C44" s="989"/>
      <c r="D44" s="989"/>
      <c r="E44" s="989"/>
      <c r="F44" s="975"/>
      <c r="G44" s="975"/>
      <c r="H44" s="975"/>
      <c r="I44" s="972"/>
      <c r="J44" s="972"/>
      <c r="K44" s="972"/>
      <c r="L44" s="976"/>
    </row>
    <row r="45" spans="1:12">
      <c r="A45" s="933">
        <v>39</v>
      </c>
      <c r="B45" s="957" t="s">
        <v>373</v>
      </c>
      <c r="C45" s="989"/>
      <c r="D45" s="989"/>
      <c r="E45" s="989"/>
      <c r="F45" s="975"/>
      <c r="G45" s="975"/>
      <c r="H45" s="975"/>
      <c r="I45" s="972"/>
      <c r="J45" s="972"/>
      <c r="K45" s="972"/>
      <c r="L45" s="976"/>
    </row>
    <row r="46" spans="1:12">
      <c r="A46" s="933">
        <v>40</v>
      </c>
      <c r="B46" s="957" t="s">
        <v>374</v>
      </c>
      <c r="C46" s="989"/>
      <c r="D46" s="989"/>
      <c r="E46" s="989"/>
      <c r="F46" s="975"/>
      <c r="G46" s="975"/>
      <c r="H46" s="975"/>
      <c r="I46" s="972"/>
      <c r="J46" s="972"/>
      <c r="K46" s="972"/>
      <c r="L46" s="976"/>
    </row>
    <row r="47" spans="1:12">
      <c r="A47" s="933">
        <v>41</v>
      </c>
      <c r="B47" s="957" t="s">
        <v>375</v>
      </c>
      <c r="C47" s="989"/>
      <c r="D47" s="989"/>
      <c r="E47" s="989"/>
      <c r="F47" s="975"/>
      <c r="G47" s="975"/>
      <c r="H47" s="975"/>
      <c r="I47" s="972"/>
      <c r="J47" s="972"/>
      <c r="K47" s="972"/>
      <c r="L47" s="976"/>
    </row>
    <row r="48" spans="1:12">
      <c r="A48" s="933">
        <v>42</v>
      </c>
      <c r="B48" s="957" t="s">
        <v>376</v>
      </c>
      <c r="C48" s="989"/>
      <c r="D48" s="989"/>
      <c r="E48" s="989"/>
      <c r="F48" s="975"/>
      <c r="G48" s="975"/>
      <c r="H48" s="975"/>
      <c r="I48" s="972"/>
      <c r="J48" s="972"/>
      <c r="K48" s="972"/>
      <c r="L48" s="976"/>
    </row>
    <row r="49" spans="1:12">
      <c r="A49" s="933">
        <v>43</v>
      </c>
      <c r="B49" s="980" t="s">
        <v>265</v>
      </c>
      <c r="C49" s="976"/>
      <c r="D49" s="976"/>
      <c r="E49" s="976"/>
      <c r="F49" s="976"/>
      <c r="G49" s="976"/>
      <c r="H49" s="976"/>
      <c r="I49" s="976"/>
      <c r="J49" s="976"/>
      <c r="K49" s="976"/>
      <c r="L49" s="976"/>
    </row>
    <row r="50" spans="1:12" ht="13.15" customHeight="1">
      <c r="A50" s="990" t="s">
        <v>207</v>
      </c>
      <c r="B50" s="991"/>
      <c r="C50" s="992"/>
      <c r="D50" s="992"/>
      <c r="E50" s="992"/>
      <c r="F50" s="992"/>
      <c r="G50" s="992"/>
      <c r="H50" s="993"/>
      <c r="I50" s="978"/>
      <c r="J50" s="978"/>
      <c r="K50" s="978"/>
      <c r="L50" s="978"/>
    </row>
    <row r="51" spans="1:12">
      <c r="A51" s="994">
        <v>1</v>
      </c>
      <c r="B51" s="964" t="s">
        <v>248</v>
      </c>
    </row>
  </sheetData>
  <mergeCells count="5">
    <mergeCell ref="I3:K3"/>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9" orientation="landscape" r:id="rId1"/>
  <headerFooter alignWithMargins="0">
    <oddFooter>&amp;C&amp;P/&amp;N&amp;R&amp;A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AB51"/>
  <sheetViews>
    <sheetView showGridLines="0" workbookViewId="0">
      <pane xSplit="2" ySplit="5" topLeftCell="C24" activePane="bottomRight" state="frozen"/>
      <selection activeCell="G28" sqref="G28"/>
      <selection pane="topRight" activeCell="G28" sqref="G28"/>
      <selection pane="bottomLeft" activeCell="G28" sqref="G28"/>
      <selection pane="bottomRight"/>
    </sheetView>
  </sheetViews>
  <sheetFormatPr defaultRowHeight="16.5"/>
  <cols>
    <col min="1" max="1" width="5.75" style="996" customWidth="1"/>
    <col min="2" max="3" width="24.25" style="996" customWidth="1"/>
    <col min="4" max="9" width="13" style="996" customWidth="1"/>
    <col min="10" max="10" width="15.75" style="996" customWidth="1"/>
    <col min="11" max="11" width="13.875" style="996" customWidth="1"/>
    <col min="12" max="12" width="14.875" style="996" customWidth="1"/>
    <col min="13" max="13" width="14.25" style="996" customWidth="1"/>
    <col min="14" max="14" width="19.625" style="996" customWidth="1"/>
    <col min="15" max="15" width="16.5" style="996" bestFit="1" customWidth="1"/>
    <col min="16" max="17" width="13" style="996" customWidth="1"/>
    <col min="18" max="16384" width="9" style="996"/>
  </cols>
  <sheetData>
    <row r="1" spans="1:17">
      <c r="A1" s="924" t="str">
        <f>+封面!A3&amp;" "&amp;封面!A2</f>
        <v xml:space="preserve">        保險股份有限公司(○○分公司) 年度(月、季、半年)報表</v>
      </c>
      <c r="B1" s="995"/>
      <c r="C1" s="995"/>
      <c r="D1" s="995"/>
      <c r="E1" s="995"/>
      <c r="F1" s="995"/>
      <c r="G1" s="995"/>
      <c r="H1" s="995"/>
      <c r="I1" s="995"/>
      <c r="J1" s="995"/>
      <c r="K1" s="995"/>
      <c r="L1" s="995"/>
      <c r="M1" s="995"/>
      <c r="N1" s="995"/>
      <c r="O1" s="995"/>
      <c r="P1" s="995"/>
      <c r="Q1" s="995"/>
    </row>
    <row r="2" spans="1:17">
      <c r="A2" s="965" t="s">
        <v>637</v>
      </c>
      <c r="B2" s="925"/>
      <c r="C2" s="925"/>
      <c r="D2" s="925"/>
      <c r="E2" s="925"/>
      <c r="F2" s="997"/>
      <c r="G2" s="997"/>
      <c r="H2" s="997"/>
      <c r="I2" s="925"/>
      <c r="J2" s="925"/>
      <c r="K2" s="925"/>
      <c r="L2" s="925"/>
      <c r="M2" s="925"/>
      <c r="N2" s="925"/>
      <c r="O2" s="925"/>
      <c r="P2" s="998"/>
      <c r="Q2" s="998" t="s">
        <v>105</v>
      </c>
    </row>
    <row r="3" spans="1:17" ht="16.5" customHeight="1">
      <c r="A3" s="3515" t="s">
        <v>118</v>
      </c>
      <c r="B3" s="3518" t="s">
        <v>196</v>
      </c>
      <c r="C3" s="3509" t="s">
        <v>249</v>
      </c>
      <c r="D3" s="3509" t="s">
        <v>250</v>
      </c>
      <c r="E3" s="3509" t="s">
        <v>106</v>
      </c>
      <c r="F3" s="3509" t="s">
        <v>251</v>
      </c>
      <c r="G3" s="3509" t="s">
        <v>108</v>
      </c>
      <c r="H3" s="3509" t="s">
        <v>252</v>
      </c>
      <c r="I3" s="3509" t="s">
        <v>109</v>
      </c>
      <c r="J3" s="3511" t="s">
        <v>110</v>
      </c>
      <c r="K3" s="3512"/>
      <c r="L3" s="3511" t="s">
        <v>111</v>
      </c>
      <c r="M3" s="3512"/>
      <c r="N3" s="3509" t="s">
        <v>253</v>
      </c>
      <c r="O3" s="3513" t="s">
        <v>112</v>
      </c>
      <c r="P3" s="3513" t="s">
        <v>102</v>
      </c>
      <c r="Q3" s="3513" t="s">
        <v>120</v>
      </c>
    </row>
    <row r="4" spans="1:17" ht="28.5" customHeight="1">
      <c r="A4" s="3516"/>
      <c r="B4" s="3518"/>
      <c r="C4" s="3519"/>
      <c r="D4" s="3510"/>
      <c r="E4" s="3510"/>
      <c r="F4" s="3510"/>
      <c r="G4" s="3510"/>
      <c r="H4" s="3510"/>
      <c r="I4" s="3510"/>
      <c r="J4" s="999" t="s">
        <v>146</v>
      </c>
      <c r="K4" s="999" t="s">
        <v>3352</v>
      </c>
      <c r="L4" s="999" t="s">
        <v>146</v>
      </c>
      <c r="M4" s="999" t="s">
        <v>3353</v>
      </c>
      <c r="N4" s="3510"/>
      <c r="O4" s="3514"/>
      <c r="P4" s="3514"/>
      <c r="Q4" s="3514"/>
    </row>
    <row r="5" spans="1:17">
      <c r="A5" s="3517"/>
      <c r="B5" s="3518"/>
      <c r="C5" s="1000" t="s">
        <v>147</v>
      </c>
      <c r="D5" s="1000" t="s">
        <v>423</v>
      </c>
      <c r="E5" s="1000" t="s">
        <v>171</v>
      </c>
      <c r="F5" s="1000" t="s">
        <v>172</v>
      </c>
      <c r="G5" s="1000" t="s">
        <v>173</v>
      </c>
      <c r="H5" s="1000" t="s">
        <v>148</v>
      </c>
      <c r="I5" s="1000" t="s">
        <v>175</v>
      </c>
      <c r="J5" s="1000" t="s">
        <v>176</v>
      </c>
      <c r="K5" s="1000" t="s">
        <v>177</v>
      </c>
      <c r="L5" s="1000" t="s">
        <v>178</v>
      </c>
      <c r="M5" s="1000" t="s">
        <v>179</v>
      </c>
      <c r="N5" s="1000" t="s">
        <v>204</v>
      </c>
      <c r="O5" s="1000" t="s">
        <v>145</v>
      </c>
      <c r="P5" s="1000" t="s">
        <v>213</v>
      </c>
      <c r="Q5" s="1000" t="s">
        <v>245</v>
      </c>
    </row>
    <row r="6" spans="1:17">
      <c r="A6" s="1001">
        <v>1</v>
      </c>
      <c r="B6" s="945" t="s">
        <v>333</v>
      </c>
      <c r="C6" s="1002"/>
      <c r="D6" s="1002"/>
      <c r="E6" s="1003"/>
      <c r="F6" s="1004"/>
      <c r="G6" s="1002"/>
      <c r="H6" s="1004"/>
      <c r="I6" s="1002"/>
      <c r="J6" s="1002"/>
      <c r="K6" s="1002"/>
      <c r="L6" s="1002"/>
      <c r="M6" s="1004"/>
      <c r="N6" s="1004"/>
      <c r="O6" s="1004"/>
      <c r="P6" s="1004"/>
      <c r="Q6" s="1005"/>
    </row>
    <row r="7" spans="1:17">
      <c r="A7" s="1001">
        <v>2</v>
      </c>
      <c r="B7" s="945" t="s">
        <v>334</v>
      </c>
      <c r="C7" s="1002"/>
      <c r="D7" s="1002"/>
      <c r="E7" s="1003"/>
      <c r="F7" s="1004"/>
      <c r="G7" s="1002"/>
      <c r="H7" s="1004"/>
      <c r="I7" s="1002"/>
      <c r="J7" s="1002"/>
      <c r="K7" s="1002"/>
      <c r="L7" s="1002"/>
      <c r="M7" s="1004"/>
      <c r="N7" s="1004"/>
      <c r="O7" s="1004"/>
      <c r="P7" s="1004"/>
      <c r="Q7" s="1006"/>
    </row>
    <row r="8" spans="1:17">
      <c r="A8" s="1001">
        <v>3</v>
      </c>
      <c r="B8" s="945" t="s">
        <v>335</v>
      </c>
      <c r="C8" s="1002"/>
      <c r="D8" s="1002"/>
      <c r="E8" s="1003"/>
      <c r="F8" s="1004"/>
      <c r="G8" s="1002"/>
      <c r="H8" s="1004"/>
      <c r="I8" s="1002"/>
      <c r="J8" s="1002"/>
      <c r="K8" s="1002"/>
      <c r="L8" s="1002"/>
      <c r="M8" s="1004"/>
      <c r="N8" s="1004"/>
      <c r="O8" s="1004"/>
      <c r="P8" s="1004"/>
      <c r="Q8" s="1006"/>
    </row>
    <row r="9" spans="1:17">
      <c r="A9" s="1001">
        <v>4</v>
      </c>
      <c r="B9" s="945" t="s">
        <v>336</v>
      </c>
      <c r="C9" s="1002"/>
      <c r="D9" s="1002"/>
      <c r="E9" s="1003"/>
      <c r="F9" s="1004"/>
      <c r="G9" s="1002"/>
      <c r="H9" s="1004"/>
      <c r="I9" s="1002"/>
      <c r="J9" s="1002"/>
      <c r="K9" s="1002"/>
      <c r="L9" s="1002"/>
      <c r="M9" s="1004"/>
      <c r="N9" s="1004"/>
      <c r="O9" s="1004"/>
      <c r="P9" s="1004"/>
      <c r="Q9" s="1006"/>
    </row>
    <row r="10" spans="1:17">
      <c r="A10" s="1001">
        <v>5</v>
      </c>
      <c r="B10" s="945" t="s">
        <v>337</v>
      </c>
      <c r="C10" s="1002"/>
      <c r="D10" s="1002"/>
      <c r="E10" s="1003"/>
      <c r="F10" s="1004"/>
      <c r="G10" s="1002"/>
      <c r="H10" s="1004"/>
      <c r="I10" s="1002"/>
      <c r="J10" s="1002"/>
      <c r="K10" s="1002"/>
      <c r="L10" s="1002"/>
      <c r="M10" s="1004"/>
      <c r="N10" s="1004"/>
      <c r="O10" s="1004"/>
      <c r="P10" s="1004"/>
      <c r="Q10" s="1006"/>
    </row>
    <row r="11" spans="1:17">
      <c r="A11" s="1001">
        <v>6</v>
      </c>
      <c r="B11" s="945" t="s">
        <v>338</v>
      </c>
      <c r="C11" s="1002"/>
      <c r="D11" s="1002"/>
      <c r="E11" s="1003"/>
      <c r="F11" s="1004"/>
      <c r="G11" s="1002"/>
      <c r="H11" s="1004"/>
      <c r="I11" s="1002"/>
      <c r="J11" s="1002"/>
      <c r="K11" s="1002"/>
      <c r="L11" s="1002"/>
      <c r="M11" s="1004"/>
      <c r="N11" s="1004"/>
      <c r="O11" s="1004"/>
      <c r="P11" s="1004"/>
      <c r="Q11" s="1006"/>
    </row>
    <row r="12" spans="1:17">
      <c r="A12" s="1001">
        <v>7</v>
      </c>
      <c r="B12" s="945" t="s">
        <v>339</v>
      </c>
      <c r="C12" s="1002"/>
      <c r="D12" s="1002"/>
      <c r="E12" s="1003"/>
      <c r="F12" s="1004"/>
      <c r="G12" s="1002"/>
      <c r="H12" s="1004"/>
      <c r="I12" s="1002"/>
      <c r="J12" s="1002"/>
      <c r="K12" s="1002"/>
      <c r="L12" s="1002"/>
      <c r="M12" s="1004"/>
      <c r="N12" s="1004"/>
      <c r="O12" s="1004"/>
      <c r="P12" s="1004"/>
      <c r="Q12" s="1006"/>
    </row>
    <row r="13" spans="1:17">
      <c r="A13" s="1001">
        <v>8</v>
      </c>
      <c r="B13" s="945" t="s">
        <v>340</v>
      </c>
      <c r="C13" s="1002"/>
      <c r="D13" s="1002"/>
      <c r="E13" s="1003"/>
      <c r="F13" s="1004"/>
      <c r="G13" s="1002"/>
      <c r="H13" s="1004"/>
      <c r="I13" s="1002"/>
      <c r="J13" s="1002"/>
      <c r="K13" s="1002"/>
      <c r="L13" s="1002"/>
      <c r="M13" s="1004"/>
      <c r="N13" s="1004"/>
      <c r="O13" s="1004"/>
      <c r="P13" s="1004"/>
      <c r="Q13" s="1006"/>
    </row>
    <row r="14" spans="1:17">
      <c r="A14" s="1001">
        <v>9</v>
      </c>
      <c r="B14" s="945" t="s">
        <v>341</v>
      </c>
      <c r="C14" s="1002"/>
      <c r="D14" s="1002"/>
      <c r="E14" s="1003"/>
      <c r="F14" s="1004"/>
      <c r="G14" s="1002"/>
      <c r="H14" s="1004"/>
      <c r="I14" s="1002"/>
      <c r="J14" s="1002"/>
      <c r="K14" s="1002"/>
      <c r="L14" s="1002"/>
      <c r="M14" s="1004"/>
      <c r="N14" s="1004"/>
      <c r="O14" s="1004"/>
      <c r="P14" s="1004"/>
      <c r="Q14" s="1006"/>
    </row>
    <row r="15" spans="1:17">
      <c r="A15" s="1001">
        <v>10</v>
      </c>
      <c r="B15" s="945" t="s">
        <v>342</v>
      </c>
      <c r="C15" s="1002"/>
      <c r="D15" s="1002"/>
      <c r="E15" s="1003"/>
      <c r="F15" s="1004"/>
      <c r="G15" s="1002"/>
      <c r="H15" s="1004"/>
      <c r="I15" s="1002"/>
      <c r="J15" s="1002"/>
      <c r="K15" s="1002"/>
      <c r="L15" s="1002"/>
      <c r="M15" s="1004"/>
      <c r="N15" s="1004"/>
      <c r="O15" s="1004"/>
      <c r="P15" s="1004"/>
      <c r="Q15" s="1006"/>
    </row>
    <row r="16" spans="1:17">
      <c r="A16" s="1001">
        <v>11</v>
      </c>
      <c r="B16" s="945" t="s">
        <v>343</v>
      </c>
      <c r="C16" s="1002"/>
      <c r="D16" s="1002"/>
      <c r="E16" s="1003"/>
      <c r="F16" s="1004"/>
      <c r="G16" s="1002"/>
      <c r="H16" s="1004"/>
      <c r="I16" s="1002"/>
      <c r="J16" s="1002"/>
      <c r="K16" s="1002"/>
      <c r="L16" s="1002"/>
      <c r="M16" s="1004"/>
      <c r="N16" s="1004"/>
      <c r="O16" s="1004"/>
      <c r="P16" s="1004"/>
      <c r="Q16" s="1006"/>
    </row>
    <row r="17" spans="1:28">
      <c r="A17" s="1001">
        <v>12</v>
      </c>
      <c r="B17" s="945" t="s">
        <v>344</v>
      </c>
      <c r="C17" s="1002"/>
      <c r="D17" s="1002"/>
      <c r="E17" s="1003"/>
      <c r="F17" s="1004"/>
      <c r="G17" s="1002"/>
      <c r="H17" s="1004"/>
      <c r="I17" s="1002"/>
      <c r="J17" s="1002"/>
      <c r="K17" s="1002"/>
      <c r="L17" s="1002"/>
      <c r="M17" s="1004"/>
      <c r="N17" s="1004"/>
      <c r="O17" s="1004"/>
      <c r="P17" s="1004"/>
      <c r="Q17" s="1006"/>
    </row>
    <row r="18" spans="1:28">
      <c r="A18" s="1001">
        <v>13</v>
      </c>
      <c r="B18" s="945" t="s">
        <v>345</v>
      </c>
      <c r="C18" s="1002"/>
      <c r="D18" s="1002"/>
      <c r="E18" s="1003"/>
      <c r="F18" s="1004"/>
      <c r="G18" s="1002"/>
      <c r="H18" s="1004"/>
      <c r="I18" s="1002"/>
      <c r="J18" s="1002"/>
      <c r="K18" s="1002"/>
      <c r="L18" s="1002"/>
      <c r="M18" s="1004"/>
      <c r="N18" s="1004"/>
      <c r="O18" s="1004"/>
      <c r="P18" s="1004"/>
      <c r="Q18" s="1006"/>
    </row>
    <row r="19" spans="1:28">
      <c r="A19" s="1001">
        <v>14</v>
      </c>
      <c r="B19" s="945" t="s">
        <v>457</v>
      </c>
      <c r="C19" s="1002"/>
      <c r="D19" s="1002"/>
      <c r="E19" s="1003"/>
      <c r="F19" s="1004"/>
      <c r="G19" s="1002"/>
      <c r="H19" s="1004"/>
      <c r="I19" s="1002"/>
      <c r="J19" s="1002"/>
      <c r="K19" s="1002"/>
      <c r="L19" s="1002"/>
      <c r="M19" s="1004"/>
      <c r="N19" s="1004"/>
      <c r="O19" s="1004"/>
      <c r="P19" s="1004"/>
      <c r="Q19" s="1006"/>
    </row>
    <row r="20" spans="1:28">
      <c r="A20" s="1001">
        <v>15</v>
      </c>
      <c r="B20" s="945" t="s">
        <v>290</v>
      </c>
      <c r="C20" s="1002"/>
      <c r="D20" s="1002"/>
      <c r="E20" s="1003"/>
      <c r="F20" s="1004"/>
      <c r="G20" s="1002"/>
      <c r="H20" s="1004"/>
      <c r="I20" s="1002"/>
      <c r="J20" s="1002"/>
      <c r="K20" s="1002"/>
      <c r="L20" s="1002"/>
      <c r="M20" s="1004"/>
      <c r="N20" s="1004"/>
      <c r="O20" s="1004"/>
      <c r="P20" s="1004"/>
      <c r="Q20" s="1006"/>
    </row>
    <row r="21" spans="1:28">
      <c r="A21" s="1001">
        <v>16</v>
      </c>
      <c r="B21" s="945" t="s">
        <v>291</v>
      </c>
      <c r="C21" s="1002"/>
      <c r="D21" s="1002"/>
      <c r="E21" s="1003"/>
      <c r="F21" s="1004"/>
      <c r="G21" s="1002"/>
      <c r="H21" s="1004"/>
      <c r="I21" s="1002"/>
      <c r="J21" s="1002"/>
      <c r="K21" s="1002"/>
      <c r="L21" s="1002"/>
      <c r="M21" s="1004"/>
      <c r="N21" s="1004"/>
      <c r="O21" s="1004"/>
      <c r="P21" s="1004"/>
      <c r="Q21" s="1006"/>
    </row>
    <row r="22" spans="1:28">
      <c r="A22" s="1001">
        <v>17</v>
      </c>
      <c r="B22" s="945" t="s">
        <v>346</v>
      </c>
      <c r="C22" s="1002"/>
      <c r="D22" s="1002"/>
      <c r="E22" s="1003"/>
      <c r="F22" s="1004"/>
      <c r="G22" s="1002"/>
      <c r="H22" s="1004"/>
      <c r="I22" s="1002"/>
      <c r="J22" s="1002"/>
      <c r="K22" s="1002"/>
      <c r="L22" s="1002"/>
      <c r="M22" s="1004"/>
      <c r="N22" s="1004"/>
      <c r="O22" s="1004"/>
      <c r="P22" s="1004"/>
      <c r="Q22" s="1006"/>
    </row>
    <row r="23" spans="1:28">
      <c r="A23" s="1001">
        <v>18</v>
      </c>
      <c r="B23" s="945" t="s">
        <v>347</v>
      </c>
      <c r="C23" s="1002"/>
      <c r="D23" s="1002"/>
      <c r="E23" s="1003"/>
      <c r="F23" s="1004"/>
      <c r="G23" s="1002"/>
      <c r="H23" s="1004"/>
      <c r="I23" s="1002"/>
      <c r="J23" s="1002"/>
      <c r="K23" s="1002"/>
      <c r="L23" s="1002"/>
      <c r="M23" s="1004"/>
      <c r="N23" s="1004"/>
      <c r="O23" s="1004"/>
      <c r="P23" s="1004"/>
      <c r="Q23" s="1006"/>
    </row>
    <row r="24" spans="1:28">
      <c r="A24" s="1001">
        <v>19</v>
      </c>
      <c r="B24" s="945" t="s">
        <v>348</v>
      </c>
      <c r="C24" s="1002"/>
      <c r="D24" s="1002"/>
      <c r="E24" s="1003"/>
      <c r="F24" s="1004"/>
      <c r="G24" s="1002"/>
      <c r="H24" s="1004"/>
      <c r="I24" s="1002"/>
      <c r="J24" s="1002"/>
      <c r="K24" s="1002"/>
      <c r="L24" s="1002"/>
      <c r="M24" s="1004"/>
      <c r="N24" s="1004"/>
      <c r="O24" s="1004"/>
      <c r="P24" s="1004"/>
      <c r="Q24" s="1006"/>
    </row>
    <row r="25" spans="1:28">
      <c r="A25" s="1001">
        <v>20</v>
      </c>
      <c r="B25" s="945" t="s">
        <v>331</v>
      </c>
      <c r="C25" s="1002"/>
      <c r="D25" s="1002"/>
      <c r="E25" s="1003"/>
      <c r="F25" s="1004"/>
      <c r="G25" s="1002"/>
      <c r="H25" s="1004"/>
      <c r="I25" s="1002"/>
      <c r="J25" s="1002"/>
      <c r="K25" s="1002"/>
      <c r="L25" s="1002"/>
      <c r="M25" s="1004"/>
      <c r="N25" s="1004"/>
      <c r="O25" s="1004"/>
      <c r="P25" s="1004"/>
      <c r="Q25" s="1006"/>
    </row>
    <row r="26" spans="1:28">
      <c r="A26" s="1001">
        <v>21</v>
      </c>
      <c r="B26" s="945" t="s">
        <v>349</v>
      </c>
      <c r="C26" s="1002"/>
      <c r="D26" s="1002"/>
      <c r="E26" s="1003"/>
      <c r="F26" s="1004"/>
      <c r="G26" s="1002"/>
      <c r="H26" s="1004"/>
      <c r="I26" s="1002"/>
      <c r="J26" s="1002"/>
      <c r="K26" s="1002"/>
      <c r="L26" s="1002"/>
      <c r="M26" s="1004"/>
      <c r="N26" s="1004"/>
      <c r="O26" s="1004"/>
      <c r="P26" s="1004"/>
      <c r="Q26" s="1006"/>
      <c r="AB26" s="943"/>
    </row>
    <row r="27" spans="1:28">
      <c r="A27" s="1001">
        <v>22</v>
      </c>
      <c r="B27" s="945" t="s">
        <v>350</v>
      </c>
      <c r="C27" s="1002"/>
      <c r="D27" s="1002"/>
      <c r="E27" s="1003"/>
      <c r="F27" s="1004"/>
      <c r="G27" s="1002"/>
      <c r="H27" s="1004"/>
      <c r="I27" s="1002"/>
      <c r="J27" s="1002"/>
      <c r="K27" s="1002"/>
      <c r="L27" s="1002"/>
      <c r="M27" s="1004"/>
      <c r="N27" s="1004"/>
      <c r="O27" s="1004"/>
      <c r="P27" s="1004"/>
      <c r="Q27" s="1006"/>
    </row>
    <row r="28" spans="1:28">
      <c r="A28" s="1001">
        <v>23</v>
      </c>
      <c r="B28" s="945" t="s">
        <v>351</v>
      </c>
      <c r="C28" s="1002"/>
      <c r="D28" s="1002"/>
      <c r="E28" s="1003"/>
      <c r="F28" s="1004"/>
      <c r="G28" s="1002"/>
      <c r="H28" s="1004"/>
      <c r="I28" s="1002"/>
      <c r="J28" s="1002"/>
      <c r="K28" s="1002"/>
      <c r="L28" s="1002"/>
      <c r="M28" s="1004"/>
      <c r="N28" s="1004"/>
      <c r="O28" s="1004"/>
      <c r="P28" s="1004"/>
      <c r="Q28" s="1006"/>
    </row>
    <row r="29" spans="1:28">
      <c r="A29" s="944">
        <v>24</v>
      </c>
      <c r="B29" s="934" t="s">
        <v>598</v>
      </c>
      <c r="C29" s="1002"/>
      <c r="D29" s="1002"/>
      <c r="E29" s="1003"/>
      <c r="F29" s="1004"/>
      <c r="G29" s="1002"/>
      <c r="H29" s="1004"/>
      <c r="I29" s="1002"/>
      <c r="J29" s="1002"/>
      <c r="K29" s="1002"/>
      <c r="L29" s="1002"/>
      <c r="M29" s="1004"/>
      <c r="N29" s="1004"/>
      <c r="O29" s="1004"/>
      <c r="P29" s="1004"/>
      <c r="Q29" s="1006"/>
    </row>
    <row r="30" spans="1:28">
      <c r="A30" s="1001">
        <v>25</v>
      </c>
      <c r="B30" s="945" t="s">
        <v>206</v>
      </c>
      <c r="C30" s="1002"/>
      <c r="D30" s="1002"/>
      <c r="E30" s="1003"/>
      <c r="F30" s="1004"/>
      <c r="G30" s="1002"/>
      <c r="H30" s="1004"/>
      <c r="I30" s="1002"/>
      <c r="J30" s="1002"/>
      <c r="K30" s="1002"/>
      <c r="L30" s="1002"/>
      <c r="M30" s="1004"/>
      <c r="N30" s="1004"/>
      <c r="O30" s="1004"/>
      <c r="P30" s="1004"/>
      <c r="Q30" s="1006"/>
    </row>
    <row r="31" spans="1:28">
      <c r="A31" s="1001">
        <v>26</v>
      </c>
      <c r="B31" s="945" t="s">
        <v>353</v>
      </c>
      <c r="C31" s="1002"/>
      <c r="D31" s="1002"/>
      <c r="E31" s="1003"/>
      <c r="F31" s="1004"/>
      <c r="G31" s="1002"/>
      <c r="H31" s="1004"/>
      <c r="I31" s="1002"/>
      <c r="J31" s="1002"/>
      <c r="K31" s="1002"/>
      <c r="L31" s="1002"/>
      <c r="M31" s="1004"/>
      <c r="N31" s="1004"/>
      <c r="O31" s="1004"/>
      <c r="P31" s="1004"/>
      <c r="Q31" s="1006"/>
    </row>
    <row r="32" spans="1:28">
      <c r="A32" s="1001">
        <v>27</v>
      </c>
      <c r="B32" s="945" t="s">
        <v>354</v>
      </c>
      <c r="C32" s="1002"/>
      <c r="D32" s="1002"/>
      <c r="E32" s="1003"/>
      <c r="F32" s="1004"/>
      <c r="G32" s="1002"/>
      <c r="H32" s="1004"/>
      <c r="I32" s="1002"/>
      <c r="J32" s="1002"/>
      <c r="K32" s="1002"/>
      <c r="L32" s="1002"/>
      <c r="M32" s="1004"/>
      <c r="N32" s="1004"/>
      <c r="O32" s="1004"/>
      <c r="P32" s="1004"/>
      <c r="Q32" s="1006"/>
    </row>
    <row r="33" spans="1:17">
      <c r="A33" s="1001">
        <v>28</v>
      </c>
      <c r="B33" s="945" t="s">
        <v>259</v>
      </c>
      <c r="C33" s="1002"/>
      <c r="D33" s="1002"/>
      <c r="E33" s="1003"/>
      <c r="F33" s="1004"/>
      <c r="G33" s="1002"/>
      <c r="H33" s="1004"/>
      <c r="I33" s="1002"/>
      <c r="J33" s="1002"/>
      <c r="K33" s="1002"/>
      <c r="L33" s="1002"/>
      <c r="M33" s="1004"/>
      <c r="N33" s="1004"/>
      <c r="O33" s="1004"/>
      <c r="P33" s="1004"/>
      <c r="Q33" s="1006"/>
    </row>
    <row r="34" spans="1:17">
      <c r="A34" s="1001">
        <v>29</v>
      </c>
      <c r="B34" s="945" t="s">
        <v>107</v>
      </c>
      <c r="C34" s="1002"/>
      <c r="D34" s="1002"/>
      <c r="E34" s="1003"/>
      <c r="F34" s="1004"/>
      <c r="G34" s="1002"/>
      <c r="H34" s="1004"/>
      <c r="I34" s="1002"/>
      <c r="J34" s="1002"/>
      <c r="K34" s="1002"/>
      <c r="L34" s="1002"/>
      <c r="M34" s="1004"/>
      <c r="N34" s="1004"/>
      <c r="O34" s="1004"/>
      <c r="P34" s="1004"/>
      <c r="Q34" s="1006"/>
    </row>
    <row r="35" spans="1:17">
      <c r="A35" s="946">
        <v>30</v>
      </c>
      <c r="B35" s="947" t="s">
        <v>600</v>
      </c>
      <c r="C35" s="1002"/>
      <c r="D35" s="1002"/>
      <c r="E35" s="1003"/>
      <c r="F35" s="1004"/>
      <c r="G35" s="1002"/>
      <c r="H35" s="1004"/>
      <c r="I35" s="1002"/>
      <c r="J35" s="1002"/>
      <c r="K35" s="1002"/>
      <c r="L35" s="1002"/>
      <c r="M35" s="1004"/>
      <c r="N35" s="1004"/>
      <c r="O35" s="1004"/>
      <c r="P35" s="1004"/>
      <c r="Q35" s="1006"/>
    </row>
    <row r="36" spans="1:17">
      <c r="A36" s="1001">
        <v>31</v>
      </c>
      <c r="B36" s="947" t="s">
        <v>585</v>
      </c>
      <c r="C36" s="1002"/>
      <c r="D36" s="1002"/>
      <c r="E36" s="1003"/>
      <c r="F36" s="1004"/>
      <c r="G36" s="1002"/>
      <c r="H36" s="1004"/>
      <c r="I36" s="1002"/>
      <c r="J36" s="1002"/>
      <c r="K36" s="1002"/>
      <c r="L36" s="1002"/>
      <c r="M36" s="1004"/>
      <c r="N36" s="1004"/>
      <c r="O36" s="1004"/>
      <c r="P36" s="1004"/>
      <c r="Q36" s="1006"/>
    </row>
    <row r="37" spans="1:17">
      <c r="A37" s="1001">
        <v>32</v>
      </c>
      <c r="B37" s="947" t="s">
        <v>3271</v>
      </c>
      <c r="C37" s="1002"/>
      <c r="D37" s="1002"/>
      <c r="E37" s="1003"/>
      <c r="F37" s="1004"/>
      <c r="G37" s="1002"/>
      <c r="H37" s="1004"/>
      <c r="I37" s="1002"/>
      <c r="J37" s="1002"/>
      <c r="K37" s="1002"/>
      <c r="L37" s="1002"/>
      <c r="M37" s="1004"/>
      <c r="N37" s="1004"/>
      <c r="O37" s="1004"/>
      <c r="P37" s="1004"/>
      <c r="Q37" s="1006"/>
    </row>
    <row r="38" spans="1:17">
      <c r="A38" s="1001">
        <v>33</v>
      </c>
      <c r="B38" s="957" t="s">
        <v>367</v>
      </c>
      <c r="C38" s="1007"/>
      <c r="D38" s="1007"/>
      <c r="E38" s="1003"/>
      <c r="F38" s="1004"/>
      <c r="G38" s="1007"/>
      <c r="H38" s="1004"/>
      <c r="I38" s="1007"/>
      <c r="J38" s="1007"/>
      <c r="K38" s="1007"/>
      <c r="L38" s="1007"/>
      <c r="M38" s="1004"/>
      <c r="N38" s="1004"/>
      <c r="O38" s="1004"/>
      <c r="P38" s="1004"/>
      <c r="Q38" s="1006"/>
    </row>
    <row r="39" spans="1:17">
      <c r="A39" s="1001">
        <v>34</v>
      </c>
      <c r="B39" s="957" t="s">
        <v>368</v>
      </c>
      <c r="C39" s="1002"/>
      <c r="D39" s="1002"/>
      <c r="E39" s="1003"/>
      <c r="F39" s="1004"/>
      <c r="G39" s="1002"/>
      <c r="H39" s="1004"/>
      <c r="I39" s="1002"/>
      <c r="J39" s="1002"/>
      <c r="K39" s="1002"/>
      <c r="L39" s="1002"/>
      <c r="M39" s="1004"/>
      <c r="N39" s="1004"/>
      <c r="O39" s="1004"/>
      <c r="P39" s="1004"/>
      <c r="Q39" s="1008"/>
    </row>
    <row r="40" spans="1:17">
      <c r="A40" s="1001">
        <v>35</v>
      </c>
      <c r="B40" s="957" t="s">
        <v>369</v>
      </c>
      <c r="C40" s="1002"/>
      <c r="D40" s="1002"/>
      <c r="E40" s="1003"/>
      <c r="F40" s="1004"/>
      <c r="G40" s="1002"/>
      <c r="H40" s="1004"/>
      <c r="I40" s="1002"/>
      <c r="J40" s="1002"/>
      <c r="K40" s="1002"/>
      <c r="L40" s="1002"/>
      <c r="M40" s="1004"/>
      <c r="N40" s="1004"/>
      <c r="O40" s="1004"/>
      <c r="P40" s="1004"/>
      <c r="Q40" s="1008"/>
    </row>
    <row r="41" spans="1:17">
      <c r="A41" s="1001">
        <v>36</v>
      </c>
      <c r="B41" s="957" t="s">
        <v>370</v>
      </c>
      <c r="C41" s="1002"/>
      <c r="D41" s="1002"/>
      <c r="E41" s="1003"/>
      <c r="F41" s="1004"/>
      <c r="G41" s="1002"/>
      <c r="H41" s="1004"/>
      <c r="I41" s="1002"/>
      <c r="J41" s="1002"/>
      <c r="K41" s="1002"/>
      <c r="L41" s="1002"/>
      <c r="M41" s="1004"/>
      <c r="N41" s="1004"/>
      <c r="O41" s="1004"/>
      <c r="P41" s="1004"/>
      <c r="Q41" s="1008"/>
    </row>
    <row r="42" spans="1:17">
      <c r="A42" s="1001">
        <v>37</v>
      </c>
      <c r="B42" s="957" t="s">
        <v>371</v>
      </c>
      <c r="C42" s="1002"/>
      <c r="D42" s="1002"/>
      <c r="E42" s="1003"/>
      <c r="F42" s="1004"/>
      <c r="G42" s="1002"/>
      <c r="H42" s="1004"/>
      <c r="I42" s="1002"/>
      <c r="J42" s="1002"/>
      <c r="K42" s="1002"/>
      <c r="L42" s="1002"/>
      <c r="M42" s="1004"/>
      <c r="N42" s="1004"/>
      <c r="O42" s="1004"/>
      <c r="P42" s="1004"/>
      <c r="Q42" s="1008"/>
    </row>
    <row r="43" spans="1:17">
      <c r="A43" s="1001">
        <v>38</v>
      </c>
      <c r="B43" s="957" t="s">
        <v>372</v>
      </c>
      <c r="C43" s="1002"/>
      <c r="D43" s="1002"/>
      <c r="E43" s="1003"/>
      <c r="F43" s="1004"/>
      <c r="G43" s="1002"/>
      <c r="H43" s="1004"/>
      <c r="I43" s="1002"/>
      <c r="J43" s="1002"/>
      <c r="K43" s="1002"/>
      <c r="L43" s="1002"/>
      <c r="M43" s="1004"/>
      <c r="N43" s="1004"/>
      <c r="O43" s="1004"/>
      <c r="P43" s="1004"/>
      <c r="Q43" s="1008"/>
    </row>
    <row r="44" spans="1:17">
      <c r="A44" s="944">
        <v>39</v>
      </c>
      <c r="B44" s="957" t="s">
        <v>373</v>
      </c>
      <c r="C44" s="1002"/>
      <c r="D44" s="1002"/>
      <c r="E44" s="1003"/>
      <c r="F44" s="1004"/>
      <c r="G44" s="1002"/>
      <c r="H44" s="1004"/>
      <c r="I44" s="1002"/>
      <c r="J44" s="1002"/>
      <c r="K44" s="1002"/>
      <c r="L44" s="1002"/>
      <c r="M44" s="1004"/>
      <c r="N44" s="1004"/>
      <c r="O44" s="1004"/>
      <c r="P44" s="1004"/>
      <c r="Q44" s="1008"/>
    </row>
    <row r="45" spans="1:17">
      <c r="A45" s="1001">
        <v>40</v>
      </c>
      <c r="B45" s="957" t="s">
        <v>374</v>
      </c>
      <c r="C45" s="1002"/>
      <c r="D45" s="1002"/>
      <c r="E45" s="1003"/>
      <c r="F45" s="1004"/>
      <c r="G45" s="1002"/>
      <c r="H45" s="1004"/>
      <c r="I45" s="1002"/>
      <c r="J45" s="1002"/>
      <c r="K45" s="1002"/>
      <c r="L45" s="1002"/>
      <c r="M45" s="1004"/>
      <c r="N45" s="1004"/>
      <c r="O45" s="1004"/>
      <c r="P45" s="1004"/>
      <c r="Q45" s="1008"/>
    </row>
    <row r="46" spans="1:17">
      <c r="A46" s="1001">
        <v>41</v>
      </c>
      <c r="B46" s="957" t="s">
        <v>375</v>
      </c>
      <c r="C46" s="1002"/>
      <c r="D46" s="1002"/>
      <c r="E46" s="1003"/>
      <c r="F46" s="1004"/>
      <c r="G46" s="1002"/>
      <c r="H46" s="1004"/>
      <c r="I46" s="1002"/>
      <c r="J46" s="1002"/>
      <c r="K46" s="1002"/>
      <c r="L46" s="1002"/>
      <c r="M46" s="1004"/>
      <c r="N46" s="1004"/>
      <c r="O46" s="1004"/>
      <c r="P46" s="1004"/>
      <c r="Q46" s="1008"/>
    </row>
    <row r="47" spans="1:17">
      <c r="A47" s="1001">
        <v>42</v>
      </c>
      <c r="B47" s="957" t="s">
        <v>376</v>
      </c>
      <c r="C47" s="1002"/>
      <c r="D47" s="1002"/>
      <c r="E47" s="1003"/>
      <c r="F47" s="1004"/>
      <c r="G47" s="1002"/>
      <c r="H47" s="1004"/>
      <c r="I47" s="1002"/>
      <c r="J47" s="1002"/>
      <c r="K47" s="1002"/>
      <c r="L47" s="1002"/>
      <c r="M47" s="1004"/>
      <c r="N47" s="1004"/>
      <c r="O47" s="1004"/>
      <c r="P47" s="1004"/>
      <c r="Q47" s="1008"/>
    </row>
    <row r="48" spans="1:17">
      <c r="A48" s="1001">
        <v>43</v>
      </c>
      <c r="B48" s="980" t="s">
        <v>265</v>
      </c>
      <c r="C48" s="1007"/>
      <c r="D48" s="1007"/>
      <c r="E48" s="1003"/>
      <c r="F48" s="1004"/>
      <c r="G48" s="1007"/>
      <c r="H48" s="1004"/>
      <c r="I48" s="1007"/>
      <c r="J48" s="1007"/>
      <c r="K48" s="1007"/>
      <c r="L48" s="1007"/>
      <c r="M48" s="1004"/>
      <c r="N48" s="1004"/>
      <c r="O48" s="1004"/>
      <c r="P48" s="1004"/>
      <c r="Q48" s="1009"/>
    </row>
    <row r="49" spans="1:17">
      <c r="A49" s="1010" t="s">
        <v>197</v>
      </c>
      <c r="B49" s="1011" t="s">
        <v>3354</v>
      </c>
      <c r="D49" s="925"/>
      <c r="E49" s="997"/>
      <c r="F49" s="925"/>
      <c r="G49" s="925"/>
      <c r="H49" s="925"/>
      <c r="I49" s="925"/>
      <c r="J49" s="925"/>
      <c r="K49" s="925"/>
      <c r="L49" s="925"/>
      <c r="M49" s="925"/>
      <c r="N49" s="925"/>
      <c r="O49" s="925"/>
      <c r="P49" s="925"/>
      <c r="Q49" s="925"/>
    </row>
    <row r="50" spans="1:17">
      <c r="A50" s="961"/>
      <c r="B50" s="925" t="s">
        <v>214</v>
      </c>
      <c r="C50" s="925"/>
      <c r="D50" s="925"/>
      <c r="E50" s="997"/>
      <c r="F50" s="925"/>
      <c r="G50" s="925"/>
      <c r="H50" s="925"/>
      <c r="I50" s="925"/>
      <c r="J50" s="925"/>
      <c r="K50" s="925"/>
      <c r="L50" s="925"/>
      <c r="M50" s="925"/>
      <c r="N50" s="925"/>
      <c r="O50" s="925"/>
      <c r="P50" s="925"/>
      <c r="Q50" s="925"/>
    </row>
    <row r="51" spans="1:17">
      <c r="A51" s="961"/>
      <c r="B51" s="925"/>
      <c r="C51" s="925"/>
      <c r="D51" s="925"/>
      <c r="E51" s="925"/>
      <c r="F51" s="997"/>
      <c r="G51" s="997"/>
      <c r="H51" s="997"/>
      <c r="I51" s="925"/>
      <c r="J51" s="925"/>
      <c r="K51" s="925"/>
      <c r="L51" s="925"/>
      <c r="M51" s="925"/>
      <c r="N51" s="925"/>
      <c r="O51" s="925"/>
      <c r="P51" s="925"/>
      <c r="Q51" s="925"/>
    </row>
  </sheetData>
  <mergeCells count="15">
    <mergeCell ref="E3:E4"/>
    <mergeCell ref="F3:F4"/>
    <mergeCell ref="A3:A5"/>
    <mergeCell ref="B3:B5"/>
    <mergeCell ref="C3:C4"/>
    <mergeCell ref="D3:D4"/>
    <mergeCell ref="H3:H4"/>
    <mergeCell ref="G3:G4"/>
    <mergeCell ref="J3:K3"/>
    <mergeCell ref="Q3:Q4"/>
    <mergeCell ref="P3:P4"/>
    <mergeCell ref="N3:N4"/>
    <mergeCell ref="O3:O4"/>
    <mergeCell ref="L3:M3"/>
    <mergeCell ref="I3:I4"/>
  </mergeCells>
  <phoneticPr fontId="9" type="noConversion"/>
  <pageMargins left="0.51181102362204722" right="0.35433070866141736" top="0.39370078740157483" bottom="0.27559055118110237" header="0.15748031496062992" footer="0.23622047244094491"/>
  <pageSetup paperSize="9" scale="54" fitToHeight="2" orientation="landscape" r:id="rId1"/>
  <headerFooter alignWithMargins="0">
    <oddFooter>&amp;C&amp;P/&amp;N&amp;R&amp;A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1">
    <pageSetUpPr fitToPage="1"/>
  </sheetPr>
  <dimension ref="A1:R11"/>
  <sheetViews>
    <sheetView showGridLines="0" workbookViewId="0">
      <pane xSplit="2" ySplit="5" topLeftCell="C6" activePane="bottomRight" state="frozen"/>
      <selection activeCell="G28" sqref="G28"/>
      <selection pane="topRight" activeCell="G28" sqref="G28"/>
      <selection pane="bottomLeft" activeCell="G28" sqref="G28"/>
      <selection pane="bottomRight" activeCell="A2" sqref="A2"/>
    </sheetView>
  </sheetViews>
  <sheetFormatPr defaultRowHeight="16.5"/>
  <cols>
    <col min="1" max="1" width="5.75" customWidth="1"/>
    <col min="2" max="2" width="17" customWidth="1"/>
    <col min="3" max="3" width="13" customWidth="1"/>
    <col min="4" max="4" width="11.875" customWidth="1"/>
    <col min="5" max="6" width="11.75" customWidth="1"/>
    <col min="7" max="7" width="12" customWidth="1"/>
    <col min="8" max="8" width="10.25" customWidth="1"/>
    <col min="9" max="9" width="13" customWidth="1"/>
    <col min="10" max="10" width="12.5" customWidth="1"/>
    <col min="11" max="11" width="17.75" customWidth="1"/>
    <col min="12" max="12" width="15.125" customWidth="1"/>
    <col min="13" max="13" width="11.125" customWidth="1"/>
    <col min="14" max="14" width="11.5" customWidth="1"/>
    <col min="15" max="15" width="14.875" customWidth="1"/>
    <col min="16" max="16" width="19.5" customWidth="1"/>
    <col min="17" max="17" width="9.75" customWidth="1"/>
    <col min="18" max="18" width="11.25" customWidth="1"/>
  </cols>
  <sheetData>
    <row r="1" spans="1:18">
      <c r="A1" s="14" t="str">
        <f>+封面!A3&amp;" "&amp;封面!A2</f>
        <v xml:space="preserve">        保險股份有限公司(○○分公司) 年度(月、季、半年)報表</v>
      </c>
      <c r="B1" s="454"/>
      <c r="C1" s="454"/>
      <c r="D1" s="454"/>
      <c r="E1" s="454"/>
      <c r="F1" s="454"/>
      <c r="G1" s="454"/>
      <c r="H1" s="454"/>
      <c r="I1" s="454"/>
      <c r="J1" s="454"/>
      <c r="K1" s="454"/>
      <c r="L1" s="454"/>
      <c r="M1" s="454"/>
      <c r="N1" s="454"/>
      <c r="O1" s="454"/>
    </row>
    <row r="2" spans="1:18">
      <c r="A2" s="455" t="s">
        <v>619</v>
      </c>
      <c r="B2" s="286"/>
      <c r="C2" s="286"/>
      <c r="D2" s="286"/>
      <c r="E2" s="286"/>
      <c r="F2" s="456"/>
      <c r="G2" s="456"/>
      <c r="H2" s="456"/>
      <c r="I2" s="286"/>
      <c r="J2" s="286"/>
      <c r="K2" s="286"/>
      <c r="L2" s="286"/>
      <c r="M2" s="286"/>
      <c r="N2" s="457"/>
      <c r="O2" s="457"/>
      <c r="R2" s="457" t="s">
        <v>607</v>
      </c>
    </row>
    <row r="3" spans="1:18" ht="28.5" customHeight="1">
      <c r="A3" s="3527" t="s">
        <v>608</v>
      </c>
      <c r="B3" s="3530" t="s">
        <v>609</v>
      </c>
      <c r="C3" s="3531" t="s">
        <v>624</v>
      </c>
      <c r="D3" s="3531" t="s">
        <v>625</v>
      </c>
      <c r="E3" s="3531" t="s">
        <v>626</v>
      </c>
      <c r="F3" s="3531" t="s">
        <v>610</v>
      </c>
      <c r="G3" s="3533" t="s">
        <v>628</v>
      </c>
      <c r="H3" s="3534"/>
      <c r="I3" s="3534"/>
      <c r="J3" s="3535"/>
      <c r="K3" s="3520" t="s">
        <v>203</v>
      </c>
      <c r="L3" s="3521"/>
      <c r="M3" s="3521"/>
      <c r="N3" s="3522"/>
      <c r="O3" s="3523" t="s">
        <v>632</v>
      </c>
      <c r="P3" s="3489" t="s">
        <v>633</v>
      </c>
      <c r="Q3" s="3525"/>
      <c r="R3" s="3526"/>
    </row>
    <row r="4" spans="1:18" ht="28.5" customHeight="1">
      <c r="A4" s="3528"/>
      <c r="B4" s="3530"/>
      <c r="C4" s="3532"/>
      <c r="D4" s="3532"/>
      <c r="E4" s="3532"/>
      <c r="F4" s="3532"/>
      <c r="G4" s="434" t="s">
        <v>627</v>
      </c>
      <c r="H4" s="434" t="s">
        <v>257</v>
      </c>
      <c r="I4" s="434" t="s">
        <v>429</v>
      </c>
      <c r="J4" s="434" t="s">
        <v>400</v>
      </c>
      <c r="K4" s="434" t="s">
        <v>629</v>
      </c>
      <c r="L4" s="435" t="s">
        <v>630</v>
      </c>
      <c r="M4" s="436" t="s">
        <v>400</v>
      </c>
      <c r="N4" s="458" t="s">
        <v>631</v>
      </c>
      <c r="O4" s="3524"/>
      <c r="P4" s="459" t="s">
        <v>611</v>
      </c>
      <c r="Q4" s="459" t="s">
        <v>498</v>
      </c>
      <c r="R4" s="459" t="s">
        <v>634</v>
      </c>
    </row>
    <row r="5" spans="1:18">
      <c r="A5" s="3529"/>
      <c r="B5" s="3530"/>
      <c r="C5" s="460" t="s">
        <v>147</v>
      </c>
      <c r="D5" s="460" t="s">
        <v>423</v>
      </c>
      <c r="E5" s="460" t="s">
        <v>171</v>
      </c>
      <c r="F5" s="460" t="s">
        <v>612</v>
      </c>
      <c r="G5" s="460" t="s">
        <v>64</v>
      </c>
      <c r="H5" s="460" t="s">
        <v>174</v>
      </c>
      <c r="I5" s="460" t="s">
        <v>175</v>
      </c>
      <c r="J5" s="460" t="s">
        <v>613</v>
      </c>
      <c r="K5" s="460" t="s">
        <v>177</v>
      </c>
      <c r="L5" s="460" t="s">
        <v>178</v>
      </c>
      <c r="M5" s="460" t="s">
        <v>614</v>
      </c>
      <c r="N5" s="460" t="s">
        <v>180</v>
      </c>
      <c r="O5" s="460" t="s">
        <v>615</v>
      </c>
      <c r="P5" s="460" t="s">
        <v>39</v>
      </c>
      <c r="Q5" s="460" t="s">
        <v>418</v>
      </c>
      <c r="R5" s="460" t="s">
        <v>616</v>
      </c>
    </row>
    <row r="6" spans="1:18">
      <c r="A6" s="452">
        <v>1</v>
      </c>
      <c r="B6" s="437" t="s">
        <v>617</v>
      </c>
      <c r="C6" s="461"/>
      <c r="D6" s="461"/>
      <c r="E6" s="462"/>
      <c r="F6" s="463"/>
      <c r="G6" s="461"/>
      <c r="H6" s="463"/>
      <c r="I6" s="461"/>
      <c r="J6" s="461"/>
      <c r="K6" s="463"/>
      <c r="L6" s="463"/>
      <c r="M6" s="463"/>
      <c r="N6" s="463"/>
      <c r="O6" s="464"/>
      <c r="P6" s="465"/>
      <c r="Q6" s="465"/>
      <c r="R6" s="465"/>
    </row>
    <row r="7" spans="1:18">
      <c r="A7" s="452">
        <v>2</v>
      </c>
      <c r="B7" s="466" t="s">
        <v>618</v>
      </c>
      <c r="C7" s="461"/>
      <c r="D7" s="461"/>
      <c r="E7" s="462"/>
      <c r="F7" s="463"/>
      <c r="G7" s="461"/>
      <c r="H7" s="463"/>
      <c r="I7" s="461"/>
      <c r="J7" s="461"/>
      <c r="K7" s="463"/>
      <c r="L7" s="463"/>
      <c r="M7" s="463"/>
      <c r="N7" s="463"/>
      <c r="O7" s="467"/>
      <c r="P7" s="465"/>
      <c r="Q7" s="465"/>
      <c r="R7" s="465"/>
    </row>
    <row r="8" spans="1:18">
      <c r="A8" s="452">
        <v>3</v>
      </c>
      <c r="B8" s="468" t="s">
        <v>265</v>
      </c>
      <c r="C8" s="469"/>
      <c r="D8" s="469"/>
      <c r="E8" s="462"/>
      <c r="F8" s="463"/>
      <c r="G8" s="469"/>
      <c r="H8" s="463"/>
      <c r="I8" s="469"/>
      <c r="J8" s="469"/>
      <c r="K8" s="463"/>
      <c r="L8" s="463"/>
      <c r="M8" s="463"/>
      <c r="N8" s="463"/>
      <c r="O8" s="470"/>
      <c r="P8" s="465"/>
      <c r="Q8" s="465"/>
      <c r="R8" s="465"/>
    </row>
    <row r="9" spans="1:18">
      <c r="A9" s="471" t="s">
        <v>621</v>
      </c>
      <c r="B9" s="286" t="s">
        <v>620</v>
      </c>
      <c r="D9" s="286"/>
      <c r="E9" s="456"/>
      <c r="F9" s="286"/>
      <c r="G9" s="286"/>
      <c r="H9" s="286"/>
      <c r="I9" s="286"/>
      <c r="J9" s="286"/>
      <c r="K9" s="286"/>
      <c r="L9" s="286"/>
      <c r="M9" s="286"/>
      <c r="N9" s="286"/>
      <c r="O9" s="286"/>
    </row>
    <row r="10" spans="1:18">
      <c r="A10" s="471" t="s">
        <v>622</v>
      </c>
      <c r="B10" s="286" t="s">
        <v>623</v>
      </c>
      <c r="C10" s="286"/>
      <c r="D10" s="286"/>
      <c r="E10" s="456"/>
      <c r="F10" s="286"/>
      <c r="G10" s="286"/>
      <c r="H10" s="286"/>
      <c r="I10" s="286"/>
      <c r="J10" s="286"/>
      <c r="K10" s="286"/>
      <c r="L10" s="286"/>
      <c r="M10" s="286"/>
      <c r="N10" s="286"/>
      <c r="O10" s="286"/>
    </row>
    <row r="11" spans="1:18">
      <c r="A11" s="453"/>
      <c r="B11" s="286"/>
      <c r="C11" s="286"/>
      <c r="D11" s="286"/>
      <c r="E11" s="286"/>
      <c r="F11" s="456"/>
      <c r="G11" s="456"/>
      <c r="H11" s="456"/>
      <c r="I11" s="286"/>
      <c r="J11" s="286"/>
      <c r="K11" s="286"/>
      <c r="L11" s="286"/>
      <c r="M11" s="286"/>
      <c r="N11" s="286"/>
      <c r="O11" s="286"/>
    </row>
  </sheetData>
  <mergeCells count="10">
    <mergeCell ref="K3:N3"/>
    <mergeCell ref="O3:O4"/>
    <mergeCell ref="P3:R3"/>
    <mergeCell ref="A3:A5"/>
    <mergeCell ref="B3:B5"/>
    <mergeCell ref="C3:C4"/>
    <mergeCell ref="D3:D4"/>
    <mergeCell ref="E3:E4"/>
    <mergeCell ref="F3:F4"/>
    <mergeCell ref="G3:J3"/>
  </mergeCells>
  <phoneticPr fontId="9" type="noConversion"/>
  <pageMargins left="0.51181102362204722" right="0.35433070866141736" top="0.39370078740157483" bottom="0.27559055118110237" header="0.15748031496062992" footer="0.23622047244094491"/>
  <pageSetup paperSize="9" scale="57" fitToHeight="2" orientation="landscape" r:id="rId1"/>
  <headerFooter alignWithMargins="0">
    <oddFooter>&amp;C&amp;P/&amp;N&amp;R&amp;A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pageSetUpPr fitToPage="1"/>
  </sheetPr>
  <dimension ref="A1:AB132"/>
  <sheetViews>
    <sheetView showGridLines="0" zoomScaleNormal="100" workbookViewId="0">
      <pane xSplit="2" ySplit="4" topLeftCell="H26" activePane="bottomRight" state="frozen"/>
      <selection activeCell="G28" sqref="G28"/>
      <selection pane="topRight" activeCell="G28" sqref="G28"/>
      <selection pane="bottomLeft" activeCell="G28" sqref="G28"/>
      <selection pane="bottomRight"/>
    </sheetView>
  </sheetViews>
  <sheetFormatPr defaultColWidth="0" defaultRowHeight="14.25" customHeight="1" zeroHeight="1"/>
  <cols>
    <col min="1" max="1" width="5" style="925" customWidth="1"/>
    <col min="2" max="2" width="24.25" style="925" customWidth="1"/>
    <col min="3" max="3" width="11.375" style="1012" customWidth="1"/>
    <col min="4" max="4" width="5.625" style="1013" customWidth="1"/>
    <col min="5" max="5" width="12" style="1012" customWidth="1"/>
    <col min="6" max="6" width="14.625" style="1014" customWidth="1"/>
    <col min="7" max="7" width="15.75" style="1014" customWidth="1"/>
    <col min="8" max="8" width="15.625" style="1012" customWidth="1"/>
    <col min="9" max="9" width="15.125" style="1012" customWidth="1"/>
    <col min="10" max="10" width="14.25" style="1012" customWidth="1"/>
    <col min="11" max="11" width="18.625" style="1014" customWidth="1"/>
    <col min="12" max="12" width="18" style="1012" bestFit="1" customWidth="1"/>
    <col min="13" max="19" width="13.625" style="1014" customWidth="1"/>
    <col min="20" max="20" width="12.75" style="1012" customWidth="1"/>
    <col min="21" max="21" width="9.75" style="1012" customWidth="1"/>
    <col min="22" max="16384" width="0" style="1012" hidden="1"/>
  </cols>
  <sheetData>
    <row r="1" spans="1:20" ht="16.5">
      <c r="A1" s="924" t="str">
        <f>+封面!A3&amp;" "&amp;封面!A2</f>
        <v xml:space="preserve">        保險股份有限公司(○○分公司) 年度(月、季、半年)報表</v>
      </c>
    </row>
    <row r="2" spans="1:20">
      <c r="A2" s="960" t="s">
        <v>595</v>
      </c>
      <c r="B2" s="1015"/>
      <c r="M2" s="1016"/>
      <c r="N2" s="1016"/>
      <c r="O2" s="1016"/>
      <c r="P2" s="1016"/>
      <c r="Q2" s="1016"/>
      <c r="R2" s="1016"/>
      <c r="S2" s="1017" t="s">
        <v>170</v>
      </c>
    </row>
    <row r="3" spans="1:20" ht="71.650000000000006" customHeight="1">
      <c r="A3" s="3491" t="s">
        <v>94</v>
      </c>
      <c r="B3" s="3491" t="s">
        <v>456</v>
      </c>
      <c r="C3" s="1018" t="s">
        <v>10</v>
      </c>
      <c r="D3" s="1018" t="s">
        <v>11</v>
      </c>
      <c r="E3" s="1018" t="s">
        <v>12</v>
      </c>
      <c r="F3" s="1018" t="s">
        <v>13</v>
      </c>
      <c r="G3" s="1018" t="s">
        <v>14</v>
      </c>
      <c r="H3" s="1018" t="s">
        <v>15</v>
      </c>
      <c r="I3" s="1018" t="s">
        <v>16</v>
      </c>
      <c r="J3" s="1018" t="s">
        <v>17</v>
      </c>
      <c r="K3" s="1018" t="s">
        <v>18</v>
      </c>
      <c r="L3" s="1018" t="s">
        <v>19</v>
      </c>
      <c r="M3" s="1018" t="s">
        <v>20</v>
      </c>
      <c r="N3" s="1018" t="s">
        <v>21</v>
      </c>
      <c r="O3" s="1018" t="s">
        <v>22</v>
      </c>
      <c r="P3" s="1018" t="s">
        <v>23</v>
      </c>
      <c r="Q3" s="1018" t="s">
        <v>24</v>
      </c>
      <c r="R3" s="1018" t="s">
        <v>25</v>
      </c>
      <c r="S3" s="1018" t="s">
        <v>26</v>
      </c>
      <c r="T3" s="1018" t="s">
        <v>27</v>
      </c>
    </row>
    <row r="4" spans="1:20" ht="30.4" customHeight="1">
      <c r="A4" s="3536"/>
      <c r="B4" s="3536"/>
      <c r="C4" s="1019" t="s">
        <v>28</v>
      </c>
      <c r="D4" s="1019" t="s">
        <v>29</v>
      </c>
      <c r="E4" s="1020" t="s">
        <v>30</v>
      </c>
      <c r="F4" s="1019" t="s">
        <v>31</v>
      </c>
      <c r="G4" s="1021" t="s">
        <v>32</v>
      </c>
      <c r="H4" s="1019" t="s">
        <v>33</v>
      </c>
      <c r="I4" s="1019" t="s">
        <v>34</v>
      </c>
      <c r="J4" s="1020" t="s">
        <v>35</v>
      </c>
      <c r="K4" s="1020" t="s">
        <v>177</v>
      </c>
      <c r="L4" s="1020" t="s">
        <v>178</v>
      </c>
      <c r="M4" s="1020" t="s">
        <v>36</v>
      </c>
      <c r="N4" s="1020" t="s">
        <v>37</v>
      </c>
      <c r="O4" s="1020" t="s">
        <v>38</v>
      </c>
      <c r="P4" s="1019" t="s">
        <v>39</v>
      </c>
      <c r="Q4" s="1019" t="s">
        <v>40</v>
      </c>
      <c r="R4" s="1020" t="s">
        <v>41</v>
      </c>
      <c r="S4" s="1020" t="s">
        <v>42</v>
      </c>
      <c r="T4" s="1019" t="s">
        <v>43</v>
      </c>
    </row>
    <row r="5" spans="1:20" ht="30.4" customHeight="1">
      <c r="A5" s="1001">
        <v>1</v>
      </c>
      <c r="B5" s="1022" t="s">
        <v>333</v>
      </c>
      <c r="C5" s="1023"/>
      <c r="D5" s="1024"/>
      <c r="E5" s="1023"/>
      <c r="F5" s="1023"/>
      <c r="G5" s="1023"/>
      <c r="H5" s="1023"/>
      <c r="I5" s="1023"/>
      <c r="J5" s="1023"/>
      <c r="K5" s="1023"/>
      <c r="L5" s="1023"/>
      <c r="M5" s="1023"/>
      <c r="N5" s="1023"/>
      <c r="O5" s="1023"/>
      <c r="P5" s="1023"/>
      <c r="Q5" s="1023"/>
      <c r="R5" s="1023"/>
      <c r="S5" s="1023"/>
      <c r="T5" s="1025"/>
    </row>
    <row r="6" spans="1:20">
      <c r="A6" s="1001">
        <v>2</v>
      </c>
      <c r="B6" s="1022" t="s">
        <v>334</v>
      </c>
      <c r="C6" s="1023"/>
      <c r="D6" s="1024"/>
      <c r="E6" s="1023"/>
      <c r="F6" s="1023"/>
      <c r="G6" s="1023"/>
      <c r="H6" s="1023"/>
      <c r="I6" s="1023"/>
      <c r="J6" s="1023"/>
      <c r="K6" s="1023"/>
      <c r="L6" s="1023"/>
      <c r="M6" s="1023"/>
      <c r="N6" s="1023"/>
      <c r="O6" s="1023"/>
      <c r="P6" s="1023"/>
      <c r="Q6" s="1023"/>
      <c r="R6" s="1023"/>
      <c r="S6" s="1023"/>
      <c r="T6" s="1025"/>
    </row>
    <row r="7" spans="1:20">
      <c r="A7" s="1001">
        <v>3</v>
      </c>
      <c r="B7" s="1022" t="s">
        <v>335</v>
      </c>
      <c r="C7" s="1023"/>
      <c r="D7" s="1024"/>
      <c r="E7" s="1023"/>
      <c r="F7" s="1023"/>
      <c r="G7" s="1023"/>
      <c r="H7" s="1023"/>
      <c r="I7" s="1023"/>
      <c r="J7" s="1023"/>
      <c r="K7" s="1023"/>
      <c r="L7" s="1023"/>
      <c r="M7" s="1023"/>
      <c r="N7" s="1023"/>
      <c r="O7" s="1023"/>
      <c r="P7" s="1023"/>
      <c r="Q7" s="1023"/>
      <c r="R7" s="1023"/>
      <c r="S7" s="1023"/>
      <c r="T7" s="1025"/>
    </row>
    <row r="8" spans="1:20">
      <c r="A8" s="1001">
        <v>4</v>
      </c>
      <c r="B8" s="1022" t="s">
        <v>336</v>
      </c>
      <c r="C8" s="1023"/>
      <c r="D8" s="1024"/>
      <c r="E8" s="1023"/>
      <c r="F8" s="1023"/>
      <c r="G8" s="1023"/>
      <c r="H8" s="1023"/>
      <c r="I8" s="1023"/>
      <c r="J8" s="1023"/>
      <c r="K8" s="1023"/>
      <c r="L8" s="1023"/>
      <c r="M8" s="1023"/>
      <c r="N8" s="1023"/>
      <c r="O8" s="1023"/>
      <c r="P8" s="1023"/>
      <c r="Q8" s="1023"/>
      <c r="R8" s="1023"/>
      <c r="S8" s="1023"/>
      <c r="T8" s="1025"/>
    </row>
    <row r="9" spans="1:20" ht="15" customHeight="1">
      <c r="A9" s="1001">
        <v>5</v>
      </c>
      <c r="B9" s="1022" t="s">
        <v>337</v>
      </c>
      <c r="C9" s="1023"/>
      <c r="D9" s="1024"/>
      <c r="E9" s="1023"/>
      <c r="F9" s="1023"/>
      <c r="G9" s="1023"/>
      <c r="H9" s="1023"/>
      <c r="I9" s="1023"/>
      <c r="J9" s="1023"/>
      <c r="K9" s="1023"/>
      <c r="L9" s="1023"/>
      <c r="M9" s="1023"/>
      <c r="N9" s="1023"/>
      <c r="O9" s="1023"/>
      <c r="P9" s="1023"/>
      <c r="Q9" s="1023"/>
      <c r="R9" s="1023"/>
      <c r="S9" s="1023"/>
      <c r="T9" s="1025"/>
    </row>
    <row r="10" spans="1:20">
      <c r="A10" s="1001">
        <v>6</v>
      </c>
      <c r="B10" s="1022" t="s">
        <v>338</v>
      </c>
      <c r="C10" s="1023"/>
      <c r="D10" s="1024"/>
      <c r="E10" s="1023"/>
      <c r="F10" s="1023"/>
      <c r="G10" s="1023"/>
      <c r="H10" s="1023"/>
      <c r="I10" s="1023"/>
      <c r="J10" s="1023"/>
      <c r="K10" s="1023"/>
      <c r="L10" s="1023"/>
      <c r="M10" s="1023"/>
      <c r="N10" s="1023"/>
      <c r="O10" s="1023"/>
      <c r="P10" s="1023"/>
      <c r="Q10" s="1023"/>
      <c r="R10" s="1023"/>
      <c r="S10" s="1023"/>
      <c r="T10" s="1025"/>
    </row>
    <row r="11" spans="1:20">
      <c r="A11" s="1001">
        <v>7</v>
      </c>
      <c r="B11" s="1022" t="s">
        <v>339</v>
      </c>
      <c r="C11" s="1023"/>
      <c r="D11" s="1024"/>
      <c r="E11" s="1023"/>
      <c r="F11" s="1023"/>
      <c r="G11" s="1023"/>
      <c r="H11" s="1023"/>
      <c r="I11" s="1023"/>
      <c r="J11" s="1023"/>
      <c r="K11" s="1023"/>
      <c r="L11" s="1023"/>
      <c r="M11" s="1023"/>
      <c r="N11" s="1023"/>
      <c r="O11" s="1023"/>
      <c r="P11" s="1023"/>
      <c r="Q11" s="1023"/>
      <c r="R11" s="1023"/>
      <c r="S11" s="1023"/>
      <c r="T11" s="1025"/>
    </row>
    <row r="12" spans="1:20">
      <c r="A12" s="1001">
        <v>8</v>
      </c>
      <c r="B12" s="1022" t="s">
        <v>340</v>
      </c>
      <c r="C12" s="1023"/>
      <c r="D12" s="1024"/>
      <c r="E12" s="1023"/>
      <c r="F12" s="1023"/>
      <c r="G12" s="1023"/>
      <c r="H12" s="1023"/>
      <c r="I12" s="1023"/>
      <c r="J12" s="1023"/>
      <c r="K12" s="1023"/>
      <c r="L12" s="1023"/>
      <c r="M12" s="1023"/>
      <c r="N12" s="1023"/>
      <c r="O12" s="1023"/>
      <c r="P12" s="1023"/>
      <c r="Q12" s="1023"/>
      <c r="R12" s="1023"/>
      <c r="S12" s="1023"/>
      <c r="T12" s="1025"/>
    </row>
    <row r="13" spans="1:20">
      <c r="A13" s="1001">
        <v>9</v>
      </c>
      <c r="B13" s="1022" t="s">
        <v>341</v>
      </c>
      <c r="C13" s="1023"/>
      <c r="D13" s="1024"/>
      <c r="E13" s="1023"/>
      <c r="F13" s="1023"/>
      <c r="G13" s="1023"/>
      <c r="H13" s="1023"/>
      <c r="I13" s="1023"/>
      <c r="J13" s="1023"/>
      <c r="K13" s="1023"/>
      <c r="L13" s="1023"/>
      <c r="M13" s="1023"/>
      <c r="N13" s="1023"/>
      <c r="O13" s="1023"/>
      <c r="P13" s="1023"/>
      <c r="Q13" s="1023"/>
      <c r="R13" s="1023"/>
      <c r="S13" s="1023"/>
      <c r="T13" s="1025"/>
    </row>
    <row r="14" spans="1:20">
      <c r="A14" s="1001">
        <v>10</v>
      </c>
      <c r="B14" s="1022" t="s">
        <v>342</v>
      </c>
      <c r="C14" s="1023"/>
      <c r="D14" s="1024"/>
      <c r="E14" s="1023"/>
      <c r="F14" s="1023"/>
      <c r="G14" s="1023"/>
      <c r="H14" s="1023"/>
      <c r="I14" s="1023"/>
      <c r="J14" s="1023"/>
      <c r="K14" s="1023"/>
      <c r="L14" s="1023"/>
      <c r="M14" s="1023"/>
      <c r="N14" s="1023"/>
      <c r="O14" s="1023"/>
      <c r="P14" s="1023"/>
      <c r="Q14" s="1023"/>
      <c r="R14" s="1023"/>
      <c r="S14" s="1023"/>
      <c r="T14" s="1025"/>
    </row>
    <row r="15" spans="1:20">
      <c r="A15" s="1001">
        <v>11</v>
      </c>
      <c r="B15" s="1022" t="s">
        <v>343</v>
      </c>
      <c r="C15" s="1023"/>
      <c r="D15" s="1024"/>
      <c r="E15" s="1023"/>
      <c r="F15" s="1023"/>
      <c r="G15" s="1023"/>
      <c r="H15" s="1023"/>
      <c r="I15" s="1023"/>
      <c r="J15" s="1023"/>
      <c r="K15" s="1023"/>
      <c r="L15" s="1023"/>
      <c r="M15" s="1023"/>
      <c r="N15" s="1023"/>
      <c r="O15" s="1023"/>
      <c r="P15" s="1023"/>
      <c r="Q15" s="1023"/>
      <c r="R15" s="1023"/>
      <c r="S15" s="1023"/>
      <c r="T15" s="1025"/>
    </row>
    <row r="16" spans="1:20">
      <c r="A16" s="1001">
        <v>12</v>
      </c>
      <c r="B16" s="1022" t="s">
        <v>344</v>
      </c>
      <c r="C16" s="1023"/>
      <c r="D16" s="1024"/>
      <c r="E16" s="1023"/>
      <c r="F16" s="1023"/>
      <c r="G16" s="1023"/>
      <c r="H16" s="1023"/>
      <c r="I16" s="1023"/>
      <c r="J16" s="1023"/>
      <c r="K16" s="1023"/>
      <c r="L16" s="1023"/>
      <c r="M16" s="1023"/>
      <c r="N16" s="1023"/>
      <c r="O16" s="1023"/>
      <c r="P16" s="1023"/>
      <c r="Q16" s="1023"/>
      <c r="R16" s="1023"/>
      <c r="S16" s="1023"/>
      <c r="T16" s="1025"/>
    </row>
    <row r="17" spans="1:28">
      <c r="A17" s="1001">
        <v>13</v>
      </c>
      <c r="B17" s="1022" t="s">
        <v>345</v>
      </c>
      <c r="C17" s="1023"/>
      <c r="D17" s="1024"/>
      <c r="E17" s="1023"/>
      <c r="F17" s="1023"/>
      <c r="G17" s="1023"/>
      <c r="H17" s="1023"/>
      <c r="I17" s="1023"/>
      <c r="J17" s="1023"/>
      <c r="K17" s="1023"/>
      <c r="L17" s="1023"/>
      <c r="M17" s="1023"/>
      <c r="N17" s="1023"/>
      <c r="O17" s="1023"/>
      <c r="P17" s="1023"/>
      <c r="Q17" s="1023"/>
      <c r="R17" s="1023"/>
      <c r="S17" s="1023"/>
      <c r="T17" s="1025"/>
    </row>
    <row r="18" spans="1:28">
      <c r="A18" s="1001">
        <v>14</v>
      </c>
      <c r="B18" s="1022" t="s">
        <v>457</v>
      </c>
      <c r="C18" s="1026"/>
      <c r="D18" s="1027"/>
      <c r="E18" s="1026"/>
      <c r="F18" s="1026"/>
      <c r="G18" s="1026"/>
      <c r="H18" s="1026"/>
      <c r="I18" s="1026"/>
      <c r="J18" s="1026"/>
      <c r="K18" s="1026"/>
      <c r="L18" s="1026"/>
      <c r="M18" s="1026"/>
      <c r="N18" s="1026"/>
      <c r="O18" s="1026"/>
      <c r="P18" s="1026"/>
      <c r="Q18" s="1026"/>
      <c r="R18" s="1026"/>
      <c r="S18" s="1026"/>
      <c r="T18" s="1028"/>
    </row>
    <row r="19" spans="1:28">
      <c r="A19" s="1001">
        <v>15</v>
      </c>
      <c r="B19" s="1022" t="s">
        <v>290</v>
      </c>
      <c r="C19" s="1026"/>
      <c r="D19" s="1027"/>
      <c r="E19" s="1026"/>
      <c r="F19" s="1026"/>
      <c r="G19" s="1026"/>
      <c r="H19" s="1026"/>
      <c r="I19" s="1026"/>
      <c r="J19" s="1026"/>
      <c r="K19" s="1026"/>
      <c r="L19" s="1026"/>
      <c r="M19" s="1026"/>
      <c r="N19" s="1026"/>
      <c r="O19" s="1026"/>
      <c r="P19" s="1026"/>
      <c r="Q19" s="1026"/>
      <c r="R19" s="1026"/>
      <c r="S19" s="1026"/>
      <c r="T19" s="1028"/>
    </row>
    <row r="20" spans="1:28">
      <c r="A20" s="1001">
        <v>16</v>
      </c>
      <c r="B20" s="1022" t="s">
        <v>291</v>
      </c>
      <c r="C20" s="1026"/>
      <c r="D20" s="1027"/>
      <c r="E20" s="1026"/>
      <c r="F20" s="1026"/>
      <c r="G20" s="1026"/>
      <c r="H20" s="1026"/>
      <c r="I20" s="1026"/>
      <c r="J20" s="1026"/>
      <c r="K20" s="1026"/>
      <c r="L20" s="1026"/>
      <c r="M20" s="1026"/>
      <c r="N20" s="1026"/>
      <c r="O20" s="1026"/>
      <c r="P20" s="1026"/>
      <c r="Q20" s="1026"/>
      <c r="R20" s="1026"/>
      <c r="S20" s="1026"/>
      <c r="T20" s="1028"/>
    </row>
    <row r="21" spans="1:28">
      <c r="A21" s="1001">
        <v>17</v>
      </c>
      <c r="B21" s="1022" t="s">
        <v>346</v>
      </c>
      <c r="C21" s="1023"/>
      <c r="D21" s="1024"/>
      <c r="E21" s="1023"/>
      <c r="F21" s="1023"/>
      <c r="G21" s="1023"/>
      <c r="H21" s="1023"/>
      <c r="I21" s="1023"/>
      <c r="J21" s="1023"/>
      <c r="K21" s="1023"/>
      <c r="L21" s="1023"/>
      <c r="M21" s="1023"/>
      <c r="N21" s="1023"/>
      <c r="O21" s="1023"/>
      <c r="P21" s="1023"/>
      <c r="Q21" s="1023"/>
      <c r="R21" s="1023"/>
      <c r="S21" s="1023"/>
      <c r="T21" s="1025"/>
    </row>
    <row r="22" spans="1:28">
      <c r="A22" s="1001">
        <v>18</v>
      </c>
      <c r="B22" s="1022" t="s">
        <v>347</v>
      </c>
      <c r="C22" s="1023"/>
      <c r="D22" s="1024"/>
      <c r="E22" s="1023"/>
      <c r="F22" s="1023"/>
      <c r="G22" s="1023"/>
      <c r="H22" s="1023"/>
      <c r="I22" s="1023"/>
      <c r="J22" s="1023"/>
      <c r="K22" s="1023"/>
      <c r="L22" s="1023"/>
      <c r="M22" s="1023"/>
      <c r="N22" s="1023"/>
      <c r="O22" s="1023"/>
      <c r="P22" s="1023"/>
      <c r="Q22" s="1023"/>
      <c r="R22" s="1023"/>
      <c r="S22" s="1023"/>
      <c r="T22" s="1025"/>
    </row>
    <row r="23" spans="1:28">
      <c r="A23" s="1001">
        <v>19</v>
      </c>
      <c r="B23" s="1022" t="s">
        <v>348</v>
      </c>
      <c r="C23" s="1023"/>
      <c r="D23" s="1024"/>
      <c r="E23" s="1023"/>
      <c r="F23" s="1023"/>
      <c r="G23" s="1023"/>
      <c r="H23" s="1023"/>
      <c r="I23" s="1023"/>
      <c r="J23" s="1023"/>
      <c r="K23" s="1023"/>
      <c r="L23" s="1023"/>
      <c r="M23" s="1023"/>
      <c r="N23" s="1023"/>
      <c r="O23" s="1023"/>
      <c r="P23" s="1023"/>
      <c r="Q23" s="1023"/>
      <c r="R23" s="1023"/>
      <c r="S23" s="1023"/>
      <c r="T23" s="1029"/>
      <c r="U23" s="1030"/>
    </row>
    <row r="24" spans="1:28">
      <c r="A24" s="1001">
        <v>20</v>
      </c>
      <c r="B24" s="1022" t="s">
        <v>331</v>
      </c>
      <c r="C24" s="1026"/>
      <c r="D24" s="1027"/>
      <c r="E24" s="1026"/>
      <c r="F24" s="1026"/>
      <c r="G24" s="1026"/>
      <c r="H24" s="1026"/>
      <c r="I24" s="1026"/>
      <c r="J24" s="1026"/>
      <c r="K24" s="1026"/>
      <c r="L24" s="1026"/>
      <c r="M24" s="1026"/>
      <c r="N24" s="1026"/>
      <c r="O24" s="1026"/>
      <c r="P24" s="1026"/>
      <c r="Q24" s="1026"/>
      <c r="R24" s="1026"/>
      <c r="S24" s="1026"/>
      <c r="T24" s="1028"/>
      <c r="U24" s="1031"/>
    </row>
    <row r="25" spans="1:28">
      <c r="A25" s="1001">
        <v>21</v>
      </c>
      <c r="B25" s="1022" t="s">
        <v>349</v>
      </c>
      <c r="C25" s="1023"/>
      <c r="D25" s="1024"/>
      <c r="E25" s="1023"/>
      <c r="F25" s="1023"/>
      <c r="G25" s="1023"/>
      <c r="H25" s="1023"/>
      <c r="I25" s="1023"/>
      <c r="J25" s="1023"/>
      <c r="K25" s="1023"/>
      <c r="L25" s="1023"/>
      <c r="M25" s="1023"/>
      <c r="N25" s="1023"/>
      <c r="O25" s="1023"/>
      <c r="P25" s="1023"/>
      <c r="Q25" s="1023"/>
      <c r="R25" s="1023"/>
      <c r="S25" s="1023"/>
      <c r="T25" s="1032"/>
      <c r="U25" s="1030"/>
    </row>
    <row r="26" spans="1:28" ht="16.5">
      <c r="A26" s="1001">
        <v>22</v>
      </c>
      <c r="B26" s="1022" t="s">
        <v>350</v>
      </c>
      <c r="C26" s="1023"/>
      <c r="D26" s="1024"/>
      <c r="E26" s="1023"/>
      <c r="F26" s="1023"/>
      <c r="G26" s="1023"/>
      <c r="H26" s="1023"/>
      <c r="I26" s="1023"/>
      <c r="J26" s="1023"/>
      <c r="K26" s="1023"/>
      <c r="L26" s="1023"/>
      <c r="M26" s="1023"/>
      <c r="N26" s="1023"/>
      <c r="O26" s="1023"/>
      <c r="P26" s="1023"/>
      <c r="Q26" s="1023"/>
      <c r="R26" s="1023"/>
      <c r="S26" s="1023"/>
      <c r="T26" s="1025"/>
      <c r="AB26" s="1033"/>
    </row>
    <row r="27" spans="1:28">
      <c r="A27" s="1001">
        <v>23</v>
      </c>
      <c r="B27" s="1022" t="s">
        <v>351</v>
      </c>
      <c r="C27" s="1023"/>
      <c r="D27" s="1024"/>
      <c r="E27" s="1023"/>
      <c r="F27" s="1023"/>
      <c r="G27" s="1023"/>
      <c r="H27" s="1023"/>
      <c r="I27" s="1023"/>
      <c r="J27" s="1023"/>
      <c r="K27" s="1023"/>
      <c r="L27" s="1023"/>
      <c r="M27" s="1023"/>
      <c r="N27" s="1023"/>
      <c r="O27" s="1023"/>
      <c r="P27" s="1023"/>
      <c r="Q27" s="1023"/>
      <c r="R27" s="1023"/>
      <c r="S27" s="1023"/>
      <c r="T27" s="1025"/>
    </row>
    <row r="28" spans="1:28">
      <c r="A28" s="944">
        <v>24</v>
      </c>
      <c r="B28" s="934" t="s">
        <v>599</v>
      </c>
      <c r="C28" s="1023"/>
      <c r="D28" s="1027"/>
      <c r="E28" s="1023"/>
      <c r="F28" s="1023"/>
      <c r="G28" s="1023"/>
      <c r="H28" s="1023"/>
      <c r="I28" s="1023"/>
      <c r="J28" s="1023"/>
      <c r="K28" s="1023"/>
      <c r="L28" s="1023"/>
      <c r="M28" s="1023"/>
      <c r="N28" s="1023"/>
      <c r="O28" s="1023"/>
      <c r="P28" s="1023"/>
      <c r="Q28" s="1023"/>
      <c r="R28" s="1023"/>
      <c r="S28" s="1023"/>
      <c r="T28" s="1025"/>
    </row>
    <row r="29" spans="1:28">
      <c r="A29" s="1001">
        <v>25</v>
      </c>
      <c r="B29" s="1022" t="s">
        <v>206</v>
      </c>
      <c r="C29" s="1023"/>
      <c r="D29" s="1024"/>
      <c r="E29" s="1023"/>
      <c r="F29" s="1023"/>
      <c r="G29" s="1023"/>
      <c r="H29" s="1023"/>
      <c r="I29" s="1023"/>
      <c r="J29" s="1023"/>
      <c r="K29" s="1023"/>
      <c r="L29" s="1023"/>
      <c r="M29" s="1023"/>
      <c r="N29" s="1023"/>
      <c r="O29" s="1023"/>
      <c r="P29" s="1023"/>
      <c r="Q29" s="1023"/>
      <c r="R29" s="1023"/>
      <c r="S29" s="1023"/>
      <c r="T29" s="1025"/>
    </row>
    <row r="30" spans="1:28">
      <c r="A30" s="1001">
        <v>26</v>
      </c>
      <c r="B30" s="1022" t="s">
        <v>353</v>
      </c>
      <c r="C30" s="1023"/>
      <c r="D30" s="1024"/>
      <c r="E30" s="1023"/>
      <c r="F30" s="1023"/>
      <c r="G30" s="1023"/>
      <c r="H30" s="1023"/>
      <c r="I30" s="1023"/>
      <c r="J30" s="1023"/>
      <c r="K30" s="1023"/>
      <c r="L30" s="1023"/>
      <c r="M30" s="1023"/>
      <c r="N30" s="1023"/>
      <c r="O30" s="1023"/>
      <c r="P30" s="1023"/>
      <c r="Q30" s="1023"/>
      <c r="R30" s="1023"/>
      <c r="S30" s="1023"/>
      <c r="T30" s="1025"/>
    </row>
    <row r="31" spans="1:28">
      <c r="A31" s="1001">
        <v>27</v>
      </c>
      <c r="B31" s="1022" t="s">
        <v>354</v>
      </c>
      <c r="C31" s="1023"/>
      <c r="D31" s="1024"/>
      <c r="E31" s="1023"/>
      <c r="F31" s="1023"/>
      <c r="G31" s="1023"/>
      <c r="H31" s="1023"/>
      <c r="I31" s="1023"/>
      <c r="J31" s="1023"/>
      <c r="K31" s="1023"/>
      <c r="L31" s="1023"/>
      <c r="M31" s="1023"/>
      <c r="N31" s="1023"/>
      <c r="O31" s="1023"/>
      <c r="P31" s="1023"/>
      <c r="Q31" s="1023"/>
      <c r="R31" s="1023"/>
      <c r="S31" s="1023"/>
      <c r="T31" s="1025"/>
    </row>
    <row r="32" spans="1:28">
      <c r="A32" s="1001">
        <v>28</v>
      </c>
      <c r="B32" s="1022" t="s">
        <v>259</v>
      </c>
      <c r="C32" s="1023"/>
      <c r="D32" s="1024"/>
      <c r="E32" s="1023"/>
      <c r="F32" s="1023"/>
      <c r="G32" s="1023"/>
      <c r="H32" s="1023"/>
      <c r="I32" s="1023"/>
      <c r="J32" s="1023"/>
      <c r="K32" s="1023"/>
      <c r="L32" s="1023"/>
      <c r="M32" s="1023"/>
      <c r="N32" s="1023"/>
      <c r="O32" s="1023"/>
      <c r="P32" s="1023"/>
      <c r="Q32" s="1023"/>
      <c r="R32" s="1023"/>
      <c r="S32" s="1023"/>
      <c r="T32" s="1025"/>
    </row>
    <row r="33" spans="1:20">
      <c r="A33" s="1001">
        <v>29</v>
      </c>
      <c r="B33" s="1022" t="s">
        <v>107</v>
      </c>
      <c r="C33" s="1026"/>
      <c r="D33" s="1027"/>
      <c r="E33" s="1026"/>
      <c r="F33" s="1026"/>
      <c r="G33" s="1026"/>
      <c r="H33" s="1026"/>
      <c r="I33" s="1026"/>
      <c r="J33" s="1026"/>
      <c r="K33" s="1026"/>
      <c r="L33" s="1026"/>
      <c r="M33" s="1026"/>
      <c r="N33" s="1026"/>
      <c r="O33" s="1026"/>
      <c r="P33" s="1026"/>
      <c r="Q33" s="1026"/>
      <c r="R33" s="1026"/>
      <c r="S33" s="1026"/>
      <c r="T33" s="1028"/>
    </row>
    <row r="34" spans="1:20">
      <c r="A34" s="946">
        <v>30</v>
      </c>
      <c r="B34" s="1034" t="s">
        <v>600</v>
      </c>
      <c r="C34" s="1023"/>
      <c r="D34" s="1024"/>
      <c r="E34" s="1023"/>
      <c r="F34" s="1023"/>
      <c r="G34" s="1023"/>
      <c r="H34" s="1023"/>
      <c r="I34" s="1023"/>
      <c r="J34" s="1023"/>
      <c r="K34" s="1023"/>
      <c r="L34" s="1023"/>
      <c r="M34" s="1023"/>
      <c r="N34" s="1023"/>
      <c r="O34" s="1023"/>
      <c r="P34" s="1023"/>
      <c r="Q34" s="1023"/>
      <c r="R34" s="1023"/>
      <c r="S34" s="1023"/>
      <c r="T34" s="1025"/>
    </row>
    <row r="35" spans="1:20">
      <c r="A35" s="1001">
        <v>31</v>
      </c>
      <c r="B35" s="1034" t="s">
        <v>596</v>
      </c>
      <c r="C35" s="1026"/>
      <c r="D35" s="1027"/>
      <c r="E35" s="1026"/>
      <c r="F35" s="1026"/>
      <c r="G35" s="1026"/>
      <c r="H35" s="1026"/>
      <c r="I35" s="1026"/>
      <c r="J35" s="1026"/>
      <c r="K35" s="1026"/>
      <c r="L35" s="1026"/>
      <c r="M35" s="1026"/>
      <c r="N35" s="1026"/>
      <c r="O35" s="1026"/>
      <c r="P35" s="1026"/>
      <c r="Q35" s="1026"/>
      <c r="R35" s="1026"/>
      <c r="S35" s="1026"/>
      <c r="T35" s="1028"/>
    </row>
    <row r="36" spans="1:20">
      <c r="A36" s="1001">
        <v>32</v>
      </c>
      <c r="B36" s="947" t="s">
        <v>3271</v>
      </c>
      <c r="C36" s="1026"/>
      <c r="D36" s="1027"/>
      <c r="E36" s="1026"/>
      <c r="F36" s="1026"/>
      <c r="G36" s="1026"/>
      <c r="H36" s="1026"/>
      <c r="I36" s="1026"/>
      <c r="J36" s="1026"/>
      <c r="K36" s="1026"/>
      <c r="L36" s="1026"/>
      <c r="M36" s="1026"/>
      <c r="N36" s="1026"/>
      <c r="O36" s="1026"/>
      <c r="P36" s="1026"/>
      <c r="Q36" s="1026"/>
      <c r="R36" s="1026"/>
      <c r="S36" s="1026"/>
      <c r="T36" s="1028"/>
    </row>
    <row r="37" spans="1:20">
      <c r="A37" s="1001">
        <v>33</v>
      </c>
      <c r="B37" s="957" t="s">
        <v>260</v>
      </c>
      <c r="C37" s="1023"/>
      <c r="D37" s="1027"/>
      <c r="E37" s="1023"/>
      <c r="F37" s="1023"/>
      <c r="G37" s="1023"/>
      <c r="H37" s="1023"/>
      <c r="I37" s="1023"/>
      <c r="J37" s="1023"/>
      <c r="K37" s="1023"/>
      <c r="L37" s="1023"/>
      <c r="M37" s="1023"/>
      <c r="N37" s="1023"/>
      <c r="O37" s="1023"/>
      <c r="P37" s="1023"/>
      <c r="Q37" s="1023"/>
      <c r="R37" s="1023"/>
      <c r="S37" s="1023"/>
      <c r="T37" s="1025"/>
    </row>
    <row r="38" spans="1:20">
      <c r="A38" s="944">
        <v>34</v>
      </c>
      <c r="B38" s="957" t="s">
        <v>368</v>
      </c>
      <c r="C38" s="1023"/>
      <c r="D38" s="1027"/>
      <c r="E38" s="1023"/>
      <c r="F38" s="1023"/>
      <c r="G38" s="1023"/>
      <c r="H38" s="1023"/>
      <c r="I38" s="1023"/>
      <c r="J38" s="1023"/>
      <c r="K38" s="1023"/>
      <c r="L38" s="1023"/>
      <c r="M38" s="1023"/>
      <c r="N38" s="1023"/>
      <c r="O38" s="1023"/>
      <c r="P38" s="1023"/>
      <c r="Q38" s="1023"/>
      <c r="R38" s="1023"/>
      <c r="S38" s="1023"/>
      <c r="T38" s="1025"/>
    </row>
    <row r="39" spans="1:20">
      <c r="A39" s="1001">
        <v>35</v>
      </c>
      <c r="B39" s="957" t="s">
        <v>369</v>
      </c>
      <c r="C39" s="1023"/>
      <c r="D39" s="1027"/>
      <c r="E39" s="1023"/>
      <c r="F39" s="1023"/>
      <c r="G39" s="1023"/>
      <c r="H39" s="1023"/>
      <c r="I39" s="1023"/>
      <c r="J39" s="1023"/>
      <c r="K39" s="1023"/>
      <c r="L39" s="1023"/>
      <c r="M39" s="1023"/>
      <c r="N39" s="1023"/>
      <c r="O39" s="1023"/>
      <c r="P39" s="1023"/>
      <c r="Q39" s="1023"/>
      <c r="R39" s="1023"/>
      <c r="S39" s="1023"/>
      <c r="T39" s="1025"/>
    </row>
    <row r="40" spans="1:20">
      <c r="A40" s="1001">
        <v>36</v>
      </c>
      <c r="B40" s="957" t="s">
        <v>370</v>
      </c>
      <c r="C40" s="1023"/>
      <c r="D40" s="1027"/>
      <c r="E40" s="1023"/>
      <c r="F40" s="1023"/>
      <c r="G40" s="1023"/>
      <c r="H40" s="1023"/>
      <c r="I40" s="1023"/>
      <c r="J40" s="1023"/>
      <c r="K40" s="1023"/>
      <c r="L40" s="1023"/>
      <c r="M40" s="1023"/>
      <c r="N40" s="1023"/>
      <c r="O40" s="1023"/>
      <c r="P40" s="1023"/>
      <c r="Q40" s="1023"/>
      <c r="R40" s="1023"/>
      <c r="S40" s="1023"/>
      <c r="T40" s="1025"/>
    </row>
    <row r="41" spans="1:20">
      <c r="A41" s="1001">
        <v>37</v>
      </c>
      <c r="B41" s="957" t="s">
        <v>371</v>
      </c>
      <c r="C41" s="1023"/>
      <c r="D41" s="1027"/>
      <c r="E41" s="1023"/>
      <c r="F41" s="1023"/>
      <c r="G41" s="1023"/>
      <c r="H41" s="1023"/>
      <c r="I41" s="1023"/>
      <c r="J41" s="1023"/>
      <c r="K41" s="1023"/>
      <c r="L41" s="1023"/>
      <c r="M41" s="1023"/>
      <c r="N41" s="1023"/>
      <c r="O41" s="1023"/>
      <c r="P41" s="1023"/>
      <c r="Q41" s="1023"/>
      <c r="R41" s="1023"/>
      <c r="S41" s="1023"/>
      <c r="T41" s="1025"/>
    </row>
    <row r="42" spans="1:20">
      <c r="A42" s="1001">
        <v>38</v>
      </c>
      <c r="B42" s="957" t="s">
        <v>372</v>
      </c>
      <c r="C42" s="1023"/>
      <c r="D42" s="1027"/>
      <c r="E42" s="1023"/>
      <c r="F42" s="1023"/>
      <c r="G42" s="1023"/>
      <c r="H42" s="1023"/>
      <c r="I42" s="1023"/>
      <c r="J42" s="1023"/>
      <c r="K42" s="1023"/>
      <c r="L42" s="1023"/>
      <c r="M42" s="1023"/>
      <c r="N42" s="1023"/>
      <c r="O42" s="1023"/>
      <c r="P42" s="1023"/>
      <c r="Q42" s="1023"/>
      <c r="R42" s="1023"/>
      <c r="S42" s="1023"/>
      <c r="T42" s="1025"/>
    </row>
    <row r="43" spans="1:20">
      <c r="A43" s="1001">
        <v>39</v>
      </c>
      <c r="B43" s="957" t="s">
        <v>373</v>
      </c>
      <c r="C43" s="1023"/>
      <c r="D43" s="1027"/>
      <c r="E43" s="1023"/>
      <c r="F43" s="1023"/>
      <c r="G43" s="1023"/>
      <c r="H43" s="1023"/>
      <c r="I43" s="1023"/>
      <c r="J43" s="1023"/>
      <c r="K43" s="1023"/>
      <c r="L43" s="1023"/>
      <c r="M43" s="1023"/>
      <c r="N43" s="1023"/>
      <c r="O43" s="1023"/>
      <c r="P43" s="1023"/>
      <c r="Q43" s="1023"/>
      <c r="R43" s="1023"/>
      <c r="S43" s="1023"/>
      <c r="T43" s="1025"/>
    </row>
    <row r="44" spans="1:20">
      <c r="A44" s="946">
        <v>40</v>
      </c>
      <c r="B44" s="957" t="s">
        <v>374</v>
      </c>
      <c r="C44" s="1023"/>
      <c r="D44" s="1027"/>
      <c r="E44" s="1023"/>
      <c r="F44" s="1023"/>
      <c r="G44" s="1023"/>
      <c r="H44" s="1023"/>
      <c r="I44" s="1023"/>
      <c r="J44" s="1023"/>
      <c r="K44" s="1023"/>
      <c r="L44" s="1023"/>
      <c r="M44" s="1023"/>
      <c r="N44" s="1023"/>
      <c r="O44" s="1023"/>
      <c r="P44" s="1023"/>
      <c r="Q44" s="1023"/>
      <c r="R44" s="1023"/>
      <c r="S44" s="1023"/>
      <c r="T44" s="1025"/>
    </row>
    <row r="45" spans="1:20">
      <c r="A45" s="1001">
        <v>41</v>
      </c>
      <c r="B45" s="957" t="s">
        <v>375</v>
      </c>
      <c r="C45" s="1023"/>
      <c r="D45" s="1027"/>
      <c r="E45" s="1023"/>
      <c r="F45" s="1023"/>
      <c r="G45" s="1023"/>
      <c r="H45" s="1023"/>
      <c r="I45" s="1023"/>
      <c r="J45" s="1023"/>
      <c r="K45" s="1023"/>
      <c r="L45" s="1023"/>
      <c r="M45" s="1023"/>
      <c r="N45" s="1023"/>
      <c r="O45" s="1023"/>
      <c r="P45" s="1023"/>
      <c r="Q45" s="1023"/>
      <c r="R45" s="1023"/>
      <c r="S45" s="1023"/>
      <c r="T45" s="1025"/>
    </row>
    <row r="46" spans="1:20">
      <c r="A46" s="1001">
        <v>42</v>
      </c>
      <c r="B46" s="957" t="s">
        <v>376</v>
      </c>
      <c r="C46" s="1023"/>
      <c r="D46" s="1027"/>
      <c r="E46" s="1023"/>
      <c r="F46" s="1023"/>
      <c r="G46" s="1023"/>
      <c r="H46" s="1023"/>
      <c r="I46" s="1023"/>
      <c r="J46" s="1023"/>
      <c r="K46" s="1023"/>
      <c r="L46" s="1023"/>
      <c r="M46" s="1023"/>
      <c r="N46" s="1023"/>
      <c r="O46" s="1023"/>
      <c r="P46" s="1023"/>
      <c r="Q46" s="1023"/>
      <c r="R46" s="1023"/>
      <c r="S46" s="1023"/>
      <c r="T46" s="1025"/>
    </row>
    <row r="47" spans="1:20">
      <c r="A47" s="1001">
        <v>43</v>
      </c>
      <c r="B47" s="1022" t="s">
        <v>125</v>
      </c>
      <c r="C47" s="1023"/>
      <c r="D47" s="1024"/>
      <c r="E47" s="1023"/>
      <c r="F47" s="1023"/>
      <c r="G47" s="1023"/>
      <c r="H47" s="1023"/>
      <c r="I47" s="1023"/>
      <c r="J47" s="1023"/>
      <c r="K47" s="1023"/>
      <c r="L47" s="1023"/>
      <c r="M47" s="1023"/>
      <c r="N47" s="1023"/>
      <c r="O47" s="1023"/>
      <c r="P47" s="1023"/>
      <c r="Q47" s="1023"/>
      <c r="R47" s="1023"/>
      <c r="S47" s="1023"/>
      <c r="T47" s="1035"/>
    </row>
    <row r="48" spans="1:20">
      <c r="A48" s="961" t="s">
        <v>459</v>
      </c>
    </row>
    <row r="49" spans="1:10">
      <c r="A49" s="925">
        <v>1</v>
      </c>
      <c r="B49" s="925" t="s">
        <v>113</v>
      </c>
    </row>
    <row r="50" spans="1:10" ht="14.1" customHeight="1">
      <c r="A50" s="925">
        <v>2</v>
      </c>
      <c r="B50" s="3537" t="s">
        <v>44</v>
      </c>
      <c r="C50" s="3537"/>
      <c r="D50" s="3537"/>
      <c r="E50" s="3537"/>
      <c r="F50" s="3537"/>
      <c r="G50" s="3537"/>
      <c r="H50" s="3537"/>
      <c r="I50" s="3537"/>
      <c r="J50" s="3537"/>
    </row>
    <row r="51" spans="1:10">
      <c r="A51" s="925">
        <v>3</v>
      </c>
      <c r="B51" s="925" t="s">
        <v>114</v>
      </c>
    </row>
    <row r="52" spans="1:10">
      <c r="A52" s="925">
        <v>4</v>
      </c>
      <c r="B52" s="925" t="s">
        <v>77</v>
      </c>
    </row>
    <row r="53" spans="1:10">
      <c r="B53" s="925" t="s">
        <v>460</v>
      </c>
    </row>
    <row r="54" spans="1:10">
      <c r="B54" s="925" t="s">
        <v>461</v>
      </c>
    </row>
    <row r="55" spans="1:10">
      <c r="A55" s="925">
        <v>5</v>
      </c>
      <c r="B55" s="1012" t="s">
        <v>448</v>
      </c>
    </row>
    <row r="56" spans="1:10">
      <c r="A56" s="925">
        <v>6</v>
      </c>
      <c r="B56" s="925" t="s">
        <v>3355</v>
      </c>
    </row>
    <row r="57" spans="1:10">
      <c r="A57" s="1012">
        <v>7</v>
      </c>
      <c r="B57" s="1036" t="s">
        <v>3356</v>
      </c>
    </row>
    <row r="58" spans="1:10">
      <c r="A58" s="1012">
        <v>8</v>
      </c>
      <c r="B58" s="1036" t="s">
        <v>3357</v>
      </c>
    </row>
    <row r="113" ht="14.25" customHeight="1"/>
    <row r="128" ht="14.25" customHeight="1"/>
    <row r="129" ht="14.25" customHeight="1"/>
    <row r="130" ht="14.25" customHeight="1"/>
    <row r="131" ht="14.25" customHeight="1"/>
    <row r="132" ht="14.25" customHeight="1"/>
  </sheetData>
  <mergeCells count="3">
    <mergeCell ref="A3:A4"/>
    <mergeCell ref="B3:B4"/>
    <mergeCell ref="B50:J50"/>
  </mergeCells>
  <phoneticPr fontId="9" type="noConversion"/>
  <dataValidations count="2">
    <dataValidation type="decimal" allowBlank="1" showInputMessage="1" showErrorMessage="1" errorTitle="錯誤" error="輸入資料格式錯誤!!" sqref="D5:D47" xr:uid="{00000000-0002-0000-2300-000000000000}">
      <formula1>-9.99999999999999E+31</formula1>
      <formula2>9.99999999999999E+32</formula2>
    </dataValidation>
    <dataValidation type="whole" allowBlank="1" showInputMessage="1" showErrorMessage="1" errorTitle="錯誤" error="輸入資料格式錯誤!!" sqref="C5:C47 E5:S47" xr:uid="{00000000-0002-0000-2300-000001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7" orientation="landscape" r:id="rId1"/>
  <headerFooter alignWithMargins="0">
    <oddFooter>&amp;C&amp;P/&amp;N&amp;R&amp;A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AB61"/>
  <sheetViews>
    <sheetView showGridLines="0" zoomScaleNormal="100" zoomScaleSheetLayoutView="120" workbookViewId="0">
      <pane xSplit="2" ySplit="5" topLeftCell="I22" activePane="bottomRight" state="frozen"/>
      <selection activeCell="G28" sqref="G28"/>
      <selection pane="topRight" activeCell="G28" sqref="G28"/>
      <selection pane="bottomLeft" activeCell="G28" sqref="G28"/>
      <selection pane="bottomRight" activeCell="B2" sqref="B2"/>
    </sheetView>
  </sheetViews>
  <sheetFormatPr defaultRowHeight="14.25"/>
  <cols>
    <col min="1" max="1" width="5.25" style="1038" customWidth="1"/>
    <col min="2" max="2" width="23.5" style="1039" customWidth="1"/>
    <col min="3" max="3" width="11.75" style="1039" customWidth="1"/>
    <col min="4" max="4" width="9.375" style="1039" customWidth="1"/>
    <col min="5" max="7" width="9" style="1039"/>
    <col min="8" max="8" width="8.25" style="1039" customWidth="1"/>
    <col min="9" max="9" width="13.25" style="1039" customWidth="1"/>
    <col min="10" max="10" width="16.125" style="1039" customWidth="1"/>
    <col min="11" max="11" width="14.875" style="1039" customWidth="1"/>
    <col min="12" max="12" width="16.5" style="1039" customWidth="1"/>
    <col min="13" max="14" width="18.875" style="1039" customWidth="1"/>
    <col min="15" max="15" width="17.125" style="1039" customWidth="1"/>
    <col min="16" max="16" width="10.5" style="1039" customWidth="1"/>
    <col min="17" max="18" width="15.125" style="1039" customWidth="1"/>
    <col min="19" max="19" width="22.75" style="1039" customWidth="1"/>
    <col min="20" max="20" width="12.875" style="1040" customWidth="1"/>
    <col min="21" max="16384" width="9" style="1039"/>
  </cols>
  <sheetData>
    <row r="1" spans="1:23" ht="16.5">
      <c r="A1" s="924" t="str">
        <f>+封面!A3&amp;" "&amp;封面!A2</f>
        <v xml:space="preserve">        保險股份有限公司(○○分公司) 年度(月、季、半年)報表</v>
      </c>
      <c r="B1" s="1037"/>
      <c r="C1" s="1038"/>
      <c r="D1" s="1038"/>
      <c r="E1" s="1038"/>
      <c r="F1" s="1038"/>
      <c r="G1" s="1038"/>
      <c r="H1" s="1038"/>
      <c r="I1" s="1038"/>
      <c r="J1" s="1038"/>
      <c r="K1" s="1038"/>
      <c r="L1" s="1038"/>
      <c r="M1" s="1038"/>
      <c r="N1" s="1038"/>
      <c r="O1" s="1038"/>
    </row>
    <row r="2" spans="1:23">
      <c r="A2" s="1041" t="s">
        <v>597</v>
      </c>
      <c r="V2" s="1042" t="s">
        <v>149</v>
      </c>
    </row>
    <row r="3" spans="1:23" ht="15.75" customHeight="1">
      <c r="A3" s="3540" t="s">
        <v>586</v>
      </c>
      <c r="B3" s="3543" t="s">
        <v>196</v>
      </c>
      <c r="C3" s="3540" t="s">
        <v>45</v>
      </c>
      <c r="D3" s="1043" t="s">
        <v>587</v>
      </c>
      <c r="E3" s="1043"/>
      <c r="F3" s="3546" t="s">
        <v>46</v>
      </c>
      <c r="G3" s="3540" t="s">
        <v>47</v>
      </c>
      <c r="H3" s="3538" t="s">
        <v>48</v>
      </c>
      <c r="I3" s="3550" t="s">
        <v>49</v>
      </c>
      <c r="J3" s="3550" t="s">
        <v>588</v>
      </c>
      <c r="K3" s="1043" t="s">
        <v>50</v>
      </c>
      <c r="L3" s="1043"/>
      <c r="M3" s="1043"/>
      <c r="N3" s="1043"/>
      <c r="O3" s="1044"/>
      <c r="P3" s="1044"/>
      <c r="Q3" s="3538" t="s">
        <v>51</v>
      </c>
      <c r="R3" s="3538" t="s">
        <v>52</v>
      </c>
      <c r="S3" s="3550" t="s">
        <v>53</v>
      </c>
      <c r="T3" s="3550" t="s">
        <v>54</v>
      </c>
      <c r="U3" s="3540" t="s">
        <v>55</v>
      </c>
      <c r="V3" s="3540" t="s">
        <v>56</v>
      </c>
      <c r="W3" s="3548" t="s">
        <v>27</v>
      </c>
    </row>
    <row r="4" spans="1:23" s="1048" customFormat="1" ht="43.5" customHeight="1">
      <c r="A4" s="3541"/>
      <c r="B4" s="3544"/>
      <c r="C4" s="3541"/>
      <c r="D4" s="1045" t="s">
        <v>401</v>
      </c>
      <c r="E4" s="1045" t="s">
        <v>91</v>
      </c>
      <c r="F4" s="3547" t="s">
        <v>92</v>
      </c>
      <c r="G4" s="3541"/>
      <c r="H4" s="3539"/>
      <c r="I4" s="3540"/>
      <c r="J4" s="3540"/>
      <c r="K4" s="1046" t="s">
        <v>57</v>
      </c>
      <c r="L4" s="1046" t="s">
        <v>58</v>
      </c>
      <c r="M4" s="1047" t="s">
        <v>59</v>
      </c>
      <c r="N4" s="1047" t="s">
        <v>60</v>
      </c>
      <c r="O4" s="1046" t="s">
        <v>61</v>
      </c>
      <c r="P4" s="1046" t="s">
        <v>62</v>
      </c>
      <c r="Q4" s="3551"/>
      <c r="R4" s="3551"/>
      <c r="S4" s="3540"/>
      <c r="T4" s="3540"/>
      <c r="U4" s="3541"/>
      <c r="V4" s="3541"/>
      <c r="W4" s="3549"/>
    </row>
    <row r="5" spans="1:23" s="1048" customFormat="1" ht="33.75" customHeight="1">
      <c r="A5" s="3542"/>
      <c r="B5" s="3545"/>
      <c r="C5" s="1049" t="s">
        <v>28</v>
      </c>
      <c r="D5" s="1049" t="s">
        <v>423</v>
      </c>
      <c r="E5" s="1050" t="s">
        <v>63</v>
      </c>
      <c r="F5" s="1050" t="s">
        <v>31</v>
      </c>
      <c r="G5" s="1050" t="s">
        <v>64</v>
      </c>
      <c r="H5" s="1050" t="s">
        <v>33</v>
      </c>
      <c r="I5" s="1050" t="s">
        <v>34</v>
      </c>
      <c r="J5" s="1050" t="s">
        <v>35</v>
      </c>
      <c r="K5" s="1050" t="s">
        <v>65</v>
      </c>
      <c r="L5" s="1050" t="s">
        <v>66</v>
      </c>
      <c r="M5" s="1050" t="s">
        <v>36</v>
      </c>
      <c r="N5" s="1050" t="s">
        <v>67</v>
      </c>
      <c r="O5" s="1050" t="s">
        <v>68</v>
      </c>
      <c r="P5" s="1050" t="s">
        <v>39</v>
      </c>
      <c r="Q5" s="1050" t="s">
        <v>69</v>
      </c>
      <c r="R5" s="1050" t="s">
        <v>41</v>
      </c>
      <c r="S5" s="1050" t="s">
        <v>70</v>
      </c>
      <c r="T5" s="1050" t="s">
        <v>43</v>
      </c>
      <c r="U5" s="1050" t="s">
        <v>71</v>
      </c>
      <c r="V5" s="1050" t="s">
        <v>72</v>
      </c>
      <c r="W5" s="1050" t="s">
        <v>73</v>
      </c>
    </row>
    <row r="6" spans="1:23">
      <c r="A6" s="1051">
        <v>1</v>
      </c>
      <c r="B6" s="1052" t="s">
        <v>333</v>
      </c>
      <c r="C6" s="1053"/>
      <c r="D6" s="1054"/>
      <c r="E6" s="1053"/>
      <c r="F6" s="1053"/>
      <c r="G6" s="1053"/>
      <c r="H6" s="1053"/>
      <c r="I6" s="1055"/>
      <c r="J6" s="1053"/>
      <c r="K6" s="1053"/>
      <c r="L6" s="1053"/>
      <c r="M6" s="1053"/>
      <c r="N6" s="1053"/>
      <c r="O6" s="1053"/>
      <c r="P6" s="1053"/>
      <c r="Q6" s="1053"/>
      <c r="R6" s="1053"/>
      <c r="S6" s="1053"/>
      <c r="T6" s="1055"/>
      <c r="U6" s="1055"/>
      <c r="V6" s="1055"/>
      <c r="W6" s="1056"/>
    </row>
    <row r="7" spans="1:23">
      <c r="A7" s="1051">
        <v>2</v>
      </c>
      <c r="B7" s="1057" t="s">
        <v>334</v>
      </c>
      <c r="C7" s="1053"/>
      <c r="D7" s="1054"/>
      <c r="E7" s="1053"/>
      <c r="F7" s="1053"/>
      <c r="G7" s="1053"/>
      <c r="H7" s="1053"/>
      <c r="I7" s="1055"/>
      <c r="J7" s="1053"/>
      <c r="K7" s="1053"/>
      <c r="L7" s="1053"/>
      <c r="M7" s="1053"/>
      <c r="N7" s="1053"/>
      <c r="O7" s="1053"/>
      <c r="P7" s="1053"/>
      <c r="Q7" s="1053"/>
      <c r="R7" s="1053"/>
      <c r="S7" s="1053"/>
      <c r="T7" s="1055"/>
      <c r="U7" s="1055"/>
      <c r="V7" s="1055"/>
      <c r="W7" s="1056"/>
    </row>
    <row r="8" spans="1:23">
      <c r="A8" s="1051">
        <v>3</v>
      </c>
      <c r="B8" s="1057" t="s">
        <v>335</v>
      </c>
      <c r="C8" s="1053"/>
      <c r="D8" s="1054"/>
      <c r="E8" s="1053"/>
      <c r="F8" s="1053"/>
      <c r="G8" s="1053"/>
      <c r="H8" s="1053"/>
      <c r="I8" s="1055"/>
      <c r="J8" s="1053"/>
      <c r="K8" s="1053"/>
      <c r="L8" s="1053"/>
      <c r="M8" s="1053"/>
      <c r="N8" s="1053"/>
      <c r="O8" s="1053"/>
      <c r="P8" s="1053"/>
      <c r="Q8" s="1053"/>
      <c r="R8" s="1053"/>
      <c r="S8" s="1053"/>
      <c r="T8" s="1055"/>
      <c r="U8" s="1055"/>
      <c r="V8" s="1055"/>
      <c r="W8" s="1056"/>
    </row>
    <row r="9" spans="1:23">
      <c r="A9" s="1051">
        <v>4</v>
      </c>
      <c r="B9" s="1057" t="s">
        <v>336</v>
      </c>
      <c r="C9" s="1053"/>
      <c r="D9" s="1054"/>
      <c r="E9" s="1053"/>
      <c r="F9" s="1053"/>
      <c r="G9" s="1053"/>
      <c r="H9" s="1053"/>
      <c r="I9" s="1055"/>
      <c r="J9" s="1053"/>
      <c r="K9" s="1053"/>
      <c r="L9" s="1053"/>
      <c r="M9" s="1053"/>
      <c r="N9" s="1053"/>
      <c r="O9" s="1053"/>
      <c r="P9" s="1053"/>
      <c r="Q9" s="1053"/>
      <c r="R9" s="1053"/>
      <c r="S9" s="1053"/>
      <c r="T9" s="1055"/>
      <c r="U9" s="1055"/>
      <c r="V9" s="1055"/>
      <c r="W9" s="1056"/>
    </row>
    <row r="10" spans="1:23">
      <c r="A10" s="1051">
        <v>5</v>
      </c>
      <c r="B10" s="1057" t="s">
        <v>337</v>
      </c>
      <c r="C10" s="1053"/>
      <c r="D10" s="1054"/>
      <c r="E10" s="1053"/>
      <c r="F10" s="1053"/>
      <c r="G10" s="1053"/>
      <c r="H10" s="1053"/>
      <c r="I10" s="1055"/>
      <c r="J10" s="1053"/>
      <c r="K10" s="1053"/>
      <c r="L10" s="1053"/>
      <c r="M10" s="1053"/>
      <c r="N10" s="1053"/>
      <c r="O10" s="1053"/>
      <c r="P10" s="1053"/>
      <c r="Q10" s="1053"/>
      <c r="R10" s="1053"/>
      <c r="S10" s="1053"/>
      <c r="T10" s="1055"/>
      <c r="U10" s="1055"/>
      <c r="V10" s="1055"/>
      <c r="W10" s="1056"/>
    </row>
    <row r="11" spans="1:23">
      <c r="A11" s="1051">
        <v>6</v>
      </c>
      <c r="B11" s="1057" t="s">
        <v>338</v>
      </c>
      <c r="C11" s="1053"/>
      <c r="D11" s="1054"/>
      <c r="E11" s="1053"/>
      <c r="F11" s="1053"/>
      <c r="G11" s="1053"/>
      <c r="H11" s="1053"/>
      <c r="I11" s="1055"/>
      <c r="J11" s="1053"/>
      <c r="K11" s="1053"/>
      <c r="L11" s="1053"/>
      <c r="M11" s="1053"/>
      <c r="N11" s="1053"/>
      <c r="O11" s="1053"/>
      <c r="P11" s="1053"/>
      <c r="Q11" s="1053"/>
      <c r="R11" s="1053"/>
      <c r="S11" s="1053"/>
      <c r="T11" s="1055"/>
      <c r="U11" s="1055"/>
      <c r="V11" s="1055"/>
      <c r="W11" s="1056"/>
    </row>
    <row r="12" spans="1:23">
      <c r="A12" s="1051">
        <v>7</v>
      </c>
      <c r="B12" s="1057" t="s">
        <v>339</v>
      </c>
      <c r="C12" s="1053"/>
      <c r="D12" s="1054"/>
      <c r="E12" s="1053"/>
      <c r="F12" s="1053"/>
      <c r="G12" s="1053"/>
      <c r="H12" s="1053"/>
      <c r="I12" s="1055"/>
      <c r="J12" s="1053"/>
      <c r="K12" s="1053"/>
      <c r="L12" s="1053"/>
      <c r="M12" s="1053"/>
      <c r="N12" s="1053"/>
      <c r="O12" s="1053"/>
      <c r="P12" s="1053"/>
      <c r="Q12" s="1053"/>
      <c r="R12" s="1053"/>
      <c r="S12" s="1053"/>
      <c r="T12" s="1055"/>
      <c r="U12" s="1055"/>
      <c r="V12" s="1055"/>
      <c r="W12" s="1056"/>
    </row>
    <row r="13" spans="1:23">
      <c r="A13" s="1051">
        <v>8</v>
      </c>
      <c r="B13" s="1057" t="s">
        <v>340</v>
      </c>
      <c r="C13" s="1053"/>
      <c r="D13" s="1054"/>
      <c r="E13" s="1053"/>
      <c r="F13" s="1053"/>
      <c r="G13" s="1053"/>
      <c r="H13" s="1053"/>
      <c r="I13" s="1055"/>
      <c r="J13" s="1053"/>
      <c r="K13" s="1053"/>
      <c r="L13" s="1053"/>
      <c r="M13" s="1053"/>
      <c r="N13" s="1053"/>
      <c r="O13" s="1053"/>
      <c r="P13" s="1053"/>
      <c r="Q13" s="1053"/>
      <c r="R13" s="1053"/>
      <c r="S13" s="1053"/>
      <c r="T13" s="1055"/>
      <c r="U13" s="1055"/>
      <c r="V13" s="1055"/>
      <c r="W13" s="1056"/>
    </row>
    <row r="14" spans="1:23">
      <c r="A14" s="1051">
        <v>9</v>
      </c>
      <c r="B14" s="1057" t="s">
        <v>341</v>
      </c>
      <c r="C14" s="1053"/>
      <c r="D14" s="1054"/>
      <c r="E14" s="1053"/>
      <c r="F14" s="1053"/>
      <c r="G14" s="1053"/>
      <c r="H14" s="1053"/>
      <c r="I14" s="1055"/>
      <c r="J14" s="1053"/>
      <c r="K14" s="1053"/>
      <c r="L14" s="1053"/>
      <c r="M14" s="1053"/>
      <c r="N14" s="1053"/>
      <c r="O14" s="1053"/>
      <c r="P14" s="1053"/>
      <c r="Q14" s="1053"/>
      <c r="R14" s="1053"/>
      <c r="S14" s="1053"/>
      <c r="T14" s="1055"/>
      <c r="U14" s="1055"/>
      <c r="V14" s="1055"/>
      <c r="W14" s="1056"/>
    </row>
    <row r="15" spans="1:23">
      <c r="A15" s="1051">
        <v>10</v>
      </c>
      <c r="B15" s="1057" t="s">
        <v>342</v>
      </c>
      <c r="C15" s="1053"/>
      <c r="D15" s="1054"/>
      <c r="E15" s="1053"/>
      <c r="F15" s="1053"/>
      <c r="G15" s="1053"/>
      <c r="H15" s="1053"/>
      <c r="I15" s="1055"/>
      <c r="J15" s="1053"/>
      <c r="K15" s="1053"/>
      <c r="L15" s="1053"/>
      <c r="M15" s="1053"/>
      <c r="N15" s="1053"/>
      <c r="O15" s="1053"/>
      <c r="P15" s="1053"/>
      <c r="Q15" s="1053"/>
      <c r="R15" s="1053"/>
      <c r="S15" s="1053"/>
      <c r="T15" s="1055"/>
      <c r="U15" s="1055"/>
      <c r="V15" s="1055"/>
      <c r="W15" s="1056"/>
    </row>
    <row r="16" spans="1:23">
      <c r="A16" s="1051">
        <v>11</v>
      </c>
      <c r="B16" s="1057" t="s">
        <v>343</v>
      </c>
      <c r="C16" s="1053"/>
      <c r="D16" s="1054"/>
      <c r="E16" s="1053"/>
      <c r="F16" s="1053"/>
      <c r="G16" s="1053"/>
      <c r="H16" s="1053"/>
      <c r="I16" s="1055"/>
      <c r="J16" s="1053"/>
      <c r="K16" s="1053"/>
      <c r="L16" s="1053"/>
      <c r="M16" s="1053"/>
      <c r="N16" s="1053"/>
      <c r="O16" s="1053"/>
      <c r="P16" s="1053"/>
      <c r="Q16" s="1053"/>
      <c r="R16" s="1053"/>
      <c r="S16" s="1053"/>
      <c r="T16" s="1055"/>
      <c r="U16" s="1055"/>
      <c r="V16" s="1055"/>
      <c r="W16" s="1056"/>
    </row>
    <row r="17" spans="1:28">
      <c r="A17" s="1051">
        <v>12</v>
      </c>
      <c r="B17" s="1057" t="s">
        <v>344</v>
      </c>
      <c r="C17" s="1053"/>
      <c r="D17" s="1054"/>
      <c r="E17" s="1053"/>
      <c r="F17" s="1053"/>
      <c r="G17" s="1053"/>
      <c r="H17" s="1053"/>
      <c r="I17" s="1055"/>
      <c r="J17" s="1053"/>
      <c r="K17" s="1053"/>
      <c r="L17" s="1053"/>
      <c r="M17" s="1053"/>
      <c r="N17" s="1053"/>
      <c r="O17" s="1053"/>
      <c r="P17" s="1053"/>
      <c r="Q17" s="1053"/>
      <c r="R17" s="1053"/>
      <c r="S17" s="1053"/>
      <c r="T17" s="1055"/>
      <c r="U17" s="1055"/>
      <c r="V17" s="1055"/>
      <c r="W17" s="1056"/>
    </row>
    <row r="18" spans="1:28">
      <c r="A18" s="1051">
        <v>13</v>
      </c>
      <c r="B18" s="1057" t="s">
        <v>345</v>
      </c>
      <c r="C18" s="1053"/>
      <c r="D18" s="1054"/>
      <c r="E18" s="1053"/>
      <c r="F18" s="1053"/>
      <c r="G18" s="1053"/>
      <c r="H18" s="1053"/>
      <c r="I18" s="1055"/>
      <c r="J18" s="1053"/>
      <c r="K18" s="1053"/>
      <c r="L18" s="1053"/>
      <c r="M18" s="1053"/>
      <c r="N18" s="1053"/>
      <c r="O18" s="1053"/>
      <c r="P18" s="1053"/>
      <c r="Q18" s="1053"/>
      <c r="R18" s="1053"/>
      <c r="S18" s="1053"/>
      <c r="T18" s="1055"/>
      <c r="U18" s="1055"/>
      <c r="V18" s="1055"/>
      <c r="W18" s="1056"/>
    </row>
    <row r="19" spans="1:28">
      <c r="A19" s="1051">
        <v>14</v>
      </c>
      <c r="B19" s="1057" t="s">
        <v>589</v>
      </c>
      <c r="C19" s="1058"/>
      <c r="D19" s="1059"/>
      <c r="E19" s="1058"/>
      <c r="F19" s="1058"/>
      <c r="G19" s="1058"/>
      <c r="H19" s="1058"/>
      <c r="I19" s="1060"/>
      <c r="J19" s="1053"/>
      <c r="K19" s="1060"/>
      <c r="L19" s="1060"/>
      <c r="M19" s="1060"/>
      <c r="N19" s="1060"/>
      <c r="O19" s="1055"/>
      <c r="P19" s="1060"/>
      <c r="Q19" s="1053"/>
      <c r="R19" s="1060"/>
      <c r="S19" s="1060"/>
      <c r="T19" s="1060"/>
      <c r="U19" s="1053"/>
      <c r="V19" s="1060"/>
      <c r="W19" s="1061"/>
    </row>
    <row r="20" spans="1:28">
      <c r="A20" s="1051">
        <v>15</v>
      </c>
      <c r="B20" s="1057" t="s">
        <v>590</v>
      </c>
      <c r="C20" s="1058"/>
      <c r="D20" s="1059"/>
      <c r="E20" s="1058"/>
      <c r="F20" s="1058"/>
      <c r="G20" s="1058"/>
      <c r="H20" s="1058"/>
      <c r="I20" s="1060"/>
      <c r="J20" s="1053"/>
      <c r="K20" s="1060"/>
      <c r="L20" s="1060"/>
      <c r="M20" s="1060"/>
      <c r="N20" s="1060"/>
      <c r="O20" s="1055"/>
      <c r="P20" s="1060"/>
      <c r="Q20" s="1053"/>
      <c r="R20" s="1060"/>
      <c r="S20" s="1060"/>
      <c r="T20" s="1060"/>
      <c r="U20" s="1053"/>
      <c r="V20" s="1060"/>
      <c r="W20" s="1061"/>
    </row>
    <row r="21" spans="1:28">
      <c r="A21" s="1051">
        <v>16</v>
      </c>
      <c r="B21" s="1057" t="s">
        <v>591</v>
      </c>
      <c r="C21" s="1058"/>
      <c r="D21" s="1059"/>
      <c r="E21" s="1058"/>
      <c r="F21" s="1058"/>
      <c r="G21" s="1058"/>
      <c r="H21" s="1058"/>
      <c r="I21" s="1060"/>
      <c r="J21" s="1053"/>
      <c r="K21" s="1060"/>
      <c r="L21" s="1060"/>
      <c r="M21" s="1060"/>
      <c r="N21" s="1060"/>
      <c r="O21" s="1055"/>
      <c r="P21" s="1060"/>
      <c r="Q21" s="1053"/>
      <c r="R21" s="1060"/>
      <c r="S21" s="1060"/>
      <c r="T21" s="1060"/>
      <c r="U21" s="1053"/>
      <c r="V21" s="1060"/>
      <c r="W21" s="1061"/>
    </row>
    <row r="22" spans="1:28">
      <c r="A22" s="1051">
        <v>17</v>
      </c>
      <c r="B22" s="1057" t="s">
        <v>346</v>
      </c>
      <c r="C22" s="1053"/>
      <c r="D22" s="1054"/>
      <c r="E22" s="1053"/>
      <c r="F22" s="1053"/>
      <c r="G22" s="1053"/>
      <c r="H22" s="1053"/>
      <c r="I22" s="1055"/>
      <c r="J22" s="1053"/>
      <c r="K22" s="1053"/>
      <c r="L22" s="1053"/>
      <c r="M22" s="1053"/>
      <c r="N22" s="1053"/>
      <c r="O22" s="1053"/>
      <c r="P22" s="1053"/>
      <c r="Q22" s="1053"/>
      <c r="R22" s="1053"/>
      <c r="S22" s="1053"/>
      <c r="T22" s="1053"/>
      <c r="U22" s="1053"/>
      <c r="V22" s="1053"/>
      <c r="W22" s="1056"/>
    </row>
    <row r="23" spans="1:28">
      <c r="A23" s="1051">
        <v>18</v>
      </c>
      <c r="B23" s="1057" t="s">
        <v>347</v>
      </c>
      <c r="C23" s="1053"/>
      <c r="D23" s="1054"/>
      <c r="E23" s="1053"/>
      <c r="F23" s="1053"/>
      <c r="G23" s="1053"/>
      <c r="H23" s="1053"/>
      <c r="I23" s="1055"/>
      <c r="J23" s="1053"/>
      <c r="K23" s="1053"/>
      <c r="L23" s="1053"/>
      <c r="M23" s="1053"/>
      <c r="N23" s="1053"/>
      <c r="O23" s="1053"/>
      <c r="P23" s="1053"/>
      <c r="Q23" s="1053"/>
      <c r="R23" s="1053"/>
      <c r="S23" s="1053"/>
      <c r="T23" s="1053"/>
      <c r="U23" s="1053"/>
      <c r="V23" s="1053"/>
      <c r="W23" s="1056"/>
    </row>
    <row r="24" spans="1:28">
      <c r="A24" s="1051">
        <v>19</v>
      </c>
      <c r="B24" s="1052" t="s">
        <v>348</v>
      </c>
      <c r="C24" s="1053"/>
      <c r="D24" s="1054"/>
      <c r="E24" s="1053"/>
      <c r="F24" s="1053"/>
      <c r="G24" s="1053"/>
      <c r="H24" s="1053"/>
      <c r="I24" s="1055"/>
      <c r="J24" s="1053"/>
      <c r="K24" s="1053"/>
      <c r="L24" s="1053"/>
      <c r="M24" s="1053"/>
      <c r="N24" s="1053"/>
      <c r="O24" s="1053"/>
      <c r="P24" s="1053"/>
      <c r="Q24" s="1053"/>
      <c r="R24" s="1053"/>
      <c r="S24" s="1053"/>
      <c r="T24" s="1053"/>
      <c r="U24" s="1053"/>
      <c r="V24" s="1053"/>
      <c r="W24" s="1056"/>
    </row>
    <row r="25" spans="1:28">
      <c r="A25" s="1051">
        <v>20</v>
      </c>
      <c r="B25" s="1052" t="s">
        <v>592</v>
      </c>
      <c r="C25" s="1058"/>
      <c r="D25" s="1059"/>
      <c r="E25" s="1058"/>
      <c r="F25" s="1058"/>
      <c r="G25" s="1058"/>
      <c r="H25" s="1058"/>
      <c r="I25" s="1060"/>
      <c r="J25" s="1053"/>
      <c r="K25" s="1060"/>
      <c r="L25" s="1060"/>
      <c r="M25" s="1060"/>
      <c r="N25" s="1060"/>
      <c r="O25" s="1053"/>
      <c r="P25" s="1055"/>
      <c r="Q25" s="1053"/>
      <c r="R25" s="1053"/>
      <c r="S25" s="1060"/>
      <c r="T25" s="1060"/>
      <c r="U25" s="1053"/>
      <c r="V25" s="1053"/>
      <c r="W25" s="1056"/>
    </row>
    <row r="26" spans="1:28" ht="16.5">
      <c r="A26" s="1051">
        <v>21</v>
      </c>
      <c r="B26" s="1057" t="s">
        <v>349</v>
      </c>
      <c r="C26" s="1053"/>
      <c r="D26" s="1054"/>
      <c r="E26" s="1053"/>
      <c r="F26" s="1053"/>
      <c r="G26" s="1053"/>
      <c r="H26" s="1053"/>
      <c r="I26" s="1055"/>
      <c r="J26" s="1053"/>
      <c r="K26" s="1053"/>
      <c r="L26" s="1053"/>
      <c r="M26" s="1053"/>
      <c r="N26" s="1053"/>
      <c r="O26" s="1053"/>
      <c r="P26" s="1053"/>
      <c r="Q26" s="1053"/>
      <c r="R26" s="1053"/>
      <c r="S26" s="1053"/>
      <c r="T26" s="1053"/>
      <c r="U26" s="1053"/>
      <c r="V26" s="1053"/>
      <c r="W26" s="1056"/>
      <c r="AB26" s="1062"/>
    </row>
    <row r="27" spans="1:28">
      <c r="A27" s="1051">
        <v>22</v>
      </c>
      <c r="B27" s="1057" t="s">
        <v>350</v>
      </c>
      <c r="C27" s="1053"/>
      <c r="D27" s="1054"/>
      <c r="E27" s="1053"/>
      <c r="F27" s="1053"/>
      <c r="G27" s="1053"/>
      <c r="H27" s="1053"/>
      <c r="I27" s="1055"/>
      <c r="J27" s="1053"/>
      <c r="K27" s="1053"/>
      <c r="L27" s="1053"/>
      <c r="M27" s="1053"/>
      <c r="N27" s="1053"/>
      <c r="O27" s="1053"/>
      <c r="P27" s="1053"/>
      <c r="Q27" s="1053"/>
      <c r="R27" s="1053"/>
      <c r="S27" s="1053"/>
      <c r="T27" s="1053"/>
      <c r="U27" s="1053"/>
      <c r="V27" s="1053"/>
      <c r="W27" s="1056"/>
    </row>
    <row r="28" spans="1:28">
      <c r="A28" s="1051">
        <v>23</v>
      </c>
      <c r="B28" s="1057" t="s">
        <v>351</v>
      </c>
      <c r="C28" s="1053"/>
      <c r="D28" s="1054"/>
      <c r="E28" s="1053"/>
      <c r="F28" s="1053"/>
      <c r="G28" s="1053"/>
      <c r="H28" s="1053"/>
      <c r="I28" s="1055"/>
      <c r="J28" s="1053"/>
      <c r="K28" s="1053"/>
      <c r="L28" s="1053"/>
      <c r="M28" s="1053"/>
      <c r="N28" s="1053"/>
      <c r="O28" s="1053"/>
      <c r="P28" s="1053"/>
      <c r="Q28" s="1053"/>
      <c r="R28" s="1053"/>
      <c r="S28" s="1053"/>
      <c r="T28" s="1053"/>
      <c r="U28" s="1053"/>
      <c r="V28" s="1053"/>
      <c r="W28" s="1056"/>
    </row>
    <row r="29" spans="1:28">
      <c r="A29" s="944">
        <v>24</v>
      </c>
      <c r="B29" s="934" t="s">
        <v>599</v>
      </c>
      <c r="C29" s="1053"/>
      <c r="D29" s="1027"/>
      <c r="E29" s="1053"/>
      <c r="F29" s="1053"/>
      <c r="G29" s="1053"/>
      <c r="H29" s="1053"/>
      <c r="I29" s="1055"/>
      <c r="J29" s="1053"/>
      <c r="K29" s="1053"/>
      <c r="L29" s="1053"/>
      <c r="M29" s="1053"/>
      <c r="N29" s="1053"/>
      <c r="O29" s="1053"/>
      <c r="P29" s="1053"/>
      <c r="Q29" s="1053"/>
      <c r="R29" s="1053"/>
      <c r="S29" s="1053"/>
      <c r="T29" s="1053"/>
      <c r="U29" s="1053"/>
      <c r="V29" s="1053"/>
      <c r="W29" s="1056"/>
    </row>
    <row r="30" spans="1:28">
      <c r="A30" s="1051">
        <v>25</v>
      </c>
      <c r="B30" s="1057" t="s">
        <v>352</v>
      </c>
      <c r="C30" s="1053"/>
      <c r="D30" s="1053"/>
      <c r="E30" s="1053"/>
      <c r="F30" s="1053"/>
      <c r="G30" s="1053"/>
      <c r="H30" s="1053"/>
      <c r="I30" s="1055"/>
      <c r="J30" s="1053"/>
      <c r="K30" s="1053"/>
      <c r="L30" s="1053"/>
      <c r="M30" s="1053"/>
      <c r="N30" s="1053"/>
      <c r="O30" s="1053"/>
      <c r="P30" s="1053"/>
      <c r="Q30" s="1053"/>
      <c r="R30" s="1053"/>
      <c r="S30" s="1053"/>
      <c r="T30" s="1053"/>
      <c r="U30" s="1053"/>
      <c r="V30" s="1053"/>
      <c r="W30" s="1056"/>
    </row>
    <row r="31" spans="1:28">
      <c r="A31" s="1051">
        <v>26</v>
      </c>
      <c r="B31" s="1057" t="s">
        <v>353</v>
      </c>
      <c r="C31" s="1053"/>
      <c r="D31" s="1054"/>
      <c r="E31" s="1053"/>
      <c r="F31" s="1053"/>
      <c r="G31" s="1053"/>
      <c r="H31" s="1053"/>
      <c r="I31" s="1055"/>
      <c r="J31" s="1053"/>
      <c r="K31" s="1053"/>
      <c r="L31" s="1053"/>
      <c r="M31" s="1053"/>
      <c r="N31" s="1053"/>
      <c r="O31" s="1053"/>
      <c r="P31" s="1053"/>
      <c r="Q31" s="1053"/>
      <c r="R31" s="1053"/>
      <c r="S31" s="1053"/>
      <c r="T31" s="1053"/>
      <c r="U31" s="1053"/>
      <c r="V31" s="1053"/>
      <c r="W31" s="1056"/>
    </row>
    <row r="32" spans="1:28">
      <c r="A32" s="1051">
        <v>27</v>
      </c>
      <c r="B32" s="1057" t="s">
        <v>354</v>
      </c>
      <c r="C32" s="1053"/>
      <c r="D32" s="1054"/>
      <c r="E32" s="1053"/>
      <c r="F32" s="1053"/>
      <c r="G32" s="1053"/>
      <c r="H32" s="1053"/>
      <c r="I32" s="1055"/>
      <c r="J32" s="1053"/>
      <c r="K32" s="1053"/>
      <c r="L32" s="1053"/>
      <c r="M32" s="1053"/>
      <c r="N32" s="1053"/>
      <c r="O32" s="1053"/>
      <c r="P32" s="1053"/>
      <c r="Q32" s="1053"/>
      <c r="R32" s="1053"/>
      <c r="S32" s="1053"/>
      <c r="T32" s="1053"/>
      <c r="U32" s="1053"/>
      <c r="V32" s="1053"/>
      <c r="W32" s="1056"/>
    </row>
    <row r="33" spans="1:23">
      <c r="A33" s="1051">
        <v>28</v>
      </c>
      <c r="B33" s="1052" t="s">
        <v>363</v>
      </c>
      <c r="C33" s="1053"/>
      <c r="D33" s="1054"/>
      <c r="E33" s="1053"/>
      <c r="F33" s="1053"/>
      <c r="G33" s="1053"/>
      <c r="H33" s="1053"/>
      <c r="I33" s="1055"/>
      <c r="J33" s="1053"/>
      <c r="K33" s="1053"/>
      <c r="L33" s="1053"/>
      <c r="M33" s="1053"/>
      <c r="N33" s="1053"/>
      <c r="O33" s="1053"/>
      <c r="P33" s="1053"/>
      <c r="Q33" s="1053"/>
      <c r="R33" s="1053"/>
      <c r="S33" s="1053"/>
      <c r="T33" s="1053"/>
      <c r="U33" s="1053"/>
      <c r="V33" s="1053"/>
      <c r="W33" s="1056"/>
    </row>
    <row r="34" spans="1:23">
      <c r="A34" s="1051">
        <v>29</v>
      </c>
      <c r="B34" s="1057" t="s">
        <v>458</v>
      </c>
      <c r="C34" s="1058"/>
      <c r="D34" s="1059"/>
      <c r="E34" s="1058"/>
      <c r="F34" s="1058"/>
      <c r="G34" s="1058"/>
      <c r="H34" s="1058"/>
      <c r="I34" s="1060"/>
      <c r="J34" s="1053"/>
      <c r="K34" s="1060"/>
      <c r="L34" s="1060"/>
      <c r="M34" s="1060"/>
      <c r="N34" s="1060"/>
      <c r="O34" s="1053"/>
      <c r="P34" s="1055"/>
      <c r="Q34" s="1053"/>
      <c r="R34" s="1053"/>
      <c r="S34" s="1060"/>
      <c r="T34" s="1060"/>
      <c r="U34" s="1053"/>
      <c r="V34" s="1053"/>
      <c r="W34" s="1056"/>
    </row>
    <row r="35" spans="1:23">
      <c r="A35" s="946">
        <v>30</v>
      </c>
      <c r="B35" s="1034" t="s">
        <v>600</v>
      </c>
      <c r="C35" s="1053"/>
      <c r="D35" s="1054"/>
      <c r="E35" s="1053"/>
      <c r="F35" s="1053"/>
      <c r="G35" s="1053"/>
      <c r="H35" s="1053"/>
      <c r="I35" s="1055"/>
      <c r="J35" s="1053"/>
      <c r="K35" s="1053"/>
      <c r="L35" s="1053"/>
      <c r="M35" s="1053"/>
      <c r="N35" s="1053"/>
      <c r="O35" s="1053"/>
      <c r="P35" s="1053"/>
      <c r="Q35" s="1053"/>
      <c r="R35" s="1053"/>
      <c r="S35" s="1053"/>
      <c r="T35" s="1055"/>
      <c r="U35" s="1055"/>
      <c r="V35" s="1055"/>
      <c r="W35" s="1056"/>
    </row>
    <row r="36" spans="1:23">
      <c r="A36" s="1051">
        <v>31</v>
      </c>
      <c r="B36" s="1034" t="s">
        <v>584</v>
      </c>
      <c r="C36" s="1026"/>
      <c r="D36" s="1027"/>
      <c r="E36" s="1026"/>
      <c r="F36" s="1026"/>
      <c r="G36" s="1026"/>
      <c r="H36" s="1026"/>
      <c r="I36" s="1026"/>
      <c r="J36" s="1026"/>
      <c r="K36" s="1026"/>
      <c r="L36" s="1026"/>
      <c r="M36" s="1026"/>
      <c r="N36" s="1026"/>
      <c r="O36" s="1026"/>
      <c r="P36" s="1026"/>
      <c r="Q36" s="1026"/>
      <c r="R36" s="1026"/>
      <c r="S36" s="1026"/>
      <c r="T36" s="1028"/>
      <c r="U36" s="1026"/>
      <c r="V36" s="1027"/>
      <c r="W36" s="1027"/>
    </row>
    <row r="37" spans="1:23">
      <c r="A37" s="1001">
        <v>32</v>
      </c>
      <c r="B37" s="947" t="s">
        <v>3271</v>
      </c>
      <c r="C37" s="1058"/>
      <c r="D37" s="1059"/>
      <c r="E37" s="1058"/>
      <c r="F37" s="1058"/>
      <c r="G37" s="1058"/>
      <c r="H37" s="1058"/>
      <c r="I37" s="1060"/>
      <c r="J37" s="1053"/>
      <c r="K37" s="1060"/>
      <c r="L37" s="1060"/>
      <c r="M37" s="1060"/>
      <c r="N37" s="1060"/>
      <c r="O37" s="1055"/>
      <c r="P37" s="1060"/>
      <c r="Q37" s="1053"/>
      <c r="R37" s="1060"/>
      <c r="S37" s="1060"/>
      <c r="T37" s="1060"/>
      <c r="U37" s="1053"/>
      <c r="V37" s="1060"/>
      <c r="W37" s="1061"/>
    </row>
    <row r="38" spans="1:23">
      <c r="A38" s="1051">
        <v>33</v>
      </c>
      <c r="B38" s="957" t="s">
        <v>260</v>
      </c>
      <c r="C38" s="1053"/>
      <c r="D38" s="1054"/>
      <c r="E38" s="1053"/>
      <c r="F38" s="1053"/>
      <c r="G38" s="1053"/>
      <c r="H38" s="1053"/>
      <c r="I38" s="1055"/>
      <c r="J38" s="1055"/>
      <c r="K38" s="1055"/>
      <c r="L38" s="1055"/>
      <c r="M38" s="1055"/>
      <c r="N38" s="1055"/>
      <c r="O38" s="1055"/>
      <c r="P38" s="1055"/>
      <c r="Q38" s="1055"/>
      <c r="R38" s="1055"/>
      <c r="S38" s="1055"/>
      <c r="T38" s="1055"/>
      <c r="U38" s="1055"/>
      <c r="V38" s="1055"/>
      <c r="W38" s="1056"/>
    </row>
    <row r="39" spans="1:23">
      <c r="A39" s="1051">
        <v>34</v>
      </c>
      <c r="B39" s="957" t="s">
        <v>368</v>
      </c>
      <c r="C39" s="1053"/>
      <c r="D39" s="1054"/>
      <c r="E39" s="1053"/>
      <c r="F39" s="1053"/>
      <c r="G39" s="1053"/>
      <c r="H39" s="1053"/>
      <c r="I39" s="1055"/>
      <c r="J39" s="1053"/>
      <c r="K39" s="1053"/>
      <c r="L39" s="1053"/>
      <c r="M39" s="1053"/>
      <c r="N39" s="1053"/>
      <c r="O39" s="1053"/>
      <c r="P39" s="1053"/>
      <c r="Q39" s="1053"/>
      <c r="R39" s="1053"/>
      <c r="S39" s="1053"/>
      <c r="T39" s="1055"/>
      <c r="U39" s="1055"/>
      <c r="V39" s="1055"/>
      <c r="W39" s="1056"/>
    </row>
    <row r="40" spans="1:23">
      <c r="A40" s="1051">
        <v>35</v>
      </c>
      <c r="B40" s="957" t="s">
        <v>369</v>
      </c>
      <c r="C40" s="1053"/>
      <c r="D40" s="1054"/>
      <c r="E40" s="1053"/>
      <c r="F40" s="1053"/>
      <c r="G40" s="1053"/>
      <c r="H40" s="1053"/>
      <c r="I40" s="1055"/>
      <c r="J40" s="1053"/>
      <c r="K40" s="1053"/>
      <c r="L40" s="1053"/>
      <c r="M40" s="1053"/>
      <c r="N40" s="1053"/>
      <c r="O40" s="1053"/>
      <c r="P40" s="1053"/>
      <c r="Q40" s="1053"/>
      <c r="R40" s="1053"/>
      <c r="S40" s="1053"/>
      <c r="T40" s="1055"/>
      <c r="U40" s="1055"/>
      <c r="V40" s="1055"/>
      <c r="W40" s="1056"/>
    </row>
    <row r="41" spans="1:23">
      <c r="A41" s="1051">
        <v>36</v>
      </c>
      <c r="B41" s="957" t="s">
        <v>370</v>
      </c>
      <c r="C41" s="1053"/>
      <c r="D41" s="1054"/>
      <c r="E41" s="1053"/>
      <c r="F41" s="1053"/>
      <c r="G41" s="1053"/>
      <c r="H41" s="1053"/>
      <c r="I41" s="1055"/>
      <c r="J41" s="1053"/>
      <c r="K41" s="1053"/>
      <c r="L41" s="1053"/>
      <c r="M41" s="1053"/>
      <c r="N41" s="1053"/>
      <c r="O41" s="1053"/>
      <c r="P41" s="1053"/>
      <c r="Q41" s="1053"/>
      <c r="R41" s="1053"/>
      <c r="S41" s="1053"/>
      <c r="T41" s="1055"/>
      <c r="U41" s="1055"/>
      <c r="V41" s="1055"/>
      <c r="W41" s="1056"/>
    </row>
    <row r="42" spans="1:23">
      <c r="A42" s="1051">
        <v>37</v>
      </c>
      <c r="B42" s="957" t="s">
        <v>371</v>
      </c>
      <c r="C42" s="1053"/>
      <c r="D42" s="1054"/>
      <c r="E42" s="1053"/>
      <c r="F42" s="1053"/>
      <c r="G42" s="1053"/>
      <c r="H42" s="1053"/>
      <c r="I42" s="1055"/>
      <c r="J42" s="1053"/>
      <c r="K42" s="1053"/>
      <c r="L42" s="1053"/>
      <c r="M42" s="1053"/>
      <c r="N42" s="1053"/>
      <c r="O42" s="1053"/>
      <c r="P42" s="1053"/>
      <c r="Q42" s="1053"/>
      <c r="R42" s="1053"/>
      <c r="S42" s="1053"/>
      <c r="T42" s="1055"/>
      <c r="U42" s="1055"/>
      <c r="V42" s="1055"/>
      <c r="W42" s="1056"/>
    </row>
    <row r="43" spans="1:23">
      <c r="A43" s="946">
        <v>38</v>
      </c>
      <c r="B43" s="957" t="s">
        <v>372</v>
      </c>
      <c r="C43" s="1053"/>
      <c r="D43" s="1054"/>
      <c r="E43" s="1053"/>
      <c r="F43" s="1053"/>
      <c r="G43" s="1053"/>
      <c r="H43" s="1053"/>
      <c r="I43" s="1055"/>
      <c r="J43" s="1053"/>
      <c r="K43" s="1053"/>
      <c r="L43" s="1053"/>
      <c r="M43" s="1053"/>
      <c r="N43" s="1053"/>
      <c r="O43" s="1053"/>
      <c r="P43" s="1053"/>
      <c r="Q43" s="1053"/>
      <c r="R43" s="1053"/>
      <c r="S43" s="1053"/>
      <c r="T43" s="1055"/>
      <c r="U43" s="1055"/>
      <c r="V43" s="1055"/>
      <c r="W43" s="1056"/>
    </row>
    <row r="44" spans="1:23">
      <c r="A44" s="1051">
        <v>39</v>
      </c>
      <c r="B44" s="957" t="s">
        <v>373</v>
      </c>
      <c r="C44" s="1053"/>
      <c r="D44" s="1054"/>
      <c r="E44" s="1053"/>
      <c r="F44" s="1053"/>
      <c r="G44" s="1053"/>
      <c r="H44" s="1053"/>
      <c r="I44" s="1055"/>
      <c r="J44" s="1053"/>
      <c r="K44" s="1053"/>
      <c r="L44" s="1053"/>
      <c r="M44" s="1053"/>
      <c r="N44" s="1053"/>
      <c r="O44" s="1053"/>
      <c r="P44" s="1053"/>
      <c r="Q44" s="1053"/>
      <c r="R44" s="1053"/>
      <c r="S44" s="1053"/>
      <c r="T44" s="1055"/>
      <c r="U44" s="1055"/>
      <c r="V44" s="1055"/>
      <c r="W44" s="1056"/>
    </row>
    <row r="45" spans="1:23">
      <c r="A45" s="944">
        <v>40</v>
      </c>
      <c r="B45" s="957" t="s">
        <v>374</v>
      </c>
      <c r="C45" s="1053"/>
      <c r="D45" s="1054"/>
      <c r="E45" s="1053"/>
      <c r="F45" s="1053"/>
      <c r="G45" s="1053"/>
      <c r="H45" s="1053"/>
      <c r="I45" s="1055"/>
      <c r="J45" s="1053"/>
      <c r="K45" s="1053"/>
      <c r="L45" s="1053"/>
      <c r="M45" s="1053"/>
      <c r="N45" s="1053"/>
      <c r="O45" s="1053"/>
      <c r="P45" s="1053"/>
      <c r="Q45" s="1053"/>
      <c r="R45" s="1053"/>
      <c r="S45" s="1053"/>
      <c r="T45" s="1055"/>
      <c r="U45" s="1055"/>
      <c r="V45" s="1055"/>
      <c r="W45" s="1056"/>
    </row>
    <row r="46" spans="1:23">
      <c r="A46" s="1051">
        <v>41</v>
      </c>
      <c r="B46" s="957" t="s">
        <v>375</v>
      </c>
      <c r="C46" s="1053"/>
      <c r="D46" s="1054"/>
      <c r="E46" s="1053"/>
      <c r="F46" s="1053"/>
      <c r="G46" s="1053"/>
      <c r="H46" s="1053"/>
      <c r="I46" s="1055"/>
      <c r="J46" s="1053"/>
      <c r="K46" s="1053"/>
      <c r="L46" s="1053"/>
      <c r="M46" s="1053"/>
      <c r="N46" s="1053"/>
      <c r="O46" s="1053"/>
      <c r="P46" s="1053"/>
      <c r="Q46" s="1053"/>
      <c r="R46" s="1053"/>
      <c r="S46" s="1053"/>
      <c r="T46" s="1055"/>
      <c r="U46" s="1055"/>
      <c r="V46" s="1055"/>
      <c r="W46" s="1056"/>
    </row>
    <row r="47" spans="1:23">
      <c r="A47" s="1051">
        <v>42</v>
      </c>
      <c r="B47" s="957" t="s">
        <v>376</v>
      </c>
      <c r="C47" s="1053"/>
      <c r="D47" s="1054"/>
      <c r="E47" s="1053"/>
      <c r="F47" s="1053"/>
      <c r="G47" s="1053"/>
      <c r="H47" s="1053"/>
      <c r="I47" s="1055"/>
      <c r="J47" s="1053"/>
      <c r="K47" s="1053"/>
      <c r="L47" s="1053"/>
      <c r="M47" s="1053"/>
      <c r="N47" s="1053"/>
      <c r="O47" s="1053"/>
      <c r="P47" s="1053"/>
      <c r="Q47" s="1053"/>
      <c r="R47" s="1053"/>
      <c r="S47" s="1053"/>
      <c r="T47" s="1055"/>
      <c r="U47" s="1055"/>
      <c r="V47" s="1055"/>
      <c r="W47" s="1056"/>
    </row>
    <row r="48" spans="1:23">
      <c r="A48" s="1051">
        <v>43</v>
      </c>
      <c r="B48" s="1052" t="s">
        <v>265</v>
      </c>
      <c r="C48" s="1053"/>
      <c r="D48" s="1063"/>
      <c r="E48" s="1053"/>
      <c r="F48" s="1053"/>
      <c r="G48" s="1053"/>
      <c r="H48" s="1053"/>
      <c r="I48" s="1053"/>
      <c r="J48" s="1053"/>
      <c r="K48" s="1053"/>
      <c r="L48" s="1053"/>
      <c r="M48" s="1053"/>
      <c r="N48" s="1053"/>
      <c r="O48" s="1053"/>
      <c r="P48" s="1053"/>
      <c r="Q48" s="1053"/>
      <c r="R48" s="1053"/>
      <c r="S48" s="1053"/>
      <c r="T48" s="1053"/>
      <c r="U48" s="1053"/>
      <c r="V48" s="1053"/>
      <c r="W48" s="1064"/>
    </row>
    <row r="49" spans="1:20">
      <c r="A49" s="1041" t="s">
        <v>440</v>
      </c>
      <c r="B49" s="1065"/>
      <c r="C49" s="1066"/>
      <c r="D49" s="1067"/>
      <c r="E49" s="1066"/>
      <c r="F49" s="1066"/>
      <c r="G49" s="1066"/>
      <c r="H49" s="1066"/>
      <c r="I49" s="1066"/>
      <c r="J49" s="1066"/>
      <c r="K49" s="1066"/>
      <c r="L49" s="1066"/>
      <c r="M49" s="1066"/>
      <c r="N49" s="1066"/>
      <c r="O49" s="1066"/>
      <c r="P49" s="1066"/>
      <c r="Q49" s="1066"/>
      <c r="R49" s="1066"/>
      <c r="S49" s="1066"/>
    </row>
    <row r="50" spans="1:20">
      <c r="A50" s="1068">
        <v>1</v>
      </c>
      <c r="B50" s="1039" t="s">
        <v>1903</v>
      </c>
      <c r="T50" s="1069"/>
    </row>
    <row r="51" spans="1:20">
      <c r="A51" s="1068">
        <v>2</v>
      </c>
      <c r="B51" s="1039" t="s">
        <v>1904</v>
      </c>
      <c r="T51" s="1069"/>
    </row>
    <row r="52" spans="1:20">
      <c r="A52" s="1068">
        <v>3</v>
      </c>
      <c r="B52" s="1039" t="s">
        <v>1905</v>
      </c>
      <c r="T52" s="1069"/>
    </row>
    <row r="53" spans="1:20">
      <c r="A53" s="1068">
        <v>4</v>
      </c>
      <c r="B53" s="1070" t="s">
        <v>1906</v>
      </c>
      <c r="T53" s="1069"/>
    </row>
    <row r="54" spans="1:20">
      <c r="A54" s="1068">
        <v>5</v>
      </c>
      <c r="B54" s="1039" t="s">
        <v>1907</v>
      </c>
      <c r="T54" s="1069"/>
    </row>
    <row r="55" spans="1:20">
      <c r="A55" s="1068"/>
      <c r="B55" s="1070" t="s">
        <v>1908</v>
      </c>
      <c r="T55" s="1069"/>
    </row>
    <row r="56" spans="1:20">
      <c r="A56" s="1068"/>
      <c r="B56" s="1071" t="s">
        <v>1909</v>
      </c>
      <c r="T56" s="1069"/>
    </row>
    <row r="57" spans="1:20">
      <c r="A57" s="1068"/>
      <c r="B57" s="1039" t="s">
        <v>1910</v>
      </c>
      <c r="T57" s="1069"/>
    </row>
    <row r="58" spans="1:20">
      <c r="A58" s="1068">
        <v>6</v>
      </c>
      <c r="B58" s="1072" t="s">
        <v>1911</v>
      </c>
      <c r="T58" s="1069"/>
    </row>
    <row r="59" spans="1:20">
      <c r="A59" s="1038">
        <v>7</v>
      </c>
      <c r="B59" s="1039" t="s">
        <v>1912</v>
      </c>
      <c r="T59" s="1069"/>
    </row>
    <row r="60" spans="1:20">
      <c r="A60" s="1038">
        <v>8</v>
      </c>
      <c r="B60" s="1039" t="s">
        <v>1913</v>
      </c>
      <c r="T60" s="1069"/>
    </row>
    <row r="61" spans="1:20">
      <c r="A61" s="1038">
        <v>9</v>
      </c>
      <c r="B61" s="1039" t="s">
        <v>1914</v>
      </c>
      <c r="T61" s="1069"/>
    </row>
  </sheetData>
  <mergeCells count="15">
    <mergeCell ref="V3:V4"/>
    <mergeCell ref="W3:W4"/>
    <mergeCell ref="T3:T4"/>
    <mergeCell ref="I3:I4"/>
    <mergeCell ref="J3:J4"/>
    <mergeCell ref="S3:S4"/>
    <mergeCell ref="Q3:Q4"/>
    <mergeCell ref="R3:R4"/>
    <mergeCell ref="U3:U4"/>
    <mergeCell ref="H3:H4"/>
    <mergeCell ref="A3:A5"/>
    <mergeCell ref="B3:B5"/>
    <mergeCell ref="C3:C4"/>
    <mergeCell ref="F3:F4"/>
    <mergeCell ref="G3:G4"/>
  </mergeCells>
  <phoneticPr fontId="9" type="noConversion"/>
  <dataValidations count="4">
    <dataValidation type="decimal" allowBlank="1" showInputMessage="1" showErrorMessage="1" errorTitle="錯誤" error="輸入資料格式錯誤!!" sqref="D6:D28 D37:D48 D31:D35" xr:uid="{00000000-0002-0000-2400-000000000000}">
      <formula1>-9.99999999999999E+31</formula1>
      <formula2>9.99999999999999E+31</formula2>
    </dataValidation>
    <dataValidation type="whole" allowBlank="1" showInputMessage="1" showErrorMessage="1" errorTitle="錯誤" error="輸入資料格式錯誤!!" sqref="E37:V48 C37:C48 C6:C35 E6:V35" xr:uid="{00000000-0002-0000-2400-000001000000}">
      <formula1>-9.99999999999999E+31</formula1>
      <formula2>9.99999999999999E+31</formula2>
    </dataValidation>
    <dataValidation type="decimal" allowBlank="1" showInputMessage="1" showErrorMessage="1" errorTitle="錯誤" error="輸入資料格式錯誤!!" sqref="D29:D30 D36 V36:W36" xr:uid="{00000000-0002-0000-2400-000002000000}">
      <formula1>-9.99999999999999E+31</formula1>
      <formula2>9.99999999999999E+32</formula2>
    </dataValidation>
    <dataValidation type="whole" allowBlank="1" showInputMessage="1" showErrorMessage="1" errorTitle="錯誤" error="輸入資料格式錯誤!!" sqref="U36 E36:S36 C36" xr:uid="{00000000-0002-0000-2400-000003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8">
    <pageSetUpPr fitToPage="1"/>
  </sheetPr>
  <dimension ref="A1:AB26"/>
  <sheetViews>
    <sheetView showGridLines="0" workbookViewId="0">
      <selection activeCell="B1" sqref="B1"/>
    </sheetView>
  </sheetViews>
  <sheetFormatPr defaultColWidth="10.625" defaultRowHeight="14.25" customHeight="1"/>
  <cols>
    <col min="1" max="1" width="3.375" style="439" customWidth="1"/>
    <col min="2" max="2" width="9.75" style="439" customWidth="1"/>
    <col min="3" max="3" width="16" style="439" customWidth="1"/>
    <col min="4" max="4" width="2.375" style="439" customWidth="1"/>
    <col min="5" max="7" width="20.125" style="439" customWidth="1"/>
    <col min="8" max="8" width="15.625" style="439" customWidth="1"/>
    <col min="9" max="16384" width="10.625" style="439"/>
  </cols>
  <sheetData>
    <row r="1" spans="1:8" ht="16.5">
      <c r="A1" s="14" t="str">
        <f>+封面!A3&amp;" "&amp;封面!A2</f>
        <v xml:space="preserve">        保險股份有限公司(○○分公司) 年度(月、季、半年)報表</v>
      </c>
    </row>
    <row r="2" spans="1:8">
      <c r="A2" s="440" t="s">
        <v>3014</v>
      </c>
      <c r="C2" s="440"/>
      <c r="G2" s="433"/>
      <c r="H2" s="433" t="s">
        <v>3013</v>
      </c>
    </row>
    <row r="3" spans="1:8" s="443" customFormat="1">
      <c r="A3" s="3556" t="s">
        <v>3015</v>
      </c>
      <c r="B3" s="3557" t="s">
        <v>3016</v>
      </c>
      <c r="C3" s="3557"/>
      <c r="D3" s="3557"/>
      <c r="E3" s="441" t="s">
        <v>75</v>
      </c>
      <c r="F3" s="441" t="s">
        <v>76</v>
      </c>
      <c r="G3" s="441" t="s">
        <v>475</v>
      </c>
      <c r="H3" s="442" t="s">
        <v>3017</v>
      </c>
    </row>
    <row r="4" spans="1:8" s="443" customFormat="1" ht="13.5">
      <c r="A4" s="3556"/>
      <c r="B4" s="3557"/>
      <c r="C4" s="3557"/>
      <c r="D4" s="3557"/>
      <c r="E4" s="444" t="s">
        <v>103</v>
      </c>
      <c r="F4" s="444" t="s">
        <v>208</v>
      </c>
      <c r="G4" s="444" t="s">
        <v>476</v>
      </c>
      <c r="H4" s="445" t="s">
        <v>234</v>
      </c>
    </row>
    <row r="5" spans="1:8" ht="16.5" customHeight="1">
      <c r="A5" s="446">
        <v>1</v>
      </c>
      <c r="B5" s="3552" t="s">
        <v>3018</v>
      </c>
      <c r="C5" s="3553"/>
      <c r="D5" s="3554"/>
      <c r="E5" s="447"/>
      <c r="F5" s="447"/>
      <c r="G5" s="447"/>
      <c r="H5" s="448"/>
    </row>
    <row r="6" spans="1:8" ht="16.5" customHeight="1">
      <c r="A6" s="446">
        <v>2</v>
      </c>
      <c r="B6" s="3552" t="s">
        <v>3019</v>
      </c>
      <c r="C6" s="3553"/>
      <c r="D6" s="3554"/>
      <c r="E6" s="447"/>
      <c r="F6" s="447"/>
      <c r="G6" s="447"/>
      <c r="H6" s="448"/>
    </row>
    <row r="7" spans="1:8" ht="16.5" customHeight="1">
      <c r="A7" s="446">
        <v>3</v>
      </c>
      <c r="B7" s="3552" t="s">
        <v>3020</v>
      </c>
      <c r="C7" s="3553"/>
      <c r="D7" s="3554"/>
      <c r="E7" s="447"/>
      <c r="F7" s="447"/>
      <c r="G7" s="447"/>
      <c r="H7" s="448"/>
    </row>
    <row r="8" spans="1:8" ht="16.5" customHeight="1">
      <c r="A8" s="446">
        <v>4</v>
      </c>
      <c r="B8" s="3552" t="s">
        <v>3021</v>
      </c>
      <c r="C8" s="3553"/>
      <c r="D8" s="3554"/>
      <c r="E8" s="447"/>
      <c r="F8" s="447"/>
      <c r="G8" s="447"/>
      <c r="H8" s="448"/>
    </row>
    <row r="9" spans="1:8" ht="16.5" customHeight="1">
      <c r="A9" s="446">
        <v>5</v>
      </c>
      <c r="B9" s="3552"/>
      <c r="C9" s="3553"/>
      <c r="D9" s="3554"/>
      <c r="E9" s="447"/>
      <c r="F9" s="447"/>
      <c r="G9" s="447"/>
      <c r="H9" s="448"/>
    </row>
    <row r="10" spans="1:8" ht="16.5" customHeight="1">
      <c r="A10" s="446">
        <v>6</v>
      </c>
      <c r="B10" s="3552"/>
      <c r="C10" s="3553"/>
      <c r="D10" s="3554"/>
      <c r="E10" s="447"/>
      <c r="F10" s="447"/>
      <c r="G10" s="447"/>
      <c r="H10" s="448"/>
    </row>
    <row r="11" spans="1:8" ht="16.5" customHeight="1">
      <c r="A11" s="446">
        <v>7</v>
      </c>
      <c r="B11" s="3552"/>
      <c r="C11" s="3553"/>
      <c r="D11" s="3554"/>
      <c r="E11" s="447"/>
      <c r="F11" s="447"/>
      <c r="G11" s="447"/>
      <c r="H11" s="448"/>
    </row>
    <row r="12" spans="1:8" ht="16.5" customHeight="1">
      <c r="A12" s="446">
        <v>8</v>
      </c>
      <c r="B12" s="3552"/>
      <c r="C12" s="3553"/>
      <c r="D12" s="3554"/>
      <c r="E12" s="447"/>
      <c r="F12" s="447"/>
      <c r="G12" s="447"/>
      <c r="H12" s="448"/>
    </row>
    <row r="13" spans="1:8" ht="16.5" customHeight="1">
      <c r="A13" s="446">
        <v>9</v>
      </c>
      <c r="B13" s="3552"/>
      <c r="C13" s="3553"/>
      <c r="D13" s="3554"/>
      <c r="E13" s="447"/>
      <c r="F13" s="447"/>
      <c r="G13" s="447"/>
      <c r="H13" s="448"/>
    </row>
    <row r="14" spans="1:8" ht="16.5" customHeight="1">
      <c r="A14" s="446">
        <v>10</v>
      </c>
      <c r="B14" s="3552"/>
      <c r="C14" s="3553"/>
      <c r="D14" s="3554"/>
      <c r="E14" s="447"/>
      <c r="F14" s="447"/>
      <c r="G14" s="447"/>
      <c r="H14" s="448"/>
    </row>
    <row r="15" spans="1:8" ht="16.5" customHeight="1">
      <c r="A15" s="446">
        <v>11</v>
      </c>
      <c r="B15" s="3552"/>
      <c r="C15" s="3553"/>
      <c r="D15" s="3554"/>
      <c r="E15" s="447"/>
      <c r="F15" s="447"/>
      <c r="G15" s="447"/>
      <c r="H15" s="448"/>
    </row>
    <row r="16" spans="1:8" ht="16.5" customHeight="1">
      <c r="A16" s="446">
        <v>12</v>
      </c>
      <c r="B16" s="3555" t="s">
        <v>3022</v>
      </c>
      <c r="C16" s="3555"/>
      <c r="D16" s="3555"/>
      <c r="E16" s="447"/>
      <c r="F16" s="447"/>
      <c r="G16" s="447"/>
      <c r="H16" s="448"/>
    </row>
    <row r="17" spans="1:28">
      <c r="A17" s="439" t="s">
        <v>3023</v>
      </c>
      <c r="B17" s="449"/>
    </row>
    <row r="18" spans="1:28">
      <c r="A18" s="439">
        <v>1</v>
      </c>
      <c r="B18" s="439" t="s">
        <v>3024</v>
      </c>
    </row>
    <row r="19" spans="1:28" ht="14.25" customHeight="1">
      <c r="B19" s="439" t="s">
        <v>3025</v>
      </c>
    </row>
    <row r="26" spans="1:28" ht="14.25" customHeight="1">
      <c r="AB26" s="450"/>
    </row>
  </sheetData>
  <mergeCells count="14">
    <mergeCell ref="A3:A4"/>
    <mergeCell ref="B3:D4"/>
    <mergeCell ref="B5:D5"/>
    <mergeCell ref="B6:D6"/>
    <mergeCell ref="B7:D7"/>
    <mergeCell ref="B8:D8"/>
    <mergeCell ref="B15:D15"/>
    <mergeCell ref="B16:D16"/>
    <mergeCell ref="B9:D9"/>
    <mergeCell ref="B10:D10"/>
    <mergeCell ref="B11:D11"/>
    <mergeCell ref="B12:D12"/>
    <mergeCell ref="B13:D13"/>
    <mergeCell ref="B14:D14"/>
  </mergeCells>
  <phoneticPr fontId="9" type="noConversion"/>
  <dataValidations count="1">
    <dataValidation type="decimal" allowBlank="1" showErrorMessage="1" errorTitle="錯誤" error="輸入資料格式錯誤!!" sqref="E5:G16" xr:uid="{00000000-0002-0000-25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AB55"/>
  <sheetViews>
    <sheetView showGridLines="0" workbookViewId="0">
      <pane xSplit="2" ySplit="5" topLeftCell="C27" activePane="bottomRight" state="frozen"/>
      <selection activeCell="G28" sqref="G28"/>
      <selection pane="topRight" activeCell="G28" sqref="G28"/>
      <selection pane="bottomLeft" activeCell="G28" sqref="G28"/>
      <selection pane="bottomRight"/>
    </sheetView>
  </sheetViews>
  <sheetFormatPr defaultColWidth="0" defaultRowHeight="14.25"/>
  <cols>
    <col min="1" max="1" width="4.5" style="1075" customWidth="1"/>
    <col min="2" max="2" width="27.25" style="1073" customWidth="1"/>
    <col min="3" max="3" width="9.375" style="1073" customWidth="1"/>
    <col min="4" max="4" width="9.5" style="1073" customWidth="1"/>
    <col min="5" max="5" width="14.125" style="1073" bestFit="1" customWidth="1"/>
    <col min="6" max="6" width="15.125" style="1073" bestFit="1" customWidth="1"/>
    <col min="7" max="7" width="9.375" style="1073" customWidth="1"/>
    <col min="8" max="8" width="10.875" style="1073" customWidth="1"/>
    <col min="9" max="9" width="8.5" style="1073" bestFit="1" customWidth="1"/>
    <col min="10" max="10" width="14.125" style="1073" bestFit="1" customWidth="1"/>
    <col min="11" max="11" width="10.625" style="1073" customWidth="1"/>
    <col min="12" max="12" width="9.25" style="1073" customWidth="1"/>
    <col min="13" max="13" width="9.375" style="1073" customWidth="1"/>
    <col min="14" max="14" width="12.125" style="1073" customWidth="1"/>
    <col min="15" max="15" width="10.25" style="1073" bestFit="1" customWidth="1"/>
    <col min="16" max="16" width="12.25" style="925" bestFit="1" customWidth="1"/>
    <col min="17" max="17" width="10.75" style="925" customWidth="1"/>
    <col min="18" max="18" width="14.125" style="925" customWidth="1"/>
    <col min="19" max="19" width="14.25" style="925" customWidth="1"/>
    <col min="20" max="21" width="10" style="1073" customWidth="1"/>
    <col min="22" max="22" width="0" style="1073" hidden="1" customWidth="1"/>
    <col min="23" max="16384" width="10" style="1073" hidden="1"/>
  </cols>
  <sheetData>
    <row r="1" spans="1:21" ht="16.5">
      <c r="A1" s="924" t="str">
        <f>+封面!A3&amp;" "&amp;封面!A2</f>
        <v xml:space="preserve">        保險股份有限公司(○○分公司) 年度(月、季、半年)報表</v>
      </c>
      <c r="C1" s="1074"/>
      <c r="D1" s="1074"/>
      <c r="E1" s="1074"/>
      <c r="F1" s="1074"/>
      <c r="G1" s="993"/>
      <c r="H1" s="1074"/>
      <c r="I1" s="1074"/>
      <c r="J1" s="1074"/>
      <c r="K1" s="1074"/>
      <c r="L1" s="993"/>
      <c r="M1" s="1075"/>
      <c r="N1" s="1075"/>
      <c r="O1" s="1075"/>
    </row>
    <row r="2" spans="1:21">
      <c r="A2" s="1073" t="s">
        <v>638</v>
      </c>
      <c r="S2" s="1076" t="s">
        <v>3358</v>
      </c>
    </row>
    <row r="3" spans="1:21" ht="31.9" customHeight="1">
      <c r="A3" s="1077" t="s">
        <v>364</v>
      </c>
      <c r="B3" s="3562" t="s">
        <v>196</v>
      </c>
      <c r="C3" s="1078" t="s">
        <v>398</v>
      </c>
      <c r="D3" s="1078"/>
      <c r="E3" s="1078"/>
      <c r="F3" s="1078"/>
      <c r="G3" s="1078"/>
      <c r="H3" s="1078" t="s">
        <v>399</v>
      </c>
      <c r="I3" s="1078"/>
      <c r="J3" s="1078"/>
      <c r="K3" s="1078"/>
      <c r="L3" s="1078"/>
      <c r="M3" s="3563" t="s">
        <v>203</v>
      </c>
      <c r="N3" s="3564"/>
      <c r="O3" s="3564"/>
      <c r="P3" s="3564"/>
      <c r="Q3" s="3564"/>
      <c r="R3" s="3560" t="s">
        <v>93</v>
      </c>
      <c r="S3" s="3560" t="s">
        <v>430</v>
      </c>
      <c r="T3" s="3558" t="s">
        <v>120</v>
      </c>
    </row>
    <row r="4" spans="1:21" s="1084" customFormat="1" ht="42.75" customHeight="1">
      <c r="A4" s="1079"/>
      <c r="B4" s="3562"/>
      <c r="C4" s="1080" t="s">
        <v>285</v>
      </c>
      <c r="D4" s="1080" t="s">
        <v>257</v>
      </c>
      <c r="E4" s="1080" t="s">
        <v>355</v>
      </c>
      <c r="F4" s="1080" t="s">
        <v>356</v>
      </c>
      <c r="G4" s="1080" t="s">
        <v>357</v>
      </c>
      <c r="H4" s="1080" t="s">
        <v>285</v>
      </c>
      <c r="I4" s="1080" t="s">
        <v>257</v>
      </c>
      <c r="J4" s="1080" t="s">
        <v>429</v>
      </c>
      <c r="K4" s="1080" t="s">
        <v>356</v>
      </c>
      <c r="L4" s="1080" t="s">
        <v>357</v>
      </c>
      <c r="M4" s="1081" t="s">
        <v>431</v>
      </c>
      <c r="N4" s="1080" t="s">
        <v>462</v>
      </c>
      <c r="O4" s="1081" t="s">
        <v>429</v>
      </c>
      <c r="P4" s="1082" t="s">
        <v>400</v>
      </c>
      <c r="Q4" s="1083" t="s">
        <v>98</v>
      </c>
      <c r="R4" s="3561"/>
      <c r="S4" s="3561"/>
      <c r="T4" s="3559"/>
    </row>
    <row r="5" spans="1:21" s="1084" customFormat="1" ht="33.75" customHeight="1">
      <c r="A5" s="1085" t="s">
        <v>365</v>
      </c>
      <c r="B5" s="3562"/>
      <c r="C5" s="1086" t="s">
        <v>271</v>
      </c>
      <c r="D5" s="1086" t="s">
        <v>402</v>
      </c>
      <c r="E5" s="1086" t="s">
        <v>403</v>
      </c>
      <c r="F5" s="1087" t="s">
        <v>286</v>
      </c>
      <c r="G5" s="1088" t="s">
        <v>287</v>
      </c>
      <c r="H5" s="1086" t="s">
        <v>432</v>
      </c>
      <c r="I5" s="1086" t="s">
        <v>254</v>
      </c>
      <c r="J5" s="1086" t="s">
        <v>95</v>
      </c>
      <c r="K5" s="1088" t="s">
        <v>191</v>
      </c>
      <c r="L5" s="1088" t="s">
        <v>192</v>
      </c>
      <c r="M5" s="1086" t="s">
        <v>447</v>
      </c>
      <c r="N5" s="1086" t="s">
        <v>437</v>
      </c>
      <c r="O5" s="1089" t="s">
        <v>438</v>
      </c>
      <c r="P5" s="1090" t="s">
        <v>193</v>
      </c>
      <c r="Q5" s="1090" t="s">
        <v>245</v>
      </c>
      <c r="R5" s="1091" t="s">
        <v>194</v>
      </c>
      <c r="S5" s="1091" t="s">
        <v>262</v>
      </c>
      <c r="T5" s="1092" t="s">
        <v>280</v>
      </c>
      <c r="U5" s="1093"/>
    </row>
    <row r="6" spans="1:21">
      <c r="A6" s="1094">
        <v>1</v>
      </c>
      <c r="B6" s="1095" t="s">
        <v>199</v>
      </c>
      <c r="C6" s="1096"/>
      <c r="D6" s="1096"/>
      <c r="E6" s="1096"/>
      <c r="F6" s="1096"/>
      <c r="G6" s="1097"/>
      <c r="H6" s="1096"/>
      <c r="I6" s="1096"/>
      <c r="J6" s="1096"/>
      <c r="K6" s="1096"/>
      <c r="L6" s="1097"/>
      <c r="M6" s="1098"/>
      <c r="N6" s="1096"/>
      <c r="O6" s="1096"/>
      <c r="P6" s="1099"/>
      <c r="Q6" s="1099"/>
      <c r="R6" s="1099"/>
      <c r="S6" s="1099"/>
      <c r="T6" s="1100"/>
    </row>
    <row r="7" spans="1:21">
      <c r="A7" s="1094">
        <v>2</v>
      </c>
      <c r="B7" s="1095" t="s">
        <v>200</v>
      </c>
      <c r="C7" s="1096"/>
      <c r="D7" s="1096"/>
      <c r="E7" s="1096"/>
      <c r="F7" s="1096"/>
      <c r="G7" s="1097"/>
      <c r="H7" s="1096"/>
      <c r="I7" s="1096"/>
      <c r="J7" s="1096"/>
      <c r="K7" s="1096"/>
      <c r="L7" s="1097"/>
      <c r="M7" s="1098"/>
      <c r="N7" s="1096"/>
      <c r="O7" s="1096"/>
      <c r="P7" s="1099"/>
      <c r="Q7" s="1099"/>
      <c r="R7" s="1099"/>
      <c r="S7" s="1099"/>
      <c r="T7" s="1100"/>
    </row>
    <row r="8" spans="1:21">
      <c r="A8" s="1094">
        <v>3</v>
      </c>
      <c r="B8" s="1095" t="s">
        <v>201</v>
      </c>
      <c r="C8" s="1096"/>
      <c r="D8" s="1096"/>
      <c r="E8" s="1096"/>
      <c r="F8" s="1096"/>
      <c r="G8" s="1097"/>
      <c r="H8" s="1096"/>
      <c r="I8" s="1096"/>
      <c r="J8" s="1096"/>
      <c r="K8" s="1096"/>
      <c r="L8" s="1097"/>
      <c r="M8" s="1098"/>
      <c r="N8" s="1096"/>
      <c r="O8" s="1096"/>
      <c r="P8" s="1099"/>
      <c r="Q8" s="1099"/>
      <c r="R8" s="1099"/>
      <c r="S8" s="1099"/>
      <c r="T8" s="1100"/>
    </row>
    <row r="9" spans="1:21">
      <c r="A9" s="1094">
        <v>4</v>
      </c>
      <c r="B9" s="1095" t="s">
        <v>188</v>
      </c>
      <c r="C9" s="1096"/>
      <c r="D9" s="1096"/>
      <c r="E9" s="1096"/>
      <c r="F9" s="1096"/>
      <c r="G9" s="1097"/>
      <c r="H9" s="1096"/>
      <c r="I9" s="1096"/>
      <c r="J9" s="1096"/>
      <c r="K9" s="1096"/>
      <c r="L9" s="1097"/>
      <c r="M9" s="1098"/>
      <c r="N9" s="1096"/>
      <c r="O9" s="1096"/>
      <c r="P9" s="1099"/>
      <c r="Q9" s="1099"/>
      <c r="R9" s="1099"/>
      <c r="S9" s="1099"/>
      <c r="T9" s="1100"/>
    </row>
    <row r="10" spans="1:21">
      <c r="A10" s="1094">
        <v>5</v>
      </c>
      <c r="B10" s="1095" t="s">
        <v>189</v>
      </c>
      <c r="C10" s="1096"/>
      <c r="D10" s="1096"/>
      <c r="E10" s="1096"/>
      <c r="F10" s="1096"/>
      <c r="G10" s="1097"/>
      <c r="H10" s="1096"/>
      <c r="I10" s="1096"/>
      <c r="J10" s="1096"/>
      <c r="K10" s="1096"/>
      <c r="L10" s="1097"/>
      <c r="M10" s="1098"/>
      <c r="N10" s="1096"/>
      <c r="O10" s="1096"/>
      <c r="P10" s="1099"/>
      <c r="Q10" s="1099"/>
      <c r="R10" s="1099"/>
      <c r="S10" s="1099"/>
      <c r="T10" s="1100"/>
    </row>
    <row r="11" spans="1:21">
      <c r="A11" s="1094">
        <v>6</v>
      </c>
      <c r="B11" s="1095" t="s">
        <v>190</v>
      </c>
      <c r="C11" s="1096"/>
      <c r="D11" s="1096"/>
      <c r="E11" s="1096"/>
      <c r="F11" s="1096"/>
      <c r="G11" s="1097"/>
      <c r="H11" s="1096"/>
      <c r="I11" s="1096"/>
      <c r="J11" s="1096"/>
      <c r="K11" s="1096"/>
      <c r="L11" s="1097"/>
      <c r="M11" s="1098"/>
      <c r="N11" s="1096"/>
      <c r="O11" s="1096"/>
      <c r="P11" s="1099"/>
      <c r="Q11" s="1099"/>
      <c r="R11" s="1099"/>
      <c r="S11" s="1099"/>
      <c r="T11" s="1100"/>
    </row>
    <row r="12" spans="1:21">
      <c r="A12" s="1094">
        <v>7</v>
      </c>
      <c r="B12" s="1095" t="s">
        <v>182</v>
      </c>
      <c r="C12" s="1096"/>
      <c r="D12" s="1096"/>
      <c r="E12" s="1096"/>
      <c r="F12" s="1096"/>
      <c r="G12" s="1097"/>
      <c r="H12" s="1096"/>
      <c r="I12" s="1096"/>
      <c r="J12" s="1096"/>
      <c r="K12" s="1096"/>
      <c r="L12" s="1097"/>
      <c r="M12" s="1098"/>
      <c r="N12" s="1096"/>
      <c r="O12" s="1096"/>
      <c r="P12" s="1099"/>
      <c r="Q12" s="1099"/>
      <c r="R12" s="1099"/>
      <c r="S12" s="1099"/>
      <c r="T12" s="1100"/>
    </row>
    <row r="13" spans="1:21">
      <c r="A13" s="1094">
        <v>8</v>
      </c>
      <c r="B13" s="1095" t="s">
        <v>183</v>
      </c>
      <c r="C13" s="1096"/>
      <c r="D13" s="1096"/>
      <c r="E13" s="1096"/>
      <c r="F13" s="1096"/>
      <c r="G13" s="1097"/>
      <c r="H13" s="1096"/>
      <c r="I13" s="1096"/>
      <c r="J13" s="1096"/>
      <c r="K13" s="1096"/>
      <c r="L13" s="1097"/>
      <c r="M13" s="1098"/>
      <c r="N13" s="1096"/>
      <c r="O13" s="1096"/>
      <c r="P13" s="1099"/>
      <c r="Q13" s="1099"/>
      <c r="R13" s="1099"/>
      <c r="S13" s="1099"/>
      <c r="T13" s="1100"/>
    </row>
    <row r="14" spans="1:21">
      <c r="A14" s="1094">
        <v>9</v>
      </c>
      <c r="B14" s="1095" t="s">
        <v>184</v>
      </c>
      <c r="C14" s="1096"/>
      <c r="D14" s="1096"/>
      <c r="E14" s="1096"/>
      <c r="F14" s="1096"/>
      <c r="G14" s="1097"/>
      <c r="H14" s="1096"/>
      <c r="I14" s="1096"/>
      <c r="J14" s="1096"/>
      <c r="K14" s="1096"/>
      <c r="L14" s="1097"/>
      <c r="M14" s="1098"/>
      <c r="N14" s="1096"/>
      <c r="O14" s="1096"/>
      <c r="P14" s="1099"/>
      <c r="Q14" s="1099"/>
      <c r="R14" s="1099"/>
      <c r="S14" s="1099"/>
      <c r="T14" s="1100"/>
    </row>
    <row r="15" spans="1:21">
      <c r="A15" s="1094">
        <v>10</v>
      </c>
      <c r="B15" s="1095" t="s">
        <v>185</v>
      </c>
      <c r="C15" s="1096"/>
      <c r="D15" s="1096"/>
      <c r="E15" s="1096"/>
      <c r="F15" s="1096"/>
      <c r="G15" s="1097"/>
      <c r="H15" s="1096"/>
      <c r="I15" s="1096"/>
      <c r="J15" s="1096"/>
      <c r="K15" s="1096"/>
      <c r="L15" s="1097"/>
      <c r="M15" s="1098"/>
      <c r="N15" s="1096"/>
      <c r="O15" s="1096"/>
      <c r="P15" s="1099"/>
      <c r="Q15" s="1099"/>
      <c r="R15" s="1099"/>
      <c r="S15" s="1099"/>
      <c r="T15" s="1100"/>
    </row>
    <row r="16" spans="1:21">
      <c r="A16" s="1094">
        <v>11</v>
      </c>
      <c r="B16" s="1095" t="s">
        <v>383</v>
      </c>
      <c r="C16" s="1096"/>
      <c r="D16" s="1096"/>
      <c r="E16" s="1096"/>
      <c r="F16" s="1096"/>
      <c r="G16" s="1097"/>
      <c r="H16" s="1096"/>
      <c r="I16" s="1096"/>
      <c r="J16" s="1096"/>
      <c r="K16" s="1096"/>
      <c r="L16" s="1097"/>
      <c r="M16" s="1098"/>
      <c r="N16" s="1096"/>
      <c r="O16" s="1096"/>
      <c r="P16" s="1099"/>
      <c r="Q16" s="1099"/>
      <c r="R16" s="1099"/>
      <c r="S16" s="1099"/>
      <c r="T16" s="1100"/>
    </row>
    <row r="17" spans="1:28">
      <c r="A17" s="1094">
        <v>12</v>
      </c>
      <c r="B17" s="1095" t="s">
        <v>384</v>
      </c>
      <c r="C17" s="1096"/>
      <c r="D17" s="1096"/>
      <c r="E17" s="1096"/>
      <c r="F17" s="1096"/>
      <c r="G17" s="1097"/>
      <c r="H17" s="1096"/>
      <c r="I17" s="1096"/>
      <c r="J17" s="1096"/>
      <c r="K17" s="1096"/>
      <c r="L17" s="1097"/>
      <c r="M17" s="1098"/>
      <c r="N17" s="1096"/>
      <c r="O17" s="1096"/>
      <c r="P17" s="1099"/>
      <c r="Q17" s="1099"/>
      <c r="R17" s="1099"/>
      <c r="S17" s="1099"/>
      <c r="T17" s="1100"/>
    </row>
    <row r="18" spans="1:28">
      <c r="A18" s="1094">
        <v>13</v>
      </c>
      <c r="B18" s="1095" t="s">
        <v>385</v>
      </c>
      <c r="C18" s="1096"/>
      <c r="D18" s="1096"/>
      <c r="E18" s="1096"/>
      <c r="F18" s="1096"/>
      <c r="G18" s="1097"/>
      <c r="H18" s="1096"/>
      <c r="I18" s="1096"/>
      <c r="J18" s="1096"/>
      <c r="K18" s="1096"/>
      <c r="L18" s="1097"/>
      <c r="M18" s="1098"/>
      <c r="N18" s="1096"/>
      <c r="O18" s="1096"/>
      <c r="P18" s="1099"/>
      <c r="Q18" s="1099"/>
      <c r="R18" s="1099"/>
      <c r="S18" s="1099"/>
      <c r="T18" s="1100"/>
    </row>
    <row r="19" spans="1:28">
      <c r="A19" s="1094">
        <v>14</v>
      </c>
      <c r="B19" s="1095" t="s">
        <v>289</v>
      </c>
      <c r="C19" s="1096"/>
      <c r="D19" s="1096"/>
      <c r="E19" s="1096"/>
      <c r="F19" s="1096"/>
      <c r="G19" s="1097"/>
      <c r="H19" s="1096"/>
      <c r="I19" s="1096"/>
      <c r="J19" s="1096"/>
      <c r="K19" s="1096"/>
      <c r="L19" s="1097"/>
      <c r="M19" s="1098"/>
      <c r="N19" s="1096"/>
      <c r="O19" s="1096"/>
      <c r="P19" s="1099"/>
      <c r="Q19" s="1099"/>
      <c r="R19" s="1099"/>
      <c r="S19" s="1099"/>
      <c r="T19" s="1100"/>
    </row>
    <row r="20" spans="1:28">
      <c r="A20" s="1094">
        <v>15</v>
      </c>
      <c r="B20" s="1095" t="s">
        <v>290</v>
      </c>
      <c r="C20" s="1096"/>
      <c r="D20" s="1096"/>
      <c r="E20" s="1096"/>
      <c r="F20" s="1096"/>
      <c r="G20" s="1097"/>
      <c r="H20" s="1096"/>
      <c r="I20" s="1096"/>
      <c r="J20" s="1096"/>
      <c r="K20" s="1096"/>
      <c r="L20" s="1097"/>
      <c r="M20" s="1098"/>
      <c r="N20" s="1096"/>
      <c r="O20" s="1096"/>
      <c r="P20" s="1099"/>
      <c r="Q20" s="1099"/>
      <c r="R20" s="1099"/>
      <c r="S20" s="1099"/>
      <c r="T20" s="1100"/>
    </row>
    <row r="21" spans="1:28">
      <c r="A21" s="1094">
        <v>16</v>
      </c>
      <c r="B21" s="1095" t="s">
        <v>291</v>
      </c>
      <c r="C21" s="1096"/>
      <c r="D21" s="1096"/>
      <c r="E21" s="1096"/>
      <c r="F21" s="1096"/>
      <c r="G21" s="1097"/>
      <c r="H21" s="1096"/>
      <c r="I21" s="1096"/>
      <c r="J21" s="1096"/>
      <c r="K21" s="1096"/>
      <c r="L21" s="1097"/>
      <c r="M21" s="1098"/>
      <c r="N21" s="1096"/>
      <c r="O21" s="1096"/>
      <c r="P21" s="1099"/>
      <c r="Q21" s="1099"/>
      <c r="R21" s="1099"/>
      <c r="S21" s="1099"/>
      <c r="T21" s="1100"/>
    </row>
    <row r="22" spans="1:28">
      <c r="A22" s="1094">
        <v>17</v>
      </c>
      <c r="B22" s="1095" t="s">
        <v>292</v>
      </c>
      <c r="C22" s="1096"/>
      <c r="D22" s="1096"/>
      <c r="E22" s="1096"/>
      <c r="F22" s="1096"/>
      <c r="G22" s="1097"/>
      <c r="H22" s="1096"/>
      <c r="I22" s="1096"/>
      <c r="J22" s="1096"/>
      <c r="K22" s="1096"/>
      <c r="L22" s="1097"/>
      <c r="M22" s="1098"/>
      <c r="N22" s="1096"/>
      <c r="O22" s="1096"/>
      <c r="P22" s="1099"/>
      <c r="Q22" s="1099"/>
      <c r="R22" s="1099"/>
      <c r="S22" s="1099"/>
      <c r="T22" s="1100"/>
    </row>
    <row r="23" spans="1:28">
      <c r="A23" s="1094">
        <v>18</v>
      </c>
      <c r="B23" s="1095" t="s">
        <v>293</v>
      </c>
      <c r="C23" s="1096"/>
      <c r="D23" s="1096"/>
      <c r="E23" s="1096"/>
      <c r="F23" s="1096"/>
      <c r="G23" s="1097"/>
      <c r="H23" s="1096"/>
      <c r="I23" s="1096"/>
      <c r="J23" s="1096"/>
      <c r="K23" s="1096"/>
      <c r="L23" s="1097"/>
      <c r="M23" s="1098"/>
      <c r="N23" s="1096"/>
      <c r="O23" s="1096"/>
      <c r="P23" s="1099"/>
      <c r="Q23" s="1099"/>
      <c r="R23" s="1099"/>
      <c r="S23" s="1099"/>
      <c r="T23" s="1100"/>
    </row>
    <row r="24" spans="1:28">
      <c r="A24" s="1094">
        <v>19</v>
      </c>
      <c r="B24" s="1095" t="s">
        <v>294</v>
      </c>
      <c r="C24" s="1096"/>
      <c r="D24" s="1096"/>
      <c r="E24" s="1096"/>
      <c r="F24" s="1096"/>
      <c r="G24" s="1097"/>
      <c r="H24" s="1096"/>
      <c r="I24" s="1096"/>
      <c r="J24" s="1096"/>
      <c r="K24" s="1096"/>
      <c r="L24" s="1097"/>
      <c r="M24" s="1098"/>
      <c r="N24" s="1096"/>
      <c r="O24" s="1096"/>
      <c r="P24" s="1099"/>
      <c r="Q24" s="1099"/>
      <c r="R24" s="1099"/>
      <c r="S24" s="1099"/>
      <c r="T24" s="1100"/>
    </row>
    <row r="25" spans="1:28">
      <c r="A25" s="1094">
        <v>20</v>
      </c>
      <c r="B25" s="1095" t="s">
        <v>295</v>
      </c>
      <c r="C25" s="1096"/>
      <c r="D25" s="1096"/>
      <c r="E25" s="1096"/>
      <c r="F25" s="1096"/>
      <c r="G25" s="1097"/>
      <c r="H25" s="1096"/>
      <c r="I25" s="1096"/>
      <c r="J25" s="1096"/>
      <c r="K25" s="1096"/>
      <c r="L25" s="1097"/>
      <c r="M25" s="1098"/>
      <c r="N25" s="1096"/>
      <c r="O25" s="1096"/>
      <c r="P25" s="1099"/>
      <c r="Q25" s="1099"/>
      <c r="R25" s="1099"/>
      <c r="S25" s="1099"/>
      <c r="T25" s="1100"/>
    </row>
    <row r="26" spans="1:28" ht="16.5">
      <c r="A26" s="1094">
        <v>21</v>
      </c>
      <c r="B26" s="1095" t="s">
        <v>205</v>
      </c>
      <c r="C26" s="1096"/>
      <c r="D26" s="1096"/>
      <c r="E26" s="1096"/>
      <c r="F26" s="1096"/>
      <c r="G26" s="1097"/>
      <c r="H26" s="1096"/>
      <c r="I26" s="1096"/>
      <c r="J26" s="1096"/>
      <c r="K26" s="1096"/>
      <c r="L26" s="1097"/>
      <c r="M26" s="1098"/>
      <c r="N26" s="1096"/>
      <c r="O26" s="1096"/>
      <c r="P26" s="1099"/>
      <c r="Q26" s="1099"/>
      <c r="R26" s="1099"/>
      <c r="S26" s="1099"/>
      <c r="T26" s="1100"/>
      <c r="AB26" s="1101"/>
    </row>
    <row r="27" spans="1:28">
      <c r="A27" s="1094">
        <v>22</v>
      </c>
      <c r="B27" s="1095" t="s">
        <v>186</v>
      </c>
      <c r="C27" s="1096"/>
      <c r="D27" s="1096"/>
      <c r="E27" s="1096"/>
      <c r="F27" s="1096"/>
      <c r="G27" s="1097"/>
      <c r="H27" s="1096"/>
      <c r="I27" s="1096"/>
      <c r="J27" s="1096"/>
      <c r="K27" s="1096"/>
      <c r="L27" s="1097"/>
      <c r="M27" s="1098"/>
      <c r="N27" s="1096"/>
      <c r="O27" s="1096"/>
      <c r="P27" s="1099"/>
      <c r="Q27" s="1099"/>
      <c r="R27" s="1099"/>
      <c r="S27" s="1099"/>
      <c r="T27" s="1100"/>
    </row>
    <row r="28" spans="1:28">
      <c r="A28" s="1094">
        <v>23</v>
      </c>
      <c r="B28" s="1095" t="s">
        <v>187</v>
      </c>
      <c r="C28" s="1096"/>
      <c r="D28" s="1096"/>
      <c r="E28" s="1096"/>
      <c r="F28" s="1096"/>
      <c r="G28" s="1097"/>
      <c r="H28" s="1096"/>
      <c r="I28" s="1096"/>
      <c r="J28" s="1096"/>
      <c r="K28" s="1096"/>
      <c r="L28" s="1097"/>
      <c r="M28" s="1098"/>
      <c r="N28" s="1096"/>
      <c r="O28" s="1096"/>
      <c r="P28" s="1099"/>
      <c r="Q28" s="1099"/>
      <c r="R28" s="1099"/>
      <c r="S28" s="1099"/>
      <c r="T28" s="1100"/>
    </row>
    <row r="29" spans="1:28">
      <c r="A29" s="944">
        <v>24</v>
      </c>
      <c r="B29" s="934" t="s">
        <v>599</v>
      </c>
      <c r="C29" s="1096"/>
      <c r="D29" s="1096"/>
      <c r="E29" s="1096"/>
      <c r="F29" s="1096"/>
      <c r="G29" s="1097"/>
      <c r="H29" s="1096"/>
      <c r="I29" s="1096"/>
      <c r="J29" s="1096"/>
      <c r="K29" s="1096"/>
      <c r="L29" s="1097"/>
      <c r="M29" s="1098"/>
      <c r="N29" s="1096"/>
      <c r="O29" s="1096"/>
      <c r="P29" s="1099"/>
      <c r="Q29" s="1099"/>
      <c r="R29" s="1099"/>
      <c r="S29" s="1099"/>
      <c r="T29" s="1100"/>
    </row>
    <row r="30" spans="1:28">
      <c r="A30" s="1094">
        <v>25</v>
      </c>
      <c r="B30" s="1095" t="s">
        <v>352</v>
      </c>
      <c r="C30" s="1096"/>
      <c r="D30" s="1096"/>
      <c r="E30" s="1096"/>
      <c r="F30" s="1096"/>
      <c r="G30" s="1097"/>
      <c r="H30" s="1096"/>
      <c r="I30" s="1096"/>
      <c r="J30" s="1096"/>
      <c r="K30" s="1096"/>
      <c r="L30" s="1097"/>
      <c r="M30" s="1098"/>
      <c r="N30" s="1096"/>
      <c r="O30" s="1096"/>
      <c r="P30" s="1099"/>
      <c r="Q30" s="1099"/>
      <c r="R30" s="1099"/>
      <c r="S30" s="1099"/>
      <c r="T30" s="1100"/>
    </row>
    <row r="31" spans="1:28">
      <c r="A31" s="1094">
        <v>26</v>
      </c>
      <c r="B31" s="1095" t="s">
        <v>361</v>
      </c>
      <c r="C31" s="1096"/>
      <c r="D31" s="1096"/>
      <c r="E31" s="1096"/>
      <c r="F31" s="1096"/>
      <c r="G31" s="1097"/>
      <c r="H31" s="1096"/>
      <c r="I31" s="1096"/>
      <c r="J31" s="1096"/>
      <c r="K31" s="1096"/>
      <c r="L31" s="1097"/>
      <c r="M31" s="1098"/>
      <c r="N31" s="1096"/>
      <c r="O31" s="1096"/>
      <c r="P31" s="1099"/>
      <c r="Q31" s="1099"/>
      <c r="R31" s="1099"/>
      <c r="S31" s="1099"/>
      <c r="T31" s="1100"/>
    </row>
    <row r="32" spans="1:28">
      <c r="A32" s="1094">
        <v>27</v>
      </c>
      <c r="B32" s="1095" t="s">
        <v>362</v>
      </c>
      <c r="C32" s="1096"/>
      <c r="D32" s="1096"/>
      <c r="E32" s="1096"/>
      <c r="F32" s="1096"/>
      <c r="G32" s="1097"/>
      <c r="H32" s="1096"/>
      <c r="I32" s="1096"/>
      <c r="J32" s="1096"/>
      <c r="K32" s="1096"/>
      <c r="L32" s="1097"/>
      <c r="M32" s="1098"/>
      <c r="N32" s="1096"/>
      <c r="O32" s="1096"/>
      <c r="P32" s="1099"/>
      <c r="Q32" s="1099"/>
      <c r="R32" s="1099"/>
      <c r="S32" s="1099"/>
      <c r="T32" s="1100"/>
    </row>
    <row r="33" spans="1:20">
      <c r="A33" s="1094">
        <v>28</v>
      </c>
      <c r="B33" s="1095" t="s">
        <v>363</v>
      </c>
      <c r="C33" s="1096"/>
      <c r="D33" s="1096"/>
      <c r="E33" s="1096"/>
      <c r="F33" s="1096"/>
      <c r="G33" s="1097"/>
      <c r="H33" s="1096"/>
      <c r="I33" s="1096"/>
      <c r="J33" s="1096"/>
      <c r="K33" s="1096"/>
      <c r="L33" s="1097"/>
      <c r="M33" s="1098"/>
      <c r="N33" s="1096"/>
      <c r="O33" s="1096"/>
      <c r="P33" s="1099"/>
      <c r="Q33" s="1099"/>
      <c r="R33" s="1099"/>
      <c r="S33" s="1099"/>
      <c r="T33" s="1100"/>
    </row>
    <row r="34" spans="1:20">
      <c r="A34" s="1094">
        <v>29</v>
      </c>
      <c r="B34" s="1102" t="s">
        <v>107</v>
      </c>
      <c r="C34" s="1096"/>
      <c r="D34" s="1096"/>
      <c r="E34" s="1096"/>
      <c r="F34" s="1096"/>
      <c r="G34" s="1097"/>
      <c r="H34" s="1096"/>
      <c r="I34" s="1096"/>
      <c r="J34" s="1096"/>
      <c r="K34" s="1096"/>
      <c r="L34" s="1097"/>
      <c r="M34" s="1098"/>
      <c r="N34" s="1096"/>
      <c r="O34" s="1096"/>
      <c r="P34" s="1099"/>
      <c r="Q34" s="1099"/>
      <c r="R34" s="1099"/>
      <c r="S34" s="1099"/>
      <c r="T34" s="1100"/>
    </row>
    <row r="35" spans="1:20">
      <c r="A35" s="946">
        <v>30</v>
      </c>
      <c r="B35" s="1034" t="s">
        <v>601</v>
      </c>
      <c r="C35" s="1096"/>
      <c r="D35" s="1096"/>
      <c r="E35" s="1096"/>
      <c r="F35" s="1096"/>
      <c r="G35" s="1097"/>
      <c r="H35" s="1096"/>
      <c r="I35" s="1096"/>
      <c r="J35" s="1096"/>
      <c r="K35" s="1096"/>
      <c r="L35" s="1097"/>
      <c r="M35" s="1098"/>
      <c r="N35" s="1096"/>
      <c r="O35" s="1096"/>
      <c r="P35" s="1099"/>
      <c r="Q35" s="1099"/>
      <c r="R35" s="1099"/>
      <c r="S35" s="1099"/>
      <c r="T35" s="1100"/>
    </row>
    <row r="36" spans="1:20">
      <c r="A36" s="1051">
        <v>31</v>
      </c>
      <c r="B36" s="1034" t="s">
        <v>584</v>
      </c>
      <c r="C36" s="1096"/>
      <c r="D36" s="1096"/>
      <c r="E36" s="1096"/>
      <c r="F36" s="1096"/>
      <c r="G36" s="1097"/>
      <c r="H36" s="1096"/>
      <c r="I36" s="1096"/>
      <c r="J36" s="1096"/>
      <c r="K36" s="1096"/>
      <c r="L36" s="1097"/>
      <c r="M36" s="1103"/>
      <c r="N36" s="1104"/>
      <c r="O36" s="1104"/>
      <c r="P36" s="1105"/>
      <c r="Q36" s="1105"/>
      <c r="R36" s="1099"/>
      <c r="S36" s="1099"/>
      <c r="T36" s="1100"/>
    </row>
    <row r="37" spans="1:20">
      <c r="A37" s="1001">
        <v>32</v>
      </c>
      <c r="B37" s="947" t="s">
        <v>3271</v>
      </c>
      <c r="C37" s="1096"/>
      <c r="D37" s="1096"/>
      <c r="E37" s="1096"/>
      <c r="F37" s="1096"/>
      <c r="G37" s="1097"/>
      <c r="H37" s="1096"/>
      <c r="I37" s="1096"/>
      <c r="J37" s="1096"/>
      <c r="K37" s="1096"/>
      <c r="L37" s="1097"/>
      <c r="M37" s="1098"/>
      <c r="N37" s="1096"/>
      <c r="O37" s="1096"/>
      <c r="P37" s="1099"/>
      <c r="Q37" s="1099"/>
      <c r="R37" s="1099"/>
      <c r="S37" s="1099"/>
      <c r="T37" s="1100"/>
    </row>
    <row r="38" spans="1:20">
      <c r="A38" s="1094">
        <v>33</v>
      </c>
      <c r="B38" s="957" t="s">
        <v>260</v>
      </c>
      <c r="C38" s="1106"/>
      <c r="D38" s="1106"/>
      <c r="E38" s="1106"/>
      <c r="F38" s="1096"/>
      <c r="G38" s="1097"/>
      <c r="H38" s="1106"/>
      <c r="I38" s="1106"/>
      <c r="J38" s="1106"/>
      <c r="K38" s="1106"/>
      <c r="L38" s="1097"/>
      <c r="M38" s="1098"/>
      <c r="N38" s="1106"/>
      <c r="O38" s="1106"/>
      <c r="P38" s="1099"/>
      <c r="Q38" s="1099"/>
      <c r="R38" s="1099"/>
      <c r="S38" s="1099"/>
      <c r="T38" s="1100"/>
    </row>
    <row r="39" spans="1:20">
      <c r="A39" s="1094">
        <v>34</v>
      </c>
      <c r="B39" s="957" t="s">
        <v>368</v>
      </c>
      <c r="C39" s="1096"/>
      <c r="D39" s="1096"/>
      <c r="E39" s="1096"/>
      <c r="F39" s="1096"/>
      <c r="G39" s="1097"/>
      <c r="H39" s="1096"/>
      <c r="I39" s="1096"/>
      <c r="J39" s="1096"/>
      <c r="K39" s="1096"/>
      <c r="L39" s="1097"/>
      <c r="M39" s="1098"/>
      <c r="N39" s="1096"/>
      <c r="O39" s="1096"/>
      <c r="P39" s="1099"/>
      <c r="Q39" s="1099"/>
      <c r="R39" s="1099"/>
      <c r="S39" s="1099"/>
      <c r="T39" s="1100"/>
    </row>
    <row r="40" spans="1:20">
      <c r="A40" s="946">
        <v>35</v>
      </c>
      <c r="B40" s="957" t="s">
        <v>369</v>
      </c>
      <c r="C40" s="1096"/>
      <c r="D40" s="1096"/>
      <c r="E40" s="1096"/>
      <c r="F40" s="1096"/>
      <c r="G40" s="1097"/>
      <c r="H40" s="1096"/>
      <c r="I40" s="1096"/>
      <c r="J40" s="1096"/>
      <c r="K40" s="1096"/>
      <c r="L40" s="1097"/>
      <c r="M40" s="1098"/>
      <c r="N40" s="1096"/>
      <c r="O40" s="1096"/>
      <c r="P40" s="1099"/>
      <c r="Q40" s="1099"/>
      <c r="R40" s="1099"/>
      <c r="S40" s="1099"/>
      <c r="T40" s="1100"/>
    </row>
    <row r="41" spans="1:20">
      <c r="A41" s="1051">
        <v>36</v>
      </c>
      <c r="B41" s="957" t="s">
        <v>370</v>
      </c>
      <c r="C41" s="1096"/>
      <c r="D41" s="1096"/>
      <c r="E41" s="1096"/>
      <c r="F41" s="1096"/>
      <c r="G41" s="1097"/>
      <c r="H41" s="1096"/>
      <c r="I41" s="1096"/>
      <c r="J41" s="1096"/>
      <c r="K41" s="1096"/>
      <c r="L41" s="1097"/>
      <c r="M41" s="1098"/>
      <c r="N41" s="1096"/>
      <c r="O41" s="1096"/>
      <c r="P41" s="1099"/>
      <c r="Q41" s="1099"/>
      <c r="R41" s="1099"/>
      <c r="S41" s="1099"/>
      <c r="T41" s="1100"/>
    </row>
    <row r="42" spans="1:20">
      <c r="A42" s="1094">
        <v>37</v>
      </c>
      <c r="B42" s="957" t="s">
        <v>371</v>
      </c>
      <c r="C42" s="1096"/>
      <c r="D42" s="1096"/>
      <c r="E42" s="1096"/>
      <c r="F42" s="1096"/>
      <c r="G42" s="1097"/>
      <c r="H42" s="1096"/>
      <c r="I42" s="1096"/>
      <c r="J42" s="1096"/>
      <c r="K42" s="1096"/>
      <c r="L42" s="1097"/>
      <c r="M42" s="1098"/>
      <c r="N42" s="1096"/>
      <c r="O42" s="1096"/>
      <c r="P42" s="1099"/>
      <c r="Q42" s="1099"/>
      <c r="R42" s="1099"/>
      <c r="S42" s="1099"/>
      <c r="T42" s="1100"/>
    </row>
    <row r="43" spans="1:20">
      <c r="A43" s="1094">
        <v>38</v>
      </c>
      <c r="B43" s="957" t="s">
        <v>372</v>
      </c>
      <c r="C43" s="1096"/>
      <c r="D43" s="1096"/>
      <c r="E43" s="1096"/>
      <c r="F43" s="1096"/>
      <c r="G43" s="1097"/>
      <c r="H43" s="1096"/>
      <c r="I43" s="1096"/>
      <c r="J43" s="1096"/>
      <c r="K43" s="1096"/>
      <c r="L43" s="1097"/>
      <c r="M43" s="1098"/>
      <c r="N43" s="1096"/>
      <c r="O43" s="1096"/>
      <c r="P43" s="1099"/>
      <c r="Q43" s="1099"/>
      <c r="R43" s="1099"/>
      <c r="S43" s="1099"/>
      <c r="T43" s="1100"/>
    </row>
    <row r="44" spans="1:20">
      <c r="A44" s="1094">
        <v>39</v>
      </c>
      <c r="B44" s="957" t="s">
        <v>373</v>
      </c>
      <c r="C44" s="1096"/>
      <c r="D44" s="1096"/>
      <c r="E44" s="1096"/>
      <c r="F44" s="1096"/>
      <c r="G44" s="1097"/>
      <c r="H44" s="1096"/>
      <c r="I44" s="1096"/>
      <c r="J44" s="1096"/>
      <c r="K44" s="1096"/>
      <c r="L44" s="1097"/>
      <c r="M44" s="1098"/>
      <c r="N44" s="1096"/>
      <c r="O44" s="1096"/>
      <c r="P44" s="1099"/>
      <c r="Q44" s="1099"/>
      <c r="R44" s="1099"/>
      <c r="S44" s="1099"/>
      <c r="T44" s="1100"/>
    </row>
    <row r="45" spans="1:20">
      <c r="A45" s="946">
        <v>40</v>
      </c>
      <c r="B45" s="957" t="s">
        <v>374</v>
      </c>
      <c r="C45" s="1096"/>
      <c r="D45" s="1096"/>
      <c r="E45" s="1096"/>
      <c r="F45" s="1096"/>
      <c r="G45" s="1097"/>
      <c r="H45" s="1096"/>
      <c r="I45" s="1096"/>
      <c r="J45" s="1096"/>
      <c r="K45" s="1096"/>
      <c r="L45" s="1097"/>
      <c r="M45" s="1098"/>
      <c r="N45" s="1096"/>
      <c r="O45" s="1096"/>
      <c r="P45" s="1099"/>
      <c r="Q45" s="1099"/>
      <c r="R45" s="1099"/>
      <c r="S45" s="1099"/>
      <c r="T45" s="1100"/>
    </row>
    <row r="46" spans="1:20">
      <c r="A46" s="1051">
        <v>41</v>
      </c>
      <c r="B46" s="957" t="s">
        <v>375</v>
      </c>
      <c r="C46" s="1096"/>
      <c r="D46" s="1096"/>
      <c r="E46" s="1096"/>
      <c r="F46" s="1096"/>
      <c r="G46" s="1097"/>
      <c r="H46" s="1096"/>
      <c r="I46" s="1096"/>
      <c r="J46" s="1096"/>
      <c r="K46" s="1096"/>
      <c r="L46" s="1097"/>
      <c r="M46" s="1098"/>
      <c r="N46" s="1096"/>
      <c r="O46" s="1096"/>
      <c r="P46" s="1099"/>
      <c r="Q46" s="1099"/>
      <c r="R46" s="1099"/>
      <c r="S46" s="1099"/>
      <c r="T46" s="1100"/>
    </row>
    <row r="47" spans="1:20">
      <c r="A47" s="1094">
        <v>42</v>
      </c>
      <c r="B47" s="957" t="s">
        <v>376</v>
      </c>
      <c r="C47" s="1096"/>
      <c r="D47" s="1096"/>
      <c r="E47" s="1096"/>
      <c r="F47" s="1096"/>
      <c r="G47" s="1097"/>
      <c r="H47" s="1096"/>
      <c r="I47" s="1096"/>
      <c r="J47" s="1096"/>
      <c r="K47" s="1096"/>
      <c r="L47" s="1097"/>
      <c r="M47" s="1098"/>
      <c r="N47" s="1096"/>
      <c r="O47" s="1096"/>
      <c r="P47" s="1099"/>
      <c r="Q47" s="1099"/>
      <c r="R47" s="1099"/>
      <c r="S47" s="1099"/>
      <c r="T47" s="1100"/>
    </row>
    <row r="48" spans="1:20">
      <c r="A48" s="1094">
        <v>43</v>
      </c>
      <c r="B48" s="957" t="s">
        <v>263</v>
      </c>
      <c r="C48" s="1096"/>
      <c r="D48" s="1096"/>
      <c r="E48" s="1096"/>
      <c r="F48" s="1096"/>
      <c r="G48" s="1097"/>
      <c r="H48" s="1096"/>
      <c r="I48" s="1096"/>
      <c r="J48" s="1096"/>
      <c r="K48" s="1096"/>
      <c r="L48" s="1097"/>
      <c r="M48" s="1098"/>
      <c r="N48" s="1096"/>
      <c r="O48" s="1096"/>
      <c r="P48" s="1099"/>
      <c r="Q48" s="1099"/>
      <c r="R48" s="1099"/>
      <c r="S48" s="1099"/>
      <c r="T48" s="1100"/>
    </row>
    <row r="49" spans="1:20">
      <c r="A49" s="1094">
        <v>44</v>
      </c>
      <c r="B49" s="957" t="s">
        <v>264</v>
      </c>
      <c r="C49" s="1096"/>
      <c r="D49" s="1096"/>
      <c r="E49" s="1096"/>
      <c r="F49" s="1096"/>
      <c r="G49" s="1097"/>
      <c r="H49" s="1096"/>
      <c r="I49" s="1096"/>
      <c r="J49" s="1096"/>
      <c r="K49" s="1096"/>
      <c r="L49" s="1097"/>
      <c r="M49" s="1098"/>
      <c r="N49" s="1096"/>
      <c r="O49" s="1096"/>
      <c r="P49" s="1099"/>
      <c r="Q49" s="1099"/>
      <c r="R49" s="1099"/>
      <c r="S49" s="1099"/>
      <c r="T49" s="1100"/>
    </row>
    <row r="50" spans="1:20">
      <c r="A50" s="946">
        <v>45</v>
      </c>
      <c r="B50" s="1107" t="s">
        <v>358</v>
      </c>
      <c r="C50" s="1108"/>
      <c r="D50" s="1108"/>
      <c r="E50" s="1108"/>
      <c r="F50" s="1108"/>
      <c r="G50" s="1097"/>
      <c r="H50" s="1108"/>
      <c r="I50" s="1108"/>
      <c r="J50" s="1108"/>
      <c r="K50" s="1108"/>
      <c r="L50" s="1097"/>
      <c r="M50" s="1109"/>
      <c r="N50" s="1108"/>
      <c r="O50" s="1108"/>
      <c r="P50" s="1099"/>
      <c r="Q50" s="1099"/>
      <c r="R50" s="1099"/>
      <c r="S50" s="1099"/>
      <c r="T50" s="1100"/>
    </row>
    <row r="51" spans="1:20">
      <c r="A51" s="1075" t="s">
        <v>459</v>
      </c>
      <c r="B51" s="1110"/>
      <c r="C51" s="1074"/>
      <c r="D51" s="1074"/>
      <c r="E51" s="1074"/>
      <c r="F51" s="1074"/>
      <c r="G51" s="993"/>
      <c r="H51" s="1074"/>
      <c r="I51" s="1074"/>
      <c r="J51" s="1074"/>
      <c r="K51" s="1074"/>
      <c r="L51" s="993"/>
      <c r="M51" s="1074"/>
      <c r="N51" s="1074"/>
      <c r="O51" s="1074"/>
    </row>
    <row r="52" spans="1:20">
      <c r="A52" s="1075">
        <v>1</v>
      </c>
      <c r="B52" s="1073" t="s">
        <v>359</v>
      </c>
    </row>
    <row r="53" spans="1:20">
      <c r="A53" s="1075">
        <v>2</v>
      </c>
      <c r="B53" s="1073" t="s">
        <v>1915</v>
      </c>
    </row>
    <row r="54" spans="1:20">
      <c r="A54" s="1075">
        <v>3</v>
      </c>
      <c r="B54" s="1073" t="s">
        <v>1916</v>
      </c>
    </row>
    <row r="55" spans="1:20">
      <c r="A55" s="1075">
        <v>4</v>
      </c>
      <c r="B55" s="1073" t="s">
        <v>1917</v>
      </c>
    </row>
  </sheetData>
  <mergeCells count="5">
    <mergeCell ref="T3:T4"/>
    <mergeCell ref="R3:R4"/>
    <mergeCell ref="B3:B5"/>
    <mergeCell ref="M3:Q3"/>
    <mergeCell ref="S3:S4"/>
  </mergeCells>
  <phoneticPr fontId="9" type="noConversion"/>
  <dataValidations count="2">
    <dataValidation type="decimal" allowBlank="1" showInputMessage="1" showErrorMessage="1" errorTitle="錯誤" error="輸入資料格式錯誤!!" sqref="G6:G50 L6:M50" xr:uid="{00000000-0002-0000-2600-000000000000}">
      <formula1>-99999999999999900000</formula1>
      <formula2>99999999999999900000</formula2>
    </dataValidation>
    <dataValidation type="whole" allowBlank="1" showErrorMessage="1" errorTitle="錯誤" error="輸入資料格式錯誤!!" sqref="C6:F50 H6:K50 N6:S50" xr:uid="{00000000-0002-0000-2600-000001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56" fitToHeight="2" orientation="landscape" r:id="rId1"/>
  <headerFooter alignWithMargins="0">
    <oddFooter>&amp;C&amp;P/&amp;N&amp;R&amp;A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87"/>
  <sheetViews>
    <sheetView view="pageBreakPreview" zoomScaleNormal="100" zoomScaleSheetLayoutView="100" workbookViewId="0"/>
  </sheetViews>
  <sheetFormatPr defaultColWidth="15.625" defaultRowHeight="15.75"/>
  <cols>
    <col min="1" max="2" width="5.625" style="1201" customWidth="1"/>
    <col min="3" max="3" width="50.625" style="1201" customWidth="1"/>
    <col min="4" max="16384" width="15.625" style="1201"/>
  </cols>
  <sheetData>
    <row r="1" spans="1:13" ht="16.5">
      <c r="A1" s="1199" t="str">
        <f>+封面!A3&amp;" "&amp;封面!A2</f>
        <v xml:space="preserve">        保險股份有限公司(○○分公司) 年度(月、季、半年)報表</v>
      </c>
      <c r="B1" s="1200"/>
      <c r="C1" s="1200"/>
    </row>
    <row r="2" spans="1:13" ht="16.5" customHeight="1">
      <c r="A2" s="1202" t="s">
        <v>3861</v>
      </c>
      <c r="B2" s="1203"/>
      <c r="C2" s="1203"/>
      <c r="J2" s="1204"/>
      <c r="L2" s="1205"/>
      <c r="M2" s="1206" t="s">
        <v>3862</v>
      </c>
    </row>
    <row r="3" spans="1:13" ht="16.5">
      <c r="A3" s="3184" t="s">
        <v>3863</v>
      </c>
      <c r="B3" s="3184" t="s">
        <v>3864</v>
      </c>
      <c r="C3" s="3184"/>
      <c r="D3" s="3184" t="s">
        <v>3865</v>
      </c>
      <c r="E3" s="3184"/>
      <c r="F3" s="3184"/>
      <c r="G3" s="3184"/>
      <c r="H3" s="3184" t="s">
        <v>3866</v>
      </c>
      <c r="I3" s="3184"/>
      <c r="J3" s="3184"/>
      <c r="K3" s="3184" t="s">
        <v>3867</v>
      </c>
      <c r="L3" s="3184"/>
      <c r="M3" s="1883" t="s">
        <v>3865</v>
      </c>
    </row>
    <row r="4" spans="1:13" ht="33">
      <c r="A4" s="3184"/>
      <c r="B4" s="3184"/>
      <c r="C4" s="3184"/>
      <c r="D4" s="1883" t="s">
        <v>3868</v>
      </c>
      <c r="E4" s="1883" t="s">
        <v>3869</v>
      </c>
      <c r="F4" s="1883" t="s">
        <v>3870</v>
      </c>
      <c r="G4" s="1883" t="s">
        <v>3871</v>
      </c>
      <c r="H4" s="1883" t="s">
        <v>3868</v>
      </c>
      <c r="I4" s="1883" t="s">
        <v>3869</v>
      </c>
      <c r="J4" s="1883" t="s">
        <v>3871</v>
      </c>
      <c r="K4" s="1883" t="s">
        <v>3872</v>
      </c>
      <c r="L4" s="1883" t="s">
        <v>308</v>
      </c>
      <c r="M4" s="1883" t="s">
        <v>3873</v>
      </c>
    </row>
    <row r="5" spans="1:13" ht="16.5" customHeight="1">
      <c r="A5" s="3184"/>
      <c r="B5" s="3185" t="s">
        <v>309</v>
      </c>
      <c r="C5" s="3186"/>
      <c r="D5" s="1883" t="s">
        <v>310</v>
      </c>
      <c r="E5" s="1207" t="s">
        <v>311</v>
      </c>
      <c r="F5" s="1207" t="s">
        <v>312</v>
      </c>
      <c r="G5" s="1207" t="s">
        <v>313</v>
      </c>
      <c r="H5" s="1207" t="s">
        <v>314</v>
      </c>
      <c r="I5" s="1207" t="s">
        <v>315</v>
      </c>
      <c r="J5" s="1207" t="s">
        <v>176</v>
      </c>
      <c r="K5" s="1207" t="s">
        <v>177</v>
      </c>
      <c r="L5" s="1207" t="s">
        <v>178</v>
      </c>
      <c r="M5" s="1208" t="s">
        <v>482</v>
      </c>
    </row>
    <row r="6" spans="1:13" ht="16.5">
      <c r="A6" s="1885">
        <v>1</v>
      </c>
      <c r="B6" s="3191" t="s">
        <v>3874</v>
      </c>
      <c r="C6" s="1209" t="s">
        <v>3875</v>
      </c>
      <c r="D6" s="1210"/>
      <c r="E6" s="1211"/>
      <c r="F6" s="1210"/>
      <c r="G6" s="1210"/>
      <c r="H6" s="1210"/>
      <c r="I6" s="1211"/>
      <c r="J6" s="1210"/>
      <c r="K6" s="1210"/>
      <c r="L6" s="1211"/>
      <c r="M6" s="1212"/>
    </row>
    <row r="7" spans="1:13" ht="16.5">
      <c r="A7" s="1885">
        <f t="shared" ref="A7:A70" si="0">A6+1</f>
        <v>2</v>
      </c>
      <c r="B7" s="3191"/>
      <c r="C7" s="1209" t="s">
        <v>3876</v>
      </c>
      <c r="D7" s="1210"/>
      <c r="E7" s="1211"/>
      <c r="F7" s="1210"/>
      <c r="G7" s="1210"/>
      <c r="H7" s="1210"/>
      <c r="I7" s="1211"/>
      <c r="J7" s="1210"/>
      <c r="K7" s="1210"/>
      <c r="L7" s="1211"/>
      <c r="M7" s="1212"/>
    </row>
    <row r="8" spans="1:13" ht="16.5">
      <c r="A8" s="1885">
        <f t="shared" si="0"/>
        <v>3</v>
      </c>
      <c r="B8" s="3191"/>
      <c r="C8" s="1884" t="s">
        <v>3877</v>
      </c>
      <c r="D8" s="1210"/>
      <c r="E8" s="1211"/>
      <c r="F8" s="1210"/>
      <c r="G8" s="1210"/>
      <c r="H8" s="1210"/>
      <c r="I8" s="1211"/>
      <c r="J8" s="1210"/>
      <c r="K8" s="1210"/>
      <c r="L8" s="1211"/>
      <c r="M8" s="1212"/>
    </row>
    <row r="9" spans="1:13" ht="16.5">
      <c r="A9" s="1885">
        <f t="shared" si="0"/>
        <v>4</v>
      </c>
      <c r="B9" s="3191"/>
      <c r="C9" s="1213" t="s">
        <v>3878</v>
      </c>
      <c r="D9" s="1210"/>
      <c r="E9" s="1211"/>
      <c r="F9" s="1210"/>
      <c r="G9" s="1210"/>
      <c r="H9" s="1210"/>
      <c r="I9" s="1211"/>
      <c r="J9" s="1210"/>
      <c r="K9" s="1210"/>
      <c r="L9" s="1211"/>
      <c r="M9" s="1212"/>
    </row>
    <row r="10" spans="1:13" ht="16.5">
      <c r="A10" s="1885">
        <f t="shared" si="0"/>
        <v>5</v>
      </c>
      <c r="B10" s="3191"/>
      <c r="C10" s="1213" t="s">
        <v>3879</v>
      </c>
      <c r="D10" s="1210"/>
      <c r="E10" s="1211"/>
      <c r="F10" s="1210"/>
      <c r="G10" s="1210"/>
      <c r="H10" s="1210"/>
      <c r="I10" s="1211"/>
      <c r="J10" s="1210"/>
      <c r="K10" s="1210"/>
      <c r="L10" s="1211"/>
      <c r="M10" s="1212"/>
    </row>
    <row r="11" spans="1:13" ht="16.5">
      <c r="A11" s="1885">
        <f t="shared" si="0"/>
        <v>6</v>
      </c>
      <c r="B11" s="3191"/>
      <c r="C11" s="1884" t="s">
        <v>3880</v>
      </c>
      <c r="D11" s="1210"/>
      <c r="E11" s="1211"/>
      <c r="F11" s="1210"/>
      <c r="G11" s="1210"/>
      <c r="H11" s="1210"/>
      <c r="I11" s="1211"/>
      <c r="J11" s="1210"/>
      <c r="K11" s="1210"/>
      <c r="L11" s="1211"/>
      <c r="M11" s="1212"/>
    </row>
    <row r="12" spans="1:13" ht="33">
      <c r="A12" s="1885">
        <f t="shared" si="0"/>
        <v>7</v>
      </c>
      <c r="B12" s="3191" t="s">
        <v>3881</v>
      </c>
      <c r="C12" s="1884" t="s">
        <v>3882</v>
      </c>
      <c r="D12" s="1210"/>
      <c r="E12" s="1211"/>
      <c r="F12" s="1210"/>
      <c r="G12" s="1210"/>
      <c r="H12" s="1210"/>
      <c r="I12" s="1211"/>
      <c r="J12" s="1210"/>
      <c r="K12" s="1210"/>
      <c r="L12" s="1211"/>
      <c r="M12" s="1212"/>
    </row>
    <row r="13" spans="1:13" ht="33">
      <c r="A13" s="1885">
        <f t="shared" si="0"/>
        <v>8</v>
      </c>
      <c r="B13" s="3191"/>
      <c r="C13" s="1884" t="s">
        <v>3883</v>
      </c>
      <c r="D13" s="1210"/>
      <c r="E13" s="1211"/>
      <c r="F13" s="1210"/>
      <c r="G13" s="1210"/>
      <c r="H13" s="1210"/>
      <c r="I13" s="1211"/>
      <c r="J13" s="1210"/>
      <c r="K13" s="1210"/>
      <c r="L13" s="1211"/>
      <c r="M13" s="1212"/>
    </row>
    <row r="14" spans="1:13" ht="16.5">
      <c r="A14" s="1885">
        <f t="shared" si="0"/>
        <v>9</v>
      </c>
      <c r="B14" s="3191"/>
      <c r="C14" s="1213" t="s">
        <v>3884</v>
      </c>
      <c r="D14" s="1210"/>
      <c r="E14" s="1211"/>
      <c r="F14" s="1210"/>
      <c r="G14" s="1210"/>
      <c r="H14" s="1210"/>
      <c r="I14" s="1211"/>
      <c r="J14" s="1210"/>
      <c r="K14" s="1210"/>
      <c r="L14" s="1211"/>
      <c r="M14" s="1212"/>
    </row>
    <row r="15" spans="1:13" ht="16.5">
      <c r="A15" s="1885">
        <f t="shared" si="0"/>
        <v>10</v>
      </c>
      <c r="B15" s="3191"/>
      <c r="C15" s="1214" t="s">
        <v>3885</v>
      </c>
      <c r="D15" s="1210"/>
      <c r="E15" s="1211"/>
      <c r="F15" s="1210"/>
      <c r="G15" s="1210"/>
      <c r="H15" s="1210"/>
      <c r="I15" s="1211"/>
      <c r="J15" s="1210"/>
      <c r="K15" s="1210"/>
      <c r="L15" s="1211"/>
      <c r="M15" s="1212"/>
    </row>
    <row r="16" spans="1:13" ht="16.5">
      <c r="A16" s="1885">
        <f t="shared" si="0"/>
        <v>11</v>
      </c>
      <c r="B16" s="3191"/>
      <c r="C16" s="1214" t="s">
        <v>3886</v>
      </c>
      <c r="D16" s="1210"/>
      <c r="E16" s="1211"/>
      <c r="F16" s="1210"/>
      <c r="G16" s="1210"/>
      <c r="H16" s="1210"/>
      <c r="I16" s="1211"/>
      <c r="J16" s="1210"/>
      <c r="K16" s="1210"/>
      <c r="L16" s="1211"/>
      <c r="M16" s="1212"/>
    </row>
    <row r="17" spans="1:13" ht="16.5">
      <c r="A17" s="1885">
        <f t="shared" si="0"/>
        <v>12</v>
      </c>
      <c r="B17" s="3191"/>
      <c r="C17" s="1214" t="s">
        <v>3887</v>
      </c>
      <c r="D17" s="1210"/>
      <c r="E17" s="1211"/>
      <c r="F17" s="1210"/>
      <c r="G17" s="1210"/>
      <c r="H17" s="1210"/>
      <c r="I17" s="1211"/>
      <c r="J17" s="1210"/>
      <c r="K17" s="1210"/>
      <c r="L17" s="1211"/>
      <c r="M17" s="1212"/>
    </row>
    <row r="18" spans="1:13" ht="16.5">
      <c r="A18" s="1885">
        <f t="shared" si="0"/>
        <v>13</v>
      </c>
      <c r="B18" s="3191"/>
      <c r="C18" s="1214" t="s">
        <v>3888</v>
      </c>
      <c r="D18" s="1210"/>
      <c r="E18" s="1211"/>
      <c r="F18" s="1210"/>
      <c r="G18" s="1210"/>
      <c r="H18" s="1210"/>
      <c r="I18" s="1211"/>
      <c r="J18" s="1210"/>
      <c r="K18" s="1210"/>
      <c r="L18" s="1211"/>
      <c r="M18" s="1212"/>
    </row>
    <row r="19" spans="1:13" ht="16.5">
      <c r="A19" s="1885">
        <f t="shared" si="0"/>
        <v>14</v>
      </c>
      <c r="B19" s="3191"/>
      <c r="C19" s="1214" t="s">
        <v>3889</v>
      </c>
      <c r="D19" s="1210"/>
      <c r="E19" s="1211"/>
      <c r="F19" s="1210"/>
      <c r="G19" s="1210"/>
      <c r="H19" s="1210"/>
      <c r="I19" s="1211"/>
      <c r="J19" s="1210"/>
      <c r="K19" s="1210"/>
      <c r="L19" s="1211"/>
      <c r="M19" s="1212"/>
    </row>
    <row r="20" spans="1:13" ht="16.5">
      <c r="A20" s="1885">
        <f t="shared" si="0"/>
        <v>15</v>
      </c>
      <c r="B20" s="3191"/>
      <c r="C20" s="1214" t="s">
        <v>3890</v>
      </c>
      <c r="D20" s="1210"/>
      <c r="E20" s="1211"/>
      <c r="F20" s="1210"/>
      <c r="G20" s="1210"/>
      <c r="H20" s="1210"/>
      <c r="I20" s="1211"/>
      <c r="J20" s="1210"/>
      <c r="K20" s="1210"/>
      <c r="L20" s="1211"/>
      <c r="M20" s="1212"/>
    </row>
    <row r="21" spans="1:13" ht="16.5">
      <c r="A21" s="1885">
        <f t="shared" si="0"/>
        <v>16</v>
      </c>
      <c r="B21" s="3191"/>
      <c r="C21" s="1214" t="s">
        <v>3891</v>
      </c>
      <c r="D21" s="1210"/>
      <c r="E21" s="1211"/>
      <c r="F21" s="1210"/>
      <c r="G21" s="1210"/>
      <c r="H21" s="1210"/>
      <c r="I21" s="1211"/>
      <c r="J21" s="1210"/>
      <c r="K21" s="1210"/>
      <c r="L21" s="1211"/>
      <c r="M21" s="1212"/>
    </row>
    <row r="22" spans="1:13" ht="16.5">
      <c r="A22" s="1885">
        <f t="shared" si="0"/>
        <v>17</v>
      </c>
      <c r="B22" s="3191"/>
      <c r="C22" s="1214" t="s">
        <v>3892</v>
      </c>
      <c r="D22" s="1210"/>
      <c r="E22" s="1211"/>
      <c r="F22" s="1210"/>
      <c r="G22" s="1210"/>
      <c r="H22" s="1210"/>
      <c r="I22" s="1211"/>
      <c r="J22" s="1210"/>
      <c r="K22" s="1210"/>
      <c r="L22" s="1211"/>
      <c r="M22" s="1215"/>
    </row>
    <row r="23" spans="1:13" ht="16.5">
      <c r="A23" s="1885">
        <f t="shared" si="0"/>
        <v>18</v>
      </c>
      <c r="B23" s="3191"/>
      <c r="C23" s="1214" t="s">
        <v>3893</v>
      </c>
      <c r="D23" s="1210"/>
      <c r="E23" s="1211"/>
      <c r="F23" s="1210"/>
      <c r="G23" s="1210"/>
      <c r="H23" s="1210"/>
      <c r="I23" s="1211"/>
      <c r="J23" s="1210"/>
      <c r="K23" s="1210"/>
      <c r="L23" s="1211"/>
      <c r="M23" s="1212"/>
    </row>
    <row r="24" spans="1:13" ht="16.5">
      <c r="A24" s="1885">
        <f t="shared" si="0"/>
        <v>19</v>
      </c>
      <c r="B24" s="3191"/>
      <c r="C24" s="1214" t="s">
        <v>3894</v>
      </c>
      <c r="D24" s="1210"/>
      <c r="E24" s="1211"/>
      <c r="F24" s="1210"/>
      <c r="G24" s="1210"/>
      <c r="H24" s="1210"/>
      <c r="I24" s="1211"/>
      <c r="J24" s="1210"/>
      <c r="K24" s="1210"/>
      <c r="L24" s="1211"/>
      <c r="M24" s="1212"/>
    </row>
    <row r="25" spans="1:13" ht="16.5">
      <c r="A25" s="1885">
        <f t="shared" si="0"/>
        <v>20</v>
      </c>
      <c r="B25" s="3191"/>
      <c r="C25" s="1214" t="s">
        <v>3895</v>
      </c>
      <c r="D25" s="1210"/>
      <c r="E25" s="1211"/>
      <c r="F25" s="1210"/>
      <c r="G25" s="1210"/>
      <c r="H25" s="1210"/>
      <c r="I25" s="1211"/>
      <c r="J25" s="1210"/>
      <c r="K25" s="1210"/>
      <c r="L25" s="1211"/>
      <c r="M25" s="1212"/>
    </row>
    <row r="26" spans="1:13" ht="16.5">
      <c r="A26" s="1885">
        <f t="shared" si="0"/>
        <v>21</v>
      </c>
      <c r="B26" s="3191"/>
      <c r="C26" s="1214" t="s">
        <v>3896</v>
      </c>
      <c r="D26" s="1210"/>
      <c r="E26" s="1211"/>
      <c r="F26" s="1210"/>
      <c r="G26" s="1210"/>
      <c r="H26" s="1210"/>
      <c r="I26" s="1211"/>
      <c r="J26" s="1210"/>
      <c r="K26" s="1210"/>
      <c r="L26" s="1211"/>
      <c r="M26" s="1212"/>
    </row>
    <row r="27" spans="1:13" ht="16.5">
      <c r="A27" s="1885">
        <f t="shared" si="0"/>
        <v>22</v>
      </c>
      <c r="B27" s="3191"/>
      <c r="C27" s="1213" t="s">
        <v>3897</v>
      </c>
      <c r="D27" s="1210"/>
      <c r="E27" s="1211"/>
      <c r="F27" s="1210"/>
      <c r="G27" s="1210"/>
      <c r="H27" s="1210"/>
      <c r="I27" s="1211"/>
      <c r="J27" s="1210"/>
      <c r="K27" s="1210"/>
      <c r="L27" s="1211"/>
      <c r="M27" s="1212"/>
    </row>
    <row r="28" spans="1:13" ht="16.5">
      <c r="A28" s="1885">
        <f t="shared" si="0"/>
        <v>23</v>
      </c>
      <c r="B28" s="3191"/>
      <c r="C28" s="1214" t="s">
        <v>3898</v>
      </c>
      <c r="D28" s="1210"/>
      <c r="E28" s="1211"/>
      <c r="F28" s="1210"/>
      <c r="G28" s="1210"/>
      <c r="H28" s="1210"/>
      <c r="I28" s="1211"/>
      <c r="J28" s="1210"/>
      <c r="K28" s="1210"/>
      <c r="L28" s="1211"/>
      <c r="M28" s="1212"/>
    </row>
    <row r="29" spans="1:13" ht="16.5">
      <c r="A29" s="1885">
        <f t="shared" si="0"/>
        <v>24</v>
      </c>
      <c r="B29" s="3191"/>
      <c r="C29" s="1216" t="s">
        <v>3899</v>
      </c>
      <c r="D29" s="1210"/>
      <c r="E29" s="1211"/>
      <c r="F29" s="1210"/>
      <c r="G29" s="1210"/>
      <c r="H29" s="1210"/>
      <c r="I29" s="1211"/>
      <c r="J29" s="1210"/>
      <c r="K29" s="1210"/>
      <c r="L29" s="1211"/>
      <c r="M29" s="1215"/>
    </row>
    <row r="30" spans="1:13" ht="16.5">
      <c r="A30" s="1885">
        <f t="shared" si="0"/>
        <v>25</v>
      </c>
      <c r="B30" s="3191"/>
      <c r="C30" s="1216" t="s">
        <v>3900</v>
      </c>
      <c r="D30" s="1210"/>
      <c r="E30" s="1211"/>
      <c r="F30" s="1210"/>
      <c r="G30" s="1210"/>
      <c r="H30" s="1210"/>
      <c r="I30" s="1211"/>
      <c r="J30" s="1210"/>
      <c r="K30" s="1210"/>
      <c r="L30" s="1211"/>
      <c r="M30" s="1212"/>
    </row>
    <row r="31" spans="1:13" ht="16.5">
      <c r="A31" s="1885">
        <f t="shared" si="0"/>
        <v>26</v>
      </c>
      <c r="B31" s="3191"/>
      <c r="C31" s="1216" t="s">
        <v>3901</v>
      </c>
      <c r="D31" s="1210"/>
      <c r="E31" s="1211"/>
      <c r="F31" s="1210"/>
      <c r="G31" s="1210"/>
      <c r="H31" s="1210"/>
      <c r="I31" s="1211"/>
      <c r="J31" s="1210"/>
      <c r="K31" s="1210"/>
      <c r="L31" s="1211"/>
      <c r="M31" s="1212"/>
    </row>
    <row r="32" spans="1:13">
      <c r="A32" s="1885">
        <f t="shared" si="0"/>
        <v>27</v>
      </c>
      <c r="B32" s="3191"/>
      <c r="C32" s="1216" t="s">
        <v>725</v>
      </c>
      <c r="D32" s="1210"/>
      <c r="E32" s="1211"/>
      <c r="F32" s="1210"/>
      <c r="G32" s="1210"/>
      <c r="H32" s="1210"/>
      <c r="I32" s="1211"/>
      <c r="J32" s="1210"/>
      <c r="K32" s="1210"/>
      <c r="L32" s="1211"/>
      <c r="M32" s="1212"/>
    </row>
    <row r="33" spans="1:13" ht="16.5">
      <c r="A33" s="1885">
        <f t="shared" si="0"/>
        <v>28</v>
      </c>
      <c r="B33" s="3191"/>
      <c r="C33" s="1216" t="s">
        <v>3902</v>
      </c>
      <c r="D33" s="1210"/>
      <c r="E33" s="1211"/>
      <c r="F33" s="1210"/>
      <c r="G33" s="1210"/>
      <c r="H33" s="1210"/>
      <c r="I33" s="1211"/>
      <c r="J33" s="1210"/>
      <c r="K33" s="1210"/>
      <c r="L33" s="1211"/>
      <c r="M33" s="1212"/>
    </row>
    <row r="34" spans="1:13" ht="16.5">
      <c r="A34" s="1885">
        <f t="shared" si="0"/>
        <v>29</v>
      </c>
      <c r="B34" s="3191"/>
      <c r="C34" s="1214" t="s">
        <v>3903</v>
      </c>
      <c r="D34" s="1210"/>
      <c r="E34" s="1211"/>
      <c r="F34" s="1210"/>
      <c r="G34" s="1210"/>
      <c r="H34" s="1210"/>
      <c r="I34" s="1211"/>
      <c r="J34" s="1210"/>
      <c r="K34" s="1210"/>
      <c r="L34" s="1211"/>
      <c r="M34" s="1212"/>
    </row>
    <row r="35" spans="1:13" ht="16.5">
      <c r="A35" s="1885">
        <f t="shared" si="0"/>
        <v>30</v>
      </c>
      <c r="B35" s="3191"/>
      <c r="C35" s="1216" t="s">
        <v>3899</v>
      </c>
      <c r="D35" s="1210"/>
      <c r="E35" s="1211"/>
      <c r="F35" s="1210"/>
      <c r="G35" s="1210"/>
      <c r="H35" s="1210"/>
      <c r="I35" s="1211"/>
      <c r="J35" s="1210"/>
      <c r="K35" s="1210"/>
      <c r="L35" s="1211"/>
      <c r="M35" s="1215"/>
    </row>
    <row r="36" spans="1:13" ht="16.5">
      <c r="A36" s="1885">
        <f t="shared" si="0"/>
        <v>31</v>
      </c>
      <c r="B36" s="3191"/>
      <c r="C36" s="1216" t="s">
        <v>3900</v>
      </c>
      <c r="D36" s="1210"/>
      <c r="E36" s="1211"/>
      <c r="F36" s="1210"/>
      <c r="G36" s="1210"/>
      <c r="H36" s="1210"/>
      <c r="I36" s="1211"/>
      <c r="J36" s="1210"/>
      <c r="K36" s="1210"/>
      <c r="L36" s="1211"/>
      <c r="M36" s="1212"/>
    </row>
    <row r="37" spans="1:13" ht="16.5">
      <c r="A37" s="1885">
        <f t="shared" si="0"/>
        <v>32</v>
      </c>
      <c r="B37" s="3191"/>
      <c r="C37" s="1216" t="s">
        <v>3901</v>
      </c>
      <c r="D37" s="1210"/>
      <c r="E37" s="1211"/>
      <c r="F37" s="1210"/>
      <c r="G37" s="1210"/>
      <c r="H37" s="1210"/>
      <c r="I37" s="1211"/>
      <c r="J37" s="1210"/>
      <c r="K37" s="1210"/>
      <c r="L37" s="1211"/>
      <c r="M37" s="1212"/>
    </row>
    <row r="38" spans="1:13">
      <c r="A38" s="1885">
        <f t="shared" si="0"/>
        <v>33</v>
      </c>
      <c r="B38" s="3191"/>
      <c r="C38" s="1216" t="s">
        <v>725</v>
      </c>
      <c r="D38" s="1210"/>
      <c r="E38" s="1211"/>
      <c r="F38" s="1210"/>
      <c r="G38" s="1210"/>
      <c r="H38" s="1210"/>
      <c r="I38" s="1211"/>
      <c r="J38" s="1210"/>
      <c r="K38" s="1210"/>
      <c r="L38" s="1211"/>
      <c r="M38" s="1212"/>
    </row>
    <row r="39" spans="1:13" ht="16.5">
      <c r="A39" s="1885">
        <f t="shared" si="0"/>
        <v>34</v>
      </c>
      <c r="B39" s="3191"/>
      <c r="C39" s="1216" t="s">
        <v>3902</v>
      </c>
      <c r="D39" s="1210"/>
      <c r="E39" s="1211"/>
      <c r="F39" s="1210"/>
      <c r="G39" s="1210"/>
      <c r="H39" s="1210"/>
      <c r="I39" s="1211"/>
      <c r="J39" s="1210"/>
      <c r="K39" s="1210"/>
      <c r="L39" s="1211"/>
      <c r="M39" s="1212"/>
    </row>
    <row r="40" spans="1:13" ht="33">
      <c r="A40" s="1885">
        <f t="shared" si="0"/>
        <v>35</v>
      </c>
      <c r="B40" s="3191"/>
      <c r="C40" s="1884" t="s">
        <v>3904</v>
      </c>
      <c r="D40" s="1210"/>
      <c r="E40" s="1211"/>
      <c r="F40" s="1210"/>
      <c r="G40" s="1210"/>
      <c r="H40" s="1210"/>
      <c r="I40" s="1211"/>
      <c r="J40" s="1210"/>
      <c r="K40" s="1210"/>
      <c r="L40" s="1211"/>
      <c r="M40" s="1212"/>
    </row>
    <row r="41" spans="1:13" ht="16.5">
      <c r="A41" s="1885">
        <f t="shared" si="0"/>
        <v>36</v>
      </c>
      <c r="B41" s="3191"/>
      <c r="C41" s="1213" t="s">
        <v>3884</v>
      </c>
      <c r="D41" s="1210"/>
      <c r="E41" s="1211"/>
      <c r="F41" s="1210"/>
      <c r="G41" s="1210"/>
      <c r="H41" s="1210"/>
      <c r="I41" s="1211"/>
      <c r="J41" s="1210"/>
      <c r="K41" s="1210"/>
      <c r="L41" s="1211"/>
      <c r="M41" s="1212"/>
    </row>
    <row r="42" spans="1:13" ht="16.5">
      <c r="A42" s="1885">
        <f t="shared" si="0"/>
        <v>37</v>
      </c>
      <c r="B42" s="3191"/>
      <c r="C42" s="1214" t="s">
        <v>3905</v>
      </c>
      <c r="D42" s="1210"/>
      <c r="E42" s="1211"/>
      <c r="F42" s="1210"/>
      <c r="G42" s="1210"/>
      <c r="H42" s="1210"/>
      <c r="I42" s="1211"/>
      <c r="J42" s="1210"/>
      <c r="K42" s="1210"/>
      <c r="L42" s="1211"/>
      <c r="M42" s="1212"/>
    </row>
    <row r="43" spans="1:13" ht="16.5">
      <c r="A43" s="1885">
        <f t="shared" si="0"/>
        <v>38</v>
      </c>
      <c r="B43" s="3191"/>
      <c r="C43" s="1216" t="s">
        <v>3906</v>
      </c>
      <c r="D43" s="1210"/>
      <c r="E43" s="1211"/>
      <c r="F43" s="1210"/>
      <c r="G43" s="1210"/>
      <c r="H43" s="1210"/>
      <c r="I43" s="1211"/>
      <c r="J43" s="1210"/>
      <c r="K43" s="1210"/>
      <c r="L43" s="1211"/>
      <c r="M43" s="1212"/>
    </row>
    <row r="44" spans="1:13" ht="16.5">
      <c r="A44" s="1885">
        <f t="shared" si="0"/>
        <v>39</v>
      </c>
      <c r="B44" s="3191"/>
      <c r="C44" s="1216" t="s">
        <v>3907</v>
      </c>
      <c r="D44" s="1210"/>
      <c r="E44" s="1211"/>
      <c r="F44" s="1210"/>
      <c r="G44" s="1210"/>
      <c r="H44" s="1210"/>
      <c r="I44" s="1211"/>
      <c r="J44" s="1210"/>
      <c r="K44" s="1210"/>
      <c r="L44" s="1211"/>
      <c r="M44" s="1212"/>
    </row>
    <row r="45" spans="1:13" ht="16.5">
      <c r="A45" s="1885">
        <f t="shared" si="0"/>
        <v>40</v>
      </c>
      <c r="B45" s="3191"/>
      <c r="C45" s="1217" t="s">
        <v>3908</v>
      </c>
      <c r="D45" s="1210"/>
      <c r="E45" s="1211"/>
      <c r="F45" s="1210"/>
      <c r="G45" s="1210"/>
      <c r="H45" s="1210"/>
      <c r="I45" s="1211"/>
      <c r="J45" s="1210"/>
      <c r="K45" s="1210"/>
      <c r="L45" s="1211"/>
      <c r="M45" s="1212"/>
    </row>
    <row r="46" spans="1:13" ht="16.5">
      <c r="A46" s="1885">
        <f t="shared" si="0"/>
        <v>41</v>
      </c>
      <c r="B46" s="3191"/>
      <c r="C46" s="1217" t="s">
        <v>3909</v>
      </c>
      <c r="D46" s="1210"/>
      <c r="E46" s="1211"/>
      <c r="F46" s="1210"/>
      <c r="G46" s="1210"/>
      <c r="H46" s="1210"/>
      <c r="I46" s="1211"/>
      <c r="J46" s="1210"/>
      <c r="K46" s="1210"/>
      <c r="L46" s="1211"/>
      <c r="M46" s="1212"/>
    </row>
    <row r="47" spans="1:13" ht="16.5">
      <c r="A47" s="1885">
        <f t="shared" si="0"/>
        <v>42</v>
      </c>
      <c r="B47" s="3191"/>
      <c r="C47" s="1214" t="s">
        <v>3910</v>
      </c>
      <c r="D47" s="1210"/>
      <c r="E47" s="1211"/>
      <c r="F47" s="1210"/>
      <c r="G47" s="1210"/>
      <c r="H47" s="1210"/>
      <c r="I47" s="1211"/>
      <c r="J47" s="1210"/>
      <c r="K47" s="1210"/>
      <c r="L47" s="1211"/>
      <c r="M47" s="1212"/>
    </row>
    <row r="48" spans="1:13" ht="16.5">
      <c r="A48" s="1885">
        <f t="shared" si="0"/>
        <v>43</v>
      </c>
      <c r="B48" s="3191"/>
      <c r="C48" s="1213" t="s">
        <v>3911</v>
      </c>
      <c r="D48" s="1210"/>
      <c r="E48" s="1211"/>
      <c r="F48" s="1210"/>
      <c r="G48" s="1210"/>
      <c r="H48" s="1210"/>
      <c r="I48" s="1211"/>
      <c r="J48" s="1210"/>
      <c r="K48" s="1210"/>
      <c r="L48" s="1211"/>
      <c r="M48" s="1212"/>
    </row>
    <row r="49" spans="1:13" ht="16.5">
      <c r="A49" s="1885">
        <f t="shared" si="0"/>
        <v>44</v>
      </c>
      <c r="B49" s="3191"/>
      <c r="C49" s="1214" t="s">
        <v>3905</v>
      </c>
      <c r="D49" s="1210"/>
      <c r="E49" s="1211"/>
      <c r="F49" s="1210"/>
      <c r="G49" s="1210"/>
      <c r="H49" s="1210"/>
      <c r="I49" s="1211"/>
      <c r="J49" s="1210"/>
      <c r="K49" s="1210"/>
      <c r="L49" s="1211"/>
      <c r="M49" s="1212"/>
    </row>
    <row r="50" spans="1:13" ht="16.5">
      <c r="A50" s="1885">
        <f t="shared" si="0"/>
        <v>45</v>
      </c>
      <c r="B50" s="3191"/>
      <c r="C50" s="1216" t="s">
        <v>3912</v>
      </c>
      <c r="D50" s="1210"/>
      <c r="E50" s="1211"/>
      <c r="F50" s="1210"/>
      <c r="G50" s="1210"/>
      <c r="H50" s="1210"/>
      <c r="I50" s="1211"/>
      <c r="J50" s="1210"/>
      <c r="K50" s="1210"/>
      <c r="L50" s="1211"/>
      <c r="M50" s="1212"/>
    </row>
    <row r="51" spans="1:13" ht="16.5">
      <c r="A51" s="1885">
        <f t="shared" si="0"/>
        <v>46</v>
      </c>
      <c r="B51" s="3191"/>
      <c r="C51" s="1216" t="s">
        <v>3913</v>
      </c>
      <c r="D51" s="1210"/>
      <c r="E51" s="1211"/>
      <c r="F51" s="1210"/>
      <c r="G51" s="1210"/>
      <c r="H51" s="1210"/>
      <c r="I51" s="1211"/>
      <c r="J51" s="1210"/>
      <c r="K51" s="1210"/>
      <c r="L51" s="1211"/>
      <c r="M51" s="1212"/>
    </row>
    <row r="52" spans="1:13" ht="16.5">
      <c r="A52" s="1885">
        <f t="shared" si="0"/>
        <v>47</v>
      </c>
      <c r="B52" s="3191"/>
      <c r="C52" s="1214" t="s">
        <v>3910</v>
      </c>
      <c r="D52" s="1210"/>
      <c r="E52" s="1211"/>
      <c r="F52" s="1210"/>
      <c r="G52" s="1210"/>
      <c r="H52" s="1210"/>
      <c r="I52" s="1211"/>
      <c r="J52" s="1210"/>
      <c r="K52" s="1210"/>
      <c r="L52" s="1211"/>
      <c r="M52" s="1212"/>
    </row>
    <row r="53" spans="1:13" ht="16.5">
      <c r="A53" s="1885">
        <f t="shared" si="0"/>
        <v>48</v>
      </c>
      <c r="B53" s="3191"/>
      <c r="C53" s="1216" t="s">
        <v>3912</v>
      </c>
      <c r="D53" s="1210"/>
      <c r="E53" s="1211"/>
      <c r="F53" s="1210"/>
      <c r="G53" s="1210"/>
      <c r="H53" s="1210"/>
      <c r="I53" s="1211"/>
      <c r="J53" s="1210"/>
      <c r="K53" s="1210"/>
      <c r="L53" s="1211"/>
      <c r="M53" s="1212"/>
    </row>
    <row r="54" spans="1:13" ht="16.5">
      <c r="A54" s="1885">
        <f t="shared" si="0"/>
        <v>49</v>
      </c>
      <c r="B54" s="3191"/>
      <c r="C54" s="1216" t="s">
        <v>3913</v>
      </c>
      <c r="D54" s="1210"/>
      <c r="E54" s="1211"/>
      <c r="F54" s="1210"/>
      <c r="G54" s="1210"/>
      <c r="H54" s="1210"/>
      <c r="I54" s="1211"/>
      <c r="J54" s="1210"/>
      <c r="K54" s="1210"/>
      <c r="L54" s="1211"/>
      <c r="M54" s="1212"/>
    </row>
    <row r="55" spans="1:13" ht="16.5">
      <c r="A55" s="1885">
        <f t="shared" si="0"/>
        <v>50</v>
      </c>
      <c r="B55" s="3191"/>
      <c r="C55" s="1209" t="s">
        <v>3914</v>
      </c>
      <c r="D55" s="1210"/>
      <c r="E55" s="1211"/>
      <c r="F55" s="1210"/>
      <c r="G55" s="1210"/>
      <c r="H55" s="1210"/>
      <c r="I55" s="1211"/>
      <c r="J55" s="1210"/>
      <c r="K55" s="1210"/>
      <c r="L55" s="1211"/>
      <c r="M55" s="1212"/>
    </row>
    <row r="56" spans="1:13" ht="16.5">
      <c r="A56" s="1885">
        <f t="shared" si="0"/>
        <v>51</v>
      </c>
      <c r="B56" s="3191"/>
      <c r="C56" s="1213" t="s">
        <v>3915</v>
      </c>
      <c r="D56" s="1210"/>
      <c r="E56" s="1211"/>
      <c r="F56" s="1210"/>
      <c r="G56" s="1210"/>
      <c r="H56" s="1210"/>
      <c r="I56" s="1211"/>
      <c r="J56" s="1210"/>
      <c r="K56" s="1210"/>
      <c r="L56" s="1211"/>
      <c r="M56" s="1212"/>
    </row>
    <row r="57" spans="1:13" ht="16.5">
      <c r="A57" s="1885">
        <f t="shared" si="0"/>
        <v>52</v>
      </c>
      <c r="B57" s="3191"/>
      <c r="C57" s="1214" t="s">
        <v>3916</v>
      </c>
      <c r="D57" s="1210"/>
      <c r="E57" s="1211"/>
      <c r="F57" s="1210"/>
      <c r="G57" s="1210"/>
      <c r="H57" s="1210"/>
      <c r="I57" s="1211"/>
      <c r="J57" s="1210"/>
      <c r="K57" s="1210"/>
      <c r="L57" s="1211"/>
      <c r="M57" s="1215"/>
    </row>
    <row r="58" spans="1:13" ht="16.5">
      <c r="A58" s="1885">
        <f t="shared" si="0"/>
        <v>53</v>
      </c>
      <c r="B58" s="3191"/>
      <c r="C58" s="1214" t="s">
        <v>3917</v>
      </c>
      <c r="D58" s="1210"/>
      <c r="E58" s="1211"/>
      <c r="F58" s="1210"/>
      <c r="G58" s="1210"/>
      <c r="H58" s="1210"/>
      <c r="I58" s="1211"/>
      <c r="J58" s="1210"/>
      <c r="K58" s="1210"/>
      <c r="L58" s="1211"/>
      <c r="M58" s="1212"/>
    </row>
    <row r="59" spans="1:13" ht="16.5">
      <c r="A59" s="1885">
        <f t="shared" si="0"/>
        <v>54</v>
      </c>
      <c r="B59" s="3191"/>
      <c r="C59" s="1214" t="s">
        <v>3918</v>
      </c>
      <c r="D59" s="1210"/>
      <c r="E59" s="1211"/>
      <c r="F59" s="1210"/>
      <c r="G59" s="1210"/>
      <c r="H59" s="1210"/>
      <c r="I59" s="1211"/>
      <c r="J59" s="1210"/>
      <c r="K59" s="1210"/>
      <c r="L59" s="1211"/>
      <c r="M59" s="1215"/>
    </row>
    <row r="60" spans="1:13" ht="16.5">
      <c r="A60" s="1885">
        <f t="shared" si="0"/>
        <v>55</v>
      </c>
      <c r="B60" s="3191"/>
      <c r="C60" s="1214" t="s">
        <v>3919</v>
      </c>
      <c r="D60" s="1210"/>
      <c r="E60" s="1211"/>
      <c r="F60" s="1210"/>
      <c r="G60" s="1210"/>
      <c r="H60" s="1210"/>
      <c r="I60" s="1211"/>
      <c r="J60" s="1210"/>
      <c r="K60" s="1210"/>
      <c r="L60" s="1211"/>
      <c r="M60" s="1212"/>
    </row>
    <row r="61" spans="1:13" ht="16.5">
      <c r="A61" s="1885">
        <f t="shared" si="0"/>
        <v>56</v>
      </c>
      <c r="B61" s="3191"/>
      <c r="C61" s="1214" t="s">
        <v>3920</v>
      </c>
      <c r="D61" s="1210"/>
      <c r="E61" s="1211"/>
      <c r="F61" s="1210"/>
      <c r="G61" s="1210"/>
      <c r="H61" s="1210"/>
      <c r="I61" s="1211"/>
      <c r="J61" s="1210"/>
      <c r="K61" s="1210"/>
      <c r="L61" s="1211"/>
      <c r="M61" s="1212"/>
    </row>
    <row r="62" spans="1:13" ht="16.5">
      <c r="A62" s="1885">
        <f t="shared" si="0"/>
        <v>57</v>
      </c>
      <c r="B62" s="3191"/>
      <c r="C62" s="1214" t="s">
        <v>3921</v>
      </c>
      <c r="D62" s="1210"/>
      <c r="E62" s="1211"/>
      <c r="F62" s="1210"/>
      <c r="G62" s="1210"/>
      <c r="H62" s="1210"/>
      <c r="I62" s="1211"/>
      <c r="J62" s="1210"/>
      <c r="K62" s="1210"/>
      <c r="L62" s="1211"/>
      <c r="M62" s="1212"/>
    </row>
    <row r="63" spans="1:13" ht="16.5">
      <c r="A63" s="1885">
        <f t="shared" si="0"/>
        <v>58</v>
      </c>
      <c r="B63" s="3191"/>
      <c r="C63" s="1214" t="s">
        <v>3922</v>
      </c>
      <c r="D63" s="1210"/>
      <c r="E63" s="1211"/>
      <c r="F63" s="1210"/>
      <c r="G63" s="1210"/>
      <c r="H63" s="1210"/>
      <c r="I63" s="1211"/>
      <c r="J63" s="1210"/>
      <c r="K63" s="1210"/>
      <c r="L63" s="1211"/>
      <c r="M63" s="1212"/>
    </row>
    <row r="64" spans="1:13" ht="16.5">
      <c r="A64" s="1885">
        <f t="shared" si="0"/>
        <v>59</v>
      </c>
      <c r="B64" s="3191"/>
      <c r="C64" s="1213" t="s">
        <v>3923</v>
      </c>
      <c r="D64" s="1210"/>
      <c r="E64" s="1211"/>
      <c r="F64" s="1210"/>
      <c r="G64" s="1210"/>
      <c r="H64" s="1210"/>
      <c r="I64" s="1211"/>
      <c r="J64" s="1210"/>
      <c r="K64" s="1210"/>
      <c r="L64" s="1211"/>
      <c r="M64" s="1212"/>
    </row>
    <row r="65" spans="1:13" ht="16.5">
      <c r="A65" s="1885">
        <f t="shared" si="0"/>
        <v>60</v>
      </c>
      <c r="B65" s="3191"/>
      <c r="C65" s="1214" t="s">
        <v>3924</v>
      </c>
      <c r="D65" s="1210"/>
      <c r="E65" s="1211"/>
      <c r="F65" s="1210"/>
      <c r="G65" s="1210"/>
      <c r="H65" s="1210"/>
      <c r="I65" s="1211"/>
      <c r="J65" s="1210"/>
      <c r="K65" s="1210"/>
      <c r="L65" s="1211"/>
      <c r="M65" s="1212"/>
    </row>
    <row r="66" spans="1:13" ht="16.5">
      <c r="A66" s="1885">
        <f t="shared" si="0"/>
        <v>61</v>
      </c>
      <c r="B66" s="3191"/>
      <c r="C66" s="1216" t="s">
        <v>3925</v>
      </c>
      <c r="D66" s="1210"/>
      <c r="E66" s="1211"/>
      <c r="F66" s="1210"/>
      <c r="G66" s="1210"/>
      <c r="H66" s="1210"/>
      <c r="I66" s="1211"/>
      <c r="J66" s="1210"/>
      <c r="K66" s="1210"/>
      <c r="L66" s="1211"/>
      <c r="M66" s="1215"/>
    </row>
    <row r="67" spans="1:13" ht="16.5">
      <c r="A67" s="1885">
        <f t="shared" si="0"/>
        <v>62</v>
      </c>
      <c r="B67" s="3191"/>
      <c r="C67" s="1216" t="s">
        <v>3926</v>
      </c>
      <c r="D67" s="1210"/>
      <c r="E67" s="1211"/>
      <c r="F67" s="1210"/>
      <c r="G67" s="1210"/>
      <c r="H67" s="1210"/>
      <c r="I67" s="1211"/>
      <c r="J67" s="1210"/>
      <c r="K67" s="1210"/>
      <c r="L67" s="1211"/>
      <c r="M67" s="1212"/>
    </row>
    <row r="68" spans="1:13" ht="16.5">
      <c r="A68" s="1885">
        <f t="shared" si="0"/>
        <v>63</v>
      </c>
      <c r="B68" s="3191"/>
      <c r="C68" s="1216" t="s">
        <v>3927</v>
      </c>
      <c r="D68" s="1210"/>
      <c r="E68" s="1211"/>
      <c r="F68" s="1210"/>
      <c r="G68" s="1210"/>
      <c r="H68" s="1210"/>
      <c r="I68" s="1211"/>
      <c r="J68" s="1210"/>
      <c r="K68" s="1210"/>
      <c r="L68" s="1211"/>
      <c r="M68" s="1215"/>
    </row>
    <row r="69" spans="1:13" ht="16.5">
      <c r="A69" s="1885">
        <f t="shared" si="0"/>
        <v>64</v>
      </c>
      <c r="B69" s="3191"/>
      <c r="C69" s="1216" t="s">
        <v>3928</v>
      </c>
      <c r="D69" s="1210"/>
      <c r="E69" s="1211"/>
      <c r="F69" s="1210"/>
      <c r="G69" s="1210"/>
      <c r="H69" s="1210"/>
      <c r="I69" s="1211"/>
      <c r="J69" s="1210"/>
      <c r="K69" s="1210"/>
      <c r="L69" s="1211"/>
      <c r="M69" s="1212"/>
    </row>
    <row r="70" spans="1:13" ht="16.5">
      <c r="A70" s="1885">
        <f t="shared" si="0"/>
        <v>65</v>
      </c>
      <c r="B70" s="3191"/>
      <c r="C70" s="1216" t="s">
        <v>3929</v>
      </c>
      <c r="D70" s="1210"/>
      <c r="E70" s="1211"/>
      <c r="F70" s="1210"/>
      <c r="G70" s="1210"/>
      <c r="H70" s="1210"/>
      <c r="I70" s="1211"/>
      <c r="J70" s="1210"/>
      <c r="K70" s="1210"/>
      <c r="L70" s="1211"/>
      <c r="M70" s="1212"/>
    </row>
    <row r="71" spans="1:13" ht="16.5">
      <c r="A71" s="1885">
        <f t="shared" ref="A71:A134" si="1">A70+1</f>
        <v>66</v>
      </c>
      <c r="B71" s="3191"/>
      <c r="C71" s="1216" t="s">
        <v>3930</v>
      </c>
      <c r="D71" s="1210"/>
      <c r="E71" s="1211"/>
      <c r="F71" s="1210"/>
      <c r="G71" s="1210"/>
      <c r="H71" s="1210"/>
      <c r="I71" s="1211"/>
      <c r="J71" s="1210"/>
      <c r="K71" s="1210"/>
      <c r="L71" s="1211"/>
      <c r="M71" s="1212"/>
    </row>
    <row r="72" spans="1:13" ht="16.5">
      <c r="A72" s="1885">
        <f t="shared" si="1"/>
        <v>67</v>
      </c>
      <c r="B72" s="3191"/>
      <c r="C72" s="1216" t="s">
        <v>3931</v>
      </c>
      <c r="D72" s="1210"/>
      <c r="E72" s="1211"/>
      <c r="F72" s="1210"/>
      <c r="G72" s="1210"/>
      <c r="H72" s="1210"/>
      <c r="I72" s="1211"/>
      <c r="J72" s="1210"/>
      <c r="K72" s="1210"/>
      <c r="L72" s="1211"/>
      <c r="M72" s="1212"/>
    </row>
    <row r="73" spans="1:13" ht="16.5">
      <c r="A73" s="1885">
        <f t="shared" si="1"/>
        <v>68</v>
      </c>
      <c r="B73" s="3191"/>
      <c r="C73" s="1214" t="s">
        <v>3932</v>
      </c>
      <c r="D73" s="1210"/>
      <c r="E73" s="1211"/>
      <c r="F73" s="1210"/>
      <c r="G73" s="1210"/>
      <c r="H73" s="1210"/>
      <c r="I73" s="1211"/>
      <c r="J73" s="1210"/>
      <c r="K73" s="1210"/>
      <c r="L73" s="1211"/>
      <c r="M73" s="1212"/>
    </row>
    <row r="74" spans="1:13" ht="16.5">
      <c r="A74" s="1885">
        <f t="shared" si="1"/>
        <v>69</v>
      </c>
      <c r="B74" s="3191"/>
      <c r="C74" s="1216" t="s">
        <v>3925</v>
      </c>
      <c r="D74" s="1210"/>
      <c r="E74" s="1211"/>
      <c r="F74" s="1210"/>
      <c r="G74" s="1210"/>
      <c r="H74" s="1210"/>
      <c r="I74" s="1211"/>
      <c r="J74" s="1210"/>
      <c r="K74" s="1210"/>
      <c r="L74" s="1211"/>
      <c r="M74" s="1215"/>
    </row>
    <row r="75" spans="1:13" ht="16.5">
      <c r="A75" s="1885">
        <f t="shared" si="1"/>
        <v>70</v>
      </c>
      <c r="B75" s="3191"/>
      <c r="C75" s="1216" t="s">
        <v>3926</v>
      </c>
      <c r="D75" s="1210"/>
      <c r="E75" s="1211"/>
      <c r="F75" s="1210"/>
      <c r="G75" s="1210"/>
      <c r="H75" s="1210"/>
      <c r="I75" s="1211"/>
      <c r="J75" s="1210"/>
      <c r="K75" s="1210"/>
      <c r="L75" s="1211"/>
      <c r="M75" s="1212"/>
    </row>
    <row r="76" spans="1:13" ht="16.5">
      <c r="A76" s="1885">
        <f t="shared" si="1"/>
        <v>71</v>
      </c>
      <c r="B76" s="3191"/>
      <c r="C76" s="1216" t="s">
        <v>3927</v>
      </c>
      <c r="D76" s="1210"/>
      <c r="E76" s="1211"/>
      <c r="F76" s="1210"/>
      <c r="G76" s="1210"/>
      <c r="H76" s="1210"/>
      <c r="I76" s="1211"/>
      <c r="J76" s="1210"/>
      <c r="K76" s="1210"/>
      <c r="L76" s="1211"/>
      <c r="M76" s="1215"/>
    </row>
    <row r="77" spans="1:13" ht="16.5">
      <c r="A77" s="1885">
        <f t="shared" si="1"/>
        <v>72</v>
      </c>
      <c r="B77" s="3191"/>
      <c r="C77" s="1216" t="s">
        <v>3928</v>
      </c>
      <c r="D77" s="1210"/>
      <c r="E77" s="1211"/>
      <c r="F77" s="1210"/>
      <c r="G77" s="1210"/>
      <c r="H77" s="1210"/>
      <c r="I77" s="1211"/>
      <c r="J77" s="1210"/>
      <c r="K77" s="1210"/>
      <c r="L77" s="1211"/>
      <c r="M77" s="1212"/>
    </row>
    <row r="78" spans="1:13" ht="16.5">
      <c r="A78" s="1885">
        <f t="shared" si="1"/>
        <v>73</v>
      </c>
      <c r="B78" s="3191"/>
      <c r="C78" s="1216" t="s">
        <v>3929</v>
      </c>
      <c r="D78" s="1210"/>
      <c r="E78" s="1211"/>
      <c r="F78" s="1210"/>
      <c r="G78" s="1210"/>
      <c r="H78" s="1210"/>
      <c r="I78" s="1211"/>
      <c r="J78" s="1210"/>
      <c r="K78" s="1210"/>
      <c r="L78" s="1211"/>
      <c r="M78" s="1212"/>
    </row>
    <row r="79" spans="1:13" ht="16.5">
      <c r="A79" s="1885">
        <f t="shared" si="1"/>
        <v>74</v>
      </c>
      <c r="B79" s="3191"/>
      <c r="C79" s="1216" t="s">
        <v>3930</v>
      </c>
      <c r="D79" s="1210"/>
      <c r="E79" s="1211"/>
      <c r="F79" s="1210"/>
      <c r="G79" s="1210"/>
      <c r="H79" s="1210"/>
      <c r="I79" s="1211"/>
      <c r="J79" s="1210"/>
      <c r="K79" s="1210"/>
      <c r="L79" s="1211"/>
      <c r="M79" s="1212"/>
    </row>
    <row r="80" spans="1:13" ht="16.5">
      <c r="A80" s="1885">
        <f t="shared" si="1"/>
        <v>75</v>
      </c>
      <c r="B80" s="3191"/>
      <c r="C80" s="1216" t="s">
        <v>3931</v>
      </c>
      <c r="D80" s="1210"/>
      <c r="E80" s="1211"/>
      <c r="F80" s="1210"/>
      <c r="G80" s="1210"/>
      <c r="H80" s="1210"/>
      <c r="I80" s="1211"/>
      <c r="J80" s="1210"/>
      <c r="K80" s="1210"/>
      <c r="L80" s="1211"/>
      <c r="M80" s="1212"/>
    </row>
    <row r="81" spans="1:13" ht="16.5">
      <c r="A81" s="1885">
        <f t="shared" si="1"/>
        <v>76</v>
      </c>
      <c r="B81" s="3191"/>
      <c r="C81" s="1884" t="s">
        <v>3933</v>
      </c>
      <c r="D81" s="1210"/>
      <c r="E81" s="1211"/>
      <c r="F81" s="1210"/>
      <c r="G81" s="1210"/>
      <c r="H81" s="1210"/>
      <c r="I81" s="1211"/>
      <c r="J81" s="1210"/>
      <c r="K81" s="1210"/>
      <c r="L81" s="1211"/>
      <c r="M81" s="1212"/>
    </row>
    <row r="82" spans="1:13" ht="16.5">
      <c r="A82" s="1885">
        <f t="shared" si="1"/>
        <v>77</v>
      </c>
      <c r="B82" s="3191" t="s">
        <v>3934</v>
      </c>
      <c r="C82" s="1884" t="s">
        <v>3935</v>
      </c>
      <c r="D82" s="1210"/>
      <c r="E82" s="1211"/>
      <c r="F82" s="1210"/>
      <c r="G82" s="1210"/>
      <c r="H82" s="1210"/>
      <c r="I82" s="1211"/>
      <c r="J82" s="1210"/>
      <c r="K82" s="1210"/>
      <c r="L82" s="1211"/>
      <c r="M82" s="1212"/>
    </row>
    <row r="83" spans="1:13" ht="16.5">
      <c r="A83" s="1885">
        <f t="shared" si="1"/>
        <v>78</v>
      </c>
      <c r="B83" s="3191"/>
      <c r="C83" s="1218" t="s">
        <v>3936</v>
      </c>
      <c r="D83" s="1210"/>
      <c r="E83" s="1211"/>
      <c r="F83" s="1210"/>
      <c r="G83" s="1210"/>
      <c r="H83" s="1210"/>
      <c r="I83" s="1211"/>
      <c r="J83" s="1210"/>
      <c r="K83" s="1210"/>
      <c r="L83" s="1211"/>
      <c r="M83" s="1212"/>
    </row>
    <row r="84" spans="1:13" ht="16.5">
      <c r="A84" s="1885">
        <f t="shared" si="1"/>
        <v>79</v>
      </c>
      <c r="B84" s="3191"/>
      <c r="C84" s="1218" t="s">
        <v>3937</v>
      </c>
      <c r="D84" s="1210"/>
      <c r="E84" s="1211"/>
      <c r="F84" s="1210"/>
      <c r="G84" s="1210"/>
      <c r="H84" s="1210"/>
      <c r="I84" s="1211"/>
      <c r="J84" s="1210"/>
      <c r="K84" s="1210"/>
      <c r="L84" s="1211"/>
      <c r="M84" s="1212"/>
    </row>
    <row r="85" spans="1:13" ht="16.5">
      <c r="A85" s="1885">
        <f t="shared" si="1"/>
        <v>80</v>
      </c>
      <c r="B85" s="3191"/>
      <c r="C85" s="1218" t="s">
        <v>3938</v>
      </c>
      <c r="D85" s="1210"/>
      <c r="E85" s="1211"/>
      <c r="F85" s="1210"/>
      <c r="G85" s="1210"/>
      <c r="H85" s="1210"/>
      <c r="I85" s="1211"/>
      <c r="J85" s="1210"/>
      <c r="K85" s="1210"/>
      <c r="L85" s="1211"/>
      <c r="M85" s="1212"/>
    </row>
    <row r="86" spans="1:13" ht="16.5">
      <c r="A86" s="1885">
        <f t="shared" si="1"/>
        <v>81</v>
      </c>
      <c r="B86" s="3191"/>
      <c r="C86" s="1218" t="s">
        <v>3939</v>
      </c>
      <c r="D86" s="1210"/>
      <c r="E86" s="1211"/>
      <c r="F86" s="1210"/>
      <c r="G86" s="1210"/>
      <c r="H86" s="1210"/>
      <c r="I86" s="1211"/>
      <c r="J86" s="1210"/>
      <c r="K86" s="1210"/>
      <c r="L86" s="1211"/>
      <c r="M86" s="1212"/>
    </row>
    <row r="87" spans="1:13" ht="16.5">
      <c r="A87" s="1885">
        <f t="shared" si="1"/>
        <v>82</v>
      </c>
      <c r="B87" s="3191"/>
      <c r="C87" s="1218" t="s">
        <v>3940</v>
      </c>
      <c r="D87" s="1210"/>
      <c r="E87" s="1211"/>
      <c r="F87" s="1210"/>
      <c r="G87" s="1210"/>
      <c r="H87" s="1210"/>
      <c r="I87" s="1211"/>
      <c r="J87" s="1210"/>
      <c r="K87" s="1210"/>
      <c r="L87" s="1211"/>
      <c r="M87" s="1212"/>
    </row>
    <row r="88" spans="1:13" ht="16.5">
      <c r="A88" s="1885">
        <f t="shared" si="1"/>
        <v>83</v>
      </c>
      <c r="B88" s="3191"/>
      <c r="C88" s="1218" t="s">
        <v>3941</v>
      </c>
      <c r="D88" s="1210"/>
      <c r="E88" s="1211"/>
      <c r="F88" s="1210"/>
      <c r="G88" s="1210"/>
      <c r="H88" s="1210"/>
      <c r="I88" s="1211"/>
      <c r="J88" s="1210"/>
      <c r="K88" s="1210"/>
      <c r="L88" s="1211"/>
      <c r="M88" s="1212"/>
    </row>
    <row r="89" spans="1:13" ht="16.5">
      <c r="A89" s="1885">
        <f t="shared" si="1"/>
        <v>84</v>
      </c>
      <c r="B89" s="3191"/>
      <c r="C89" s="1214" t="s">
        <v>3942</v>
      </c>
      <c r="D89" s="1210"/>
      <c r="E89" s="1211"/>
      <c r="F89" s="1210"/>
      <c r="G89" s="1210"/>
      <c r="H89" s="1210"/>
      <c r="I89" s="1211"/>
      <c r="J89" s="1210"/>
      <c r="K89" s="1210"/>
      <c r="L89" s="1211"/>
      <c r="M89" s="1212"/>
    </row>
    <row r="90" spans="1:13" ht="16.5">
      <c r="A90" s="1885">
        <f t="shared" si="1"/>
        <v>85</v>
      </c>
      <c r="B90" s="3191"/>
      <c r="C90" s="1214" t="s">
        <v>3943</v>
      </c>
      <c r="D90" s="1210"/>
      <c r="E90" s="1211"/>
      <c r="F90" s="1210"/>
      <c r="G90" s="1210"/>
      <c r="H90" s="1210"/>
      <c r="I90" s="1211"/>
      <c r="J90" s="1210"/>
      <c r="K90" s="1210"/>
      <c r="L90" s="1211"/>
      <c r="M90" s="1212"/>
    </row>
    <row r="91" spans="1:13" ht="16.5">
      <c r="A91" s="1885">
        <f t="shared" si="1"/>
        <v>86</v>
      </c>
      <c r="B91" s="3191"/>
      <c r="C91" s="1884" t="s">
        <v>3944</v>
      </c>
      <c r="D91" s="1210"/>
      <c r="E91" s="1211"/>
      <c r="F91" s="1210"/>
      <c r="G91" s="1210"/>
      <c r="H91" s="1210"/>
      <c r="I91" s="1211"/>
      <c r="J91" s="1210"/>
      <c r="K91" s="1210"/>
      <c r="L91" s="1211"/>
      <c r="M91" s="1212"/>
    </row>
    <row r="92" spans="1:13" ht="16.5">
      <c r="A92" s="1885">
        <f t="shared" si="1"/>
        <v>87</v>
      </c>
      <c r="B92" s="3191"/>
      <c r="C92" s="1218" t="s">
        <v>3945</v>
      </c>
      <c r="D92" s="1210"/>
      <c r="E92" s="1211"/>
      <c r="F92" s="1210"/>
      <c r="G92" s="1210"/>
      <c r="H92" s="1210"/>
      <c r="I92" s="1211"/>
      <c r="J92" s="1210"/>
      <c r="K92" s="1210"/>
      <c r="L92" s="1211"/>
      <c r="M92" s="1212"/>
    </row>
    <row r="93" spans="1:13" ht="16.5">
      <c r="A93" s="1885">
        <f t="shared" si="1"/>
        <v>88</v>
      </c>
      <c r="B93" s="3191"/>
      <c r="C93" s="1214" t="s">
        <v>3942</v>
      </c>
      <c r="D93" s="1210"/>
      <c r="E93" s="1211"/>
      <c r="F93" s="1210"/>
      <c r="G93" s="1210"/>
      <c r="H93" s="1210"/>
      <c r="I93" s="1211"/>
      <c r="J93" s="1210"/>
      <c r="K93" s="1210"/>
      <c r="L93" s="1211"/>
      <c r="M93" s="1212"/>
    </row>
    <row r="94" spans="1:13" ht="16.5">
      <c r="A94" s="1885">
        <f t="shared" si="1"/>
        <v>89</v>
      </c>
      <c r="B94" s="3191"/>
      <c r="C94" s="1214" t="s">
        <v>3943</v>
      </c>
      <c r="D94" s="1210"/>
      <c r="E94" s="1211"/>
      <c r="F94" s="1210"/>
      <c r="G94" s="1210"/>
      <c r="H94" s="1210"/>
      <c r="I94" s="1211"/>
      <c r="J94" s="1210"/>
      <c r="K94" s="1210"/>
      <c r="L94" s="1211"/>
      <c r="M94" s="1212"/>
    </row>
    <row r="95" spans="1:13" ht="16.5">
      <c r="A95" s="1885">
        <f t="shared" si="1"/>
        <v>90</v>
      </c>
      <c r="B95" s="3191"/>
      <c r="C95" s="1218" t="s">
        <v>3946</v>
      </c>
      <c r="D95" s="1210"/>
      <c r="E95" s="1211"/>
      <c r="F95" s="1210"/>
      <c r="G95" s="1210"/>
      <c r="H95" s="1210"/>
      <c r="I95" s="1211"/>
      <c r="J95" s="1210"/>
      <c r="K95" s="1210"/>
      <c r="L95" s="1211"/>
      <c r="M95" s="1212"/>
    </row>
    <row r="96" spans="1:13" ht="16.5">
      <c r="A96" s="1885">
        <f t="shared" si="1"/>
        <v>91</v>
      </c>
      <c r="B96" s="3191"/>
      <c r="C96" s="1214" t="s">
        <v>3942</v>
      </c>
      <c r="D96" s="1210"/>
      <c r="E96" s="1211"/>
      <c r="F96" s="1210"/>
      <c r="G96" s="1210"/>
      <c r="H96" s="1210"/>
      <c r="I96" s="1211"/>
      <c r="J96" s="1210"/>
      <c r="K96" s="1210"/>
      <c r="L96" s="1211"/>
      <c r="M96" s="1212"/>
    </row>
    <row r="97" spans="1:13" ht="16.5">
      <c r="A97" s="1885">
        <f t="shared" si="1"/>
        <v>92</v>
      </c>
      <c r="B97" s="3191"/>
      <c r="C97" s="1214" t="s">
        <v>3943</v>
      </c>
      <c r="D97" s="1210"/>
      <c r="E97" s="1211"/>
      <c r="F97" s="1210"/>
      <c r="G97" s="1210"/>
      <c r="H97" s="1210"/>
      <c r="I97" s="1211"/>
      <c r="J97" s="1210"/>
      <c r="K97" s="1210"/>
      <c r="L97" s="1211"/>
      <c r="M97" s="1212"/>
    </row>
    <row r="98" spans="1:13" ht="16.5">
      <c r="A98" s="1885">
        <f t="shared" si="1"/>
        <v>93</v>
      </c>
      <c r="B98" s="3191"/>
      <c r="C98" s="1884" t="s">
        <v>3947</v>
      </c>
      <c r="D98" s="1210"/>
      <c r="E98" s="1211"/>
      <c r="F98" s="1210"/>
      <c r="G98" s="1210"/>
      <c r="H98" s="1210"/>
      <c r="I98" s="1211"/>
      <c r="J98" s="1210"/>
      <c r="K98" s="1210"/>
      <c r="L98" s="1211"/>
      <c r="M98" s="1212"/>
    </row>
    <row r="99" spans="1:13" ht="16.5">
      <c r="A99" s="1885">
        <f t="shared" si="1"/>
        <v>94</v>
      </c>
      <c r="B99" s="1885"/>
      <c r="C99" s="1884" t="s">
        <v>3948</v>
      </c>
      <c r="D99" s="1210"/>
      <c r="E99" s="1211"/>
      <c r="F99" s="1210"/>
      <c r="G99" s="1210"/>
      <c r="H99" s="1210"/>
      <c r="I99" s="1211"/>
      <c r="J99" s="1210"/>
      <c r="K99" s="1210"/>
      <c r="L99" s="1211"/>
      <c r="M99" s="1212"/>
    </row>
    <row r="100" spans="1:13" ht="16.5">
      <c r="A100" s="1885">
        <f t="shared" si="1"/>
        <v>95</v>
      </c>
      <c r="B100" s="3191" t="s">
        <v>3949</v>
      </c>
      <c r="C100" s="1884" t="s">
        <v>3950</v>
      </c>
      <c r="D100" s="1210"/>
      <c r="E100" s="1211"/>
      <c r="F100" s="1210"/>
      <c r="G100" s="1210"/>
      <c r="H100" s="1210"/>
      <c r="I100" s="1211"/>
      <c r="J100" s="1210"/>
      <c r="K100" s="1210"/>
      <c r="L100" s="1211"/>
      <c r="M100" s="1212"/>
    </row>
    <row r="101" spans="1:13" ht="16.5">
      <c r="A101" s="1885">
        <f t="shared" si="1"/>
        <v>96</v>
      </c>
      <c r="B101" s="3191"/>
      <c r="C101" s="1218" t="s">
        <v>3951</v>
      </c>
      <c r="D101" s="1210"/>
      <c r="E101" s="1211"/>
      <c r="F101" s="1210"/>
      <c r="G101" s="1210"/>
      <c r="H101" s="1210"/>
      <c r="I101" s="1211"/>
      <c r="J101" s="1210"/>
      <c r="K101" s="1210"/>
      <c r="L101" s="1211"/>
      <c r="M101" s="1212"/>
    </row>
    <row r="102" spans="1:13" ht="16.5">
      <c r="A102" s="1885">
        <f t="shared" si="1"/>
        <v>97</v>
      </c>
      <c r="B102" s="3191"/>
      <c r="C102" s="1218" t="s">
        <v>3952</v>
      </c>
      <c r="D102" s="1210"/>
      <c r="E102" s="1211"/>
      <c r="F102" s="1210"/>
      <c r="G102" s="1210"/>
      <c r="H102" s="1210"/>
      <c r="I102" s="1211"/>
      <c r="J102" s="1210"/>
      <c r="K102" s="1210"/>
      <c r="L102" s="1211"/>
      <c r="M102" s="1212"/>
    </row>
    <row r="103" spans="1:13" ht="16.5">
      <c r="A103" s="1885">
        <f t="shared" si="1"/>
        <v>98</v>
      </c>
      <c r="B103" s="3191"/>
      <c r="C103" s="1218" t="s">
        <v>3953</v>
      </c>
      <c r="D103" s="1210"/>
      <c r="E103" s="1211"/>
      <c r="F103" s="1210"/>
      <c r="G103" s="1210"/>
      <c r="H103" s="1210"/>
      <c r="I103" s="1211"/>
      <c r="J103" s="1210"/>
      <c r="K103" s="1210"/>
      <c r="L103" s="1211"/>
      <c r="M103" s="1212"/>
    </row>
    <row r="104" spans="1:13" ht="16.5">
      <c r="A104" s="1885">
        <f t="shared" si="1"/>
        <v>99</v>
      </c>
      <c r="B104" s="3191"/>
      <c r="C104" s="1218" t="s">
        <v>3954</v>
      </c>
      <c r="D104" s="1210"/>
      <c r="E104" s="1211"/>
      <c r="F104" s="1210"/>
      <c r="G104" s="1210"/>
      <c r="H104" s="1210"/>
      <c r="I104" s="1211"/>
      <c r="J104" s="1210"/>
      <c r="K104" s="1210"/>
      <c r="L104" s="1211"/>
      <c r="M104" s="1212"/>
    </row>
    <row r="105" spans="1:13" ht="16.5">
      <c r="A105" s="1885">
        <f t="shared" si="1"/>
        <v>100</v>
      </c>
      <c r="B105" s="3191"/>
      <c r="C105" s="1218" t="s">
        <v>3955</v>
      </c>
      <c r="D105" s="1210"/>
      <c r="E105" s="1211"/>
      <c r="F105" s="1210"/>
      <c r="G105" s="1210"/>
      <c r="H105" s="1210"/>
      <c r="I105" s="1211"/>
      <c r="J105" s="1210"/>
      <c r="K105" s="1210"/>
      <c r="L105" s="1211"/>
      <c r="M105" s="1212"/>
    </row>
    <row r="106" spans="1:13" ht="16.5">
      <c r="A106" s="1885">
        <f t="shared" si="1"/>
        <v>101</v>
      </c>
      <c r="B106" s="3191"/>
      <c r="C106" s="1884" t="s">
        <v>3956</v>
      </c>
      <c r="D106" s="1210"/>
      <c r="E106" s="1211"/>
      <c r="F106" s="1210"/>
      <c r="G106" s="1210"/>
      <c r="H106" s="1210"/>
      <c r="I106" s="1211"/>
      <c r="J106" s="1210"/>
      <c r="K106" s="1210"/>
      <c r="L106" s="1211"/>
      <c r="M106" s="1212"/>
    </row>
    <row r="107" spans="1:13" ht="16.5">
      <c r="A107" s="1885">
        <f t="shared" si="1"/>
        <v>102</v>
      </c>
      <c r="B107" s="3191"/>
      <c r="C107" s="1213" t="s">
        <v>3957</v>
      </c>
      <c r="D107" s="1210"/>
      <c r="E107" s="1211"/>
      <c r="F107" s="1210"/>
      <c r="G107" s="1210"/>
      <c r="H107" s="1210"/>
      <c r="I107" s="1211"/>
      <c r="J107" s="1210"/>
      <c r="K107" s="1210"/>
      <c r="L107" s="1211"/>
      <c r="M107" s="1212"/>
    </row>
    <row r="108" spans="1:13" ht="16.5">
      <c r="A108" s="1885">
        <f t="shared" si="1"/>
        <v>103</v>
      </c>
      <c r="B108" s="3191"/>
      <c r="C108" s="1213" t="s">
        <v>3879</v>
      </c>
      <c r="D108" s="1210"/>
      <c r="E108" s="1211"/>
      <c r="F108" s="1210"/>
      <c r="G108" s="1210"/>
      <c r="H108" s="1210"/>
      <c r="I108" s="1211"/>
      <c r="J108" s="1210"/>
      <c r="K108" s="1210"/>
      <c r="L108" s="1211"/>
      <c r="M108" s="1212"/>
    </row>
    <row r="109" spans="1:13" ht="16.5">
      <c r="A109" s="1885">
        <f t="shared" si="1"/>
        <v>104</v>
      </c>
      <c r="B109" s="3191"/>
      <c r="C109" s="1884" t="s">
        <v>3958</v>
      </c>
      <c r="D109" s="1210"/>
      <c r="E109" s="1211"/>
      <c r="F109" s="1210"/>
      <c r="G109" s="1210"/>
      <c r="H109" s="1210"/>
      <c r="I109" s="1211"/>
      <c r="J109" s="1210"/>
      <c r="K109" s="1210"/>
      <c r="L109" s="1211"/>
      <c r="M109" s="1212"/>
    </row>
    <row r="110" spans="1:13" ht="16.5">
      <c r="A110" s="1885">
        <f t="shared" si="1"/>
        <v>105</v>
      </c>
      <c r="B110" s="3191" t="s">
        <v>3959</v>
      </c>
      <c r="C110" s="1884" t="s">
        <v>3960</v>
      </c>
      <c r="D110" s="1210"/>
      <c r="E110" s="1211"/>
      <c r="F110" s="1210"/>
      <c r="G110" s="1210"/>
      <c r="H110" s="1210"/>
      <c r="I110" s="1211"/>
      <c r="J110" s="1210"/>
      <c r="K110" s="1210"/>
      <c r="L110" s="1211"/>
      <c r="M110" s="1212"/>
    </row>
    <row r="111" spans="1:13" ht="16.5">
      <c r="A111" s="1885">
        <f t="shared" si="1"/>
        <v>106</v>
      </c>
      <c r="B111" s="3191"/>
      <c r="C111" s="1218" t="s">
        <v>3961</v>
      </c>
      <c r="D111" s="1210"/>
      <c r="E111" s="1211"/>
      <c r="F111" s="1210"/>
      <c r="G111" s="1210"/>
      <c r="H111" s="1210"/>
      <c r="I111" s="1211"/>
      <c r="J111" s="1210"/>
      <c r="K111" s="1210"/>
      <c r="L111" s="1211"/>
      <c r="M111" s="1212"/>
    </row>
    <row r="112" spans="1:13" ht="16.5">
      <c r="A112" s="1885">
        <f t="shared" si="1"/>
        <v>107</v>
      </c>
      <c r="B112" s="3191"/>
      <c r="C112" s="1214" t="s">
        <v>3962</v>
      </c>
      <c r="D112" s="1210"/>
      <c r="E112" s="1211"/>
      <c r="F112" s="1210"/>
      <c r="G112" s="1210"/>
      <c r="H112" s="1210"/>
      <c r="I112" s="1211"/>
      <c r="J112" s="1210"/>
      <c r="K112" s="1210"/>
      <c r="L112" s="1211"/>
      <c r="M112" s="1212"/>
    </row>
    <row r="113" spans="1:13" ht="16.5">
      <c r="A113" s="1885">
        <f t="shared" si="1"/>
        <v>108</v>
      </c>
      <c r="B113" s="3191"/>
      <c r="C113" s="1214" t="s">
        <v>3963</v>
      </c>
      <c r="D113" s="1210"/>
      <c r="E113" s="1211"/>
      <c r="F113" s="1210"/>
      <c r="G113" s="1210"/>
      <c r="H113" s="1210"/>
      <c r="I113" s="1211"/>
      <c r="J113" s="1210"/>
      <c r="K113" s="1210"/>
      <c r="L113" s="1211"/>
      <c r="M113" s="1212"/>
    </row>
    <row r="114" spans="1:13" ht="16.5">
      <c r="A114" s="1885">
        <f t="shared" si="1"/>
        <v>109</v>
      </c>
      <c r="B114" s="3191"/>
      <c r="C114" s="1216" t="s">
        <v>3964</v>
      </c>
      <c r="D114" s="1210"/>
      <c r="E114" s="1211"/>
      <c r="F114" s="1210"/>
      <c r="G114" s="1210"/>
      <c r="H114" s="1210"/>
      <c r="I114" s="1211"/>
      <c r="J114" s="1210"/>
      <c r="K114" s="1210"/>
      <c r="L114" s="1211"/>
      <c r="M114" s="1212"/>
    </row>
    <row r="115" spans="1:13" ht="16.5">
      <c r="A115" s="1885">
        <f t="shared" si="1"/>
        <v>110</v>
      </c>
      <c r="B115" s="3191"/>
      <c r="C115" s="1216" t="s">
        <v>3965</v>
      </c>
      <c r="D115" s="1210"/>
      <c r="E115" s="1211"/>
      <c r="F115" s="1210"/>
      <c r="G115" s="1210"/>
      <c r="H115" s="1210"/>
      <c r="I115" s="1211"/>
      <c r="J115" s="1210"/>
      <c r="K115" s="1210"/>
      <c r="L115" s="1211"/>
      <c r="M115" s="1212"/>
    </row>
    <row r="116" spans="1:13" ht="16.5">
      <c r="A116" s="1885">
        <f t="shared" si="1"/>
        <v>111</v>
      </c>
      <c r="B116" s="3191"/>
      <c r="C116" s="1216" t="s">
        <v>3966</v>
      </c>
      <c r="D116" s="1210"/>
      <c r="E116" s="1211"/>
      <c r="F116" s="1210"/>
      <c r="G116" s="1210"/>
      <c r="H116" s="1210"/>
      <c r="I116" s="1211"/>
      <c r="J116" s="1210"/>
      <c r="K116" s="1210"/>
      <c r="L116" s="1211"/>
      <c r="M116" s="1212"/>
    </row>
    <row r="117" spans="1:13" ht="16.5">
      <c r="A117" s="1885">
        <f t="shared" si="1"/>
        <v>112</v>
      </c>
      <c r="B117" s="3191"/>
      <c r="C117" s="1216" t="s">
        <v>3967</v>
      </c>
      <c r="D117" s="1210"/>
      <c r="E117" s="1211"/>
      <c r="F117" s="1210"/>
      <c r="G117" s="1210"/>
      <c r="H117" s="1210"/>
      <c r="I117" s="1211"/>
      <c r="J117" s="1210"/>
      <c r="K117" s="1210"/>
      <c r="L117" s="1211"/>
      <c r="M117" s="1212"/>
    </row>
    <row r="118" spans="1:13" ht="16.5">
      <c r="A118" s="1885">
        <f t="shared" si="1"/>
        <v>113</v>
      </c>
      <c r="B118" s="3191"/>
      <c r="C118" s="1216" t="s">
        <v>3902</v>
      </c>
      <c r="D118" s="1210"/>
      <c r="E118" s="1211"/>
      <c r="F118" s="1210"/>
      <c r="G118" s="1210"/>
      <c r="H118" s="1210"/>
      <c r="I118" s="1211"/>
      <c r="J118" s="1210"/>
      <c r="K118" s="1210"/>
      <c r="L118" s="1211"/>
      <c r="M118" s="1212"/>
    </row>
    <row r="119" spans="1:13" ht="16.5">
      <c r="A119" s="1885">
        <f t="shared" si="1"/>
        <v>114</v>
      </c>
      <c r="B119" s="3191"/>
      <c r="C119" s="1217" t="s">
        <v>3968</v>
      </c>
      <c r="D119" s="1210"/>
      <c r="E119" s="1211"/>
      <c r="F119" s="1210"/>
      <c r="G119" s="1210"/>
      <c r="H119" s="1210"/>
      <c r="I119" s="1211"/>
      <c r="J119" s="1210"/>
      <c r="K119" s="1210"/>
      <c r="L119" s="1211"/>
      <c r="M119" s="1212"/>
    </row>
    <row r="120" spans="1:13" ht="16.5">
      <c r="A120" s="1885">
        <f t="shared" si="1"/>
        <v>115</v>
      </c>
      <c r="B120" s="3191"/>
      <c r="C120" s="1219" t="s">
        <v>1900</v>
      </c>
      <c r="D120" s="1210"/>
      <c r="E120" s="1211"/>
      <c r="F120" s="1210"/>
      <c r="G120" s="1210"/>
      <c r="H120" s="1210"/>
      <c r="I120" s="1211"/>
      <c r="J120" s="1210"/>
      <c r="K120" s="1210"/>
      <c r="L120" s="1211"/>
      <c r="M120" s="1212"/>
    </row>
    <row r="121" spans="1:13" ht="16.5">
      <c r="A121" s="1885">
        <f t="shared" si="1"/>
        <v>116</v>
      </c>
      <c r="B121" s="3191"/>
      <c r="C121" s="1214" t="s">
        <v>3969</v>
      </c>
      <c r="D121" s="1210"/>
      <c r="E121" s="1211"/>
      <c r="F121" s="1210"/>
      <c r="G121" s="1210"/>
      <c r="H121" s="1210"/>
      <c r="I121" s="1211"/>
      <c r="J121" s="1210"/>
      <c r="K121" s="1210"/>
      <c r="L121" s="1211"/>
      <c r="M121" s="1212"/>
    </row>
    <row r="122" spans="1:13" ht="16.5">
      <c r="A122" s="1885">
        <f t="shared" si="1"/>
        <v>117</v>
      </c>
      <c r="B122" s="3191"/>
      <c r="C122" s="1216" t="s">
        <v>3906</v>
      </c>
      <c r="D122" s="1210"/>
      <c r="E122" s="1211"/>
      <c r="F122" s="1210"/>
      <c r="G122" s="1210"/>
      <c r="H122" s="1210"/>
      <c r="I122" s="1211"/>
      <c r="J122" s="1210"/>
      <c r="K122" s="1210"/>
      <c r="L122" s="1211"/>
      <c r="M122" s="1212"/>
    </row>
    <row r="123" spans="1:13" ht="16.5">
      <c r="A123" s="1885">
        <f t="shared" si="1"/>
        <v>118</v>
      </c>
      <c r="B123" s="3191"/>
      <c r="C123" s="1216" t="s">
        <v>3907</v>
      </c>
      <c r="D123" s="1210"/>
      <c r="E123" s="1211"/>
      <c r="F123" s="1210"/>
      <c r="G123" s="1210"/>
      <c r="H123" s="1210"/>
      <c r="I123" s="1211"/>
      <c r="J123" s="1210"/>
      <c r="K123" s="1210"/>
      <c r="L123" s="1211"/>
      <c r="M123" s="1212"/>
    </row>
    <row r="124" spans="1:13" ht="16.5">
      <c r="A124" s="1885">
        <f t="shared" si="1"/>
        <v>119</v>
      </c>
      <c r="B124" s="3191"/>
      <c r="C124" s="1217" t="s">
        <v>3970</v>
      </c>
      <c r="D124" s="1210"/>
      <c r="E124" s="1211"/>
      <c r="F124" s="1210"/>
      <c r="G124" s="1210"/>
      <c r="H124" s="1210"/>
      <c r="I124" s="1211"/>
      <c r="J124" s="1210"/>
      <c r="K124" s="1210"/>
      <c r="L124" s="1211"/>
      <c r="M124" s="1212"/>
    </row>
    <row r="125" spans="1:13" ht="16.5">
      <c r="A125" s="1885">
        <f t="shared" si="1"/>
        <v>120</v>
      </c>
      <c r="B125" s="3191"/>
      <c r="C125" s="1217" t="s">
        <v>3971</v>
      </c>
      <c r="D125" s="1210"/>
      <c r="E125" s="1211"/>
      <c r="F125" s="1210"/>
      <c r="G125" s="1210"/>
      <c r="H125" s="1210"/>
      <c r="I125" s="1211"/>
      <c r="J125" s="1210"/>
      <c r="K125" s="1210"/>
      <c r="L125" s="1211"/>
      <c r="M125" s="1212"/>
    </row>
    <row r="126" spans="1:13" ht="16.5">
      <c r="A126" s="1885">
        <f t="shared" si="1"/>
        <v>121</v>
      </c>
      <c r="B126" s="3191"/>
      <c r="C126" s="1214" t="s">
        <v>3972</v>
      </c>
      <c r="D126" s="1210"/>
      <c r="E126" s="1211"/>
      <c r="F126" s="1210"/>
      <c r="G126" s="1210"/>
      <c r="H126" s="1210"/>
      <c r="I126" s="1211"/>
      <c r="J126" s="1210"/>
      <c r="K126" s="1210"/>
      <c r="L126" s="1211"/>
      <c r="M126" s="1215"/>
    </row>
    <row r="127" spans="1:13" ht="16.5">
      <c r="A127" s="1885">
        <f t="shared" si="1"/>
        <v>122</v>
      </c>
      <c r="B127" s="3191"/>
      <c r="C127" s="1214" t="s">
        <v>3973</v>
      </c>
      <c r="D127" s="1210"/>
      <c r="E127" s="1211"/>
      <c r="F127" s="1210"/>
      <c r="G127" s="1210"/>
      <c r="H127" s="1210"/>
      <c r="I127" s="1211"/>
      <c r="J127" s="1210"/>
      <c r="K127" s="1210"/>
      <c r="L127" s="1211"/>
      <c r="M127" s="1212"/>
    </row>
    <row r="128" spans="1:13" ht="16.5">
      <c r="A128" s="1885">
        <f t="shared" si="1"/>
        <v>123</v>
      </c>
      <c r="B128" s="3191"/>
      <c r="C128" s="1216" t="s">
        <v>3974</v>
      </c>
      <c r="D128" s="1210"/>
      <c r="E128" s="1211"/>
      <c r="F128" s="1210"/>
      <c r="G128" s="1210"/>
      <c r="H128" s="1210"/>
      <c r="I128" s="1211"/>
      <c r="J128" s="1210"/>
      <c r="K128" s="1210"/>
      <c r="L128" s="1211"/>
      <c r="M128" s="1212"/>
    </row>
    <row r="129" spans="1:13" ht="16.5">
      <c r="A129" s="1885">
        <f t="shared" si="1"/>
        <v>124</v>
      </c>
      <c r="B129" s="3191"/>
      <c r="C129" s="1216" t="s">
        <v>3975</v>
      </c>
      <c r="D129" s="1210"/>
      <c r="E129" s="1211"/>
      <c r="F129" s="1210"/>
      <c r="G129" s="1210"/>
      <c r="H129" s="1210"/>
      <c r="I129" s="1211"/>
      <c r="J129" s="1210"/>
      <c r="K129" s="1210"/>
      <c r="L129" s="1211"/>
      <c r="M129" s="1212"/>
    </row>
    <row r="130" spans="1:13" ht="16.5">
      <c r="A130" s="1885">
        <f t="shared" si="1"/>
        <v>125</v>
      </c>
      <c r="B130" s="3191"/>
      <c r="C130" s="1214" t="s">
        <v>3976</v>
      </c>
      <c r="D130" s="1210"/>
      <c r="E130" s="1211"/>
      <c r="F130" s="1210"/>
      <c r="G130" s="1210"/>
      <c r="H130" s="1210"/>
      <c r="I130" s="1211"/>
      <c r="J130" s="1210"/>
      <c r="K130" s="1210"/>
      <c r="L130" s="1211"/>
      <c r="M130" s="1212"/>
    </row>
    <row r="131" spans="1:13" ht="16.5">
      <c r="A131" s="1885">
        <f t="shared" si="1"/>
        <v>126</v>
      </c>
      <c r="B131" s="3191"/>
      <c r="C131" s="1214" t="s">
        <v>3977</v>
      </c>
      <c r="D131" s="1210"/>
      <c r="E131" s="1211"/>
      <c r="F131" s="1210"/>
      <c r="G131" s="1210"/>
      <c r="H131" s="1210"/>
      <c r="I131" s="1211"/>
      <c r="J131" s="1210"/>
      <c r="K131" s="1210"/>
      <c r="L131" s="1211"/>
      <c r="M131" s="1212"/>
    </row>
    <row r="132" spans="1:13" ht="16.5">
      <c r="A132" s="1885">
        <f t="shared" si="1"/>
        <v>127</v>
      </c>
      <c r="B132" s="3191"/>
      <c r="C132" s="1214" t="s">
        <v>3978</v>
      </c>
      <c r="D132" s="1210"/>
      <c r="E132" s="1211"/>
      <c r="F132" s="1210"/>
      <c r="G132" s="1210"/>
      <c r="H132" s="1210"/>
      <c r="I132" s="1211"/>
      <c r="J132" s="1210"/>
      <c r="K132" s="1210"/>
      <c r="L132" s="1211"/>
      <c r="M132" s="1215"/>
    </row>
    <row r="133" spans="1:13" ht="16.5">
      <c r="A133" s="1885">
        <f t="shared" si="1"/>
        <v>128</v>
      </c>
      <c r="B133" s="3191"/>
      <c r="C133" s="1214" t="s">
        <v>3979</v>
      </c>
      <c r="D133" s="1210"/>
      <c r="E133" s="1211"/>
      <c r="F133" s="1210"/>
      <c r="G133" s="1210"/>
      <c r="H133" s="1210"/>
      <c r="I133" s="1211"/>
      <c r="J133" s="1210"/>
      <c r="K133" s="1210"/>
      <c r="L133" s="1211"/>
      <c r="M133" s="1212"/>
    </row>
    <row r="134" spans="1:13" ht="16.5">
      <c r="A134" s="1885">
        <f t="shared" si="1"/>
        <v>129</v>
      </c>
      <c r="B134" s="3191"/>
      <c r="C134" s="1214" t="s">
        <v>3980</v>
      </c>
      <c r="D134" s="1210"/>
      <c r="E134" s="1211"/>
      <c r="F134" s="1210"/>
      <c r="G134" s="1210"/>
      <c r="H134" s="1210"/>
      <c r="I134" s="1211"/>
      <c r="J134" s="1210"/>
      <c r="K134" s="1210"/>
      <c r="L134" s="1211"/>
      <c r="M134" s="1212"/>
    </row>
    <row r="135" spans="1:13" ht="16.5">
      <c r="A135" s="1885">
        <f t="shared" ref="A135:A198" si="2">A134+1</f>
        <v>130</v>
      </c>
      <c r="B135" s="3191"/>
      <c r="C135" s="1214" t="s">
        <v>3981</v>
      </c>
      <c r="D135" s="1210"/>
      <c r="E135" s="1211"/>
      <c r="F135" s="1210"/>
      <c r="G135" s="1210"/>
      <c r="H135" s="1210"/>
      <c r="I135" s="1211"/>
      <c r="J135" s="1210"/>
      <c r="K135" s="1210"/>
      <c r="L135" s="1211"/>
      <c r="M135" s="1212"/>
    </row>
    <row r="136" spans="1:13" ht="16.5">
      <c r="A136" s="1885">
        <f t="shared" si="2"/>
        <v>131</v>
      </c>
      <c r="B136" s="3191"/>
      <c r="C136" s="1216" t="s">
        <v>3982</v>
      </c>
      <c r="D136" s="1210"/>
      <c r="E136" s="1211"/>
      <c r="F136" s="1210"/>
      <c r="G136" s="1210"/>
      <c r="H136" s="1210"/>
      <c r="I136" s="1211"/>
      <c r="J136" s="1210"/>
      <c r="K136" s="1210"/>
      <c r="L136" s="1211"/>
      <c r="M136" s="1212"/>
    </row>
    <row r="137" spans="1:13" ht="16.5">
      <c r="A137" s="1885">
        <f t="shared" si="2"/>
        <v>132</v>
      </c>
      <c r="B137" s="3191"/>
      <c r="C137" s="1216" t="s">
        <v>3983</v>
      </c>
      <c r="D137" s="1210"/>
      <c r="E137" s="1211"/>
      <c r="F137" s="1210"/>
      <c r="G137" s="1210"/>
      <c r="H137" s="1210"/>
      <c r="I137" s="1211"/>
      <c r="J137" s="1210"/>
      <c r="K137" s="1210"/>
      <c r="L137" s="1211"/>
      <c r="M137" s="1212"/>
    </row>
    <row r="138" spans="1:13" ht="16.5">
      <c r="A138" s="1885">
        <f t="shared" si="2"/>
        <v>133</v>
      </c>
      <c r="B138" s="3191"/>
      <c r="C138" s="1216" t="s">
        <v>3984</v>
      </c>
      <c r="D138" s="1210"/>
      <c r="E138" s="1211"/>
      <c r="F138" s="1210"/>
      <c r="G138" s="1210"/>
      <c r="H138" s="1210"/>
      <c r="I138" s="1211"/>
      <c r="J138" s="1210"/>
      <c r="K138" s="1210"/>
      <c r="L138" s="1211"/>
      <c r="M138" s="1212"/>
    </row>
    <row r="139" spans="1:13" ht="16.5">
      <c r="A139" s="1885">
        <f t="shared" si="2"/>
        <v>134</v>
      </c>
      <c r="B139" s="3191"/>
      <c r="C139" s="1216" t="s">
        <v>3985</v>
      </c>
      <c r="D139" s="1210"/>
      <c r="E139" s="1211"/>
      <c r="F139" s="1210"/>
      <c r="G139" s="1210"/>
      <c r="H139" s="1210"/>
      <c r="I139" s="1211"/>
      <c r="J139" s="1210"/>
      <c r="K139" s="1210"/>
      <c r="L139" s="1211"/>
      <c r="M139" s="1212"/>
    </row>
    <row r="140" spans="1:13" ht="16.5">
      <c r="A140" s="1885">
        <f t="shared" si="2"/>
        <v>135</v>
      </c>
      <c r="B140" s="3191"/>
      <c r="C140" s="1216" t="s">
        <v>3986</v>
      </c>
      <c r="D140" s="1210"/>
      <c r="E140" s="1211"/>
      <c r="F140" s="1210"/>
      <c r="G140" s="1210"/>
      <c r="H140" s="1210"/>
      <c r="I140" s="1211"/>
      <c r="J140" s="1210"/>
      <c r="K140" s="1210"/>
      <c r="L140" s="1211"/>
      <c r="M140" s="1212"/>
    </row>
    <row r="141" spans="1:13" ht="16.5">
      <c r="A141" s="1885">
        <f t="shared" si="2"/>
        <v>136</v>
      </c>
      <c r="B141" s="3191"/>
      <c r="C141" s="1218" t="s">
        <v>3987</v>
      </c>
      <c r="D141" s="1210"/>
      <c r="E141" s="1211"/>
      <c r="F141" s="1210"/>
      <c r="G141" s="1210"/>
      <c r="H141" s="1210"/>
      <c r="I141" s="1211"/>
      <c r="J141" s="1210"/>
      <c r="K141" s="1210"/>
      <c r="L141" s="1211"/>
      <c r="M141" s="1212"/>
    </row>
    <row r="142" spans="1:13" ht="16.5">
      <c r="A142" s="1885">
        <f t="shared" si="2"/>
        <v>137</v>
      </c>
      <c r="B142" s="3191"/>
      <c r="C142" s="1214" t="s">
        <v>3962</v>
      </c>
      <c r="D142" s="1210"/>
      <c r="E142" s="1211"/>
      <c r="F142" s="1210"/>
      <c r="G142" s="1210"/>
      <c r="H142" s="1210"/>
      <c r="I142" s="1211"/>
      <c r="J142" s="1210"/>
      <c r="K142" s="1210"/>
      <c r="L142" s="1211"/>
      <c r="M142" s="1212"/>
    </row>
    <row r="143" spans="1:13" ht="16.5">
      <c r="A143" s="1885">
        <f t="shared" si="2"/>
        <v>138</v>
      </c>
      <c r="B143" s="3191"/>
      <c r="C143" s="1214" t="s">
        <v>3963</v>
      </c>
      <c r="D143" s="1210"/>
      <c r="E143" s="1211"/>
      <c r="F143" s="1210"/>
      <c r="G143" s="1210"/>
      <c r="H143" s="1210"/>
      <c r="I143" s="1211"/>
      <c r="J143" s="1210"/>
      <c r="K143" s="1210"/>
      <c r="L143" s="1211"/>
      <c r="M143" s="1212"/>
    </row>
    <row r="144" spans="1:13" ht="16.5">
      <c r="A144" s="1885">
        <f t="shared" si="2"/>
        <v>139</v>
      </c>
      <c r="B144" s="3191"/>
      <c r="C144" s="1216" t="s">
        <v>3964</v>
      </c>
      <c r="D144" s="1210"/>
      <c r="E144" s="1211"/>
      <c r="F144" s="1210"/>
      <c r="G144" s="1210"/>
      <c r="H144" s="1210"/>
      <c r="I144" s="1211"/>
      <c r="J144" s="1210"/>
      <c r="K144" s="1210"/>
      <c r="L144" s="1211"/>
      <c r="M144" s="1212"/>
    </row>
    <row r="145" spans="1:13" ht="16.5">
      <c r="A145" s="1885">
        <f t="shared" si="2"/>
        <v>140</v>
      </c>
      <c r="B145" s="3191"/>
      <c r="C145" s="1216" t="s">
        <v>3965</v>
      </c>
      <c r="D145" s="1210"/>
      <c r="E145" s="1211"/>
      <c r="F145" s="1210"/>
      <c r="G145" s="1210"/>
      <c r="H145" s="1210"/>
      <c r="I145" s="1211"/>
      <c r="J145" s="1210"/>
      <c r="K145" s="1210"/>
      <c r="L145" s="1211"/>
      <c r="M145" s="1212"/>
    </row>
    <row r="146" spans="1:13" ht="16.5">
      <c r="A146" s="1885">
        <f t="shared" si="2"/>
        <v>141</v>
      </c>
      <c r="B146" s="3191"/>
      <c r="C146" s="1216" t="s">
        <v>3966</v>
      </c>
      <c r="D146" s="1210"/>
      <c r="E146" s="1211"/>
      <c r="F146" s="1210"/>
      <c r="G146" s="1210"/>
      <c r="H146" s="1210"/>
      <c r="I146" s="1211"/>
      <c r="J146" s="1210"/>
      <c r="K146" s="1210"/>
      <c r="L146" s="1211"/>
      <c r="M146" s="1212"/>
    </row>
    <row r="147" spans="1:13" ht="16.5">
      <c r="A147" s="1885">
        <f t="shared" si="2"/>
        <v>142</v>
      </c>
      <c r="B147" s="3191"/>
      <c r="C147" s="1216" t="s">
        <v>3967</v>
      </c>
      <c r="D147" s="1210"/>
      <c r="E147" s="1211"/>
      <c r="F147" s="1210"/>
      <c r="G147" s="1210"/>
      <c r="H147" s="1210"/>
      <c r="I147" s="1211"/>
      <c r="J147" s="1210"/>
      <c r="K147" s="1210"/>
      <c r="L147" s="1211"/>
      <c r="M147" s="1212"/>
    </row>
    <row r="148" spans="1:13" ht="16.5">
      <c r="A148" s="1885">
        <f t="shared" si="2"/>
        <v>143</v>
      </c>
      <c r="B148" s="3191"/>
      <c r="C148" s="1216" t="s">
        <v>3902</v>
      </c>
      <c r="D148" s="1210"/>
      <c r="E148" s="1211"/>
      <c r="F148" s="1210"/>
      <c r="G148" s="1210"/>
      <c r="H148" s="1210"/>
      <c r="I148" s="1211"/>
      <c r="J148" s="1210"/>
      <c r="K148" s="1210"/>
      <c r="L148" s="1211"/>
      <c r="M148" s="1212"/>
    </row>
    <row r="149" spans="1:13" ht="16.5">
      <c r="A149" s="1885">
        <f t="shared" si="2"/>
        <v>144</v>
      </c>
      <c r="B149" s="3191"/>
      <c r="C149" s="1217" t="s">
        <v>3988</v>
      </c>
      <c r="D149" s="1210"/>
      <c r="E149" s="1211"/>
      <c r="F149" s="1210"/>
      <c r="G149" s="1210"/>
      <c r="H149" s="1210"/>
      <c r="I149" s="1211"/>
      <c r="J149" s="1210"/>
      <c r="K149" s="1210"/>
      <c r="L149" s="1211"/>
      <c r="M149" s="1212"/>
    </row>
    <row r="150" spans="1:13" ht="16.5">
      <c r="A150" s="1885">
        <f t="shared" si="2"/>
        <v>145</v>
      </c>
      <c r="B150" s="3191"/>
      <c r="C150" s="1219" t="s">
        <v>1900</v>
      </c>
      <c r="D150" s="1210"/>
      <c r="E150" s="1211"/>
      <c r="F150" s="1210"/>
      <c r="G150" s="1210"/>
      <c r="H150" s="1210"/>
      <c r="I150" s="1211"/>
      <c r="J150" s="1210"/>
      <c r="K150" s="1210"/>
      <c r="L150" s="1211"/>
      <c r="M150" s="1212"/>
    </row>
    <row r="151" spans="1:13" ht="16.5">
      <c r="A151" s="1885">
        <f t="shared" si="2"/>
        <v>146</v>
      </c>
      <c r="B151" s="3191"/>
      <c r="C151" s="1214" t="s">
        <v>3969</v>
      </c>
      <c r="D151" s="1210"/>
      <c r="E151" s="1211"/>
      <c r="F151" s="1210"/>
      <c r="G151" s="1210"/>
      <c r="H151" s="1210"/>
      <c r="I151" s="1211"/>
      <c r="J151" s="1210"/>
      <c r="K151" s="1210"/>
      <c r="L151" s="1211"/>
      <c r="M151" s="1212"/>
    </row>
    <row r="152" spans="1:13" ht="16.5">
      <c r="A152" s="1885">
        <f t="shared" si="2"/>
        <v>147</v>
      </c>
      <c r="B152" s="3191"/>
      <c r="C152" s="1216" t="s">
        <v>3989</v>
      </c>
      <c r="D152" s="1210"/>
      <c r="E152" s="1211"/>
      <c r="F152" s="1210"/>
      <c r="G152" s="1210"/>
      <c r="H152" s="1210"/>
      <c r="I152" s="1211"/>
      <c r="J152" s="1210"/>
      <c r="K152" s="1210"/>
      <c r="L152" s="1211"/>
      <c r="M152" s="1212"/>
    </row>
    <row r="153" spans="1:13" ht="16.5">
      <c r="A153" s="1885">
        <f t="shared" si="2"/>
        <v>148</v>
      </c>
      <c r="B153" s="3191"/>
      <c r="C153" s="1216" t="s">
        <v>3990</v>
      </c>
      <c r="D153" s="1210"/>
      <c r="E153" s="1211"/>
      <c r="F153" s="1210"/>
      <c r="G153" s="1210"/>
      <c r="H153" s="1210"/>
      <c r="I153" s="1211"/>
      <c r="J153" s="1210"/>
      <c r="K153" s="1210"/>
      <c r="L153" s="1211"/>
      <c r="M153" s="1212"/>
    </row>
    <row r="154" spans="1:13" ht="16.5">
      <c r="A154" s="1885">
        <f t="shared" si="2"/>
        <v>149</v>
      </c>
      <c r="B154" s="3191"/>
      <c r="C154" s="1217" t="s">
        <v>3970</v>
      </c>
      <c r="D154" s="1210"/>
      <c r="E154" s="1211"/>
      <c r="F154" s="1210"/>
      <c r="G154" s="1210"/>
      <c r="H154" s="1210"/>
      <c r="I154" s="1211"/>
      <c r="J154" s="1210"/>
      <c r="K154" s="1210"/>
      <c r="L154" s="1211"/>
      <c r="M154" s="1212"/>
    </row>
    <row r="155" spans="1:13" ht="16.5">
      <c r="A155" s="1885">
        <f t="shared" si="2"/>
        <v>150</v>
      </c>
      <c r="B155" s="3191"/>
      <c r="C155" s="1217" t="s">
        <v>3971</v>
      </c>
      <c r="D155" s="1210"/>
      <c r="E155" s="1211"/>
      <c r="F155" s="1210"/>
      <c r="G155" s="1210"/>
      <c r="H155" s="1210"/>
      <c r="I155" s="1211"/>
      <c r="J155" s="1210"/>
      <c r="K155" s="1210"/>
      <c r="L155" s="1211"/>
      <c r="M155" s="1212"/>
    </row>
    <row r="156" spans="1:13" ht="16.5">
      <c r="A156" s="1885">
        <f t="shared" si="2"/>
        <v>151</v>
      </c>
      <c r="B156" s="3191"/>
      <c r="C156" s="1214" t="s">
        <v>3972</v>
      </c>
      <c r="D156" s="1210"/>
      <c r="E156" s="1211"/>
      <c r="F156" s="1210"/>
      <c r="G156" s="1210"/>
      <c r="H156" s="1210"/>
      <c r="I156" s="1211"/>
      <c r="J156" s="1210"/>
      <c r="K156" s="1210"/>
      <c r="L156" s="1211"/>
      <c r="M156" s="1215"/>
    </row>
    <row r="157" spans="1:13" ht="16.5">
      <c r="A157" s="1885">
        <f t="shared" si="2"/>
        <v>152</v>
      </c>
      <c r="B157" s="3191"/>
      <c r="C157" s="1214" t="s">
        <v>3973</v>
      </c>
      <c r="D157" s="1210"/>
      <c r="E157" s="1211"/>
      <c r="F157" s="1210"/>
      <c r="G157" s="1210"/>
      <c r="H157" s="1210"/>
      <c r="I157" s="1211"/>
      <c r="J157" s="1210"/>
      <c r="K157" s="1210"/>
      <c r="L157" s="1211"/>
      <c r="M157" s="1212"/>
    </row>
    <row r="158" spans="1:13" ht="16.5">
      <c r="A158" s="1885">
        <f t="shared" si="2"/>
        <v>153</v>
      </c>
      <c r="B158" s="3191"/>
      <c r="C158" s="1216" t="s">
        <v>3991</v>
      </c>
      <c r="D158" s="1210"/>
      <c r="E158" s="1211"/>
      <c r="F158" s="1210"/>
      <c r="G158" s="1210"/>
      <c r="H158" s="1210"/>
      <c r="I158" s="1211"/>
      <c r="J158" s="1210"/>
      <c r="K158" s="1210"/>
      <c r="L158" s="1211"/>
      <c r="M158" s="1212"/>
    </row>
    <row r="159" spans="1:13" ht="16.5">
      <c r="A159" s="1885">
        <f t="shared" si="2"/>
        <v>154</v>
      </c>
      <c r="B159" s="3191"/>
      <c r="C159" s="1216" t="s">
        <v>3992</v>
      </c>
      <c r="D159" s="1210"/>
      <c r="E159" s="1211"/>
      <c r="F159" s="1210"/>
      <c r="G159" s="1210"/>
      <c r="H159" s="1210"/>
      <c r="I159" s="1211"/>
      <c r="J159" s="1210"/>
      <c r="K159" s="1210"/>
      <c r="L159" s="1211"/>
      <c r="M159" s="1212"/>
    </row>
    <row r="160" spans="1:13" ht="16.5">
      <c r="A160" s="1885">
        <f t="shared" si="2"/>
        <v>155</v>
      </c>
      <c r="B160" s="3191"/>
      <c r="C160" s="1214" t="s">
        <v>3976</v>
      </c>
      <c r="D160" s="1210"/>
      <c r="E160" s="1211"/>
      <c r="F160" s="1210"/>
      <c r="G160" s="1210"/>
      <c r="H160" s="1210"/>
      <c r="I160" s="1211"/>
      <c r="J160" s="1210"/>
      <c r="K160" s="1210"/>
      <c r="L160" s="1211"/>
      <c r="M160" s="1212"/>
    </row>
    <row r="161" spans="1:13" ht="16.5">
      <c r="A161" s="1885">
        <f t="shared" si="2"/>
        <v>156</v>
      </c>
      <c r="B161" s="3191"/>
      <c r="C161" s="1214" t="s">
        <v>3977</v>
      </c>
      <c r="D161" s="1210"/>
      <c r="E161" s="1211"/>
      <c r="F161" s="1210"/>
      <c r="G161" s="1210"/>
      <c r="H161" s="1210"/>
      <c r="I161" s="1211"/>
      <c r="J161" s="1210"/>
      <c r="K161" s="1210"/>
      <c r="L161" s="1211"/>
      <c r="M161" s="1212"/>
    </row>
    <row r="162" spans="1:13" ht="16.5">
      <c r="A162" s="1885">
        <f t="shared" si="2"/>
        <v>157</v>
      </c>
      <c r="B162" s="3191"/>
      <c r="C162" s="1214" t="s">
        <v>3978</v>
      </c>
      <c r="D162" s="1210"/>
      <c r="E162" s="1211"/>
      <c r="F162" s="1210"/>
      <c r="G162" s="1210"/>
      <c r="H162" s="1210"/>
      <c r="I162" s="1211"/>
      <c r="J162" s="1210"/>
      <c r="K162" s="1210"/>
      <c r="L162" s="1211"/>
      <c r="M162" s="1215"/>
    </row>
    <row r="163" spans="1:13" ht="16.5">
      <c r="A163" s="1885">
        <f t="shared" si="2"/>
        <v>158</v>
      </c>
      <c r="B163" s="3191"/>
      <c r="C163" s="1214" t="s">
        <v>3979</v>
      </c>
      <c r="D163" s="1210"/>
      <c r="E163" s="1211"/>
      <c r="F163" s="1210"/>
      <c r="G163" s="1210"/>
      <c r="H163" s="1210"/>
      <c r="I163" s="1211"/>
      <c r="J163" s="1210"/>
      <c r="K163" s="1210"/>
      <c r="L163" s="1211"/>
      <c r="M163" s="1212"/>
    </row>
    <row r="164" spans="1:13" ht="16.5">
      <c r="A164" s="1885">
        <f t="shared" si="2"/>
        <v>159</v>
      </c>
      <c r="B164" s="3191"/>
      <c r="C164" s="1214" t="s">
        <v>3980</v>
      </c>
      <c r="D164" s="1210"/>
      <c r="E164" s="1211"/>
      <c r="F164" s="1210"/>
      <c r="G164" s="1210"/>
      <c r="H164" s="1210"/>
      <c r="I164" s="1211"/>
      <c r="J164" s="1210"/>
      <c r="K164" s="1210"/>
      <c r="L164" s="1211"/>
      <c r="M164" s="1212"/>
    </row>
    <row r="165" spans="1:13" ht="16.5">
      <c r="A165" s="1885">
        <f t="shared" si="2"/>
        <v>160</v>
      </c>
      <c r="B165" s="3191"/>
      <c r="C165" s="1214" t="s">
        <v>3981</v>
      </c>
      <c r="D165" s="1210"/>
      <c r="E165" s="1211"/>
      <c r="F165" s="1210"/>
      <c r="G165" s="1210"/>
      <c r="H165" s="1210"/>
      <c r="I165" s="1211"/>
      <c r="J165" s="1210"/>
      <c r="K165" s="1210"/>
      <c r="L165" s="1211"/>
      <c r="M165" s="1212"/>
    </row>
    <row r="166" spans="1:13" ht="16.5">
      <c r="A166" s="1885">
        <f t="shared" si="2"/>
        <v>161</v>
      </c>
      <c r="B166" s="3191"/>
      <c r="C166" s="1216" t="s">
        <v>3982</v>
      </c>
      <c r="D166" s="1210"/>
      <c r="E166" s="1211"/>
      <c r="F166" s="1210"/>
      <c r="G166" s="1210"/>
      <c r="H166" s="1210"/>
      <c r="I166" s="1211"/>
      <c r="J166" s="1210"/>
      <c r="K166" s="1210"/>
      <c r="L166" s="1211"/>
      <c r="M166" s="1212"/>
    </row>
    <row r="167" spans="1:13" ht="16.5">
      <c r="A167" s="1885">
        <f t="shared" si="2"/>
        <v>162</v>
      </c>
      <c r="B167" s="3191"/>
      <c r="C167" s="1216" t="s">
        <v>3983</v>
      </c>
      <c r="D167" s="1210"/>
      <c r="E167" s="1211"/>
      <c r="F167" s="1210"/>
      <c r="G167" s="1210"/>
      <c r="H167" s="1210"/>
      <c r="I167" s="1211"/>
      <c r="J167" s="1210"/>
      <c r="K167" s="1210"/>
      <c r="L167" s="1211"/>
      <c r="M167" s="1212"/>
    </row>
    <row r="168" spans="1:13" ht="16.5">
      <c r="A168" s="1885">
        <f t="shared" si="2"/>
        <v>163</v>
      </c>
      <c r="B168" s="3191"/>
      <c r="C168" s="1216" t="s">
        <v>3984</v>
      </c>
      <c r="D168" s="1210"/>
      <c r="E168" s="1211"/>
      <c r="F168" s="1210"/>
      <c r="G168" s="1210"/>
      <c r="H168" s="1210"/>
      <c r="I168" s="1211"/>
      <c r="J168" s="1210"/>
      <c r="K168" s="1210"/>
      <c r="L168" s="1211"/>
      <c r="M168" s="1212"/>
    </row>
    <row r="169" spans="1:13" ht="16.5">
      <c r="A169" s="1885">
        <f t="shared" si="2"/>
        <v>164</v>
      </c>
      <c r="B169" s="3191"/>
      <c r="C169" s="1216" t="s">
        <v>3985</v>
      </c>
      <c r="D169" s="1210"/>
      <c r="E169" s="1211"/>
      <c r="F169" s="1210"/>
      <c r="G169" s="1210"/>
      <c r="H169" s="1210"/>
      <c r="I169" s="1211"/>
      <c r="J169" s="1210"/>
      <c r="K169" s="1210"/>
      <c r="L169" s="1211"/>
      <c r="M169" s="1212"/>
    </row>
    <row r="170" spans="1:13" ht="16.5">
      <c r="A170" s="1885">
        <f t="shared" si="2"/>
        <v>165</v>
      </c>
      <c r="B170" s="3191"/>
      <c r="C170" s="1216" t="s">
        <v>3986</v>
      </c>
      <c r="D170" s="1210"/>
      <c r="E170" s="1211"/>
      <c r="F170" s="1210"/>
      <c r="G170" s="1210"/>
      <c r="H170" s="1210"/>
      <c r="I170" s="1211"/>
      <c r="J170" s="1210"/>
      <c r="K170" s="1210"/>
      <c r="L170" s="1211"/>
      <c r="M170" s="1212"/>
    </row>
    <row r="171" spans="1:13" ht="16.5">
      <c r="A171" s="1885">
        <f t="shared" si="2"/>
        <v>166</v>
      </c>
      <c r="B171" s="3191"/>
      <c r="C171" s="1209" t="s">
        <v>3993</v>
      </c>
      <c r="D171" s="1210"/>
      <c r="E171" s="1211"/>
      <c r="F171" s="1210"/>
      <c r="G171" s="1210"/>
      <c r="H171" s="1210"/>
      <c r="I171" s="1211"/>
      <c r="J171" s="1210"/>
      <c r="K171" s="1210"/>
      <c r="L171" s="1211"/>
      <c r="M171" s="1212"/>
    </row>
    <row r="172" spans="1:13" ht="16.5">
      <c r="A172" s="1885">
        <f t="shared" si="2"/>
        <v>167</v>
      </c>
      <c r="B172" s="3191"/>
      <c r="C172" s="1213" t="s">
        <v>3957</v>
      </c>
      <c r="D172" s="1210"/>
      <c r="E172" s="1211"/>
      <c r="F172" s="1210"/>
      <c r="G172" s="1210"/>
      <c r="H172" s="1210"/>
      <c r="I172" s="1211"/>
      <c r="J172" s="1210"/>
      <c r="K172" s="1210"/>
      <c r="L172" s="1211"/>
      <c r="M172" s="1212"/>
    </row>
    <row r="173" spans="1:13" ht="16.5">
      <c r="A173" s="1885">
        <f t="shared" si="2"/>
        <v>168</v>
      </c>
      <c r="B173" s="3191"/>
      <c r="C173" s="1214" t="s">
        <v>3994</v>
      </c>
      <c r="D173" s="1210"/>
      <c r="E173" s="1211"/>
      <c r="F173" s="1210"/>
      <c r="G173" s="1210"/>
      <c r="H173" s="1210"/>
      <c r="I173" s="1211"/>
      <c r="J173" s="1210"/>
      <c r="K173" s="1210"/>
      <c r="L173" s="1211"/>
      <c r="M173" s="1212"/>
    </row>
    <row r="174" spans="1:13" ht="16.5">
      <c r="A174" s="1885">
        <f t="shared" si="2"/>
        <v>169</v>
      </c>
      <c r="B174" s="3191"/>
      <c r="C174" s="1214" t="s">
        <v>3995</v>
      </c>
      <c r="D174" s="1210"/>
      <c r="E174" s="1211"/>
      <c r="F174" s="1210"/>
      <c r="G174" s="1210"/>
      <c r="H174" s="1210"/>
      <c r="I174" s="1211"/>
      <c r="J174" s="1210"/>
      <c r="K174" s="1210"/>
      <c r="L174" s="1211"/>
      <c r="M174" s="1212"/>
    </row>
    <row r="175" spans="1:13" ht="33">
      <c r="A175" s="1885">
        <f t="shared" si="2"/>
        <v>170</v>
      </c>
      <c r="B175" s="3191"/>
      <c r="C175" s="1214" t="s">
        <v>3996</v>
      </c>
      <c r="D175" s="1210"/>
      <c r="E175" s="1211"/>
      <c r="F175" s="1210"/>
      <c r="G175" s="1210"/>
      <c r="H175" s="1210"/>
      <c r="I175" s="1211"/>
      <c r="J175" s="1210"/>
      <c r="K175" s="1210"/>
      <c r="L175" s="1211"/>
      <c r="M175" s="1215"/>
    </row>
    <row r="176" spans="1:13" ht="16.5">
      <c r="A176" s="1885">
        <f t="shared" si="2"/>
        <v>171</v>
      </c>
      <c r="B176" s="3191"/>
      <c r="C176" s="1214" t="s">
        <v>3997</v>
      </c>
      <c r="D176" s="1210"/>
      <c r="E176" s="1211"/>
      <c r="F176" s="1210"/>
      <c r="G176" s="1210"/>
      <c r="H176" s="1210"/>
      <c r="I176" s="1211"/>
      <c r="J176" s="1210"/>
      <c r="K176" s="1210"/>
      <c r="L176" s="1211"/>
      <c r="M176" s="1212"/>
    </row>
    <row r="177" spans="1:13" ht="16.5">
      <c r="A177" s="1885">
        <f t="shared" si="2"/>
        <v>172</v>
      </c>
      <c r="B177" s="3191"/>
      <c r="C177" s="1214" t="s">
        <v>3998</v>
      </c>
      <c r="D177" s="1210"/>
      <c r="E177" s="1211"/>
      <c r="F177" s="1210"/>
      <c r="G177" s="1210"/>
      <c r="H177" s="1210"/>
      <c r="I177" s="1211"/>
      <c r="J177" s="1210"/>
      <c r="K177" s="1210"/>
      <c r="L177" s="1211"/>
      <c r="M177" s="1212"/>
    </row>
    <row r="178" spans="1:13" ht="16.5">
      <c r="A178" s="1885">
        <f t="shared" si="2"/>
        <v>173</v>
      </c>
      <c r="B178" s="3191"/>
      <c r="C178" s="1214" t="s">
        <v>3999</v>
      </c>
      <c r="D178" s="1210"/>
      <c r="E178" s="1211"/>
      <c r="F178" s="1210"/>
      <c r="G178" s="1210"/>
      <c r="H178" s="1210"/>
      <c r="I178" s="1211"/>
      <c r="J178" s="1210"/>
      <c r="K178" s="1210"/>
      <c r="L178" s="1211"/>
      <c r="M178" s="1215"/>
    </row>
    <row r="179" spans="1:13" ht="16.5">
      <c r="A179" s="1885">
        <f t="shared" si="2"/>
        <v>174</v>
      </c>
      <c r="B179" s="3191"/>
      <c r="C179" s="1214" t="s">
        <v>4000</v>
      </c>
      <c r="D179" s="1210"/>
      <c r="E179" s="1211"/>
      <c r="F179" s="1210"/>
      <c r="G179" s="1210"/>
      <c r="H179" s="1210"/>
      <c r="I179" s="1211"/>
      <c r="J179" s="1210"/>
      <c r="K179" s="1210"/>
      <c r="L179" s="1211"/>
      <c r="M179" s="1212"/>
    </row>
    <row r="180" spans="1:13" ht="16.5">
      <c r="A180" s="1885">
        <f t="shared" si="2"/>
        <v>175</v>
      </c>
      <c r="B180" s="3191"/>
      <c r="C180" s="1216" t="s">
        <v>4001</v>
      </c>
      <c r="D180" s="1210"/>
      <c r="E180" s="1211"/>
      <c r="F180" s="1210"/>
      <c r="G180" s="1210"/>
      <c r="H180" s="1210"/>
      <c r="I180" s="1211"/>
      <c r="J180" s="1210"/>
      <c r="K180" s="1210"/>
      <c r="L180" s="1211"/>
      <c r="M180" s="1212"/>
    </row>
    <row r="181" spans="1:13" ht="16.5">
      <c r="A181" s="1885">
        <f t="shared" si="2"/>
        <v>176</v>
      </c>
      <c r="B181" s="3191"/>
      <c r="C181" s="1216" t="s">
        <v>4002</v>
      </c>
      <c r="D181" s="1210"/>
      <c r="E181" s="1211"/>
      <c r="F181" s="1210"/>
      <c r="G181" s="1210"/>
      <c r="H181" s="1210"/>
      <c r="I181" s="1211"/>
      <c r="J181" s="1210"/>
      <c r="K181" s="1210"/>
      <c r="L181" s="1211"/>
      <c r="M181" s="1212"/>
    </row>
    <row r="182" spans="1:13" ht="16.5">
      <c r="A182" s="1885">
        <f t="shared" si="2"/>
        <v>177</v>
      </c>
      <c r="B182" s="3191"/>
      <c r="C182" s="1216" t="s">
        <v>4003</v>
      </c>
      <c r="D182" s="1210"/>
      <c r="E182" s="1211"/>
      <c r="F182" s="1210"/>
      <c r="G182" s="1210"/>
      <c r="H182" s="1210"/>
      <c r="I182" s="1211"/>
      <c r="J182" s="1210"/>
      <c r="K182" s="1210"/>
      <c r="L182" s="1211"/>
      <c r="M182" s="1212"/>
    </row>
    <row r="183" spans="1:13" ht="16.5">
      <c r="A183" s="1885">
        <f t="shared" si="2"/>
        <v>178</v>
      </c>
      <c r="B183" s="3191"/>
      <c r="C183" s="1216" t="s">
        <v>4004</v>
      </c>
      <c r="D183" s="1210"/>
      <c r="E183" s="1211"/>
      <c r="F183" s="1210"/>
      <c r="G183" s="1210"/>
      <c r="H183" s="1210"/>
      <c r="I183" s="1211"/>
      <c r="J183" s="1210"/>
      <c r="K183" s="1210"/>
      <c r="L183" s="1211"/>
      <c r="M183" s="1215"/>
    </row>
    <row r="184" spans="1:13" ht="16.5">
      <c r="A184" s="1885">
        <f t="shared" si="2"/>
        <v>179</v>
      </c>
      <c r="B184" s="3191"/>
      <c r="C184" s="1216" t="s">
        <v>4005</v>
      </c>
      <c r="D184" s="1210"/>
      <c r="E184" s="1211"/>
      <c r="F184" s="1210"/>
      <c r="G184" s="1210"/>
      <c r="H184" s="1210"/>
      <c r="I184" s="1211"/>
      <c r="J184" s="1210"/>
      <c r="K184" s="1210"/>
      <c r="L184" s="1211"/>
      <c r="M184" s="1212"/>
    </row>
    <row r="185" spans="1:13" ht="16.5">
      <c r="A185" s="1885">
        <f t="shared" si="2"/>
        <v>180</v>
      </c>
      <c r="B185" s="3191"/>
      <c r="C185" s="1216" t="s">
        <v>4006</v>
      </c>
      <c r="D185" s="1210"/>
      <c r="E185" s="1211"/>
      <c r="F185" s="1210"/>
      <c r="G185" s="1210"/>
      <c r="H185" s="1210"/>
      <c r="I185" s="1211"/>
      <c r="J185" s="1210"/>
      <c r="K185" s="1210"/>
      <c r="L185" s="1211"/>
      <c r="M185" s="1212"/>
    </row>
    <row r="186" spans="1:13" ht="16.5">
      <c r="A186" s="1885">
        <f t="shared" si="2"/>
        <v>181</v>
      </c>
      <c r="B186" s="3191"/>
      <c r="C186" s="1216" t="s">
        <v>3931</v>
      </c>
      <c r="D186" s="1210"/>
      <c r="E186" s="1211"/>
      <c r="F186" s="1210"/>
      <c r="G186" s="1210"/>
      <c r="H186" s="1210"/>
      <c r="I186" s="1211"/>
      <c r="J186" s="1210"/>
      <c r="K186" s="1210"/>
      <c r="L186" s="1211"/>
      <c r="M186" s="1212"/>
    </row>
    <row r="187" spans="1:13" ht="16.5">
      <c r="A187" s="1885">
        <f t="shared" si="2"/>
        <v>182</v>
      </c>
      <c r="B187" s="3191"/>
      <c r="C187" s="1213" t="s">
        <v>3879</v>
      </c>
      <c r="D187" s="1210"/>
      <c r="E187" s="1211"/>
      <c r="F187" s="1210"/>
      <c r="G187" s="1210"/>
      <c r="H187" s="1210"/>
      <c r="I187" s="1211"/>
      <c r="J187" s="1210"/>
      <c r="K187" s="1210"/>
      <c r="L187" s="1211"/>
      <c r="M187" s="1212"/>
    </row>
    <row r="188" spans="1:13" ht="16.5">
      <c r="A188" s="1885">
        <f t="shared" si="2"/>
        <v>183</v>
      </c>
      <c r="B188" s="3191"/>
      <c r="C188" s="1214" t="s">
        <v>3994</v>
      </c>
      <c r="D188" s="1210"/>
      <c r="E188" s="1211"/>
      <c r="F188" s="1210"/>
      <c r="G188" s="1210"/>
      <c r="H188" s="1210"/>
      <c r="I188" s="1211"/>
      <c r="J188" s="1210"/>
      <c r="K188" s="1210"/>
      <c r="L188" s="1211"/>
      <c r="M188" s="1212"/>
    </row>
    <row r="189" spans="1:13" ht="16.5">
      <c r="A189" s="1885">
        <f t="shared" si="2"/>
        <v>184</v>
      </c>
      <c r="B189" s="3191"/>
      <c r="C189" s="1214" t="s">
        <v>3995</v>
      </c>
      <c r="D189" s="1210"/>
      <c r="E189" s="1211"/>
      <c r="F189" s="1210"/>
      <c r="G189" s="1210"/>
      <c r="H189" s="1210"/>
      <c r="I189" s="1211"/>
      <c r="J189" s="1210"/>
      <c r="K189" s="1210"/>
      <c r="L189" s="1211"/>
      <c r="M189" s="1212"/>
    </row>
    <row r="190" spans="1:13" ht="33">
      <c r="A190" s="1885">
        <f t="shared" si="2"/>
        <v>185</v>
      </c>
      <c r="B190" s="3191"/>
      <c r="C190" s="1214" t="s">
        <v>3996</v>
      </c>
      <c r="D190" s="1210"/>
      <c r="E190" s="1211"/>
      <c r="F190" s="1210"/>
      <c r="G190" s="1210"/>
      <c r="H190" s="1210"/>
      <c r="I190" s="1211"/>
      <c r="J190" s="1210"/>
      <c r="K190" s="1210"/>
      <c r="L190" s="1211"/>
      <c r="M190" s="1215"/>
    </row>
    <row r="191" spans="1:13" ht="16.5">
      <c r="A191" s="1885">
        <f t="shared" si="2"/>
        <v>186</v>
      </c>
      <c r="B191" s="3191"/>
      <c r="C191" s="1214" t="s">
        <v>3997</v>
      </c>
      <c r="D191" s="1210"/>
      <c r="E191" s="1211"/>
      <c r="F191" s="1210"/>
      <c r="G191" s="1210"/>
      <c r="H191" s="1210"/>
      <c r="I191" s="1211"/>
      <c r="J191" s="1210"/>
      <c r="K191" s="1210"/>
      <c r="L191" s="1211"/>
      <c r="M191" s="1212"/>
    </row>
    <row r="192" spans="1:13" ht="16.5">
      <c r="A192" s="1885">
        <f t="shared" si="2"/>
        <v>187</v>
      </c>
      <c r="B192" s="3191"/>
      <c r="C192" s="1214" t="s">
        <v>3998</v>
      </c>
      <c r="D192" s="1210"/>
      <c r="E192" s="1211"/>
      <c r="F192" s="1210"/>
      <c r="G192" s="1210"/>
      <c r="H192" s="1210"/>
      <c r="I192" s="1211"/>
      <c r="J192" s="1210"/>
      <c r="K192" s="1210"/>
      <c r="L192" s="1211"/>
      <c r="M192" s="1212"/>
    </row>
    <row r="193" spans="1:13" ht="16.5">
      <c r="A193" s="1885">
        <f t="shared" si="2"/>
        <v>188</v>
      </c>
      <c r="B193" s="3191"/>
      <c r="C193" s="1214" t="s">
        <v>3999</v>
      </c>
      <c r="D193" s="1210"/>
      <c r="E193" s="1211"/>
      <c r="F193" s="1210"/>
      <c r="G193" s="1210"/>
      <c r="H193" s="1210"/>
      <c r="I193" s="1211"/>
      <c r="J193" s="1210"/>
      <c r="K193" s="1210"/>
      <c r="L193" s="1211"/>
      <c r="M193" s="1215"/>
    </row>
    <row r="194" spans="1:13" ht="16.5">
      <c r="A194" s="1885">
        <f t="shared" si="2"/>
        <v>189</v>
      </c>
      <c r="B194" s="3191"/>
      <c r="C194" s="1214" t="s">
        <v>4000</v>
      </c>
      <c r="D194" s="1210"/>
      <c r="E194" s="1211"/>
      <c r="F194" s="1210"/>
      <c r="G194" s="1210"/>
      <c r="H194" s="1210"/>
      <c r="I194" s="1211"/>
      <c r="J194" s="1210"/>
      <c r="K194" s="1210"/>
      <c r="L194" s="1211"/>
      <c r="M194" s="1212"/>
    </row>
    <row r="195" spans="1:13" ht="16.5">
      <c r="A195" s="1885">
        <f t="shared" si="2"/>
        <v>190</v>
      </c>
      <c r="B195" s="3191"/>
      <c r="C195" s="1216" t="s">
        <v>4001</v>
      </c>
      <c r="D195" s="1210"/>
      <c r="E195" s="1211"/>
      <c r="F195" s="1210"/>
      <c r="G195" s="1210"/>
      <c r="H195" s="1210"/>
      <c r="I195" s="1211"/>
      <c r="J195" s="1210"/>
      <c r="K195" s="1210"/>
      <c r="L195" s="1211"/>
      <c r="M195" s="1212"/>
    </row>
    <row r="196" spans="1:13" ht="16.5">
      <c r="A196" s="1885">
        <f t="shared" si="2"/>
        <v>191</v>
      </c>
      <c r="B196" s="3191"/>
      <c r="C196" s="1216" t="s">
        <v>4002</v>
      </c>
      <c r="D196" s="1210"/>
      <c r="E196" s="1211"/>
      <c r="F196" s="1210"/>
      <c r="G196" s="1210"/>
      <c r="H196" s="1210"/>
      <c r="I196" s="1211"/>
      <c r="J196" s="1210"/>
      <c r="K196" s="1210"/>
      <c r="L196" s="1211"/>
      <c r="M196" s="1212"/>
    </row>
    <row r="197" spans="1:13" ht="16.5">
      <c r="A197" s="1885">
        <f t="shared" si="2"/>
        <v>192</v>
      </c>
      <c r="B197" s="3191"/>
      <c r="C197" s="1216" t="s">
        <v>4003</v>
      </c>
      <c r="D197" s="1210"/>
      <c r="E197" s="1211"/>
      <c r="F197" s="1210"/>
      <c r="G197" s="1210"/>
      <c r="H197" s="1210"/>
      <c r="I197" s="1211"/>
      <c r="J197" s="1210"/>
      <c r="K197" s="1210"/>
      <c r="L197" s="1211"/>
      <c r="M197" s="1212"/>
    </row>
    <row r="198" spans="1:13" ht="16.5">
      <c r="A198" s="1885">
        <f t="shared" si="2"/>
        <v>193</v>
      </c>
      <c r="B198" s="3191"/>
      <c r="C198" s="1216" t="s">
        <v>4004</v>
      </c>
      <c r="D198" s="1210"/>
      <c r="E198" s="1211"/>
      <c r="F198" s="1210"/>
      <c r="G198" s="1210"/>
      <c r="H198" s="1210"/>
      <c r="I198" s="1211"/>
      <c r="J198" s="1210"/>
      <c r="K198" s="1210"/>
      <c r="L198" s="1211"/>
      <c r="M198" s="1215"/>
    </row>
    <row r="199" spans="1:13" ht="16.5">
      <c r="A199" s="1885">
        <f t="shared" ref="A199:A269" si="3">A198+1</f>
        <v>194</v>
      </c>
      <c r="B199" s="3191"/>
      <c r="C199" s="1216" t="s">
        <v>4005</v>
      </c>
      <c r="D199" s="1210"/>
      <c r="E199" s="1211"/>
      <c r="F199" s="1210"/>
      <c r="G199" s="1210"/>
      <c r="H199" s="1210"/>
      <c r="I199" s="1211"/>
      <c r="J199" s="1210"/>
      <c r="K199" s="1210"/>
      <c r="L199" s="1211"/>
      <c r="M199" s="1212"/>
    </row>
    <row r="200" spans="1:13" ht="16.5">
      <c r="A200" s="1885">
        <f t="shared" si="3"/>
        <v>195</v>
      </c>
      <c r="B200" s="3191"/>
      <c r="C200" s="1216" t="s">
        <v>4006</v>
      </c>
      <c r="D200" s="1210"/>
      <c r="E200" s="1211"/>
      <c r="F200" s="1210"/>
      <c r="G200" s="1210"/>
      <c r="H200" s="1210"/>
      <c r="I200" s="1211"/>
      <c r="J200" s="1210"/>
      <c r="K200" s="1210"/>
      <c r="L200" s="1211"/>
      <c r="M200" s="1212"/>
    </row>
    <row r="201" spans="1:13" ht="16.5">
      <c r="A201" s="1885">
        <f t="shared" si="3"/>
        <v>196</v>
      </c>
      <c r="B201" s="3191"/>
      <c r="C201" s="1216" t="s">
        <v>3931</v>
      </c>
      <c r="D201" s="1210"/>
      <c r="E201" s="1211"/>
      <c r="F201" s="1210"/>
      <c r="G201" s="1210"/>
      <c r="H201" s="1210"/>
      <c r="I201" s="1211"/>
      <c r="J201" s="1210"/>
      <c r="K201" s="1210"/>
      <c r="L201" s="1211"/>
      <c r="M201" s="1212"/>
    </row>
    <row r="202" spans="1:13" ht="16.5">
      <c r="A202" s="1885">
        <f t="shared" si="3"/>
        <v>197</v>
      </c>
      <c r="B202" s="3191"/>
      <c r="C202" s="1884" t="s">
        <v>4007</v>
      </c>
      <c r="D202" s="1210"/>
      <c r="E202" s="1211"/>
      <c r="F202" s="1210"/>
      <c r="G202" s="1210"/>
      <c r="H202" s="1210"/>
      <c r="I202" s="1211"/>
      <c r="J202" s="1210"/>
      <c r="K202" s="1210"/>
      <c r="L202" s="1211"/>
      <c r="M202" s="1212"/>
    </row>
    <row r="203" spans="1:13" ht="16.5">
      <c r="A203" s="1885">
        <f t="shared" si="3"/>
        <v>198</v>
      </c>
      <c r="B203" s="3191" t="s">
        <v>4008</v>
      </c>
      <c r="C203" s="1209" t="s">
        <v>3960</v>
      </c>
      <c r="D203" s="1210"/>
      <c r="E203" s="1211"/>
      <c r="F203" s="1210"/>
      <c r="G203" s="1210"/>
      <c r="H203" s="1210"/>
      <c r="I203" s="1211"/>
      <c r="J203" s="1210"/>
      <c r="K203" s="1210"/>
      <c r="L203" s="1211"/>
      <c r="M203" s="1212"/>
    </row>
    <row r="204" spans="1:13" ht="16.5">
      <c r="A204" s="1885">
        <f t="shared" si="3"/>
        <v>199</v>
      </c>
      <c r="B204" s="3191"/>
      <c r="C204" s="1213" t="s">
        <v>4009</v>
      </c>
      <c r="D204" s="1210"/>
      <c r="E204" s="1211"/>
      <c r="F204" s="1210"/>
      <c r="G204" s="1210"/>
      <c r="H204" s="1210"/>
      <c r="I204" s="1211"/>
      <c r="J204" s="1210"/>
      <c r="K204" s="1210"/>
      <c r="L204" s="1211"/>
      <c r="M204" s="1212"/>
    </row>
    <row r="205" spans="1:13" ht="16.5">
      <c r="A205" s="1885">
        <f t="shared" si="3"/>
        <v>200</v>
      </c>
      <c r="B205" s="3191"/>
      <c r="C205" s="1213" t="s">
        <v>4010</v>
      </c>
      <c r="D205" s="1210"/>
      <c r="E205" s="1211"/>
      <c r="F205" s="1210"/>
      <c r="G205" s="1210"/>
      <c r="H205" s="1210"/>
      <c r="I205" s="1211"/>
      <c r="J205" s="1210"/>
      <c r="K205" s="1210"/>
      <c r="L205" s="1211"/>
      <c r="M205" s="1212"/>
    </row>
    <row r="206" spans="1:13" ht="16.5">
      <c r="A206" s="1220" t="s">
        <v>3503</v>
      </c>
      <c r="B206" s="3191"/>
      <c r="C206" s="1214" t="s">
        <v>4011</v>
      </c>
      <c r="D206" s="1210"/>
      <c r="E206" s="1211"/>
      <c r="F206" s="1210"/>
      <c r="G206" s="1210"/>
      <c r="H206" s="1210"/>
      <c r="I206" s="1211"/>
      <c r="J206" s="1210"/>
      <c r="K206" s="1210"/>
      <c r="L206" s="1211"/>
      <c r="M206" s="1212"/>
    </row>
    <row r="207" spans="1:13" ht="16.5">
      <c r="A207" s="1220" t="s">
        <v>3504</v>
      </c>
      <c r="B207" s="3191"/>
      <c r="C207" s="1214" t="s">
        <v>4012</v>
      </c>
      <c r="D207" s="1210"/>
      <c r="E207" s="1211"/>
      <c r="F207" s="1210"/>
      <c r="G207" s="1210"/>
      <c r="H207" s="1210"/>
      <c r="I207" s="1211"/>
      <c r="J207" s="1210"/>
      <c r="K207" s="1210"/>
      <c r="L207" s="1211"/>
      <c r="M207" s="1212"/>
    </row>
    <row r="208" spans="1:13" ht="16.5">
      <c r="A208" s="1220" t="s">
        <v>3505</v>
      </c>
      <c r="B208" s="3191"/>
      <c r="C208" s="1214" t="s">
        <v>4013</v>
      </c>
      <c r="D208" s="1210"/>
      <c r="E208" s="1211"/>
      <c r="F208" s="1210"/>
      <c r="G208" s="1210"/>
      <c r="H208" s="1210"/>
      <c r="I208" s="1211"/>
      <c r="J208" s="1210"/>
      <c r="K208" s="1210"/>
      <c r="L208" s="1211"/>
      <c r="M208" s="1212"/>
    </row>
    <row r="209" spans="1:13" ht="33">
      <c r="A209" s="1885">
        <f>A205+1</f>
        <v>201</v>
      </c>
      <c r="B209" s="3191"/>
      <c r="C209" s="1213" t="s">
        <v>4014</v>
      </c>
      <c r="D209" s="1210"/>
      <c r="E209" s="1211"/>
      <c r="F209" s="1210"/>
      <c r="G209" s="1210"/>
      <c r="H209" s="1210"/>
      <c r="I209" s="1211"/>
      <c r="J209" s="1210"/>
      <c r="K209" s="1210"/>
      <c r="L209" s="1211"/>
      <c r="M209" s="1212"/>
    </row>
    <row r="210" spans="1:13" ht="16.5">
      <c r="A210" s="1885">
        <f t="shared" si="3"/>
        <v>202</v>
      </c>
      <c r="B210" s="3191"/>
      <c r="C210" s="1213" t="s">
        <v>4015</v>
      </c>
      <c r="D210" s="1210"/>
      <c r="E210" s="1211"/>
      <c r="F210" s="1210"/>
      <c r="G210" s="1210"/>
      <c r="H210" s="1210"/>
      <c r="I210" s="1211"/>
      <c r="J210" s="1210"/>
      <c r="K210" s="1210"/>
      <c r="L210" s="1211"/>
      <c r="M210" s="1212"/>
    </row>
    <row r="211" spans="1:13" ht="16.5">
      <c r="A211" s="1885">
        <f t="shared" si="3"/>
        <v>203</v>
      </c>
      <c r="B211" s="3191"/>
      <c r="C211" s="1214" t="s">
        <v>4016</v>
      </c>
      <c r="D211" s="1210"/>
      <c r="E211" s="1211"/>
      <c r="F211" s="1210"/>
      <c r="G211" s="1210"/>
      <c r="H211" s="1210"/>
      <c r="I211" s="1211"/>
      <c r="J211" s="1210"/>
      <c r="K211" s="1210"/>
      <c r="L211" s="1211"/>
      <c r="M211" s="1212"/>
    </row>
    <row r="212" spans="1:13" ht="16.5">
      <c r="A212" s="1885">
        <f t="shared" si="3"/>
        <v>204</v>
      </c>
      <c r="B212" s="3191"/>
      <c r="C212" s="1214" t="s">
        <v>4017</v>
      </c>
      <c r="D212" s="1210"/>
      <c r="E212" s="1211"/>
      <c r="F212" s="1210"/>
      <c r="G212" s="1210"/>
      <c r="H212" s="1210"/>
      <c r="I212" s="1211"/>
      <c r="J212" s="1210"/>
      <c r="K212" s="1210"/>
      <c r="L212" s="1211"/>
      <c r="M212" s="1212"/>
    </row>
    <row r="213" spans="1:13" ht="16.5">
      <c r="A213" s="1885">
        <f t="shared" si="3"/>
        <v>205</v>
      </c>
      <c r="B213" s="3191"/>
      <c r="C213" s="1214" t="s">
        <v>4018</v>
      </c>
      <c r="D213" s="1210"/>
      <c r="E213" s="1211"/>
      <c r="F213" s="1210"/>
      <c r="G213" s="1210"/>
      <c r="H213" s="1210"/>
      <c r="I213" s="1211"/>
      <c r="J213" s="1210"/>
      <c r="K213" s="1210"/>
      <c r="L213" s="1211"/>
      <c r="M213" s="1212"/>
    </row>
    <row r="214" spans="1:13" ht="16.5">
      <c r="A214" s="1885">
        <f t="shared" si="3"/>
        <v>206</v>
      </c>
      <c r="B214" s="3191"/>
      <c r="C214" s="1214" t="s">
        <v>4019</v>
      </c>
      <c r="D214" s="1210"/>
      <c r="E214" s="1211"/>
      <c r="F214" s="1210"/>
      <c r="G214" s="1210"/>
      <c r="H214" s="1210"/>
      <c r="I214" s="1211"/>
      <c r="J214" s="1210"/>
      <c r="K214" s="1210"/>
      <c r="L214" s="1211"/>
      <c r="M214" s="1212"/>
    </row>
    <row r="215" spans="1:13" ht="16.5">
      <c r="A215" s="1885">
        <f t="shared" si="3"/>
        <v>207</v>
      </c>
      <c r="B215" s="3191"/>
      <c r="C215" s="1213" t="s">
        <v>4020</v>
      </c>
      <c r="D215" s="1210"/>
      <c r="E215" s="1211"/>
      <c r="F215" s="1210"/>
      <c r="G215" s="1210"/>
      <c r="H215" s="1210"/>
      <c r="I215" s="1211"/>
      <c r="J215" s="1210"/>
      <c r="K215" s="1210"/>
      <c r="L215" s="1211"/>
      <c r="M215" s="1212"/>
    </row>
    <row r="216" spans="1:13" ht="16.5">
      <c r="A216" s="1220" t="s">
        <v>3506</v>
      </c>
      <c r="B216" s="3191"/>
      <c r="C216" s="1214" t="s">
        <v>4011</v>
      </c>
      <c r="D216" s="1210"/>
      <c r="E216" s="1211"/>
      <c r="F216" s="1210"/>
      <c r="G216" s="1210"/>
      <c r="H216" s="1210"/>
      <c r="I216" s="1211"/>
      <c r="J216" s="1210"/>
      <c r="K216" s="1210"/>
      <c r="L216" s="1211"/>
      <c r="M216" s="1212"/>
    </row>
    <row r="217" spans="1:13" ht="16.5">
      <c r="A217" s="1220" t="s">
        <v>3507</v>
      </c>
      <c r="B217" s="3191"/>
      <c r="C217" s="1214" t="s">
        <v>4012</v>
      </c>
      <c r="D217" s="1210"/>
      <c r="E217" s="1211"/>
      <c r="F217" s="1210"/>
      <c r="G217" s="1210"/>
      <c r="H217" s="1210"/>
      <c r="I217" s="1211"/>
      <c r="J217" s="1210"/>
      <c r="K217" s="1210"/>
      <c r="L217" s="1211"/>
      <c r="M217" s="1212"/>
    </row>
    <row r="218" spans="1:13" ht="16.5">
      <c r="A218" s="1885">
        <f>A215+1</f>
        <v>208</v>
      </c>
      <c r="B218" s="3191"/>
      <c r="C218" s="1213" t="s">
        <v>4021</v>
      </c>
      <c r="D218" s="1210"/>
      <c r="E218" s="1211"/>
      <c r="F218" s="1210"/>
      <c r="G218" s="1210"/>
      <c r="H218" s="1210"/>
      <c r="I218" s="1211"/>
      <c r="J218" s="1210"/>
      <c r="K218" s="1210"/>
      <c r="L218" s="1211"/>
      <c r="M218" s="1212"/>
    </row>
    <row r="219" spans="1:13" ht="16.5">
      <c r="A219" s="1885">
        <f t="shared" si="3"/>
        <v>209</v>
      </c>
      <c r="B219" s="3191"/>
      <c r="C219" s="1209" t="s">
        <v>3993</v>
      </c>
      <c r="D219" s="1210"/>
      <c r="E219" s="1211"/>
      <c r="F219" s="1210"/>
      <c r="G219" s="1210"/>
      <c r="H219" s="1210"/>
      <c r="I219" s="1211"/>
      <c r="J219" s="1210"/>
      <c r="K219" s="1210"/>
      <c r="L219" s="1211"/>
      <c r="M219" s="1212"/>
    </row>
    <row r="220" spans="1:13" ht="16.5">
      <c r="A220" s="1885">
        <f t="shared" si="3"/>
        <v>210</v>
      </c>
      <c r="B220" s="3191"/>
      <c r="C220" s="1213" t="s">
        <v>4009</v>
      </c>
      <c r="D220" s="1210"/>
      <c r="E220" s="1211"/>
      <c r="F220" s="1210"/>
      <c r="G220" s="1210"/>
      <c r="H220" s="1210"/>
      <c r="I220" s="1211"/>
      <c r="J220" s="1210"/>
      <c r="K220" s="1210"/>
      <c r="L220" s="1211"/>
      <c r="M220" s="1212"/>
    </row>
    <row r="221" spans="1:13" ht="16.5">
      <c r="A221" s="1885">
        <f t="shared" si="3"/>
        <v>211</v>
      </c>
      <c r="B221" s="3191"/>
      <c r="C221" s="1214" t="s">
        <v>3898</v>
      </c>
      <c r="D221" s="1210"/>
      <c r="E221" s="1211"/>
      <c r="F221" s="1210"/>
      <c r="G221" s="1210"/>
      <c r="H221" s="1210"/>
      <c r="I221" s="1211"/>
      <c r="J221" s="1210"/>
      <c r="K221" s="1210"/>
      <c r="L221" s="1211"/>
      <c r="M221" s="1212"/>
    </row>
    <row r="222" spans="1:13" ht="16.5">
      <c r="A222" s="1885">
        <f t="shared" si="3"/>
        <v>212</v>
      </c>
      <c r="B222" s="3191"/>
      <c r="C222" s="1214" t="s">
        <v>3903</v>
      </c>
      <c r="D222" s="1210"/>
      <c r="E222" s="1211"/>
      <c r="F222" s="1210"/>
      <c r="G222" s="1210"/>
      <c r="H222" s="1210"/>
      <c r="I222" s="1211"/>
      <c r="J222" s="1210"/>
      <c r="K222" s="1210"/>
      <c r="L222" s="1211"/>
      <c r="M222" s="1212"/>
    </row>
    <row r="223" spans="1:13" ht="16.5">
      <c r="A223" s="1885">
        <f t="shared" si="3"/>
        <v>213</v>
      </c>
      <c r="B223" s="3191"/>
      <c r="C223" s="1213" t="s">
        <v>4010</v>
      </c>
      <c r="D223" s="1210"/>
      <c r="E223" s="1211"/>
      <c r="F223" s="1210"/>
      <c r="G223" s="1210"/>
      <c r="H223" s="1210"/>
      <c r="I223" s="1211"/>
      <c r="J223" s="1210"/>
      <c r="K223" s="1210"/>
      <c r="L223" s="1211"/>
      <c r="M223" s="1212"/>
    </row>
    <row r="224" spans="1:13" ht="16.5">
      <c r="A224" s="1220" t="s">
        <v>3508</v>
      </c>
      <c r="B224" s="3191"/>
      <c r="C224" s="1214" t="s">
        <v>4011</v>
      </c>
      <c r="D224" s="1210"/>
      <c r="E224" s="1211"/>
      <c r="F224" s="1210"/>
      <c r="G224" s="1210"/>
      <c r="H224" s="1210"/>
      <c r="I224" s="1211"/>
      <c r="J224" s="1210"/>
      <c r="K224" s="1210"/>
      <c r="L224" s="1211"/>
      <c r="M224" s="1212"/>
    </row>
    <row r="225" spans="1:13" ht="16.5">
      <c r="A225" s="1220" t="s">
        <v>3509</v>
      </c>
      <c r="B225" s="3191"/>
      <c r="C225" s="1214" t="s">
        <v>4012</v>
      </c>
      <c r="D225" s="1210"/>
      <c r="E225" s="1211"/>
      <c r="F225" s="1210"/>
      <c r="G225" s="1210"/>
      <c r="H225" s="1210"/>
      <c r="I225" s="1211"/>
      <c r="J225" s="1210"/>
      <c r="K225" s="1210"/>
      <c r="L225" s="1211"/>
      <c r="M225" s="1212"/>
    </row>
    <row r="226" spans="1:13" ht="16.5">
      <c r="A226" s="1220" t="s">
        <v>3510</v>
      </c>
      <c r="B226" s="3191"/>
      <c r="C226" s="1214" t="s">
        <v>4013</v>
      </c>
      <c r="D226" s="1210"/>
      <c r="E226" s="1211"/>
      <c r="F226" s="1210"/>
      <c r="G226" s="1210"/>
      <c r="H226" s="1210"/>
      <c r="I226" s="1211"/>
      <c r="J226" s="1210"/>
      <c r="K226" s="1210"/>
      <c r="L226" s="1211"/>
      <c r="M226" s="1212"/>
    </row>
    <row r="227" spans="1:13" ht="33">
      <c r="A227" s="1885">
        <f>A223+1</f>
        <v>214</v>
      </c>
      <c r="B227" s="3191"/>
      <c r="C227" s="1213" t="s">
        <v>4022</v>
      </c>
      <c r="D227" s="1210"/>
      <c r="E227" s="1211"/>
      <c r="F227" s="1210"/>
      <c r="G227" s="1210"/>
      <c r="H227" s="1210"/>
      <c r="I227" s="1211"/>
      <c r="J227" s="1210"/>
      <c r="K227" s="1210"/>
      <c r="L227" s="1211"/>
      <c r="M227" s="1212"/>
    </row>
    <row r="228" spans="1:13" ht="16.5">
      <c r="A228" s="1885">
        <f t="shared" si="3"/>
        <v>215</v>
      </c>
      <c r="B228" s="3191"/>
      <c r="C228" s="1213" t="s">
        <v>4023</v>
      </c>
      <c r="D228" s="1210"/>
      <c r="E228" s="1211"/>
      <c r="F228" s="1210"/>
      <c r="G228" s="1210"/>
      <c r="H228" s="1210"/>
      <c r="I228" s="1211"/>
      <c r="J228" s="1210"/>
      <c r="K228" s="1210"/>
      <c r="L228" s="1211"/>
      <c r="M228" s="1212"/>
    </row>
    <row r="229" spans="1:13" ht="16.5">
      <c r="A229" s="1885">
        <f t="shared" si="3"/>
        <v>216</v>
      </c>
      <c r="B229" s="3191"/>
      <c r="C229" s="1214" t="s">
        <v>3898</v>
      </c>
      <c r="D229" s="1210"/>
      <c r="E229" s="1211"/>
      <c r="F229" s="1210"/>
      <c r="G229" s="1210"/>
      <c r="H229" s="1210"/>
      <c r="I229" s="1211"/>
      <c r="J229" s="1210"/>
      <c r="K229" s="1210"/>
      <c r="L229" s="1211"/>
      <c r="M229" s="1212"/>
    </row>
    <row r="230" spans="1:13" ht="16.5">
      <c r="A230" s="1885">
        <f t="shared" si="3"/>
        <v>217</v>
      </c>
      <c r="B230" s="3191"/>
      <c r="C230" s="1214" t="s">
        <v>3903</v>
      </c>
      <c r="D230" s="1210"/>
      <c r="E230" s="1211"/>
      <c r="F230" s="1210"/>
      <c r="G230" s="1210"/>
      <c r="H230" s="1210"/>
      <c r="I230" s="1211"/>
      <c r="J230" s="1210"/>
      <c r="K230" s="1210"/>
      <c r="L230" s="1211"/>
      <c r="M230" s="1212"/>
    </row>
    <row r="231" spans="1:13" ht="16.5">
      <c r="A231" s="1885">
        <f t="shared" si="3"/>
        <v>218</v>
      </c>
      <c r="B231" s="3191"/>
      <c r="C231" s="1213" t="s">
        <v>4024</v>
      </c>
      <c r="D231" s="1210"/>
      <c r="E231" s="1211"/>
      <c r="F231" s="1210"/>
      <c r="G231" s="1210"/>
      <c r="H231" s="1210"/>
      <c r="I231" s="1211"/>
      <c r="J231" s="1210"/>
      <c r="K231" s="1210"/>
      <c r="L231" s="1211"/>
      <c r="M231" s="1212"/>
    </row>
    <row r="232" spans="1:13" ht="16.5">
      <c r="A232" s="1885">
        <f t="shared" si="3"/>
        <v>219</v>
      </c>
      <c r="B232" s="3191"/>
      <c r="C232" s="1214" t="s">
        <v>3898</v>
      </c>
      <c r="D232" s="1210"/>
      <c r="E232" s="1211"/>
      <c r="F232" s="1210"/>
      <c r="G232" s="1210"/>
      <c r="H232" s="1210"/>
      <c r="I232" s="1211"/>
      <c r="J232" s="1210"/>
      <c r="K232" s="1210"/>
      <c r="L232" s="1211"/>
      <c r="M232" s="1212"/>
    </row>
    <row r="233" spans="1:13" ht="16.5">
      <c r="A233" s="1220" t="s">
        <v>3511</v>
      </c>
      <c r="B233" s="3191"/>
      <c r="C233" s="1214" t="s">
        <v>4025</v>
      </c>
      <c r="D233" s="1210"/>
      <c r="E233" s="1211"/>
      <c r="F233" s="1210"/>
      <c r="G233" s="1210"/>
      <c r="H233" s="1210"/>
      <c r="I233" s="1211"/>
      <c r="J233" s="1210"/>
      <c r="K233" s="1210"/>
      <c r="L233" s="1211"/>
      <c r="M233" s="1212"/>
    </row>
    <row r="234" spans="1:13" ht="16.5">
      <c r="A234" s="1220" t="s">
        <v>3512</v>
      </c>
      <c r="B234" s="3191"/>
      <c r="C234" s="1214" t="s">
        <v>4026</v>
      </c>
      <c r="D234" s="1210"/>
      <c r="E234" s="1211"/>
      <c r="F234" s="1210"/>
      <c r="G234" s="1210"/>
      <c r="H234" s="1210"/>
      <c r="I234" s="1211"/>
      <c r="J234" s="1210"/>
      <c r="K234" s="1210"/>
      <c r="L234" s="1211"/>
      <c r="M234" s="1212"/>
    </row>
    <row r="235" spans="1:13" ht="16.5">
      <c r="A235" s="1885">
        <f>A232+1</f>
        <v>220</v>
      </c>
      <c r="B235" s="3191"/>
      <c r="C235" s="1214" t="s">
        <v>3903</v>
      </c>
      <c r="D235" s="1210"/>
      <c r="E235" s="1211"/>
      <c r="F235" s="1210"/>
      <c r="G235" s="1210"/>
      <c r="H235" s="1210"/>
      <c r="I235" s="1211"/>
      <c r="J235" s="1210"/>
      <c r="K235" s="1210"/>
      <c r="L235" s="1211"/>
      <c r="M235" s="1212"/>
    </row>
    <row r="236" spans="1:13" ht="16.5">
      <c r="A236" s="1220" t="s">
        <v>3513</v>
      </c>
      <c r="B236" s="3191"/>
      <c r="C236" s="1214" t="s">
        <v>4025</v>
      </c>
      <c r="D236" s="1210"/>
      <c r="E236" s="1211"/>
      <c r="F236" s="1210"/>
      <c r="G236" s="1210"/>
      <c r="H236" s="1210"/>
      <c r="I236" s="1211"/>
      <c r="J236" s="1210"/>
      <c r="K236" s="1210"/>
      <c r="L236" s="1211"/>
      <c r="M236" s="1212"/>
    </row>
    <row r="237" spans="1:13" ht="16.5">
      <c r="A237" s="1220" t="s">
        <v>3514</v>
      </c>
      <c r="B237" s="3191"/>
      <c r="C237" s="1214" t="s">
        <v>4026</v>
      </c>
      <c r="D237" s="1210"/>
      <c r="E237" s="1211"/>
      <c r="F237" s="1210"/>
      <c r="G237" s="1210"/>
      <c r="H237" s="1210"/>
      <c r="I237" s="1211"/>
      <c r="J237" s="1210"/>
      <c r="K237" s="1210"/>
      <c r="L237" s="1211"/>
      <c r="M237" s="1212"/>
    </row>
    <row r="238" spans="1:13" ht="16.5">
      <c r="A238" s="1885">
        <f>A235+1</f>
        <v>221</v>
      </c>
      <c r="B238" s="3191"/>
      <c r="C238" s="1213" t="s">
        <v>4021</v>
      </c>
      <c r="D238" s="1210"/>
      <c r="E238" s="1211"/>
      <c r="F238" s="1210"/>
      <c r="G238" s="1210"/>
      <c r="H238" s="1210"/>
      <c r="I238" s="1211"/>
      <c r="J238" s="1210"/>
      <c r="K238" s="1210"/>
      <c r="L238" s="1211"/>
      <c r="M238" s="1212"/>
    </row>
    <row r="239" spans="1:13" ht="16.5">
      <c r="A239" s="1885">
        <f t="shared" si="3"/>
        <v>222</v>
      </c>
      <c r="B239" s="3191"/>
      <c r="C239" s="1214" t="s">
        <v>3898</v>
      </c>
      <c r="D239" s="1210"/>
      <c r="E239" s="1211"/>
      <c r="F239" s="1210"/>
      <c r="G239" s="1210"/>
      <c r="H239" s="1210"/>
      <c r="I239" s="1211"/>
      <c r="J239" s="1210"/>
      <c r="K239" s="1210"/>
      <c r="L239" s="1211"/>
      <c r="M239" s="1212"/>
    </row>
    <row r="240" spans="1:13" ht="16.5">
      <c r="A240" s="1885">
        <f t="shared" si="3"/>
        <v>223</v>
      </c>
      <c r="B240" s="3191"/>
      <c r="C240" s="1214" t="s">
        <v>3903</v>
      </c>
      <c r="D240" s="1210"/>
      <c r="E240" s="1211"/>
      <c r="F240" s="1210"/>
      <c r="G240" s="1210"/>
      <c r="H240" s="1210"/>
      <c r="I240" s="1211"/>
      <c r="J240" s="1210"/>
      <c r="K240" s="1210"/>
      <c r="L240" s="1211"/>
      <c r="M240" s="1212"/>
    </row>
    <row r="241" spans="1:13" ht="16.5">
      <c r="A241" s="1885">
        <f t="shared" si="3"/>
        <v>224</v>
      </c>
      <c r="B241" s="3191"/>
      <c r="C241" s="1884" t="s">
        <v>4027</v>
      </c>
      <c r="D241" s="1210"/>
      <c r="E241" s="1211"/>
      <c r="F241" s="1210"/>
      <c r="G241" s="1210"/>
      <c r="H241" s="1210"/>
      <c r="I241" s="1211"/>
      <c r="J241" s="1210"/>
      <c r="K241" s="1210"/>
      <c r="L241" s="1211"/>
      <c r="M241" s="1212"/>
    </row>
    <row r="242" spans="1:13" ht="16.5">
      <c r="A242" s="1885">
        <f t="shared" si="3"/>
        <v>225</v>
      </c>
      <c r="B242" s="3191" t="s">
        <v>4028</v>
      </c>
      <c r="C242" s="1884" t="s">
        <v>4029</v>
      </c>
      <c r="D242" s="1210"/>
      <c r="E242" s="1211"/>
      <c r="F242" s="1210"/>
      <c r="G242" s="1210"/>
      <c r="H242" s="1210"/>
      <c r="I242" s="1211"/>
      <c r="J242" s="1210"/>
      <c r="K242" s="1210"/>
      <c r="L242" s="1211"/>
      <c r="M242" s="1212"/>
    </row>
    <row r="243" spans="1:13" ht="16.5">
      <c r="A243" s="1885">
        <f t="shared" si="3"/>
        <v>226</v>
      </c>
      <c r="B243" s="3191"/>
      <c r="C243" s="1213" t="s">
        <v>3957</v>
      </c>
      <c r="D243" s="1210"/>
      <c r="E243" s="1211"/>
      <c r="F243" s="1210"/>
      <c r="G243" s="1210"/>
      <c r="H243" s="1210"/>
      <c r="I243" s="1211"/>
      <c r="J243" s="1210"/>
      <c r="K243" s="1210"/>
      <c r="L243" s="1211"/>
      <c r="M243" s="1212"/>
    </row>
    <row r="244" spans="1:13" ht="16.5">
      <c r="A244" s="1885">
        <f t="shared" si="3"/>
        <v>227</v>
      </c>
      <c r="B244" s="3191"/>
      <c r="C244" s="1221" t="s">
        <v>4030</v>
      </c>
      <c r="D244" s="1210"/>
      <c r="E244" s="1211"/>
      <c r="F244" s="1210"/>
      <c r="G244" s="1210"/>
      <c r="H244" s="1210"/>
      <c r="I244" s="1211"/>
      <c r="J244" s="1210"/>
      <c r="K244" s="1210"/>
      <c r="L244" s="1211"/>
      <c r="M244" s="1212"/>
    </row>
    <row r="245" spans="1:13" ht="16.5">
      <c r="A245" s="1885">
        <f t="shared" si="3"/>
        <v>228</v>
      </c>
      <c r="B245" s="3191"/>
      <c r="C245" s="1221" t="s">
        <v>4031</v>
      </c>
      <c r="D245" s="1210"/>
      <c r="E245" s="1211"/>
      <c r="F245" s="1210"/>
      <c r="G245" s="1210"/>
      <c r="H245" s="1210"/>
      <c r="I245" s="1211"/>
      <c r="J245" s="1210"/>
      <c r="K245" s="1210"/>
      <c r="L245" s="1211"/>
      <c r="M245" s="1212"/>
    </row>
    <row r="246" spans="1:13" ht="16.5">
      <c r="A246" s="1885">
        <f t="shared" si="3"/>
        <v>229</v>
      </c>
      <c r="B246" s="3191"/>
      <c r="C246" s="1221" t="s">
        <v>4032</v>
      </c>
      <c r="D246" s="1210"/>
      <c r="E246" s="1211"/>
      <c r="F246" s="1210"/>
      <c r="G246" s="1210"/>
      <c r="H246" s="1210"/>
      <c r="I246" s="1211"/>
      <c r="J246" s="1210"/>
      <c r="K246" s="1210"/>
      <c r="L246" s="1211"/>
      <c r="M246" s="1212"/>
    </row>
    <row r="247" spans="1:13" ht="16.5">
      <c r="A247" s="1885">
        <f t="shared" si="3"/>
        <v>230</v>
      </c>
      <c r="B247" s="3191"/>
      <c r="C247" s="1213" t="s">
        <v>3879</v>
      </c>
      <c r="D247" s="1210"/>
      <c r="E247" s="1211"/>
      <c r="F247" s="1210"/>
      <c r="G247" s="1210"/>
      <c r="H247" s="1210"/>
      <c r="I247" s="1211"/>
      <c r="J247" s="1210"/>
      <c r="K247" s="1210"/>
      <c r="L247" s="1211"/>
      <c r="M247" s="1212"/>
    </row>
    <row r="248" spans="1:13" ht="16.5">
      <c r="A248" s="1885">
        <f t="shared" si="3"/>
        <v>231</v>
      </c>
      <c r="B248" s="3191"/>
      <c r="C248" s="1221" t="s">
        <v>4030</v>
      </c>
      <c r="D248" s="1210"/>
      <c r="E248" s="1211"/>
      <c r="F248" s="1210"/>
      <c r="G248" s="1210"/>
      <c r="H248" s="1210"/>
      <c r="I248" s="1211"/>
      <c r="J248" s="1210"/>
      <c r="K248" s="1210"/>
      <c r="L248" s="1211"/>
      <c r="M248" s="1212"/>
    </row>
    <row r="249" spans="1:13" ht="16.5">
      <c r="A249" s="1885">
        <f t="shared" si="3"/>
        <v>232</v>
      </c>
      <c r="B249" s="3191"/>
      <c r="C249" s="1221" t="s">
        <v>4031</v>
      </c>
      <c r="D249" s="1210"/>
      <c r="E249" s="1211"/>
      <c r="F249" s="1210"/>
      <c r="G249" s="1210"/>
      <c r="H249" s="1210"/>
      <c r="I249" s="1211"/>
      <c r="J249" s="1210"/>
      <c r="K249" s="1210"/>
      <c r="L249" s="1211"/>
      <c r="M249" s="1212"/>
    </row>
    <row r="250" spans="1:13" ht="16.5">
      <c r="A250" s="1885">
        <f t="shared" si="3"/>
        <v>233</v>
      </c>
      <c r="B250" s="3191"/>
      <c r="C250" s="1221" t="s">
        <v>4032</v>
      </c>
      <c r="D250" s="1210"/>
      <c r="E250" s="1211"/>
      <c r="F250" s="1210"/>
      <c r="G250" s="1210"/>
      <c r="H250" s="1210"/>
      <c r="I250" s="1211"/>
      <c r="J250" s="1210"/>
      <c r="K250" s="1210"/>
      <c r="L250" s="1211"/>
      <c r="M250" s="1212"/>
    </row>
    <row r="251" spans="1:13" ht="16.5">
      <c r="A251" s="1885">
        <f t="shared" si="3"/>
        <v>234</v>
      </c>
      <c r="B251" s="3191"/>
      <c r="C251" s="1884" t="s">
        <v>4033</v>
      </c>
      <c r="D251" s="1210"/>
      <c r="E251" s="1211"/>
      <c r="F251" s="1210"/>
      <c r="G251" s="1210"/>
      <c r="H251" s="1210"/>
      <c r="I251" s="1211"/>
      <c r="J251" s="1210"/>
      <c r="K251" s="1210"/>
      <c r="L251" s="1211"/>
      <c r="M251" s="1212"/>
    </row>
    <row r="252" spans="1:13" ht="16.5">
      <c r="A252" s="1885">
        <f t="shared" si="3"/>
        <v>235</v>
      </c>
      <c r="B252" s="3191"/>
      <c r="C252" s="1218" t="s">
        <v>4030</v>
      </c>
      <c r="D252" s="1210"/>
      <c r="E252" s="1211"/>
      <c r="F252" s="1210"/>
      <c r="G252" s="1210"/>
      <c r="H252" s="1210"/>
      <c r="I252" s="1211"/>
      <c r="J252" s="1210"/>
      <c r="K252" s="1210"/>
      <c r="L252" s="1211"/>
      <c r="M252" s="1212"/>
    </row>
    <row r="253" spans="1:13" ht="16.5">
      <c r="A253" s="1885">
        <f t="shared" si="3"/>
        <v>236</v>
      </c>
      <c r="B253" s="3191"/>
      <c r="C253" s="1213" t="s">
        <v>4031</v>
      </c>
      <c r="D253" s="1210"/>
      <c r="E253" s="1211"/>
      <c r="F253" s="1210"/>
      <c r="G253" s="1210"/>
      <c r="H253" s="1210"/>
      <c r="I253" s="1211"/>
      <c r="J253" s="1210"/>
      <c r="K253" s="1210"/>
      <c r="L253" s="1211"/>
      <c r="M253" s="1212"/>
    </row>
    <row r="254" spans="1:13" ht="16.5">
      <c r="A254" s="1885">
        <f t="shared" si="3"/>
        <v>237</v>
      </c>
      <c r="B254" s="3191"/>
      <c r="C254" s="1218" t="s">
        <v>4032</v>
      </c>
      <c r="D254" s="1210"/>
      <c r="E254" s="1211"/>
      <c r="F254" s="1210"/>
      <c r="G254" s="1210"/>
      <c r="H254" s="1210"/>
      <c r="I254" s="1211"/>
      <c r="J254" s="1210"/>
      <c r="K254" s="1210"/>
      <c r="L254" s="1211"/>
      <c r="M254" s="1212"/>
    </row>
    <row r="255" spans="1:13" ht="16.5">
      <c r="A255" s="1885">
        <f t="shared" si="3"/>
        <v>238</v>
      </c>
      <c r="B255" s="3191"/>
      <c r="C255" s="1884" t="s">
        <v>4034</v>
      </c>
      <c r="D255" s="1210"/>
      <c r="E255" s="1211"/>
      <c r="F255" s="1210"/>
      <c r="G255" s="1210"/>
      <c r="H255" s="1210"/>
      <c r="I255" s="1211"/>
      <c r="J255" s="1210"/>
      <c r="K255" s="1210"/>
      <c r="L255" s="1211"/>
      <c r="M255" s="1212"/>
    </row>
    <row r="256" spans="1:13" ht="15.75" customHeight="1">
      <c r="A256" s="1885">
        <f t="shared" si="3"/>
        <v>239</v>
      </c>
      <c r="B256" s="3189" t="s">
        <v>4035</v>
      </c>
      <c r="C256" s="3190"/>
      <c r="D256" s="1210"/>
      <c r="E256" s="1211"/>
      <c r="F256" s="1210"/>
      <c r="G256" s="1210"/>
      <c r="H256" s="1210"/>
      <c r="I256" s="1211"/>
      <c r="J256" s="1210"/>
      <c r="K256" s="1210"/>
      <c r="L256" s="1211"/>
      <c r="M256" s="1212"/>
    </row>
    <row r="257" spans="1:13" ht="15.75" customHeight="1">
      <c r="A257" s="1885">
        <f t="shared" si="3"/>
        <v>240</v>
      </c>
      <c r="B257" s="3189" t="s">
        <v>4036</v>
      </c>
      <c r="C257" s="3190"/>
      <c r="D257" s="1210"/>
      <c r="E257" s="1211"/>
      <c r="F257" s="1210"/>
      <c r="G257" s="1210"/>
      <c r="H257" s="1210"/>
      <c r="I257" s="1211"/>
      <c r="J257" s="1210"/>
      <c r="K257" s="1210"/>
      <c r="L257" s="1211"/>
      <c r="M257" s="1212"/>
    </row>
    <row r="258" spans="1:13" ht="15.75" customHeight="1">
      <c r="A258" s="1885">
        <f t="shared" si="3"/>
        <v>241</v>
      </c>
      <c r="B258" s="3189" t="s">
        <v>4037</v>
      </c>
      <c r="C258" s="3190"/>
      <c r="D258" s="1210"/>
      <c r="E258" s="1211"/>
      <c r="F258" s="1210"/>
      <c r="G258" s="1210"/>
      <c r="H258" s="1210"/>
      <c r="I258" s="1211"/>
      <c r="J258" s="1210"/>
      <c r="K258" s="1210"/>
      <c r="L258" s="1211"/>
      <c r="M258" s="1212"/>
    </row>
    <row r="259" spans="1:13" ht="16.5">
      <c r="A259" s="1885">
        <f t="shared" si="3"/>
        <v>242</v>
      </c>
      <c r="B259" s="3191" t="s">
        <v>4038</v>
      </c>
      <c r="C259" s="1884" t="s">
        <v>4039</v>
      </c>
      <c r="D259" s="1210"/>
      <c r="E259" s="1211"/>
      <c r="F259" s="1210"/>
      <c r="G259" s="1210"/>
      <c r="H259" s="1210"/>
      <c r="I259" s="1211"/>
      <c r="J259" s="1210"/>
      <c r="K259" s="1210"/>
      <c r="L259" s="1211"/>
      <c r="M259" s="1212"/>
    </row>
    <row r="260" spans="1:13" ht="16.5">
      <c r="A260" s="1885">
        <f t="shared" si="3"/>
        <v>243</v>
      </c>
      <c r="B260" s="3191"/>
      <c r="C260" s="1884" t="s">
        <v>4040</v>
      </c>
      <c r="D260" s="1210"/>
      <c r="E260" s="1211"/>
      <c r="F260" s="1210"/>
      <c r="G260" s="1210"/>
      <c r="H260" s="1210"/>
      <c r="I260" s="1211"/>
      <c r="J260" s="1210"/>
      <c r="K260" s="1210"/>
      <c r="L260" s="1211"/>
      <c r="M260" s="1212"/>
    </row>
    <row r="261" spans="1:13" ht="16.5">
      <c r="A261" s="1885">
        <f t="shared" si="3"/>
        <v>244</v>
      </c>
      <c r="B261" s="3191"/>
      <c r="C261" s="1884" t="s">
        <v>4041</v>
      </c>
      <c r="D261" s="1210"/>
      <c r="E261" s="1211"/>
      <c r="F261" s="1210"/>
      <c r="G261" s="1210"/>
      <c r="H261" s="1210"/>
      <c r="I261" s="1211"/>
      <c r="J261" s="1210"/>
      <c r="K261" s="1210"/>
      <c r="L261" s="1211"/>
      <c r="M261" s="1212"/>
    </row>
    <row r="262" spans="1:13" ht="16.5">
      <c r="A262" s="1885">
        <f t="shared" si="3"/>
        <v>245</v>
      </c>
      <c r="B262" s="3191"/>
      <c r="C262" s="1884" t="s">
        <v>4042</v>
      </c>
      <c r="D262" s="1210"/>
      <c r="E262" s="1211"/>
      <c r="F262" s="1210"/>
      <c r="G262" s="1210"/>
      <c r="H262" s="1210"/>
      <c r="I262" s="1211"/>
      <c r="J262" s="1210"/>
      <c r="K262" s="1210"/>
      <c r="L262" s="1211"/>
      <c r="M262" s="1212"/>
    </row>
    <row r="263" spans="1:13" ht="16.5">
      <c r="A263" s="1885">
        <f t="shared" si="3"/>
        <v>246</v>
      </c>
      <c r="B263" s="3191"/>
      <c r="C263" s="1884" t="s">
        <v>4043</v>
      </c>
      <c r="D263" s="1210"/>
      <c r="E263" s="1211"/>
      <c r="F263" s="1210"/>
      <c r="G263" s="1210"/>
      <c r="H263" s="1210"/>
      <c r="I263" s="1211"/>
      <c r="J263" s="1210"/>
      <c r="K263" s="1210"/>
      <c r="L263" s="1211"/>
      <c r="M263" s="1212"/>
    </row>
    <row r="264" spans="1:13" ht="16.5">
      <c r="A264" s="1885">
        <f t="shared" si="3"/>
        <v>247</v>
      </c>
      <c r="B264" s="3191"/>
      <c r="C264" s="1884" t="s">
        <v>4044</v>
      </c>
      <c r="D264" s="1210"/>
      <c r="E264" s="1211"/>
      <c r="F264" s="1210"/>
      <c r="G264" s="1210"/>
      <c r="H264" s="1210"/>
      <c r="I264" s="1211"/>
      <c r="J264" s="1210"/>
      <c r="K264" s="1210"/>
      <c r="L264" s="1211"/>
      <c r="M264" s="1212"/>
    </row>
    <row r="265" spans="1:13" ht="16.5">
      <c r="A265" s="1885">
        <f t="shared" si="3"/>
        <v>248</v>
      </c>
      <c r="B265" s="3191"/>
      <c r="C265" s="1884" t="s">
        <v>4045</v>
      </c>
      <c r="D265" s="1210"/>
      <c r="E265" s="1211"/>
      <c r="F265" s="1210"/>
      <c r="G265" s="1210"/>
      <c r="H265" s="1210"/>
      <c r="I265" s="1211"/>
      <c r="J265" s="1210"/>
      <c r="K265" s="1210"/>
      <c r="L265" s="1211"/>
      <c r="M265" s="1212"/>
    </row>
    <row r="266" spans="1:13" ht="16.5">
      <c r="A266" s="1885">
        <f t="shared" si="3"/>
        <v>249</v>
      </c>
      <c r="B266" s="3191"/>
      <c r="C266" s="1884" t="s">
        <v>4046</v>
      </c>
      <c r="D266" s="1210"/>
      <c r="E266" s="1211"/>
      <c r="F266" s="1210"/>
      <c r="G266" s="1210"/>
      <c r="H266" s="1210"/>
      <c r="I266" s="1211"/>
      <c r="J266" s="1210"/>
      <c r="K266" s="1210"/>
      <c r="L266" s="1211"/>
      <c r="M266" s="1212"/>
    </row>
    <row r="267" spans="1:13" ht="16.5">
      <c r="A267" s="1885">
        <f t="shared" si="3"/>
        <v>250</v>
      </c>
      <c r="B267" s="3191"/>
      <c r="C267" s="1884" t="s">
        <v>4047</v>
      </c>
      <c r="D267" s="1210"/>
      <c r="E267" s="1211"/>
      <c r="F267" s="1210"/>
      <c r="G267" s="1210"/>
      <c r="H267" s="1210"/>
      <c r="I267" s="1211"/>
      <c r="J267" s="1210"/>
      <c r="K267" s="1210"/>
      <c r="L267" s="1211"/>
      <c r="M267" s="1212"/>
    </row>
    <row r="268" spans="1:13" ht="16.5">
      <c r="A268" s="1885">
        <f t="shared" si="3"/>
        <v>251</v>
      </c>
      <c r="B268" s="3191"/>
      <c r="C268" s="1884" t="s">
        <v>4048</v>
      </c>
      <c r="D268" s="1210"/>
      <c r="E268" s="1211"/>
      <c r="F268" s="1210"/>
      <c r="G268" s="1210"/>
      <c r="H268" s="1210"/>
      <c r="I268" s="1211"/>
      <c r="J268" s="1210"/>
      <c r="K268" s="1210"/>
      <c r="L268" s="1211"/>
      <c r="M268" s="1212"/>
    </row>
    <row r="269" spans="1:13">
      <c r="A269" s="1885">
        <f t="shared" si="3"/>
        <v>252</v>
      </c>
      <c r="B269" s="3187" t="s">
        <v>4049</v>
      </c>
      <c r="C269" s="3188"/>
      <c r="D269" s="1210"/>
      <c r="E269" s="1211"/>
      <c r="F269" s="1210"/>
      <c r="G269" s="1210"/>
      <c r="H269" s="1210"/>
      <c r="I269" s="1211"/>
      <c r="J269" s="1210"/>
      <c r="K269" s="1210"/>
      <c r="L269" s="1211"/>
      <c r="M269" s="1212"/>
    </row>
    <row r="270" spans="1:13" ht="16.5">
      <c r="A270" s="1222" t="s">
        <v>4050</v>
      </c>
      <c r="B270" s="1223"/>
      <c r="C270" s="1223"/>
      <c r="D270" s="1224"/>
      <c r="E270" s="1224"/>
      <c r="F270" s="1224"/>
      <c r="G270" s="1225"/>
      <c r="H270" s="1225"/>
      <c r="I270" s="1225"/>
      <c r="J270" s="1225"/>
      <c r="K270" s="1225"/>
      <c r="L270" s="1225"/>
    </row>
    <row r="271" spans="1:13" ht="16.5">
      <c r="A271" s="1226">
        <v>1</v>
      </c>
      <c r="B271" s="1227" t="s">
        <v>4051</v>
      </c>
      <c r="C271" s="1227"/>
      <c r="D271" s="1228"/>
      <c r="E271" s="1228"/>
      <c r="F271" s="1228"/>
      <c r="G271" s="1225"/>
      <c r="H271" s="1225"/>
      <c r="I271" s="1225"/>
      <c r="J271" s="1225"/>
      <c r="K271" s="1225"/>
      <c r="L271" s="1225"/>
    </row>
    <row r="272" spans="1:13" ht="16.5">
      <c r="A272" s="1226">
        <v>2</v>
      </c>
      <c r="B272" s="1227" t="s">
        <v>4052</v>
      </c>
      <c r="C272" s="1229"/>
      <c r="D272" s="1230"/>
      <c r="E272" s="1230"/>
      <c r="F272" s="1230"/>
      <c r="G272" s="1230"/>
      <c r="H272" s="1230"/>
      <c r="I272" s="1230"/>
      <c r="J272" s="1225"/>
      <c r="K272" s="1225"/>
      <c r="L272" s="1225"/>
    </row>
    <row r="273" spans="1:12" ht="16.5">
      <c r="A273" s="1226">
        <v>3</v>
      </c>
      <c r="B273" s="1231" t="s">
        <v>4053</v>
      </c>
      <c r="C273" s="1232"/>
      <c r="D273" s="1233"/>
      <c r="E273" s="1233"/>
      <c r="F273" s="1233"/>
      <c r="G273" s="1233"/>
      <c r="H273" s="1230"/>
      <c r="I273" s="1230"/>
      <c r="J273" s="1225"/>
      <c r="K273" s="1225"/>
      <c r="L273" s="1225"/>
    </row>
    <row r="274" spans="1:12" ht="16.5">
      <c r="A274" s="1226" t="s">
        <v>441</v>
      </c>
      <c r="B274" s="1234" t="s">
        <v>4054</v>
      </c>
      <c r="C274" s="1234"/>
      <c r="D274" s="1225"/>
      <c r="E274" s="1225"/>
      <c r="F274" s="1225"/>
      <c r="G274" s="1225"/>
      <c r="H274" s="1225"/>
      <c r="I274" s="1225"/>
      <c r="J274" s="1225"/>
      <c r="K274" s="1225"/>
      <c r="L274" s="1225"/>
    </row>
    <row r="275" spans="1:12" ht="16.5">
      <c r="A275" s="1235">
        <v>5</v>
      </c>
      <c r="B275" s="1236" t="s">
        <v>4055</v>
      </c>
      <c r="C275" s="1236"/>
    </row>
    <row r="276" spans="1:12" ht="16.5">
      <c r="A276" s="1235">
        <v>6</v>
      </c>
      <c r="B276" s="1236" t="s">
        <v>4056</v>
      </c>
      <c r="C276" s="1236"/>
    </row>
    <row r="277" spans="1:12" ht="16.5">
      <c r="A277" s="1235">
        <v>7</v>
      </c>
      <c r="B277" s="1236" t="s">
        <v>4057</v>
      </c>
      <c r="C277" s="1236"/>
    </row>
    <row r="278" spans="1:12" ht="16.5">
      <c r="A278" s="1235">
        <v>8</v>
      </c>
      <c r="B278" s="1236" t="s">
        <v>4058</v>
      </c>
      <c r="C278" s="1236"/>
    </row>
    <row r="279" spans="1:12" ht="16.5">
      <c r="A279" s="1235">
        <v>9</v>
      </c>
      <c r="B279" s="1236" t="s">
        <v>4059</v>
      </c>
      <c r="C279" s="1236"/>
    </row>
    <row r="280" spans="1:12" ht="16.5">
      <c r="A280" s="1235">
        <v>10</v>
      </c>
      <c r="B280" s="1236" t="s">
        <v>4060</v>
      </c>
      <c r="C280" s="1236"/>
    </row>
    <row r="281" spans="1:12" ht="16.5">
      <c r="A281" s="1236"/>
      <c r="B281" s="1236" t="s">
        <v>4061</v>
      </c>
      <c r="C281" s="1237"/>
    </row>
    <row r="282" spans="1:12" ht="16.5">
      <c r="A282" s="1238">
        <v>11</v>
      </c>
      <c r="B282" s="1236" t="s">
        <v>4062</v>
      </c>
      <c r="C282" s="1236"/>
    </row>
    <row r="283" spans="1:12" ht="16.5">
      <c r="A283" s="1238">
        <v>12</v>
      </c>
      <c r="B283" s="2154" t="s">
        <v>4874</v>
      </c>
      <c r="C283" s="1236"/>
    </row>
    <row r="284" spans="1:12">
      <c r="A284" s="1236"/>
      <c r="B284" s="1236"/>
      <c r="C284" s="1236"/>
    </row>
    <row r="285" spans="1:12">
      <c r="A285" s="1236"/>
      <c r="B285" s="1236"/>
      <c r="C285" s="1236"/>
    </row>
    <row r="286" spans="1:12">
      <c r="A286" s="1236"/>
      <c r="B286" s="1236"/>
      <c r="C286" s="1236"/>
    </row>
    <row r="287" spans="1:12">
      <c r="A287" s="1236"/>
      <c r="B287" s="1236"/>
      <c r="C287" s="1236"/>
    </row>
  </sheetData>
  <mergeCells count="18">
    <mergeCell ref="K3:L3"/>
    <mergeCell ref="B6:B11"/>
    <mergeCell ref="B12:B81"/>
    <mergeCell ref="H3:J3"/>
    <mergeCell ref="B256:C256"/>
    <mergeCell ref="B242:B255"/>
    <mergeCell ref="B100:B109"/>
    <mergeCell ref="B203:B241"/>
    <mergeCell ref="A3:A5"/>
    <mergeCell ref="B3:C4"/>
    <mergeCell ref="D3:G3"/>
    <mergeCell ref="B5:C5"/>
    <mergeCell ref="B269:C269"/>
    <mergeCell ref="B257:C257"/>
    <mergeCell ref="B82:B98"/>
    <mergeCell ref="B110:B202"/>
    <mergeCell ref="B259:B268"/>
    <mergeCell ref="B258:C258"/>
  </mergeCells>
  <phoneticPr fontId="7" type="noConversion"/>
  <pageMargins left="0.51181102362204722" right="0.35433070866141736" top="0.39370078740157483" bottom="0.27559055118110237" header="0.15748031496062992" footer="0.23622047244094491"/>
  <pageSetup paperSize="9" scale="33" fitToHeight="2" orientation="portrait" r:id="rId1"/>
  <headerFooter alignWithMargins="0">
    <oddFooter>&amp;C&amp;P/&amp;N&amp;R&amp;A</oddFooter>
  </headerFooter>
  <rowBreaks count="1" manualBreakCount="1">
    <brk id="14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I31"/>
  <sheetViews>
    <sheetView zoomScaleNormal="100" workbookViewId="0">
      <selection activeCell="C25" sqref="C25"/>
    </sheetView>
  </sheetViews>
  <sheetFormatPr defaultColWidth="15.625" defaultRowHeight="15.75"/>
  <cols>
    <col min="1" max="1" width="45.625" style="376" customWidth="1"/>
    <col min="2" max="4" width="30.625" style="376" customWidth="1"/>
    <col min="5" max="5" width="6.375" style="376" customWidth="1"/>
    <col min="6" max="6" width="34.25" style="376" customWidth="1"/>
    <col min="7" max="16384" width="15.625" style="376"/>
  </cols>
  <sheetData>
    <row r="1" spans="1:9" ht="16.5">
      <c r="A1" s="10" t="str">
        <f>+封面!A3&amp;" "&amp;封面!A2</f>
        <v xml:space="preserve">        保險股份有限公司(○○分公司) 年度(月、季、半年)報表</v>
      </c>
      <c r="B1" s="375"/>
      <c r="C1" s="375"/>
      <c r="D1" s="375"/>
    </row>
    <row r="2" spans="1:9" ht="16.5">
      <c r="A2" s="2723" t="s">
        <v>2988</v>
      </c>
    </row>
    <row r="4" spans="1:9" s="15" customFormat="1" ht="16.5">
      <c r="A4" s="24" t="s">
        <v>1859</v>
      </c>
      <c r="B4" s="16"/>
      <c r="C4" s="17"/>
      <c r="D4" s="17"/>
      <c r="E4" s="17"/>
      <c r="F4" s="24" t="s">
        <v>1860</v>
      </c>
    </row>
    <row r="5" spans="1:9" ht="16.5">
      <c r="A5" s="376" t="s">
        <v>2989</v>
      </c>
      <c r="F5" s="15" t="s">
        <v>2989</v>
      </c>
      <c r="G5" s="15"/>
      <c r="H5" s="15"/>
      <c r="I5" s="15"/>
    </row>
    <row r="6" spans="1:9" ht="16.5">
      <c r="A6" s="377" t="s">
        <v>2990</v>
      </c>
      <c r="B6" s="378"/>
      <c r="F6" s="379" t="s">
        <v>2991</v>
      </c>
      <c r="G6" s="379"/>
      <c r="H6" s="379"/>
      <c r="I6" s="379"/>
    </row>
    <row r="7" spans="1:9">
      <c r="A7" s="377"/>
      <c r="B7" s="378"/>
      <c r="F7" s="15"/>
      <c r="G7" s="15"/>
      <c r="H7" s="15"/>
      <c r="I7" s="15"/>
    </row>
    <row r="8" spans="1:9" ht="16.5">
      <c r="A8" s="380" t="s">
        <v>2992</v>
      </c>
      <c r="F8" s="15"/>
      <c r="G8" s="15"/>
      <c r="H8" s="15"/>
      <c r="I8" s="15"/>
    </row>
    <row r="9" spans="1:9">
      <c r="F9" s="15"/>
      <c r="G9" s="15"/>
      <c r="H9" s="15"/>
      <c r="I9" s="15"/>
    </row>
    <row r="10" spans="1:9" ht="17.25" thickBot="1">
      <c r="A10" s="376" t="s">
        <v>2993</v>
      </c>
      <c r="D10" s="381" t="s">
        <v>2852</v>
      </c>
      <c r="F10" s="382" t="s">
        <v>2993</v>
      </c>
      <c r="G10" s="16"/>
      <c r="H10" s="15" t="s">
        <v>2749</v>
      </c>
      <c r="I10" s="15"/>
    </row>
    <row r="11" spans="1:9" ht="16.5">
      <c r="A11" s="383" t="s">
        <v>2853</v>
      </c>
      <c r="B11" s="384" t="s">
        <v>2986</v>
      </c>
      <c r="C11" s="385" t="s">
        <v>2994</v>
      </c>
      <c r="D11" s="386" t="s">
        <v>2995</v>
      </c>
      <c r="F11" s="387" t="s">
        <v>1851</v>
      </c>
      <c r="G11" s="388" t="s">
        <v>1852</v>
      </c>
      <c r="H11" s="389" t="s">
        <v>1853</v>
      </c>
      <c r="I11" s="390" t="s">
        <v>27</v>
      </c>
    </row>
    <row r="12" spans="1:9" ht="16.5">
      <c r="A12" s="391" t="s">
        <v>2996</v>
      </c>
      <c r="B12" s="392" t="e">
        <f ca="1">'表30-2'!F130</f>
        <v>#DIV/0!</v>
      </c>
      <c r="C12" s="393">
        <f ca="1">IFERROR(B12/B$26,0)</f>
        <v>0</v>
      </c>
      <c r="D12" s="394">
        <f t="shared" ref="D12:D25" ca="1" si="0">IFERROR(B12/B$27,0)</f>
        <v>0</v>
      </c>
      <c r="F12" s="395" t="s">
        <v>1854</v>
      </c>
      <c r="G12" s="1168">
        <f>表03!O96</f>
        <v>0</v>
      </c>
      <c r="H12" s="396"/>
      <c r="I12" s="362"/>
    </row>
    <row r="13" spans="1:9" ht="19.5" thickBot="1">
      <c r="A13" s="397" t="s">
        <v>2997</v>
      </c>
      <c r="B13" s="398" t="e">
        <f ca="1">B12-B14</f>
        <v>#DIV/0!</v>
      </c>
      <c r="C13" s="399">
        <f t="shared" ref="C13:C25" ca="1" si="1">IFERROR(B13/B$26,0)</f>
        <v>0</v>
      </c>
      <c r="D13" s="400">
        <f t="shared" ca="1" si="0"/>
        <v>0</v>
      </c>
      <c r="F13" s="401" t="s">
        <v>1855</v>
      </c>
      <c r="G13" s="1169">
        <f>表03!E104-表03!E99</f>
        <v>0</v>
      </c>
      <c r="H13" s="402"/>
      <c r="I13" s="403"/>
    </row>
    <row r="14" spans="1:9" ht="20.25" thickTop="1" thickBot="1">
      <c r="A14" s="397" t="s">
        <v>2998</v>
      </c>
      <c r="B14" s="398" t="e">
        <f>'表30-2'!F129</f>
        <v>#DIV/0!</v>
      </c>
      <c r="C14" s="404">
        <f t="shared" ca="1" si="1"/>
        <v>0</v>
      </c>
      <c r="D14" s="405">
        <f t="shared" ca="1" si="0"/>
        <v>0</v>
      </c>
      <c r="F14" s="406" t="s">
        <v>1856</v>
      </c>
      <c r="G14" s="407" t="e">
        <f>G12/G13</f>
        <v>#DIV/0!</v>
      </c>
      <c r="H14" s="408" t="e">
        <f>H12/H13</f>
        <v>#DIV/0!</v>
      </c>
      <c r="I14" s="409"/>
    </row>
    <row r="15" spans="1:9" ht="18.75">
      <c r="A15" s="410" t="s">
        <v>2999</v>
      </c>
      <c r="B15" s="411" t="e">
        <f ca="1">'表30-3'!F181</f>
        <v>#DIV/0!</v>
      </c>
      <c r="C15" s="399">
        <f t="shared" ca="1" si="1"/>
        <v>0</v>
      </c>
      <c r="D15" s="400">
        <f t="shared" ca="1" si="0"/>
        <v>0</v>
      </c>
      <c r="F15" s="15"/>
      <c r="G15" s="15"/>
      <c r="H15" s="15"/>
      <c r="I15" s="15"/>
    </row>
    <row r="16" spans="1:9" ht="18.75">
      <c r="A16" s="397" t="s">
        <v>3000</v>
      </c>
      <c r="B16" s="411" t="e">
        <f ca="1">B15-B18-B17</f>
        <v>#DIV/0!</v>
      </c>
      <c r="C16" s="399">
        <f t="shared" ca="1" si="1"/>
        <v>0</v>
      </c>
      <c r="D16" s="400">
        <f t="shared" ca="1" si="0"/>
        <v>0</v>
      </c>
      <c r="F16" s="379" t="s">
        <v>3001</v>
      </c>
      <c r="G16" s="15"/>
      <c r="H16" s="15"/>
      <c r="I16" s="15"/>
    </row>
    <row r="17" spans="1:6" ht="18.75">
      <c r="A17" s="397" t="s">
        <v>3002</v>
      </c>
      <c r="B17" s="411" t="e">
        <f>'表30-3'!F173</f>
        <v>#DIV/0!</v>
      </c>
      <c r="C17" s="399">
        <f t="shared" ca="1" si="1"/>
        <v>0</v>
      </c>
      <c r="D17" s="400">
        <f t="shared" ca="1" si="0"/>
        <v>0</v>
      </c>
      <c r="F17" s="379" t="s">
        <v>3003</v>
      </c>
    </row>
    <row r="18" spans="1:6" ht="18.75">
      <c r="A18" s="397" t="s">
        <v>3004</v>
      </c>
      <c r="B18" s="411" t="e">
        <f ca="1">SUM('表30-3'!F27,'表30-3'!F41,'表30-3'!F47,'表30-3'!F97,'表30-3'!F118,'表30-3'!F160,'表30-3'!F140,'表30-3'!F103,'表30-3'!F146,'表30-3'!F107,'表30-3'!F150)</f>
        <v>#DIV/0!</v>
      </c>
      <c r="C18" s="399">
        <f t="shared" ca="1" si="1"/>
        <v>0</v>
      </c>
      <c r="D18" s="400">
        <f t="shared" ca="1" si="0"/>
        <v>0</v>
      </c>
    </row>
    <row r="19" spans="1:6" ht="18.75">
      <c r="A19" s="410" t="s">
        <v>3005</v>
      </c>
      <c r="B19" s="411">
        <f ca="1">'表30-4'!F14</f>
        <v>0</v>
      </c>
      <c r="C19" s="399">
        <f t="shared" ca="1" si="1"/>
        <v>0</v>
      </c>
      <c r="D19" s="400">
        <f t="shared" ca="1" si="0"/>
        <v>0</v>
      </c>
    </row>
    <row r="20" spans="1:6" ht="18.75">
      <c r="A20" s="412" t="s">
        <v>3006</v>
      </c>
      <c r="B20" s="411">
        <f>'表30-5'!F37</f>
        <v>0</v>
      </c>
      <c r="C20" s="399">
        <f t="shared" ca="1" si="1"/>
        <v>0</v>
      </c>
      <c r="D20" s="400">
        <f t="shared" ca="1" si="0"/>
        <v>0</v>
      </c>
    </row>
    <row r="21" spans="1:6" ht="19.5">
      <c r="A21" s="413" t="s">
        <v>3007</v>
      </c>
      <c r="B21" s="411">
        <f>'表30-5'!F71</f>
        <v>0</v>
      </c>
      <c r="C21" s="399">
        <f t="shared" ca="1" si="1"/>
        <v>0</v>
      </c>
      <c r="D21" s="400">
        <f t="shared" ca="1" si="0"/>
        <v>0</v>
      </c>
    </row>
    <row r="22" spans="1:6" ht="18.75">
      <c r="A22" s="3037" t="s">
        <v>6592</v>
      </c>
      <c r="B22" s="411">
        <f>'表30-5-1'!H11</f>
        <v>0</v>
      </c>
      <c r="C22" s="399">
        <f t="shared" ca="1" si="1"/>
        <v>0</v>
      </c>
      <c r="D22" s="400">
        <f t="shared" ca="1" si="0"/>
        <v>0</v>
      </c>
    </row>
    <row r="23" spans="1:6" ht="18.75">
      <c r="A23" s="3038" t="s">
        <v>6593</v>
      </c>
      <c r="B23" s="411">
        <f ca="1">'表30-5-2'!D35</f>
        <v>0</v>
      </c>
      <c r="C23" s="399">
        <f t="shared" ca="1" si="1"/>
        <v>0</v>
      </c>
      <c r="D23" s="400">
        <f t="shared" ca="1" si="0"/>
        <v>0</v>
      </c>
    </row>
    <row r="24" spans="1:6" ht="18.75">
      <c r="A24" s="3038" t="s">
        <v>6594</v>
      </c>
      <c r="B24" s="398">
        <f>'表30-6'!G15</f>
        <v>0</v>
      </c>
      <c r="C24" s="415">
        <f t="shared" ca="1" si="1"/>
        <v>0</v>
      </c>
      <c r="D24" s="405">
        <f t="shared" ca="1" si="0"/>
        <v>0</v>
      </c>
    </row>
    <row r="25" spans="1:6" ht="18.75">
      <c r="A25" s="416" t="s">
        <v>3008</v>
      </c>
      <c r="B25" s="417">
        <f>'表30-7'!F11</f>
        <v>0</v>
      </c>
      <c r="C25" s="418">
        <f t="shared" ca="1" si="1"/>
        <v>0</v>
      </c>
      <c r="D25" s="419">
        <f t="shared" ca="1" si="0"/>
        <v>0</v>
      </c>
    </row>
    <row r="26" spans="1:6" ht="16.5">
      <c r="A26" s="414" t="s">
        <v>3009</v>
      </c>
      <c r="B26" s="398" t="e">
        <f ca="1">B12+B15+B19+B20+B21+B24+B25+B22+B23</f>
        <v>#DIV/0!</v>
      </c>
      <c r="C26" s="420">
        <f ca="1">C12+C15+C19+C20+C21+C24+C25+C22+C23</f>
        <v>0</v>
      </c>
      <c r="D26" s="421"/>
    </row>
    <row r="27" spans="1:6" ht="16.5">
      <c r="A27" s="416" t="s">
        <v>3010</v>
      </c>
      <c r="B27" s="422" t="e">
        <f ca="1">0.5*(B13+B25+((B16+B24)^2+(B14+B17)^2+B18^2+B19^2+B20^2+B21^2+B22^2+B23^2)^0.5)</f>
        <v>#DIV/0!</v>
      </c>
      <c r="C27" s="423"/>
      <c r="D27" s="424"/>
    </row>
    <row r="28" spans="1:6" ht="17.25" thickBot="1">
      <c r="A28" s="425" t="s">
        <v>3011</v>
      </c>
      <c r="B28" s="426" t="e">
        <f ca="1">'表30-8'!G59</f>
        <v>#DIV/0!</v>
      </c>
      <c r="C28" s="427"/>
      <c r="D28" s="428"/>
    </row>
    <row r="29" spans="1:6" ht="18" thickTop="1" thickBot="1">
      <c r="A29" s="429" t="s">
        <v>1858</v>
      </c>
      <c r="B29" s="430" t="e">
        <f ca="1">B28/B27</f>
        <v>#DIV/0!</v>
      </c>
      <c r="C29" s="431"/>
      <c r="D29" s="432"/>
    </row>
    <row r="31" spans="1:6" ht="16.5">
      <c r="A31" s="379" t="s">
        <v>3012</v>
      </c>
    </row>
  </sheetData>
  <phoneticPr fontId="9" type="noConversion"/>
  <pageMargins left="0.51181102362204722" right="0.35433070866141736" top="0.39370078740157483" bottom="0.27559055118110237" header="0.15748031496062992" footer="0.23622047244094491"/>
  <pageSetup paperSize="9" scale="50" fitToHeight="2" orientation="landscape" r:id="rId1"/>
  <headerFooter alignWithMargins="0">
    <oddFooter>&amp;C&amp;P/&amp;N&amp;R&amp;A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EE0000"/>
  </sheetPr>
  <dimension ref="A1:H140"/>
  <sheetViews>
    <sheetView zoomScaleNormal="100" zoomScaleSheetLayoutView="100" workbookViewId="0"/>
  </sheetViews>
  <sheetFormatPr defaultColWidth="15.625" defaultRowHeight="15.75"/>
  <cols>
    <col min="1" max="1" width="5.625" style="1463" customWidth="1"/>
    <col min="2" max="3" width="70.625" style="1409" customWidth="1"/>
    <col min="4" max="4" width="20.625" style="1471" customWidth="1"/>
    <col min="5" max="5" width="20.625" style="2894" customWidth="1"/>
    <col min="6" max="6" width="20.625" style="1471" customWidth="1"/>
    <col min="7" max="7" width="15.625" style="1409" customWidth="1"/>
    <col min="8" max="16384" width="15.625" style="1291"/>
  </cols>
  <sheetData>
    <row r="1" spans="1:7" ht="16.5">
      <c r="A1" s="1199" t="str">
        <f>+封面!A3&amp;" "&amp;封面!A2</f>
        <v xml:space="preserve">        保險股份有限公司(○○分公司) 年度(月、季、半年)報表</v>
      </c>
      <c r="C1" s="1410"/>
      <c r="D1" s="1411"/>
      <c r="E1" s="29"/>
      <c r="F1" s="1411"/>
      <c r="G1" s="1412"/>
    </row>
    <row r="2" spans="1:7" ht="16.5">
      <c r="A2" s="1413" t="s">
        <v>4256</v>
      </c>
      <c r="C2" s="1414"/>
      <c r="D2" s="1415"/>
      <c r="E2" s="2873"/>
      <c r="F2" s="1416" t="s">
        <v>4257</v>
      </c>
      <c r="G2" s="1417"/>
    </row>
    <row r="3" spans="1:7" ht="16.5">
      <c r="A3" s="3565" t="s">
        <v>4258</v>
      </c>
      <c r="B3" s="3566" t="s">
        <v>4259</v>
      </c>
      <c r="C3" s="3566" t="s">
        <v>4260</v>
      </c>
      <c r="D3" s="1892" t="s">
        <v>4261</v>
      </c>
      <c r="E3" s="2874" t="s">
        <v>5806</v>
      </c>
      <c r="F3" s="1892" t="s">
        <v>4263</v>
      </c>
    </row>
    <row r="4" spans="1:7">
      <c r="A4" s="3565"/>
      <c r="B4" s="3566"/>
      <c r="C4" s="3566"/>
      <c r="D4" s="1418" t="s">
        <v>422</v>
      </c>
      <c r="E4" s="2875" t="s">
        <v>605</v>
      </c>
      <c r="F4" s="1418" t="s">
        <v>606</v>
      </c>
    </row>
    <row r="5" spans="1:7" ht="16.5">
      <c r="A5" s="1419">
        <v>1</v>
      </c>
      <c r="B5" s="1420" t="s">
        <v>4264</v>
      </c>
      <c r="C5" s="1421"/>
      <c r="D5" s="1422">
        <f>D6+D16</f>
        <v>0</v>
      </c>
      <c r="E5" s="2876"/>
      <c r="F5" s="1422" t="e">
        <f ca="1">F6+F16</f>
        <v>#DIV/0!</v>
      </c>
    </row>
    <row r="6" spans="1:7" ht="16.5">
      <c r="A6" s="1423">
        <f>A5+1</f>
        <v>2</v>
      </c>
      <c r="B6" s="1424" t="s">
        <v>4265</v>
      </c>
      <c r="C6" s="1425"/>
      <c r="D6" s="1426">
        <f>D7+D11</f>
        <v>0</v>
      </c>
      <c r="E6" s="2877"/>
      <c r="F6" s="1426" t="e">
        <f>F7+F11</f>
        <v>#DIV/0!</v>
      </c>
    </row>
    <row r="7" spans="1:7" ht="16.5">
      <c r="A7" s="1423">
        <f t="shared" ref="A7:A72" si="0">A6+1</f>
        <v>3</v>
      </c>
      <c r="B7" s="1427" t="s">
        <v>4266</v>
      </c>
      <c r="C7" s="1425"/>
      <c r="D7" s="1428">
        <f>D8+D9+D10</f>
        <v>0</v>
      </c>
      <c r="E7" s="2877"/>
      <c r="F7" s="1426" t="e">
        <f>F8+F9+F10</f>
        <v>#DIV/0!</v>
      </c>
    </row>
    <row r="8" spans="1:7" ht="33">
      <c r="A8" s="1423">
        <f t="shared" si="0"/>
        <v>4</v>
      </c>
      <c r="B8" s="1429" t="s">
        <v>4267</v>
      </c>
      <c r="C8" s="1430" t="s">
        <v>4268</v>
      </c>
      <c r="D8" s="1431">
        <f>'表30-8-7'!G24+'表30-8-7'!H24</f>
        <v>0</v>
      </c>
      <c r="E8" s="2878" t="s">
        <v>6293</v>
      </c>
      <c r="F8" s="1426"/>
    </row>
    <row r="9" spans="1:7" ht="49.5">
      <c r="A9" s="1423">
        <f t="shared" si="0"/>
        <v>5</v>
      </c>
      <c r="B9" s="1429" t="s">
        <v>4269</v>
      </c>
      <c r="C9" s="1430" t="s">
        <v>4270</v>
      </c>
      <c r="D9" s="1431">
        <f>'表10-3'!G8+'表10-3'!H8+'表10-3'!I8-SUM('表30-8-7'!G24:H25)</f>
        <v>0</v>
      </c>
      <c r="E9" s="2878">
        <v>0.61470000000000002</v>
      </c>
      <c r="F9" s="1432">
        <f>ROUND(D9*E9,0)</f>
        <v>0</v>
      </c>
    </row>
    <row r="10" spans="1:7" ht="33">
      <c r="A10" s="1423">
        <f t="shared" si="0"/>
        <v>6</v>
      </c>
      <c r="B10" s="1429" t="s">
        <v>4271</v>
      </c>
      <c r="C10" s="1430" t="s">
        <v>5798</v>
      </c>
      <c r="D10" s="1431">
        <f>'表10-3'!H35+'表10-3'!G35+'表10-3'!I35-SUM('表10-3'!G48:I48)</f>
        <v>0</v>
      </c>
      <c r="E10" s="2878">
        <v>0.35</v>
      </c>
      <c r="F10" s="2816" t="e">
        <f>ROUND(D10*E10,0)*'表30-3-4'!I16</f>
        <v>#DIV/0!</v>
      </c>
    </row>
    <row r="11" spans="1:7" ht="16.5">
      <c r="A11" s="1423">
        <f t="shared" si="0"/>
        <v>7</v>
      </c>
      <c r="B11" s="1427" t="s">
        <v>4272</v>
      </c>
      <c r="C11" s="1425"/>
      <c r="D11" s="1428">
        <f>SUM(D12:D13)</f>
        <v>0</v>
      </c>
      <c r="E11" s="2877"/>
      <c r="F11" s="1426" t="e">
        <f>F12+F13</f>
        <v>#DIV/0!</v>
      </c>
    </row>
    <row r="12" spans="1:7" ht="16.5">
      <c r="A12" s="1423">
        <f t="shared" si="0"/>
        <v>8</v>
      </c>
      <c r="B12" s="1429" t="s">
        <v>4273</v>
      </c>
      <c r="C12" s="1430" t="s">
        <v>4274</v>
      </c>
      <c r="D12" s="1431">
        <f>'表10-3'!G14+'表10-3'!H14+'表10-3'!G15+'表10-3'!H15+'表10-3'!G16+'表10-3'!H16</f>
        <v>0</v>
      </c>
      <c r="E12" s="2878">
        <v>0.4098</v>
      </c>
      <c r="F12" s="1432">
        <f>ROUND(D12*E12,0)</f>
        <v>0</v>
      </c>
    </row>
    <row r="13" spans="1:7" ht="16.5">
      <c r="A13" s="1423">
        <f t="shared" si="0"/>
        <v>9</v>
      </c>
      <c r="B13" s="1433" t="s">
        <v>4275</v>
      </c>
      <c r="C13" s="1425"/>
      <c r="D13" s="1428">
        <f>D14+D15</f>
        <v>0</v>
      </c>
      <c r="E13" s="2877"/>
      <c r="F13" s="1426" t="e">
        <f>F14+F15</f>
        <v>#DIV/0!</v>
      </c>
    </row>
    <row r="14" spans="1:7" ht="16.5">
      <c r="A14" s="1423">
        <f t="shared" si="0"/>
        <v>10</v>
      </c>
      <c r="B14" s="1434" t="s">
        <v>4276</v>
      </c>
      <c r="C14" s="1430" t="s">
        <v>4277</v>
      </c>
      <c r="D14" s="1431">
        <f>'表13-4'!K21</f>
        <v>0</v>
      </c>
      <c r="E14" s="2878">
        <v>0.1</v>
      </c>
      <c r="F14" s="1432">
        <f>ROUND(D14*E14,0)</f>
        <v>0</v>
      </c>
    </row>
    <row r="15" spans="1:7" ht="16.5">
      <c r="A15" s="1423">
        <f t="shared" si="0"/>
        <v>11</v>
      </c>
      <c r="B15" s="1434" t="s">
        <v>4278</v>
      </c>
      <c r="C15" s="1430" t="s">
        <v>4279</v>
      </c>
      <c r="D15" s="1431">
        <f>'表10-3'!G41+'表10-3'!H41</f>
        <v>0</v>
      </c>
      <c r="E15" s="2878">
        <v>0.44669999999999999</v>
      </c>
      <c r="F15" s="2816" t="e">
        <f>ROUND(D15*E15,0)*'表30-3-4'!I16</f>
        <v>#DIV/0!</v>
      </c>
    </row>
    <row r="16" spans="1:7" ht="16.5">
      <c r="A16" s="1423">
        <f t="shared" si="0"/>
        <v>12</v>
      </c>
      <c r="B16" s="1424" t="s">
        <v>4280</v>
      </c>
      <c r="C16" s="1425"/>
      <c r="D16" s="1426">
        <f>D17+D18+D24+D40+D43+D46+D47+D55+D58</f>
        <v>0</v>
      </c>
      <c r="E16" s="2879"/>
      <c r="F16" s="1426" t="e">
        <f ca="1">F17+F18+F24+F40+F43+F46+F47+F55+F58</f>
        <v>#DIV/0!</v>
      </c>
    </row>
    <row r="17" spans="1:8" ht="16.5">
      <c r="A17" s="1423">
        <f t="shared" si="0"/>
        <v>13</v>
      </c>
      <c r="B17" s="1435" t="s">
        <v>4281</v>
      </c>
      <c r="C17" s="1430" t="s">
        <v>4282</v>
      </c>
      <c r="D17" s="1431">
        <f>'表05-1'!G9+'表05-1'!G173</f>
        <v>0</v>
      </c>
      <c r="E17" s="2878">
        <v>1.1000000000000001E-2</v>
      </c>
      <c r="F17" s="1432">
        <f>ROUND(D17*E17-'表30-9'!F5-'表30-9'!F6-'表30-9'!F7,0)</f>
        <v>0</v>
      </c>
    </row>
    <row r="18" spans="1:8" ht="33">
      <c r="A18" s="1423">
        <f t="shared" si="0"/>
        <v>14</v>
      </c>
      <c r="B18" s="1427" t="s">
        <v>4283</v>
      </c>
      <c r="C18" s="1425"/>
      <c r="D18" s="1428">
        <f>SUM(D19:D20,D23)</f>
        <v>0</v>
      </c>
      <c r="E18" s="2877"/>
      <c r="F18" s="1426" t="e">
        <f>SUM(F19:F20,F23)</f>
        <v>#DIV/0!</v>
      </c>
    </row>
    <row r="19" spans="1:8" ht="33">
      <c r="A19" s="1423">
        <f t="shared" si="0"/>
        <v>15</v>
      </c>
      <c r="B19" s="1429" t="s">
        <v>4284</v>
      </c>
      <c r="C19" s="1436" t="s">
        <v>4285</v>
      </c>
      <c r="D19" s="1431">
        <f>'表30-8-7'!F24</f>
        <v>0</v>
      </c>
      <c r="E19" s="2878" t="s">
        <v>6293</v>
      </c>
      <c r="F19" s="1426"/>
    </row>
    <row r="20" spans="1:8" ht="16.5">
      <c r="A20" s="1423">
        <f t="shared" si="0"/>
        <v>16</v>
      </c>
      <c r="B20" s="1433" t="s">
        <v>4286</v>
      </c>
      <c r="C20" s="1437"/>
      <c r="D20" s="1428">
        <f>D21+D22</f>
        <v>0</v>
      </c>
      <c r="E20" s="2877"/>
      <c r="F20" s="1426" t="e">
        <f>F21+F22</f>
        <v>#DIV/0!</v>
      </c>
    </row>
    <row r="21" spans="1:8" ht="66">
      <c r="A21" s="1423">
        <f t="shared" si="0"/>
        <v>17</v>
      </c>
      <c r="B21" s="1434" t="s">
        <v>4287</v>
      </c>
      <c r="C21" s="1438" t="s">
        <v>4288</v>
      </c>
      <c r="D21" s="1431">
        <f>'表09-2'!D24+'表11-2'!D32-'表30-8-7'!F25</f>
        <v>0</v>
      </c>
      <c r="E21" s="2878">
        <v>0.61470000000000002</v>
      </c>
      <c r="F21" s="1432">
        <f>ROUND(D21*E21,0)</f>
        <v>0</v>
      </c>
    </row>
    <row r="22" spans="1:8" ht="49.5">
      <c r="A22" s="1423">
        <f t="shared" si="0"/>
        <v>18</v>
      </c>
      <c r="B22" s="1434" t="s">
        <v>4289</v>
      </c>
      <c r="C22" s="1436" t="s">
        <v>5799</v>
      </c>
      <c r="D22" s="1431">
        <f>'表11-2'!H32+'表09-2'!H24-'表11-2'!H47-'表09-2'!H30</f>
        <v>0</v>
      </c>
      <c r="E22" s="2878">
        <v>0.35</v>
      </c>
      <c r="F22" s="2817" t="e">
        <f>ROUND(D22*E22,0)*'表30-3-4'!I15</f>
        <v>#DIV/0!</v>
      </c>
    </row>
    <row r="23" spans="1:8" ht="33">
      <c r="A23" s="1423">
        <f t="shared" si="0"/>
        <v>19</v>
      </c>
      <c r="B23" s="1429" t="s">
        <v>4290</v>
      </c>
      <c r="C23" s="1436" t="s">
        <v>4291</v>
      </c>
      <c r="D23" s="1431">
        <f>'表05-1'!G33+'表05-1'!G53+'表05-1'!G175-D19-D20</f>
        <v>0</v>
      </c>
      <c r="E23" s="2878">
        <v>1.0999999999999999E-2</v>
      </c>
      <c r="F23" s="1432">
        <f>ROUND(D23*E23,0)</f>
        <v>0</v>
      </c>
    </row>
    <row r="24" spans="1:8" ht="16.5">
      <c r="A24" s="1423">
        <f t="shared" si="0"/>
        <v>20</v>
      </c>
      <c r="B24" s="1427" t="s">
        <v>4292</v>
      </c>
      <c r="C24" s="1439"/>
      <c r="D24" s="1428">
        <f>SUM(D25:D30)</f>
        <v>0</v>
      </c>
      <c r="E24" s="2880"/>
      <c r="F24" s="1426" t="e">
        <f ca="1">SUM(F25:F30)</f>
        <v>#DIV/0!</v>
      </c>
      <c r="H24" s="1199"/>
    </row>
    <row r="25" spans="1:8" ht="49.5">
      <c r="A25" s="1423">
        <f t="shared" si="0"/>
        <v>21</v>
      </c>
      <c r="B25" s="1429" t="s">
        <v>4293</v>
      </c>
      <c r="C25" s="1430" t="s">
        <v>4294</v>
      </c>
      <c r="D25" s="1431">
        <f>'表05-1'!M66-'表30-14-1'!L32</f>
        <v>0</v>
      </c>
      <c r="E25" s="2881">
        <f ca="1">'表30-14'!$J$13</f>
        <v>0.2261</v>
      </c>
      <c r="F25" s="1432">
        <f ca="1">ROUND(D25*E25,0)</f>
        <v>0</v>
      </c>
    </row>
    <row r="26" spans="1:8" ht="49.5">
      <c r="A26" s="1423">
        <f t="shared" si="0"/>
        <v>22</v>
      </c>
      <c r="B26" s="1429" t="s">
        <v>4295</v>
      </c>
      <c r="C26" s="1430" t="s">
        <v>4296</v>
      </c>
      <c r="D26" s="1431">
        <f>'表05-1'!G67-'表30-14-1'!L34</f>
        <v>0</v>
      </c>
      <c r="E26" s="2878">
        <v>8.1000000000000003E-2</v>
      </c>
      <c r="F26" s="1432">
        <f>ROUND(D26*E26-'表30-9'!F8-'表30-9'!F9-'表30-9'!F10,0)</f>
        <v>0</v>
      </c>
    </row>
    <row r="27" spans="1:8" ht="49.5">
      <c r="A27" s="1423">
        <f t="shared" si="0"/>
        <v>23</v>
      </c>
      <c r="B27" s="1429" t="s">
        <v>4297</v>
      </c>
      <c r="C27" s="1430" t="s">
        <v>4298</v>
      </c>
      <c r="D27" s="1431">
        <f>'表05-1'!M68-'表30-14-1'!L36</f>
        <v>0</v>
      </c>
      <c r="E27" s="2881">
        <f ca="1">'表30-14'!$J$14</f>
        <v>0.2261</v>
      </c>
      <c r="F27" s="1432">
        <f ca="1">ROUND(D27*E27,0)</f>
        <v>0</v>
      </c>
    </row>
    <row r="28" spans="1:8" ht="16.5">
      <c r="A28" s="1423">
        <f t="shared" si="0"/>
        <v>24</v>
      </c>
      <c r="B28" s="1429" t="s">
        <v>4299</v>
      </c>
      <c r="C28" s="1430" t="s">
        <v>4300</v>
      </c>
      <c r="D28" s="1431">
        <f>'表05-1'!G70</f>
        <v>0</v>
      </c>
      <c r="E28" s="2878">
        <v>1.4E-2</v>
      </c>
      <c r="F28" s="1432">
        <f>ROUND(D28*E28-'表30-9'!F11-'表30-9'!F12-'表30-9'!F13,0)</f>
        <v>0</v>
      </c>
    </row>
    <row r="29" spans="1:8" ht="33">
      <c r="A29" s="1423">
        <f t="shared" si="0"/>
        <v>25</v>
      </c>
      <c r="B29" s="1429" t="s">
        <v>4301</v>
      </c>
      <c r="C29" s="1430" t="s">
        <v>4302</v>
      </c>
      <c r="D29" s="1431">
        <f>'表05-1'!G71-'表30-14-1'!L46</f>
        <v>0</v>
      </c>
      <c r="E29" s="2878">
        <f>'表30-3'!E45</f>
        <v>0.33750000000000002</v>
      </c>
      <c r="F29" s="1432">
        <f>ROUND(D29*E29,0)</f>
        <v>0</v>
      </c>
    </row>
    <row r="30" spans="1:8" ht="16.5">
      <c r="A30" s="1423">
        <f t="shared" si="0"/>
        <v>26</v>
      </c>
      <c r="B30" s="1433" t="s">
        <v>4303</v>
      </c>
      <c r="C30" s="1439"/>
      <c r="D30" s="1428">
        <f>D31+D32+D33+D34+D35+D36+D37+D38+D39</f>
        <v>0</v>
      </c>
      <c r="E30" s="2882"/>
      <c r="F30" s="1426" t="e">
        <f ca="1">F31+F32+F33+F34+F35+F36+F37+F38+F39</f>
        <v>#DIV/0!</v>
      </c>
    </row>
    <row r="31" spans="1:8" ht="49.5">
      <c r="A31" s="1423">
        <f t="shared" si="0"/>
        <v>27</v>
      </c>
      <c r="B31" s="1434" t="s">
        <v>4304</v>
      </c>
      <c r="C31" s="1430" t="s">
        <v>4305</v>
      </c>
      <c r="D31" s="1431">
        <f>'表12-2'!G39+'表30-14-1'!L32</f>
        <v>0</v>
      </c>
      <c r="E31" s="2878">
        <f ca="1">'表30-14'!E19</f>
        <v>0.27349999999999997</v>
      </c>
      <c r="F31" s="2816" t="e">
        <f ca="1">ROUND(D31*E31,0)*'表30-3-4'!I16</f>
        <v>#DIV/0!</v>
      </c>
    </row>
    <row r="32" spans="1:8" ht="49.5">
      <c r="A32" s="1423">
        <f t="shared" si="0"/>
        <v>28</v>
      </c>
      <c r="B32" s="1434" t="s">
        <v>4306</v>
      </c>
      <c r="C32" s="1430" t="s">
        <v>4307</v>
      </c>
      <c r="D32" s="1431">
        <f>'表12-2'!D40+'表30-14-1'!L34</f>
        <v>0</v>
      </c>
      <c r="E32" s="2878">
        <v>6.3299999999999995E-2</v>
      </c>
      <c r="F32" s="2816" t="e">
        <f>ROUND(D32*E32,0)*'表30-3-4'!I16</f>
        <v>#DIV/0!</v>
      </c>
    </row>
    <row r="33" spans="1:6" ht="49.5">
      <c r="A33" s="1423">
        <f t="shared" si="0"/>
        <v>29</v>
      </c>
      <c r="B33" s="1434" t="s">
        <v>4308</v>
      </c>
      <c r="C33" s="1430" t="s">
        <v>4309</v>
      </c>
      <c r="D33" s="1431">
        <f>'表12-2'!G41+'表30-14-1'!L36</f>
        <v>0</v>
      </c>
      <c r="E33" s="2878">
        <f ca="1">'表30-14'!E20</f>
        <v>0.27349999999999997</v>
      </c>
      <c r="F33" s="2816" t="e">
        <f ca="1">ROUND(D33*E33,0)*'表30-3-4'!I16</f>
        <v>#DIV/0!</v>
      </c>
    </row>
    <row r="34" spans="1:6" ht="16.5">
      <c r="A34" s="1423">
        <f t="shared" si="0"/>
        <v>30</v>
      </c>
      <c r="B34" s="1434" t="s">
        <v>4310</v>
      </c>
      <c r="C34" s="1430" t="s">
        <v>4311</v>
      </c>
      <c r="D34" s="1431">
        <f>'表12-2'!D42</f>
        <v>0</v>
      </c>
      <c r="E34" s="2878">
        <v>1.09E-2</v>
      </c>
      <c r="F34" s="2816" t="e">
        <f>ROUND(D34*E34,0)*'表30-3-4'!I16</f>
        <v>#DIV/0!</v>
      </c>
    </row>
    <row r="35" spans="1:6" ht="49.5">
      <c r="A35" s="1423">
        <f t="shared" si="0"/>
        <v>31</v>
      </c>
      <c r="B35" s="1434" t="s">
        <v>4312</v>
      </c>
      <c r="C35" s="1430" t="s">
        <v>4313</v>
      </c>
      <c r="D35" s="1431">
        <f>'表12-2'!D43+'表30-14-1'!L46</f>
        <v>0</v>
      </c>
      <c r="E35" s="2366">
        <v>0.33750000000000002</v>
      </c>
      <c r="F35" s="2816" t="e">
        <f>ROUND(D35*E35,0)*'表30-3-4'!I16</f>
        <v>#DIV/0!</v>
      </c>
    </row>
    <row r="36" spans="1:6" ht="16.5">
      <c r="A36" s="1423">
        <f t="shared" si="0"/>
        <v>32</v>
      </c>
      <c r="B36" s="1434" t="s">
        <v>4314</v>
      </c>
      <c r="C36" s="1430" t="s">
        <v>4315</v>
      </c>
      <c r="D36" s="1431">
        <f>'表12-2'!D44</f>
        <v>0</v>
      </c>
      <c r="E36" s="2366">
        <v>0.33750000000000002</v>
      </c>
      <c r="F36" s="2816" t="e">
        <f>ROUND(D36*E36,0)*'表30-3-4'!I16</f>
        <v>#DIV/0!</v>
      </c>
    </row>
    <row r="37" spans="1:6" ht="16.5">
      <c r="A37" s="1423">
        <f t="shared" si="0"/>
        <v>33</v>
      </c>
      <c r="B37" s="1434" t="s">
        <v>4316</v>
      </c>
      <c r="C37" s="1430" t="s">
        <v>4317</v>
      </c>
      <c r="D37" s="1431">
        <f>'表12-2'!D45</f>
        <v>0</v>
      </c>
      <c r="E37" s="2366">
        <v>0.33750000000000002</v>
      </c>
      <c r="F37" s="2816" t="e">
        <f>ROUND(D37*E37,0)*'表30-3-4'!I16</f>
        <v>#DIV/0!</v>
      </c>
    </row>
    <row r="38" spans="1:6" ht="16.5">
      <c r="A38" s="1423">
        <f t="shared" si="0"/>
        <v>34</v>
      </c>
      <c r="B38" s="1434" t="s">
        <v>4318</v>
      </c>
      <c r="C38" s="1430" t="s">
        <v>4319</v>
      </c>
      <c r="D38" s="1431">
        <f>'表05-1'!G180</f>
        <v>0</v>
      </c>
      <c r="E38" s="2878">
        <v>0.1018</v>
      </c>
      <c r="F38" s="2816" t="e">
        <f>ROUND(D38*E38,0)*'表30-3-4'!I16</f>
        <v>#DIV/0!</v>
      </c>
    </row>
    <row r="39" spans="1:6" ht="16.5">
      <c r="A39" s="1423">
        <f t="shared" si="0"/>
        <v>35</v>
      </c>
      <c r="B39" s="1434" t="s">
        <v>4320</v>
      </c>
      <c r="C39" s="1430" t="s">
        <v>4321</v>
      </c>
      <c r="D39" s="1431">
        <f>'表05-1'!G182</f>
        <v>0</v>
      </c>
      <c r="E39" s="2878">
        <v>0.29499999999999998</v>
      </c>
      <c r="F39" s="2816" t="e">
        <f>ROUND(D39*E39,0)*'表30-3-4'!I16</f>
        <v>#DIV/0!</v>
      </c>
    </row>
    <row r="40" spans="1:6" ht="16.5">
      <c r="A40" s="1423">
        <f t="shared" si="0"/>
        <v>36</v>
      </c>
      <c r="B40" s="1427" t="s">
        <v>4322</v>
      </c>
      <c r="C40" s="1425"/>
      <c r="D40" s="1426">
        <f>SUM(D41:D42)</f>
        <v>0</v>
      </c>
      <c r="E40" s="2882"/>
      <c r="F40" s="1426">
        <f>SUM(F41:F42)</f>
        <v>0</v>
      </c>
    </row>
    <row r="41" spans="1:6" ht="66">
      <c r="A41" s="1423">
        <f t="shared" si="0"/>
        <v>37</v>
      </c>
      <c r="B41" s="1429" t="s">
        <v>4323</v>
      </c>
      <c r="C41" s="1430" t="s">
        <v>4324</v>
      </c>
      <c r="D41" s="1431">
        <f>'表13-2'!T20+'表13-2'!T21+'表30-8-3'!E18+'表30-8-3'!E19-'表30-8-4'!D11-'表30-8-4'!D12</f>
        <v>0</v>
      </c>
      <c r="E41" s="2878">
        <v>0.12280000000000001</v>
      </c>
      <c r="F41" s="1431">
        <f>ROUND(D41*E41,0)</f>
        <v>0</v>
      </c>
    </row>
    <row r="42" spans="1:6" ht="33">
      <c r="A42" s="1423">
        <f t="shared" si="0"/>
        <v>38</v>
      </c>
      <c r="B42" s="1429" t="s">
        <v>4325</v>
      </c>
      <c r="C42" s="1430" t="s">
        <v>4326</v>
      </c>
      <c r="D42" s="1431">
        <f>'表30-8-4'!D11+'表30-8-4'!D12</f>
        <v>0</v>
      </c>
      <c r="E42" s="2877"/>
      <c r="F42" s="1431">
        <f>'表30-8-4'!E11+'表30-8-4'!E12</f>
        <v>0</v>
      </c>
    </row>
    <row r="43" spans="1:6" ht="16.5">
      <c r="A43" s="1423">
        <f t="shared" si="0"/>
        <v>39</v>
      </c>
      <c r="B43" s="1427" t="s">
        <v>4327</v>
      </c>
      <c r="C43" s="1425"/>
      <c r="D43" s="1428">
        <f>SUM(D44:D45)</f>
        <v>0</v>
      </c>
      <c r="E43" s="2877"/>
      <c r="F43" s="1426">
        <f>SUM(F44:F45)</f>
        <v>0</v>
      </c>
    </row>
    <row r="44" spans="1:6" ht="33">
      <c r="A44" s="1423">
        <f t="shared" si="0"/>
        <v>40</v>
      </c>
      <c r="B44" s="1440" t="s">
        <v>4328</v>
      </c>
      <c r="C44" s="1430" t="s">
        <v>4329</v>
      </c>
      <c r="D44" s="1431">
        <f>'表05-1'!G107+'表05-1'!G174+'表05-1'!G229-'表13-4'!L21</f>
        <v>0</v>
      </c>
      <c r="E44" s="2878">
        <v>0.26079999999999998</v>
      </c>
      <c r="F44" s="1432">
        <f>ROUND(D44*E44,0)</f>
        <v>0</v>
      </c>
    </row>
    <row r="45" spans="1:6" ht="33">
      <c r="A45" s="1423">
        <f t="shared" si="0"/>
        <v>41</v>
      </c>
      <c r="B45" s="1440" t="s">
        <v>4330</v>
      </c>
      <c r="C45" s="1430" t="s">
        <v>4331</v>
      </c>
      <c r="D45" s="1431">
        <f>'表13-4'!L21</f>
        <v>0</v>
      </c>
      <c r="E45" s="2878">
        <v>0.1</v>
      </c>
      <c r="F45" s="1432">
        <f>ROUND(D45*E45,0)</f>
        <v>0</v>
      </c>
    </row>
    <row r="46" spans="1:6" ht="16.5">
      <c r="A46" s="1423">
        <f t="shared" si="0"/>
        <v>42</v>
      </c>
      <c r="B46" s="1435" t="s">
        <v>4332</v>
      </c>
      <c r="C46" s="1430" t="s">
        <v>4333</v>
      </c>
      <c r="D46" s="1431">
        <f>表03!H10</f>
        <v>0</v>
      </c>
      <c r="E46" s="2878">
        <v>5.8999999999999997E-2</v>
      </c>
      <c r="F46" s="1432">
        <f>ROUND(D46*E46,0)</f>
        <v>0</v>
      </c>
    </row>
    <row r="47" spans="1:6">
      <c r="A47" s="1423">
        <f t="shared" si="0"/>
        <v>43</v>
      </c>
      <c r="B47" s="1441" t="s">
        <v>730</v>
      </c>
      <c r="C47" s="1425"/>
      <c r="D47" s="1428">
        <f>SUM(D48:D51)</f>
        <v>0</v>
      </c>
      <c r="E47" s="2877"/>
      <c r="F47" s="1426" t="e">
        <f ca="1">SUM(F48:F51)</f>
        <v>#DIV/0!</v>
      </c>
    </row>
    <row r="48" spans="1:6" ht="33">
      <c r="A48" s="1423">
        <f t="shared" si="0"/>
        <v>44</v>
      </c>
      <c r="B48" s="1440" t="s">
        <v>4334</v>
      </c>
      <c r="C48" s="1430" t="s">
        <v>4335</v>
      </c>
      <c r="D48" s="1431">
        <f>'表05-1'!M29-'表30-14-1'!L38</f>
        <v>0</v>
      </c>
      <c r="E48" s="2878">
        <f ca="1">'表30-14'!$J$13</f>
        <v>0.2261</v>
      </c>
      <c r="F48" s="1432">
        <f ca="1">ROUND(D48*E48,0)</f>
        <v>0</v>
      </c>
    </row>
    <row r="49" spans="1:7" ht="33">
      <c r="A49" s="1423">
        <f t="shared" si="0"/>
        <v>45</v>
      </c>
      <c r="B49" s="1440" t="s">
        <v>4336</v>
      </c>
      <c r="C49" s="1430" t="s">
        <v>4337</v>
      </c>
      <c r="D49" s="1431">
        <f>'表05-1'!G30-'表30-14-1'!L40</f>
        <v>0</v>
      </c>
      <c r="E49" s="2878">
        <v>8.1000000000000003E-2</v>
      </c>
      <c r="F49" s="1432">
        <f>ROUND(D49*E49,0)</f>
        <v>0</v>
      </c>
    </row>
    <row r="50" spans="1:7" ht="33">
      <c r="A50" s="1423">
        <f t="shared" si="0"/>
        <v>46</v>
      </c>
      <c r="B50" s="1440" t="s">
        <v>4338</v>
      </c>
      <c r="C50" s="1430" t="s">
        <v>4339</v>
      </c>
      <c r="D50" s="1431">
        <f>'表05-1'!G31-'表30-14-1'!L42</f>
        <v>0</v>
      </c>
      <c r="E50" s="2878">
        <v>0.2165</v>
      </c>
      <c r="F50" s="1432">
        <f>ROUND(D50*E50,0)</f>
        <v>0</v>
      </c>
    </row>
    <row r="51" spans="1:7" ht="16.5">
      <c r="A51" s="1423">
        <f t="shared" si="0"/>
        <v>47</v>
      </c>
      <c r="B51" s="1442" t="s">
        <v>4340</v>
      </c>
      <c r="C51" s="1425"/>
      <c r="D51" s="1428">
        <f>SUM(D52:D54)</f>
        <v>0</v>
      </c>
      <c r="E51" s="2883"/>
      <c r="F51" s="1426" t="e">
        <f ca="1">SUM(F52:F54)</f>
        <v>#DIV/0!</v>
      </c>
    </row>
    <row r="52" spans="1:7" ht="33">
      <c r="A52" s="1423">
        <f t="shared" si="0"/>
        <v>48</v>
      </c>
      <c r="B52" s="1444" t="s">
        <v>4341</v>
      </c>
      <c r="C52" s="1430" t="s">
        <v>4342</v>
      </c>
      <c r="D52" s="1431">
        <f>'表05-1'!M183+'表30-14-1'!L38</f>
        <v>0</v>
      </c>
      <c r="E52" s="2878">
        <f ca="1">'表30-14'!E19</f>
        <v>0.27349999999999997</v>
      </c>
      <c r="F52" s="2816" t="e">
        <f ca="1">ROUND(D52*E52,0)*'表30-3-4'!I16</f>
        <v>#DIV/0!</v>
      </c>
    </row>
    <row r="53" spans="1:7" ht="33">
      <c r="A53" s="1423">
        <f t="shared" si="0"/>
        <v>49</v>
      </c>
      <c r="B53" s="1444" t="s">
        <v>4343</v>
      </c>
      <c r="C53" s="1430" t="s">
        <v>4344</v>
      </c>
      <c r="D53" s="1431">
        <f>'表05-1'!G184+'表30-14-1'!L40</f>
        <v>0</v>
      </c>
      <c r="E53" s="2878">
        <v>6.3299999999999995E-2</v>
      </c>
      <c r="F53" s="2816" t="e">
        <f>ROUND(D53*E53,0)*'表30-3-4'!I16</f>
        <v>#DIV/0!</v>
      </c>
    </row>
    <row r="54" spans="1:7" ht="33">
      <c r="A54" s="1423">
        <f t="shared" si="0"/>
        <v>50</v>
      </c>
      <c r="B54" s="1444" t="s">
        <v>4345</v>
      </c>
      <c r="C54" s="1430" t="s">
        <v>4346</v>
      </c>
      <c r="D54" s="1431">
        <f>'表05-1'!G185+'表30-14-1'!L42</f>
        <v>0</v>
      </c>
      <c r="E54" s="2878">
        <v>0.2009</v>
      </c>
      <c r="F54" s="2816" t="e">
        <f>ROUND(D54*E54,0)*'表30-3-4'!I16</f>
        <v>#DIV/0!</v>
      </c>
    </row>
    <row r="55" spans="1:7">
      <c r="A55" s="1423">
        <f t="shared" si="0"/>
        <v>51</v>
      </c>
      <c r="B55" s="1441" t="s">
        <v>731</v>
      </c>
      <c r="C55" s="1425"/>
      <c r="D55" s="1428">
        <f>SUM(D56:D57)</f>
        <v>0</v>
      </c>
      <c r="E55" s="2884"/>
      <c r="F55" s="1426" t="e">
        <f>SUM(F56:F57)</f>
        <v>#DIV/0!</v>
      </c>
    </row>
    <row r="56" spans="1:7" ht="33">
      <c r="A56" s="1423">
        <f t="shared" si="0"/>
        <v>52</v>
      </c>
      <c r="B56" s="1440" t="s">
        <v>4347</v>
      </c>
      <c r="C56" s="1430" t="s">
        <v>4348</v>
      </c>
      <c r="D56" s="1431">
        <f>'表05-1'!G32-'表30-14-1'!L44</f>
        <v>0</v>
      </c>
      <c r="E56" s="2878">
        <v>0.30309999999999998</v>
      </c>
      <c r="F56" s="1432">
        <f>ROUND(D56*E56,0)</f>
        <v>0</v>
      </c>
    </row>
    <row r="57" spans="1:7" ht="33">
      <c r="A57" s="1423">
        <f t="shared" si="0"/>
        <v>53</v>
      </c>
      <c r="B57" s="1440" t="s">
        <v>4349</v>
      </c>
      <c r="C57" s="1430" t="s">
        <v>4350</v>
      </c>
      <c r="D57" s="1431">
        <f>'表30-14-1'!L44</f>
        <v>0</v>
      </c>
      <c r="E57" s="2878">
        <v>0.28129999999999999</v>
      </c>
      <c r="F57" s="2816" t="e">
        <f>ROUND(D57*E57,0)*'表30-3-4'!I16</f>
        <v>#DIV/0!</v>
      </c>
    </row>
    <row r="58" spans="1:7" ht="16.5">
      <c r="A58" s="1423">
        <f t="shared" si="0"/>
        <v>54</v>
      </c>
      <c r="B58" s="1427" t="s">
        <v>4351</v>
      </c>
      <c r="C58" s="1425"/>
      <c r="D58" s="1426">
        <f>D59+D60+D63</f>
        <v>0</v>
      </c>
      <c r="E58" s="2877"/>
      <c r="F58" s="1426">
        <f>F59+F60+F63</f>
        <v>0</v>
      </c>
    </row>
    <row r="59" spans="1:7" ht="16.5">
      <c r="A59" s="1423">
        <f t="shared" si="0"/>
        <v>55</v>
      </c>
      <c r="B59" s="1440" t="s">
        <v>4352</v>
      </c>
      <c r="C59" s="1436" t="s">
        <v>4353</v>
      </c>
      <c r="D59" s="1431">
        <f>'表05-1'!G244</f>
        <v>0</v>
      </c>
      <c r="E59" s="2885">
        <v>4.5600000000000002E-2</v>
      </c>
      <c r="F59" s="1432">
        <f>ROUND(D59*E59,0)</f>
        <v>0</v>
      </c>
      <c r="G59" s="1291"/>
    </row>
    <row r="60" spans="1:7" ht="16.5">
      <c r="A60" s="1423">
        <f t="shared" si="0"/>
        <v>56</v>
      </c>
      <c r="B60" s="1442" t="s">
        <v>4354</v>
      </c>
      <c r="C60" s="1437"/>
      <c r="D60" s="1428">
        <f>D61+D62</f>
        <v>0</v>
      </c>
      <c r="E60" s="2884"/>
      <c r="F60" s="1426">
        <f>F61+F62</f>
        <v>0</v>
      </c>
      <c r="G60" s="1291"/>
    </row>
    <row r="61" spans="1:7" ht="33">
      <c r="A61" s="1423">
        <f t="shared" si="0"/>
        <v>57</v>
      </c>
      <c r="B61" s="1444" t="s">
        <v>4355</v>
      </c>
      <c r="C61" s="1445" t="s">
        <v>4356</v>
      </c>
      <c r="D61" s="1431">
        <f>'表30-3-3'!D27</f>
        <v>0</v>
      </c>
      <c r="E61" s="2879"/>
      <c r="F61" s="1432">
        <f>'表30-3-3'!J27</f>
        <v>0</v>
      </c>
      <c r="G61" s="1291"/>
    </row>
    <row r="62" spans="1:7" ht="33">
      <c r="A62" s="1423">
        <f t="shared" si="0"/>
        <v>58</v>
      </c>
      <c r="B62" s="1444" t="s">
        <v>4357</v>
      </c>
      <c r="C62" s="1445" t="s">
        <v>4358</v>
      </c>
      <c r="D62" s="1431">
        <f>'表30-3-3'!D49</f>
        <v>0</v>
      </c>
      <c r="E62" s="2883"/>
      <c r="F62" s="1432">
        <f>'表30-3-3'!J49</f>
        <v>0</v>
      </c>
      <c r="G62" s="1291"/>
    </row>
    <row r="63" spans="1:7" ht="16.5">
      <c r="A63" s="1423">
        <f t="shared" si="0"/>
        <v>59</v>
      </c>
      <c r="B63" s="1442" t="s">
        <v>4359</v>
      </c>
      <c r="C63" s="1437"/>
      <c r="D63" s="1428">
        <f>D64+D65+D68</f>
        <v>0</v>
      </c>
      <c r="E63" s="2883"/>
      <c r="F63" s="1426">
        <f>F64+F65+F68</f>
        <v>0</v>
      </c>
      <c r="G63" s="1291"/>
    </row>
    <row r="64" spans="1:7" ht="33">
      <c r="A64" s="1423">
        <f t="shared" si="0"/>
        <v>60</v>
      </c>
      <c r="B64" s="1444" t="s">
        <v>4360</v>
      </c>
      <c r="C64" s="1436" t="s">
        <v>4361</v>
      </c>
      <c r="D64" s="1431">
        <f>'表05-1'!G221</f>
        <v>0</v>
      </c>
      <c r="E64" s="2885">
        <v>1.2800000000000001E-2</v>
      </c>
      <c r="F64" s="1432">
        <f>ROUND(D64*E64,0)</f>
        <v>0</v>
      </c>
      <c r="G64" s="1291"/>
    </row>
    <row r="65" spans="1:7" ht="16.5">
      <c r="A65" s="1446">
        <f t="shared" si="0"/>
        <v>61</v>
      </c>
      <c r="B65" s="1444" t="s">
        <v>4362</v>
      </c>
      <c r="C65" s="1437"/>
      <c r="D65" s="1447">
        <f>SUM(D66:D67)</f>
        <v>0</v>
      </c>
      <c r="E65" s="2883"/>
      <c r="F65" s="1447">
        <f>SUM(F66:F67)</f>
        <v>0</v>
      </c>
      <c r="G65" s="1291"/>
    </row>
    <row r="66" spans="1:7" ht="16.5">
      <c r="A66" s="1448" t="s">
        <v>3521</v>
      </c>
      <c r="B66" s="1444" t="s">
        <v>4363</v>
      </c>
      <c r="C66" s="1436" t="s">
        <v>4364</v>
      </c>
      <c r="D66" s="1449">
        <f>'表05-1'!G233</f>
        <v>0</v>
      </c>
      <c r="E66" s="2885">
        <v>1.2800000000000001E-2</v>
      </c>
      <c r="F66" s="1447">
        <f>ROUND(D66*E66,0)</f>
        <v>0</v>
      </c>
      <c r="G66" s="1291"/>
    </row>
    <row r="67" spans="1:7" ht="16.5">
      <c r="A67" s="1448" t="s">
        <v>3522</v>
      </c>
      <c r="B67" s="1444" t="s">
        <v>4365</v>
      </c>
      <c r="C67" s="1436" t="s">
        <v>4366</v>
      </c>
      <c r="D67" s="1449">
        <f>'表05-1'!G234</f>
        <v>0</v>
      </c>
      <c r="E67" s="2859">
        <v>0.17249999999999999</v>
      </c>
      <c r="F67" s="1447">
        <f>ROUND(D67*E67,0)</f>
        <v>0</v>
      </c>
      <c r="G67" s="1291"/>
    </row>
    <row r="68" spans="1:7" ht="16.5">
      <c r="A68" s="1423">
        <f>A65+1</f>
        <v>62</v>
      </c>
      <c r="B68" s="1444" t="s">
        <v>4367</v>
      </c>
      <c r="C68" s="1436" t="s">
        <v>4368</v>
      </c>
      <c r="D68" s="1431">
        <f>'表05-1'!G69+'表05-1'!G72+'表05-1'!G186+'表05-1'!G239+'表05-1'!G246</f>
        <v>0</v>
      </c>
      <c r="E68" s="2885">
        <v>5.0200000000000002E-2</v>
      </c>
      <c r="F68" s="1432">
        <f>ROUND(D68*E68,0)</f>
        <v>0</v>
      </c>
      <c r="G68" s="1291"/>
    </row>
    <row r="69" spans="1:7" ht="16.5">
      <c r="A69" s="1423">
        <f t="shared" si="0"/>
        <v>63</v>
      </c>
      <c r="B69" s="1451" t="s">
        <v>4369</v>
      </c>
      <c r="C69" s="1425"/>
      <c r="D69" s="1426">
        <f>D70+D78</f>
        <v>0</v>
      </c>
      <c r="E69" s="2877"/>
      <c r="F69" s="1426" t="e">
        <f ca="1">F70+F78</f>
        <v>#DIV/0!</v>
      </c>
    </row>
    <row r="70" spans="1:7" ht="16.5">
      <c r="A70" s="1423">
        <f t="shared" si="0"/>
        <v>64</v>
      </c>
      <c r="B70" s="1424" t="s">
        <v>4370</v>
      </c>
      <c r="C70" s="1425"/>
      <c r="D70" s="1426">
        <f>D71+D75</f>
        <v>0</v>
      </c>
      <c r="E70" s="2877"/>
      <c r="F70" s="1426" t="e">
        <f>F71+F75</f>
        <v>#DIV/0!</v>
      </c>
    </row>
    <row r="71" spans="1:7" ht="16.5">
      <c r="A71" s="1423">
        <f t="shared" si="0"/>
        <v>65</v>
      </c>
      <c r="B71" s="1427" t="s">
        <v>4371</v>
      </c>
      <c r="C71" s="1425"/>
      <c r="D71" s="1426">
        <f>D72+D73+D74</f>
        <v>0</v>
      </c>
      <c r="E71" s="2877"/>
      <c r="F71" s="1426" t="e">
        <f>F72+F73+F74</f>
        <v>#DIV/0!</v>
      </c>
    </row>
    <row r="72" spans="1:7" ht="33">
      <c r="A72" s="1423">
        <f t="shared" si="0"/>
        <v>66</v>
      </c>
      <c r="B72" s="1429" t="s">
        <v>4372</v>
      </c>
      <c r="C72" s="1430" t="s">
        <v>4373</v>
      </c>
      <c r="D72" s="1432">
        <f>'表30-8-7'!G29+'表30-8-7'!H29</f>
        <v>0</v>
      </c>
      <c r="E72" s="2878" t="s">
        <v>6293</v>
      </c>
      <c r="F72" s="1426"/>
    </row>
    <row r="73" spans="1:7" ht="49.5">
      <c r="A73" s="1423">
        <f>A72+1</f>
        <v>67</v>
      </c>
      <c r="B73" s="1429" t="s">
        <v>4374</v>
      </c>
      <c r="C73" s="1430" t="s">
        <v>4375</v>
      </c>
      <c r="D73" s="1432">
        <f>'表10-3'!G18+'表10-3'!H18+'表10-3'!I18-SUM('表30-8-7'!G29:H30)</f>
        <v>0</v>
      </c>
      <c r="E73" s="2885">
        <v>0.54239999999999999</v>
      </c>
      <c r="F73" s="1432">
        <f>ROUND(D73*E73,0)</f>
        <v>0</v>
      </c>
    </row>
    <row r="74" spans="1:7" ht="33">
      <c r="A74" s="1423">
        <f t="shared" ref="A74:A130" si="1">A73+1</f>
        <v>68</v>
      </c>
      <c r="B74" s="1429" t="s">
        <v>4376</v>
      </c>
      <c r="C74" s="1430" t="s">
        <v>5800</v>
      </c>
      <c r="D74" s="1432">
        <f>'表10-3'!H43+'表10-3'!G43+'表10-3'!I43-SUM('表10-3'!G49:I49)</f>
        <v>0</v>
      </c>
      <c r="E74" s="2878">
        <v>0.3</v>
      </c>
      <c r="F74" s="2816" t="e">
        <f>ROUND(D74*E74,0)*'表30-3-4'!I16</f>
        <v>#DIV/0!</v>
      </c>
    </row>
    <row r="75" spans="1:7" ht="16.5">
      <c r="A75" s="1423">
        <f t="shared" si="1"/>
        <v>69</v>
      </c>
      <c r="B75" s="1427" t="s">
        <v>4377</v>
      </c>
      <c r="C75" s="1425"/>
      <c r="D75" s="1426">
        <f>SUM(D76:D77)</f>
        <v>0</v>
      </c>
      <c r="E75" s="2877"/>
      <c r="F75" s="1426" t="e">
        <f>SUM(F76:F77)</f>
        <v>#DIV/0!</v>
      </c>
    </row>
    <row r="76" spans="1:7" ht="16.5">
      <c r="A76" s="1423">
        <f t="shared" si="1"/>
        <v>70</v>
      </c>
      <c r="B76" s="1429" t="s">
        <v>4378</v>
      </c>
      <c r="C76" s="1430" t="s">
        <v>4379</v>
      </c>
      <c r="D76" s="1432">
        <f>'表10-3'!G24+'表10-3'!G29+'表10-3'!G30+'表10-3'!H24+'表10-3'!H29+'表10-3'!H30</f>
        <v>0</v>
      </c>
      <c r="E76" s="2878">
        <v>0.36159999999999998</v>
      </c>
      <c r="F76" s="1432">
        <f>ROUND(D76*E76,0)</f>
        <v>0</v>
      </c>
    </row>
    <row r="77" spans="1:7" ht="16.5">
      <c r="A77" s="1423">
        <f t="shared" si="1"/>
        <v>71</v>
      </c>
      <c r="B77" s="1429" t="s">
        <v>4380</v>
      </c>
      <c r="C77" s="1430" t="s">
        <v>4381</v>
      </c>
      <c r="D77" s="1432">
        <f>'表10-3'!H44+'表10-3'!G44</f>
        <v>0</v>
      </c>
      <c r="E77" s="2878">
        <v>0.39410000000000001</v>
      </c>
      <c r="F77" s="2816" t="e">
        <f>ROUND(D77*E77,0)*'表30-3-4'!I16</f>
        <v>#DIV/0!</v>
      </c>
    </row>
    <row r="78" spans="1:7" ht="16.5">
      <c r="A78" s="1423">
        <f t="shared" si="1"/>
        <v>72</v>
      </c>
      <c r="B78" s="1424" t="s">
        <v>4382</v>
      </c>
      <c r="C78" s="1425"/>
      <c r="D78" s="1426">
        <f>D79+D80+D86+D102+D105+D106+D107+D115+D118</f>
        <v>0</v>
      </c>
      <c r="E78" s="2879"/>
      <c r="F78" s="1426" t="e">
        <f ca="1">F79+F80+F86+F102+F105+F106+F107+F115+F118</f>
        <v>#DIV/0!</v>
      </c>
    </row>
    <row r="79" spans="1:7" ht="16.5">
      <c r="A79" s="1423">
        <f t="shared" si="1"/>
        <v>73</v>
      </c>
      <c r="B79" s="1435" t="s">
        <v>4383</v>
      </c>
      <c r="C79" s="1430" t="s">
        <v>4384</v>
      </c>
      <c r="D79" s="1431">
        <f>'表05-1'!G10+'表05-1'!G188</f>
        <v>0</v>
      </c>
      <c r="E79" s="2878">
        <v>0.01</v>
      </c>
      <c r="F79" s="1432">
        <f>ROUND(D79*E79-'表30-9'!F14-'表30-9'!F15-'表30-9'!F16,0)</f>
        <v>0</v>
      </c>
    </row>
    <row r="80" spans="1:7" ht="33">
      <c r="A80" s="1423">
        <f t="shared" si="1"/>
        <v>74</v>
      </c>
      <c r="B80" s="1427" t="s">
        <v>4385</v>
      </c>
      <c r="C80" s="1437"/>
      <c r="D80" s="1426">
        <f>SUM(D81:D82,D85)</f>
        <v>0</v>
      </c>
      <c r="E80" s="2877"/>
      <c r="F80" s="1426" t="e">
        <f>SUM(F81:F82,F85)</f>
        <v>#DIV/0!</v>
      </c>
      <c r="G80" s="1291"/>
    </row>
    <row r="81" spans="1:7" ht="33">
      <c r="A81" s="1423">
        <f t="shared" si="1"/>
        <v>75</v>
      </c>
      <c r="B81" s="1429" t="s">
        <v>4386</v>
      </c>
      <c r="C81" s="1430" t="s">
        <v>4387</v>
      </c>
      <c r="D81" s="1431">
        <f>'表30-8-7'!F29</f>
        <v>0</v>
      </c>
      <c r="E81" s="2878" t="s">
        <v>6293</v>
      </c>
      <c r="F81" s="1426"/>
      <c r="G81" s="1291"/>
    </row>
    <row r="82" spans="1:7" ht="16.5">
      <c r="A82" s="1423">
        <f t="shared" si="1"/>
        <v>76</v>
      </c>
      <c r="B82" s="1433" t="s">
        <v>4388</v>
      </c>
      <c r="C82" s="1437"/>
      <c r="D82" s="1428">
        <f>D83+D84</f>
        <v>0</v>
      </c>
      <c r="E82" s="2877"/>
      <c r="F82" s="1426" t="e">
        <f>F83+F84</f>
        <v>#DIV/0!</v>
      </c>
      <c r="G82" s="1291"/>
    </row>
    <row r="83" spans="1:7" ht="49.5">
      <c r="A83" s="1423">
        <f t="shared" si="1"/>
        <v>77</v>
      </c>
      <c r="B83" s="1434" t="s">
        <v>4389</v>
      </c>
      <c r="C83" s="1436" t="s">
        <v>4390</v>
      </c>
      <c r="D83" s="1431">
        <f>'表09-2'!D25+'表11-2'!D37-'表30-8-7'!F30</f>
        <v>0</v>
      </c>
      <c r="E83" s="2886">
        <v>0.54239999999999999</v>
      </c>
      <c r="F83" s="1432">
        <f>ROUND(D83*E83,0)</f>
        <v>0</v>
      </c>
      <c r="G83" s="1291"/>
    </row>
    <row r="84" spans="1:7" ht="49.5">
      <c r="A84" s="1423">
        <f t="shared" si="1"/>
        <v>78</v>
      </c>
      <c r="B84" s="1434" t="s">
        <v>4391</v>
      </c>
      <c r="C84" s="1436" t="s">
        <v>5801</v>
      </c>
      <c r="D84" s="1431">
        <f>'表11-2'!H37+'表09-2'!H25-'表11-2'!H48-'表09-2'!H31</f>
        <v>0</v>
      </c>
      <c r="E84" s="2878">
        <v>0.3</v>
      </c>
      <c r="F84" s="2817" t="e">
        <f>ROUND(D84*E84,0)*'表30-3-4'!I15</f>
        <v>#DIV/0!</v>
      </c>
      <c r="G84" s="1291"/>
    </row>
    <row r="85" spans="1:7" ht="33">
      <c r="A85" s="1423">
        <f t="shared" si="1"/>
        <v>79</v>
      </c>
      <c r="B85" s="1429" t="s">
        <v>4392</v>
      </c>
      <c r="C85" s="1436" t="s">
        <v>4393</v>
      </c>
      <c r="D85" s="1431">
        <f>'表05-1'!G39+'表05-1'!G54+'表05-1'!G190-D81-D82</f>
        <v>0</v>
      </c>
      <c r="E85" s="2885">
        <v>0.01</v>
      </c>
      <c r="F85" s="1432">
        <f>ROUND(D85*E85,0)</f>
        <v>0</v>
      </c>
      <c r="G85" s="1291"/>
    </row>
    <row r="86" spans="1:7" ht="16.5">
      <c r="A86" s="1423">
        <f t="shared" si="1"/>
        <v>80</v>
      </c>
      <c r="B86" s="1427" t="s">
        <v>4394</v>
      </c>
      <c r="C86" s="1425"/>
      <c r="D86" s="1428">
        <f>SUM(D87:D92)</f>
        <v>0</v>
      </c>
      <c r="E86" s="2877"/>
      <c r="F86" s="1428" t="e">
        <f ca="1">SUM(F87:F92)</f>
        <v>#DIV/0!</v>
      </c>
    </row>
    <row r="87" spans="1:7" ht="49.5">
      <c r="A87" s="1423">
        <f t="shared" si="1"/>
        <v>81</v>
      </c>
      <c r="B87" s="1429" t="s">
        <v>4395</v>
      </c>
      <c r="C87" s="1430" t="s">
        <v>4396</v>
      </c>
      <c r="D87" s="1431">
        <f>'表05-1'!M74-'表30-14-1'!L33</f>
        <v>0</v>
      </c>
      <c r="E87" s="2881">
        <f ca="1">'表30-14'!J13</f>
        <v>0.2261</v>
      </c>
      <c r="F87" s="1432">
        <f ca="1">ROUND(D87*E87,0)</f>
        <v>0</v>
      </c>
    </row>
    <row r="88" spans="1:7" ht="49.5">
      <c r="A88" s="1423">
        <f t="shared" si="1"/>
        <v>82</v>
      </c>
      <c r="B88" s="1429" t="s">
        <v>4397</v>
      </c>
      <c r="C88" s="1430" t="s">
        <v>4398</v>
      </c>
      <c r="D88" s="1431">
        <f>'表05-1'!G75-'表30-14-1'!L35</f>
        <v>0</v>
      </c>
      <c r="E88" s="2878">
        <v>8.1000000000000003E-2</v>
      </c>
      <c r="F88" s="1432">
        <f>ROUND(D88*E88,0)</f>
        <v>0</v>
      </c>
    </row>
    <row r="89" spans="1:7" ht="49.5">
      <c r="A89" s="1423">
        <f t="shared" si="1"/>
        <v>83</v>
      </c>
      <c r="B89" s="1429" t="s">
        <v>4399</v>
      </c>
      <c r="C89" s="1430" t="s">
        <v>4400</v>
      </c>
      <c r="D89" s="1431">
        <f>'表05-1'!M76-'表30-14-1'!L37</f>
        <v>0</v>
      </c>
      <c r="E89" s="2881">
        <f ca="1">'表30-14'!J14</f>
        <v>0.2261</v>
      </c>
      <c r="F89" s="1432">
        <f t="shared" ref="F89:F106" ca="1" si="2">ROUND(D89*E89,0)</f>
        <v>0</v>
      </c>
    </row>
    <row r="90" spans="1:7" ht="16.5">
      <c r="A90" s="1423">
        <f t="shared" si="1"/>
        <v>84</v>
      </c>
      <c r="B90" s="1429" t="s">
        <v>4401</v>
      </c>
      <c r="C90" s="1430" t="s">
        <v>4402</v>
      </c>
      <c r="D90" s="1431">
        <f>'表05-1'!G78</f>
        <v>0</v>
      </c>
      <c r="E90" s="2878">
        <v>1.4E-2</v>
      </c>
      <c r="F90" s="1432">
        <f t="shared" si="2"/>
        <v>0</v>
      </c>
    </row>
    <row r="91" spans="1:7" ht="33">
      <c r="A91" s="1423">
        <f t="shared" si="1"/>
        <v>85</v>
      </c>
      <c r="B91" s="1429" t="s">
        <v>4403</v>
      </c>
      <c r="C91" s="1430" t="s">
        <v>4404</v>
      </c>
      <c r="D91" s="1431">
        <f>'表05-1'!G79-'表30-14-1'!L47</f>
        <v>0</v>
      </c>
      <c r="E91" s="2878">
        <f>'表30-3'!E45</f>
        <v>0.33750000000000002</v>
      </c>
      <c r="F91" s="1432">
        <f t="shared" si="2"/>
        <v>0</v>
      </c>
    </row>
    <row r="92" spans="1:7" ht="16.5">
      <c r="A92" s="1423">
        <f t="shared" si="1"/>
        <v>86</v>
      </c>
      <c r="B92" s="1433" t="s">
        <v>4405</v>
      </c>
      <c r="C92" s="1439"/>
      <c r="D92" s="1428">
        <f>D93+D94+D95+D96+D97+D98+D99+D100+D101</f>
        <v>0</v>
      </c>
      <c r="E92" s="2877"/>
      <c r="F92" s="1426" t="e">
        <f ca="1">F93+F94+F95+F96+F97+F98+F99+F100+F101</f>
        <v>#DIV/0!</v>
      </c>
    </row>
    <row r="93" spans="1:7" ht="49.5">
      <c r="A93" s="1423">
        <f t="shared" si="1"/>
        <v>87</v>
      </c>
      <c r="B93" s="1434" t="s">
        <v>4406</v>
      </c>
      <c r="C93" s="1430" t="s">
        <v>4407</v>
      </c>
      <c r="D93" s="1431">
        <f>'表12-2'!G47+'表30-14-1'!L33</f>
        <v>0</v>
      </c>
      <c r="E93" s="2878">
        <f ca="1">'表30-14'!E19</f>
        <v>0.27349999999999997</v>
      </c>
      <c r="F93" s="2816" t="e">
        <f ca="1">ROUND(D93*E93,0)*'表30-3-4'!I16</f>
        <v>#DIV/0!</v>
      </c>
    </row>
    <row r="94" spans="1:7" ht="49.5">
      <c r="A94" s="1423">
        <f t="shared" si="1"/>
        <v>88</v>
      </c>
      <c r="B94" s="1434" t="s">
        <v>4408</v>
      </c>
      <c r="C94" s="1430" t="s">
        <v>4409</v>
      </c>
      <c r="D94" s="1431">
        <f>'表12-2'!D48+'表30-14-1'!L35</f>
        <v>0</v>
      </c>
      <c r="E94" s="2878">
        <v>6.3299999999999995E-2</v>
      </c>
      <c r="F94" s="2816" t="e">
        <f>ROUND(D94*E94,0)*'表30-3-4'!I16</f>
        <v>#DIV/0!</v>
      </c>
    </row>
    <row r="95" spans="1:7" ht="49.5">
      <c r="A95" s="1423">
        <f t="shared" si="1"/>
        <v>89</v>
      </c>
      <c r="B95" s="1434" t="s">
        <v>4410</v>
      </c>
      <c r="C95" s="1430" t="s">
        <v>4411</v>
      </c>
      <c r="D95" s="1431">
        <f>'表12-2'!G49+'表30-14-1'!L37</f>
        <v>0</v>
      </c>
      <c r="E95" s="2878">
        <f ca="1">'表30-14'!E20</f>
        <v>0.27349999999999997</v>
      </c>
      <c r="F95" s="2816" t="e">
        <f ca="1">ROUND(D95*E95,0)*'表30-3-4'!I16</f>
        <v>#DIV/0!</v>
      </c>
    </row>
    <row r="96" spans="1:7" ht="16.5">
      <c r="A96" s="1423">
        <f t="shared" si="1"/>
        <v>90</v>
      </c>
      <c r="B96" s="1434" t="s">
        <v>4412</v>
      </c>
      <c r="C96" s="1430" t="s">
        <v>4413</v>
      </c>
      <c r="D96" s="1431">
        <f>'表12-2'!D50</f>
        <v>0</v>
      </c>
      <c r="E96" s="2878">
        <v>1.09E-2</v>
      </c>
      <c r="F96" s="2816" t="e">
        <f>ROUND(D96*E96,0)*'表30-3-4'!I16</f>
        <v>#DIV/0!</v>
      </c>
    </row>
    <row r="97" spans="1:6" ht="49.5">
      <c r="A97" s="1423">
        <f t="shared" si="1"/>
        <v>91</v>
      </c>
      <c r="B97" s="1434" t="s">
        <v>4414</v>
      </c>
      <c r="C97" s="1430" t="s">
        <v>4415</v>
      </c>
      <c r="D97" s="1431">
        <f>'表12-2'!D51+'表30-14-1'!L47</f>
        <v>0</v>
      </c>
      <c r="E97" s="2878">
        <v>0.33750000000000002</v>
      </c>
      <c r="F97" s="2816" t="e">
        <f>ROUND(D97*E97,0)*'表30-3-4'!I16</f>
        <v>#DIV/0!</v>
      </c>
    </row>
    <row r="98" spans="1:6" ht="16.5">
      <c r="A98" s="1423">
        <f t="shared" si="1"/>
        <v>92</v>
      </c>
      <c r="B98" s="1434" t="s">
        <v>4416</v>
      </c>
      <c r="C98" s="1430" t="s">
        <v>4417</v>
      </c>
      <c r="D98" s="1431">
        <f>'表12-2'!D52</f>
        <v>0</v>
      </c>
      <c r="E98" s="2878">
        <v>0.33750000000000002</v>
      </c>
      <c r="F98" s="2816" t="e">
        <f>ROUND(D98*E98,0)*'表30-3-4'!I16</f>
        <v>#DIV/0!</v>
      </c>
    </row>
    <row r="99" spans="1:6" ht="16.5">
      <c r="A99" s="1423">
        <f t="shared" si="1"/>
        <v>93</v>
      </c>
      <c r="B99" s="1434" t="s">
        <v>4418</v>
      </c>
      <c r="C99" s="1430" t="s">
        <v>4419</v>
      </c>
      <c r="D99" s="1431">
        <f>'表12-2'!D53</f>
        <v>0</v>
      </c>
      <c r="E99" s="2878">
        <v>0.33750000000000002</v>
      </c>
      <c r="F99" s="2816" t="e">
        <f>ROUND(D99*E99,0)*'表30-3-4'!I16</f>
        <v>#DIV/0!</v>
      </c>
    </row>
    <row r="100" spans="1:6" ht="16.5">
      <c r="A100" s="1423">
        <f t="shared" si="1"/>
        <v>94</v>
      </c>
      <c r="B100" s="1434" t="s">
        <v>4420</v>
      </c>
      <c r="C100" s="1430" t="s">
        <v>4421</v>
      </c>
      <c r="D100" s="1431">
        <f>'表05-1'!G195</f>
        <v>0</v>
      </c>
      <c r="E100" s="2878">
        <v>0.1018</v>
      </c>
      <c r="F100" s="2816" t="e">
        <f>ROUND(D100*E100,0)*'表30-3-4'!I16</f>
        <v>#DIV/0!</v>
      </c>
    </row>
    <row r="101" spans="1:6" ht="16.5">
      <c r="A101" s="1423">
        <f t="shared" si="1"/>
        <v>95</v>
      </c>
      <c r="B101" s="1434" t="s">
        <v>4422</v>
      </c>
      <c r="C101" s="1430" t="s">
        <v>4423</v>
      </c>
      <c r="D101" s="1431">
        <f>'表05-1'!G197</f>
        <v>0</v>
      </c>
      <c r="E101" s="2878">
        <v>0.29499999999999998</v>
      </c>
      <c r="F101" s="2816" t="e">
        <f>ROUND(D101*E101,0)*'表30-3-4'!I16</f>
        <v>#DIV/0!</v>
      </c>
    </row>
    <row r="102" spans="1:6" ht="16.5">
      <c r="A102" s="1423">
        <f t="shared" si="1"/>
        <v>96</v>
      </c>
      <c r="B102" s="1427" t="s">
        <v>4424</v>
      </c>
      <c r="C102" s="1425"/>
      <c r="D102" s="1426">
        <f>SUM(D103:D104)</f>
        <v>0</v>
      </c>
      <c r="E102" s="2877"/>
      <c r="F102" s="1426">
        <f>SUM(F103:F104)</f>
        <v>0</v>
      </c>
    </row>
    <row r="103" spans="1:6" ht="66">
      <c r="A103" s="1423">
        <f t="shared" si="1"/>
        <v>97</v>
      </c>
      <c r="B103" s="1429" t="s">
        <v>4425</v>
      </c>
      <c r="C103" s="1430" t="s">
        <v>4426</v>
      </c>
      <c r="D103" s="1431">
        <f>'表13-2'!T22+'表13-2'!T23+'表30-8-3'!E20+'表30-8-3'!E21-'表30-8-4'!D13-'表30-8-4'!D14</f>
        <v>0</v>
      </c>
      <c r="E103" s="2878">
        <v>0.11169999999999999</v>
      </c>
      <c r="F103" s="1432">
        <f>ROUND(D103*E103,0)</f>
        <v>0</v>
      </c>
    </row>
    <row r="104" spans="1:6" ht="33">
      <c r="A104" s="1423">
        <f t="shared" si="1"/>
        <v>98</v>
      </c>
      <c r="B104" s="1429" t="s">
        <v>4427</v>
      </c>
      <c r="C104" s="1430" t="s">
        <v>4428</v>
      </c>
      <c r="D104" s="1431">
        <f>SUM('表30-8-4'!D13:D14)</f>
        <v>0</v>
      </c>
      <c r="E104" s="2887"/>
      <c r="F104" s="1432">
        <f>SUM('表30-8-4'!E13:E14)</f>
        <v>0</v>
      </c>
    </row>
    <row r="105" spans="1:6" ht="16.5">
      <c r="A105" s="1423">
        <f t="shared" si="1"/>
        <v>99</v>
      </c>
      <c r="B105" s="1435" t="s">
        <v>4429</v>
      </c>
      <c r="C105" s="1430" t="s">
        <v>4430</v>
      </c>
      <c r="D105" s="1431">
        <f>'表05-1'!G108+'表05-1'!G189+'表05-1'!G230</f>
        <v>0</v>
      </c>
      <c r="E105" s="2878">
        <v>0.23710000000000001</v>
      </c>
      <c r="F105" s="1432">
        <f>ROUND(D105*E105,0)</f>
        <v>0</v>
      </c>
    </row>
    <row r="106" spans="1:6" ht="16.5">
      <c r="A106" s="1423">
        <f t="shared" si="1"/>
        <v>100</v>
      </c>
      <c r="B106" s="1435" t="s">
        <v>4431</v>
      </c>
      <c r="C106" s="1430" t="s">
        <v>4432</v>
      </c>
      <c r="D106" s="1431">
        <f>表03!H11</f>
        <v>0</v>
      </c>
      <c r="E106" s="2878">
        <v>5.3600000000000002E-2</v>
      </c>
      <c r="F106" s="1432">
        <f t="shared" si="2"/>
        <v>0</v>
      </c>
    </row>
    <row r="107" spans="1:6">
      <c r="A107" s="1423">
        <f t="shared" si="1"/>
        <v>101</v>
      </c>
      <c r="B107" s="1441" t="s">
        <v>732</v>
      </c>
      <c r="C107" s="1425"/>
      <c r="D107" s="1428">
        <f>SUM(D108:D111)</f>
        <v>0</v>
      </c>
      <c r="E107" s="2877"/>
      <c r="F107" s="1426" t="e">
        <f ca="1">SUM(F108:F111)</f>
        <v>#DIV/0!</v>
      </c>
    </row>
    <row r="108" spans="1:6" ht="33">
      <c r="A108" s="1423">
        <f t="shared" si="1"/>
        <v>102</v>
      </c>
      <c r="B108" s="1440" t="s">
        <v>4433</v>
      </c>
      <c r="C108" s="1430" t="s">
        <v>4434</v>
      </c>
      <c r="D108" s="1431">
        <f>'表05-1'!M35-'表30-14-1'!L39</f>
        <v>0</v>
      </c>
      <c r="E108" s="2878">
        <f ca="1">'表30-14'!$J$13</f>
        <v>0.2261</v>
      </c>
      <c r="F108" s="1432">
        <f ca="1">ROUND(D108*E108,0)</f>
        <v>0</v>
      </c>
    </row>
    <row r="109" spans="1:6" ht="33">
      <c r="A109" s="1423">
        <f t="shared" si="1"/>
        <v>103</v>
      </c>
      <c r="B109" s="1440" t="s">
        <v>4435</v>
      </c>
      <c r="C109" s="1430" t="s">
        <v>4436</v>
      </c>
      <c r="D109" s="1431">
        <f>'表05-1'!G36-'表30-14-1'!L41</f>
        <v>0</v>
      </c>
      <c r="E109" s="2878">
        <v>8.1000000000000003E-2</v>
      </c>
      <c r="F109" s="1432">
        <f>ROUND(D109*E109,0)</f>
        <v>0</v>
      </c>
    </row>
    <row r="110" spans="1:6" ht="33">
      <c r="A110" s="1423">
        <f t="shared" si="1"/>
        <v>104</v>
      </c>
      <c r="B110" s="1440" t="s">
        <v>4437</v>
      </c>
      <c r="C110" s="1430" t="s">
        <v>4438</v>
      </c>
      <c r="D110" s="1431">
        <f>'表05-1'!G37-'表30-14-1'!L43</f>
        <v>0</v>
      </c>
      <c r="E110" s="2878">
        <v>0.2165</v>
      </c>
      <c r="F110" s="1432">
        <f>ROUND(D110*E110,0)</f>
        <v>0</v>
      </c>
    </row>
    <row r="111" spans="1:6" ht="16.5">
      <c r="A111" s="1423">
        <f t="shared" si="1"/>
        <v>105</v>
      </c>
      <c r="B111" s="1442" t="s">
        <v>4439</v>
      </c>
      <c r="C111" s="1425"/>
      <c r="D111" s="1428">
        <f>SUM(D112:D114)</f>
        <v>0</v>
      </c>
      <c r="E111" s="2883"/>
      <c r="F111" s="1426" t="e">
        <f ca="1">SUM(F112:F114)</f>
        <v>#DIV/0!</v>
      </c>
    </row>
    <row r="112" spans="1:6" ht="33">
      <c r="A112" s="1423">
        <f t="shared" si="1"/>
        <v>106</v>
      </c>
      <c r="B112" s="1444" t="s">
        <v>4440</v>
      </c>
      <c r="C112" s="1430" t="s">
        <v>4441</v>
      </c>
      <c r="D112" s="1431">
        <f>'表05-1'!M198+'表30-14-1'!L39</f>
        <v>0</v>
      </c>
      <c r="E112" s="2878">
        <f ca="1">'表30-14'!E19</f>
        <v>0.27349999999999997</v>
      </c>
      <c r="F112" s="2816" t="e">
        <f ca="1">ROUND(D112*E112,0)*'表30-3-4'!I16</f>
        <v>#DIV/0!</v>
      </c>
    </row>
    <row r="113" spans="1:7" ht="33">
      <c r="A113" s="1423">
        <f t="shared" si="1"/>
        <v>107</v>
      </c>
      <c r="B113" s="1444" t="s">
        <v>4442</v>
      </c>
      <c r="C113" s="1430" t="s">
        <v>4443</v>
      </c>
      <c r="D113" s="1431">
        <f>'表05-1'!G199+'表30-14-1'!L41</f>
        <v>0</v>
      </c>
      <c r="E113" s="2878">
        <v>6.3299999999999995E-2</v>
      </c>
      <c r="F113" s="2816" t="e">
        <f>ROUND(D113*E113,0)*'表30-3-4'!I16</f>
        <v>#DIV/0!</v>
      </c>
    </row>
    <row r="114" spans="1:7" ht="33">
      <c r="A114" s="1423">
        <f t="shared" si="1"/>
        <v>108</v>
      </c>
      <c r="B114" s="1444" t="s">
        <v>4444</v>
      </c>
      <c r="C114" s="1430" t="s">
        <v>4445</v>
      </c>
      <c r="D114" s="1431">
        <f>'表05-1'!G200+'表30-14-1'!L43</f>
        <v>0</v>
      </c>
      <c r="E114" s="2878">
        <v>0.2009</v>
      </c>
      <c r="F114" s="2816" t="e">
        <f>ROUND(D114*E114,0)*'表30-3-4'!I16</f>
        <v>#DIV/0!</v>
      </c>
    </row>
    <row r="115" spans="1:7">
      <c r="A115" s="1423">
        <f t="shared" si="1"/>
        <v>109</v>
      </c>
      <c r="B115" s="1441" t="s">
        <v>733</v>
      </c>
      <c r="C115" s="1425"/>
      <c r="D115" s="1428">
        <f>SUM(D116:D117)</f>
        <v>0</v>
      </c>
      <c r="E115" s="2884"/>
      <c r="F115" s="1426" t="e">
        <f>SUM(F116:F117)</f>
        <v>#DIV/0!</v>
      </c>
    </row>
    <row r="116" spans="1:7" ht="33">
      <c r="A116" s="1423">
        <f t="shared" si="1"/>
        <v>110</v>
      </c>
      <c r="B116" s="1440" t="s">
        <v>4446</v>
      </c>
      <c r="C116" s="1430" t="s">
        <v>4447</v>
      </c>
      <c r="D116" s="1431">
        <f>'表05-1'!G38-'表30-14-1'!L45</f>
        <v>0</v>
      </c>
      <c r="E116" s="2878">
        <v>0.30309999999999998</v>
      </c>
      <c r="F116" s="1432">
        <f>ROUND(D116*E116,0)</f>
        <v>0</v>
      </c>
    </row>
    <row r="117" spans="1:7" ht="33">
      <c r="A117" s="1423">
        <f t="shared" si="1"/>
        <v>111</v>
      </c>
      <c r="B117" s="1440" t="s">
        <v>4448</v>
      </c>
      <c r="C117" s="1430" t="s">
        <v>4449</v>
      </c>
      <c r="D117" s="1431">
        <f>'表30-14-1'!L45</f>
        <v>0</v>
      </c>
      <c r="E117" s="2878">
        <v>0.28129999999999999</v>
      </c>
      <c r="F117" s="2816" t="e">
        <f>ROUND(D117*E117,0)*'表30-3-4'!I16</f>
        <v>#DIV/0!</v>
      </c>
    </row>
    <row r="118" spans="1:7" ht="16.5">
      <c r="A118" s="1423">
        <f t="shared" si="1"/>
        <v>112</v>
      </c>
      <c r="B118" s="1427" t="s">
        <v>4450</v>
      </c>
      <c r="C118" s="1425"/>
      <c r="D118" s="1426">
        <f>D119+D120+D123</f>
        <v>0</v>
      </c>
      <c r="E118" s="2888"/>
      <c r="F118" s="1426">
        <f>F119+F120+F123</f>
        <v>0</v>
      </c>
    </row>
    <row r="119" spans="1:7" ht="16.5">
      <c r="A119" s="1423">
        <f t="shared" si="1"/>
        <v>113</v>
      </c>
      <c r="B119" s="1440" t="s">
        <v>4451</v>
      </c>
      <c r="C119" s="1436" t="s">
        <v>4452</v>
      </c>
      <c r="D119" s="1431">
        <f>'表05-1'!G248</f>
        <v>0</v>
      </c>
      <c r="E119" s="2878">
        <v>4.5600000000000002E-2</v>
      </c>
      <c r="F119" s="1432">
        <f>ROUND(D119*E119,0)</f>
        <v>0</v>
      </c>
    </row>
    <row r="120" spans="1:7" ht="16.5">
      <c r="A120" s="1423">
        <f t="shared" si="1"/>
        <v>114</v>
      </c>
      <c r="B120" s="1442" t="s">
        <v>4453</v>
      </c>
      <c r="C120" s="1437"/>
      <c r="D120" s="1428">
        <f>D121+D122</f>
        <v>0</v>
      </c>
      <c r="E120" s="2884"/>
      <c r="F120" s="1426">
        <f>F121+F122</f>
        <v>0</v>
      </c>
      <c r="G120" s="1291"/>
    </row>
    <row r="121" spans="1:7" ht="33">
      <c r="A121" s="1423">
        <f t="shared" si="1"/>
        <v>115</v>
      </c>
      <c r="B121" s="1444" t="s">
        <v>4454</v>
      </c>
      <c r="C121" s="1445" t="s">
        <v>4455</v>
      </c>
      <c r="D121" s="1431">
        <f>'表30-3-3'!E27</f>
        <v>0</v>
      </c>
      <c r="E121" s="2879"/>
      <c r="F121" s="1432">
        <f>'表30-3-3'!K27</f>
        <v>0</v>
      </c>
      <c r="G121" s="1291"/>
    </row>
    <row r="122" spans="1:7" ht="33">
      <c r="A122" s="1423">
        <f t="shared" si="1"/>
        <v>116</v>
      </c>
      <c r="B122" s="1444" t="s">
        <v>4456</v>
      </c>
      <c r="C122" s="1445" t="s">
        <v>4457</v>
      </c>
      <c r="D122" s="1431">
        <f>'表30-3-3'!E49</f>
        <v>0</v>
      </c>
      <c r="E122" s="2883"/>
      <c r="F122" s="1432">
        <f>'表30-3-3'!K49</f>
        <v>0</v>
      </c>
      <c r="G122" s="1291"/>
    </row>
    <row r="123" spans="1:7" ht="16.5">
      <c r="A123" s="1423">
        <f t="shared" si="1"/>
        <v>117</v>
      </c>
      <c r="B123" s="1442" t="s">
        <v>4458</v>
      </c>
      <c r="C123" s="1437"/>
      <c r="D123" s="1428">
        <f>D124+D125+D128</f>
        <v>0</v>
      </c>
      <c r="E123" s="2883"/>
      <c r="F123" s="1426">
        <f>F124+F125+F128</f>
        <v>0</v>
      </c>
      <c r="G123" s="1291"/>
    </row>
    <row r="124" spans="1:7" ht="33">
      <c r="A124" s="1423">
        <f t="shared" si="1"/>
        <v>118</v>
      </c>
      <c r="B124" s="1444" t="s">
        <v>4459</v>
      </c>
      <c r="C124" s="1436" t="s">
        <v>4460</v>
      </c>
      <c r="D124" s="1431">
        <f>'表05-1'!G222</f>
        <v>0</v>
      </c>
      <c r="E124" s="2885">
        <v>1.2800000000000001E-2</v>
      </c>
      <c r="F124" s="1432">
        <f>ROUND(D124*E124,0)</f>
        <v>0</v>
      </c>
      <c r="G124" s="1291"/>
    </row>
    <row r="125" spans="1:7" ht="16.5">
      <c r="A125" s="1453">
        <f t="shared" si="1"/>
        <v>119</v>
      </c>
      <c r="B125" s="1444" t="s">
        <v>4461</v>
      </c>
      <c r="C125" s="1437"/>
      <c r="D125" s="1449">
        <f>SUM(D126,D127)</f>
        <v>0</v>
      </c>
      <c r="E125" s="2883"/>
      <c r="F125" s="1449">
        <f>SUM(F126,F127)</f>
        <v>0</v>
      </c>
      <c r="G125" s="1291"/>
    </row>
    <row r="126" spans="1:7" ht="16.5">
      <c r="A126" s="1454" t="s">
        <v>3523</v>
      </c>
      <c r="B126" s="1444" t="s">
        <v>4462</v>
      </c>
      <c r="C126" s="1436" t="s">
        <v>4463</v>
      </c>
      <c r="D126" s="1449">
        <f>'表05-1'!G236</f>
        <v>0</v>
      </c>
      <c r="E126" s="2885">
        <v>1.2800000000000001E-2</v>
      </c>
      <c r="F126" s="1447">
        <f>ROUND(D126*E126,0)</f>
        <v>0</v>
      </c>
      <c r="G126" s="1291"/>
    </row>
    <row r="127" spans="1:7" ht="16.5">
      <c r="A127" s="1454" t="s">
        <v>3524</v>
      </c>
      <c r="B127" s="1444" t="s">
        <v>4464</v>
      </c>
      <c r="C127" s="1436" t="s">
        <v>4465</v>
      </c>
      <c r="D127" s="1449">
        <f>'表05-1'!G237</f>
        <v>0</v>
      </c>
      <c r="E127" s="2885">
        <v>0.17249999999999999</v>
      </c>
      <c r="F127" s="1447">
        <f>ROUND(D127*E127,0)</f>
        <v>0</v>
      </c>
      <c r="G127" s="1291"/>
    </row>
    <row r="128" spans="1:7" ht="16.5">
      <c r="A128" s="1423">
        <f>A125+1</f>
        <v>120</v>
      </c>
      <c r="B128" s="1444" t="s">
        <v>4466</v>
      </c>
      <c r="C128" s="1436" t="s">
        <v>4467</v>
      </c>
      <c r="D128" s="1431">
        <f>'表05-1'!G77+'表05-1'!G80+'表05-1'!G201+'表05-1'!G240+'表05-1'!G250</f>
        <v>0</v>
      </c>
      <c r="E128" s="2885">
        <v>4.5600000000000002E-2</v>
      </c>
      <c r="F128" s="1432">
        <f>ROUND(D128*E128,0)</f>
        <v>0</v>
      </c>
      <c r="G128" s="1291"/>
    </row>
    <row r="129" spans="1:7" ht="33.75" thickBot="1">
      <c r="A129" s="1455">
        <f t="shared" si="1"/>
        <v>121</v>
      </c>
      <c r="B129" s="1456" t="s">
        <v>4468</v>
      </c>
      <c r="C129" s="1457" t="s">
        <v>4469</v>
      </c>
      <c r="D129" s="2872" t="e">
        <f>('表05-1'!G171+SUM('表30-14-1'!L32:L48,'表30-14-1'!L51)-'表05-1'!G173-'表05-1'!G177-'表05-1'!G188-'表05-1'!G192)*'表30-3-4'!I17
+'表05-1'!G173+'表05-1'!G177+'表05-1'!G188+'表05-1'!G192</f>
        <v>#DIV/0!</v>
      </c>
      <c r="E129" s="2889">
        <v>6.6100000000000006E-2</v>
      </c>
      <c r="F129" s="1458" t="e">
        <f>ROUND(D129*E129,0)</f>
        <v>#DIV/0!</v>
      </c>
      <c r="G129" s="1291"/>
    </row>
    <row r="130" spans="1:7" ht="17.25" thickTop="1">
      <c r="A130" s="1459">
        <f t="shared" si="1"/>
        <v>122</v>
      </c>
      <c r="B130" s="1460" t="s">
        <v>4470</v>
      </c>
      <c r="C130" s="1460"/>
      <c r="D130" s="1461">
        <f>D5+D69</f>
        <v>0</v>
      </c>
      <c r="E130" s="2890"/>
      <c r="F130" s="1461" t="e">
        <f ca="1">F5+F69+F129</f>
        <v>#DIV/0!</v>
      </c>
    </row>
    <row r="131" spans="1:7" ht="16.5">
      <c r="A131" s="1462" t="s">
        <v>4471</v>
      </c>
      <c r="B131" s="1291"/>
      <c r="C131" s="1291"/>
      <c r="D131" s="1291"/>
      <c r="E131" s="15"/>
      <c r="F131" s="1291"/>
      <c r="G131" s="1291"/>
    </row>
    <row r="132" spans="1:7" ht="15.75" customHeight="1">
      <c r="A132" s="1463">
        <v>1</v>
      </c>
      <c r="B132" s="1464" t="s">
        <v>3245</v>
      </c>
      <c r="C132" s="1465"/>
      <c r="D132" s="1465"/>
      <c r="E132" s="2891"/>
      <c r="F132" s="1465"/>
      <c r="G132" s="1466"/>
    </row>
    <row r="133" spans="1:7" ht="18" customHeight="1">
      <c r="A133" s="1463">
        <v>2</v>
      </c>
      <c r="B133" s="1467" t="s">
        <v>3246</v>
      </c>
      <c r="C133" s="1465"/>
      <c r="D133" s="1465"/>
      <c r="E133" s="2891"/>
      <c r="F133" s="1465"/>
      <c r="G133" s="1466"/>
    </row>
    <row r="134" spans="1:7" ht="19.149999999999999" customHeight="1">
      <c r="B134" s="1467" t="s">
        <v>4472</v>
      </c>
      <c r="C134" s="1465"/>
      <c r="D134" s="1465"/>
      <c r="E134" s="2891"/>
      <c r="F134" s="1465"/>
      <c r="G134" s="1466"/>
    </row>
    <row r="135" spans="1:7" ht="16.5">
      <c r="A135" s="1463">
        <v>3</v>
      </c>
      <c r="B135" s="1468" t="s">
        <v>4473</v>
      </c>
      <c r="C135" s="1468"/>
      <c r="D135" s="1468"/>
      <c r="E135" s="2892"/>
      <c r="F135" s="1468"/>
      <c r="G135" s="1466"/>
    </row>
    <row r="136" spans="1:7" ht="15.75" customHeight="1">
      <c r="A136" s="1463">
        <v>4</v>
      </c>
      <c r="B136" s="1465" t="s">
        <v>4474</v>
      </c>
      <c r="C136" s="1465"/>
      <c r="D136" s="1465"/>
      <c r="E136" s="2891"/>
      <c r="F136" s="1465"/>
      <c r="G136" s="1466"/>
    </row>
    <row r="137" spans="1:7" ht="15.75" customHeight="1">
      <c r="B137" s="1464" t="s">
        <v>3247</v>
      </c>
      <c r="C137" s="1465"/>
      <c r="D137" s="1465"/>
      <c r="E137" s="2891"/>
      <c r="F137" s="1465"/>
      <c r="G137" s="1466"/>
    </row>
    <row r="138" spans="1:7" ht="15.75" customHeight="1">
      <c r="A138" s="1463">
        <v>5</v>
      </c>
      <c r="B138" s="1465" t="s">
        <v>4475</v>
      </c>
      <c r="C138" s="1465"/>
      <c r="D138" s="1465"/>
      <c r="E138" s="2891"/>
      <c r="F138" s="1465"/>
    </row>
    <row r="139" spans="1:7" ht="15.75" customHeight="1">
      <c r="B139" s="1465" t="s">
        <v>4476</v>
      </c>
      <c r="C139" s="1465"/>
      <c r="D139" s="1465"/>
      <c r="E139" s="2891"/>
      <c r="F139" s="1465"/>
    </row>
    <row r="140" spans="1:7" ht="16.5">
      <c r="A140" s="1463">
        <v>6</v>
      </c>
      <c r="B140" s="1469" t="s">
        <v>3248</v>
      </c>
      <c r="C140" s="1468"/>
      <c r="D140" s="1470"/>
      <c r="E140" s="2893"/>
      <c r="F140" s="1470"/>
    </row>
  </sheetData>
  <mergeCells count="3">
    <mergeCell ref="A3:A4"/>
    <mergeCell ref="B3:B4"/>
    <mergeCell ref="C3:C4"/>
  </mergeCells>
  <phoneticPr fontId="9" type="noConversion"/>
  <pageMargins left="0" right="0" top="0" bottom="0" header="0" footer="0"/>
  <pageSetup paperSize="9" scale="4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EE0000"/>
    <pageSetUpPr fitToPage="1"/>
  </sheetPr>
  <dimension ref="A1:Q230"/>
  <sheetViews>
    <sheetView view="pageBreakPreview" topLeftCell="A163" zoomScaleNormal="100" zoomScaleSheetLayoutView="100" workbookViewId="0">
      <selection activeCell="D173" sqref="D173"/>
    </sheetView>
  </sheetViews>
  <sheetFormatPr defaultColWidth="15.625" defaultRowHeight="15.75"/>
  <cols>
    <col min="1" max="1" width="5.625" style="1463" customWidth="1"/>
    <col min="2" max="2" width="70.625" style="1291" customWidth="1"/>
    <col min="3" max="3" width="77.375" style="1475" customWidth="1"/>
    <col min="4" max="4" width="20.625" style="1476" customWidth="1"/>
    <col min="5" max="5" width="15.625" style="1523" customWidth="1"/>
    <col min="6" max="6" width="20.625" style="1476" customWidth="1"/>
    <col min="7" max="16" width="15.625" style="1476" customWidth="1"/>
    <col min="17" max="16384" width="15.625" style="1291"/>
  </cols>
  <sheetData>
    <row r="1" spans="1:16" s="1412" customFormat="1" ht="16.5">
      <c r="A1" s="1472" t="str">
        <f>+封面!A3&amp;" "&amp;封面!A2</f>
        <v xml:space="preserve">        保險股份有限公司(○○分公司) 年度(月、季、半年)報表</v>
      </c>
      <c r="B1" s="1473"/>
      <c r="C1" s="1410"/>
      <c r="D1" s="1411"/>
      <c r="E1" s="1411"/>
      <c r="F1" s="1411"/>
      <c r="G1" s="1411"/>
      <c r="H1" s="1411"/>
      <c r="I1" s="1411"/>
      <c r="J1" s="1411"/>
      <c r="K1" s="1411"/>
      <c r="L1" s="1411"/>
      <c r="M1" s="1411"/>
      <c r="N1" s="1411"/>
      <c r="O1" s="1411"/>
      <c r="P1" s="1411"/>
    </row>
    <row r="2" spans="1:16" ht="16.5">
      <c r="A2" s="1474" t="s">
        <v>4477</v>
      </c>
      <c r="E2" s="1463"/>
      <c r="F2" s="1477" t="s">
        <v>2987</v>
      </c>
      <c r="G2" s="1478"/>
      <c r="H2" s="1291"/>
      <c r="I2" s="1291"/>
      <c r="J2" s="1291"/>
      <c r="K2" s="1291"/>
      <c r="L2" s="1291"/>
      <c r="M2" s="1291"/>
      <c r="N2" s="1478"/>
      <c r="O2" s="1291"/>
      <c r="P2" s="1291"/>
    </row>
    <row r="3" spans="1:16" ht="16.5">
      <c r="A3" s="3567" t="s">
        <v>745</v>
      </c>
      <c r="B3" s="3567" t="s">
        <v>742</v>
      </c>
      <c r="C3" s="3567" t="s">
        <v>744</v>
      </c>
      <c r="D3" s="1479" t="s">
        <v>743</v>
      </c>
      <c r="E3" s="1893" t="s">
        <v>1848</v>
      </c>
      <c r="F3" s="1479" t="s">
        <v>1849</v>
      </c>
      <c r="G3" s="1480"/>
      <c r="H3" s="1291"/>
      <c r="I3" s="1291"/>
      <c r="J3" s="1291"/>
      <c r="K3" s="1291"/>
      <c r="L3" s="1291"/>
      <c r="M3" s="1291"/>
      <c r="N3" s="1291"/>
      <c r="O3" s="1291"/>
      <c r="P3" s="1291"/>
    </row>
    <row r="4" spans="1:16" ht="16.5">
      <c r="A4" s="3567"/>
      <c r="B4" s="3567"/>
      <c r="C4" s="3567"/>
      <c r="D4" s="1481" t="s">
        <v>28</v>
      </c>
      <c r="E4" s="1481" t="s">
        <v>423</v>
      </c>
      <c r="F4" s="1482" t="s">
        <v>667</v>
      </c>
      <c r="G4" s="1480"/>
      <c r="H4" s="1291"/>
      <c r="I4" s="1291"/>
      <c r="J4" s="1291"/>
      <c r="K4" s="1291"/>
      <c r="L4" s="1291"/>
      <c r="M4" s="1291"/>
      <c r="N4" s="1291"/>
      <c r="O4" s="1291"/>
      <c r="P4" s="1291"/>
    </row>
    <row r="5" spans="1:16" ht="16.5">
      <c r="A5" s="1483">
        <v>1</v>
      </c>
      <c r="B5" s="1484" t="s">
        <v>4478</v>
      </c>
      <c r="C5" s="1485"/>
      <c r="D5" s="1486">
        <f>SUM(D6:D7,D51,D64,D70)</f>
        <v>0</v>
      </c>
      <c r="E5" s="2899"/>
      <c r="F5" s="1486">
        <f ca="1">SUM(F6:F7,F51,F64,F70)</f>
        <v>0</v>
      </c>
      <c r="O5" s="1291"/>
      <c r="P5" s="1291"/>
    </row>
    <row r="6" spans="1:16" ht="16.5">
      <c r="A6" s="1487">
        <f>A5+1</f>
        <v>2</v>
      </c>
      <c r="B6" s="1488" t="s">
        <v>4479</v>
      </c>
      <c r="C6" s="1436" t="s">
        <v>4480</v>
      </c>
      <c r="D6" s="1447">
        <f>SUM('表05-1'!G6:G7)</f>
        <v>0</v>
      </c>
      <c r="E6" s="2900">
        <v>0</v>
      </c>
      <c r="F6" s="1447">
        <f>ROUND(D6*E6,0)</f>
        <v>0</v>
      </c>
      <c r="H6" s="1291"/>
      <c r="I6" s="1291"/>
      <c r="J6" s="1291"/>
      <c r="K6" s="1291"/>
      <c r="L6" s="1291"/>
      <c r="M6" s="1291"/>
      <c r="N6" s="1291"/>
      <c r="O6" s="1291"/>
      <c r="P6" s="1291"/>
    </row>
    <row r="7" spans="1:16" ht="16.5">
      <c r="A7" s="1487">
        <f t="shared" ref="A7:A20" si="0">A6+1</f>
        <v>3</v>
      </c>
      <c r="B7" s="1489" t="s">
        <v>4481</v>
      </c>
      <c r="C7" s="1437"/>
      <c r="D7" s="1443">
        <f>SUM(D8,D22,D27,D40,D46,D50)</f>
        <v>0</v>
      </c>
      <c r="E7" s="2901"/>
      <c r="F7" s="1443">
        <f ca="1">SUM(F8,F22,F27,F40,F46,F50)</f>
        <v>0</v>
      </c>
      <c r="H7" s="1291"/>
      <c r="I7" s="1291"/>
      <c r="J7" s="1291"/>
      <c r="K7" s="1291"/>
      <c r="L7" s="1291"/>
      <c r="M7" s="1291"/>
      <c r="N7" s="1291"/>
      <c r="O7" s="1291"/>
      <c r="P7" s="1291"/>
    </row>
    <row r="8" spans="1:16" ht="16.5">
      <c r="A8" s="1487">
        <f t="shared" si="0"/>
        <v>4</v>
      </c>
      <c r="B8" s="1441" t="s">
        <v>4482</v>
      </c>
      <c r="C8" s="1437"/>
      <c r="D8" s="1443">
        <f>SUM(D9:D10,D16:D17)</f>
        <v>0</v>
      </c>
      <c r="E8" s="2901"/>
      <c r="F8" s="1443">
        <f>SUM(F9:F10,F16:F17)</f>
        <v>0</v>
      </c>
      <c r="H8" s="1291"/>
      <c r="I8" s="1291"/>
      <c r="J8" s="1291"/>
      <c r="K8" s="1291"/>
      <c r="L8" s="1291"/>
      <c r="M8" s="1291"/>
      <c r="N8" s="1291"/>
      <c r="O8" s="1291"/>
      <c r="P8" s="1291"/>
    </row>
    <row r="9" spans="1:16" ht="16.5">
      <c r="A9" s="1487">
        <f t="shared" si="0"/>
        <v>5</v>
      </c>
      <c r="B9" s="1440" t="s">
        <v>4483</v>
      </c>
      <c r="C9" s="1436" t="s">
        <v>4484</v>
      </c>
      <c r="D9" s="1447">
        <f>'表05-1'!G12</f>
        <v>0</v>
      </c>
      <c r="E9" s="2900">
        <v>0</v>
      </c>
      <c r="F9" s="1447">
        <f>ROUND(D9*E9,0)</f>
        <v>0</v>
      </c>
      <c r="H9" s="1291"/>
      <c r="I9" s="1291"/>
      <c r="J9" s="1291"/>
      <c r="K9" s="1291"/>
      <c r="L9" s="1291"/>
      <c r="M9" s="1291"/>
      <c r="N9" s="1291"/>
      <c r="O9" s="1291"/>
      <c r="P9" s="1291"/>
    </row>
    <row r="10" spans="1:16" ht="16.5">
      <c r="A10" s="1487">
        <f t="shared" si="0"/>
        <v>6</v>
      </c>
      <c r="B10" s="1442" t="s">
        <v>4485</v>
      </c>
      <c r="C10" s="1491"/>
      <c r="D10" s="1443">
        <f>SUM(D11:D12)</f>
        <v>0</v>
      </c>
      <c r="E10" s="2901"/>
      <c r="F10" s="1443">
        <f>F12</f>
        <v>0</v>
      </c>
      <c r="H10" s="1291"/>
      <c r="I10" s="1291"/>
      <c r="J10" s="1291"/>
      <c r="K10" s="1291"/>
      <c r="L10" s="1291"/>
      <c r="M10" s="1291"/>
      <c r="N10" s="1291"/>
      <c r="O10" s="1291"/>
      <c r="P10" s="1291"/>
    </row>
    <row r="11" spans="1:16" ht="33">
      <c r="A11" s="1487">
        <f t="shared" si="0"/>
        <v>7</v>
      </c>
      <c r="B11" s="1444" t="s">
        <v>4486</v>
      </c>
      <c r="C11" s="1430" t="s">
        <v>4487</v>
      </c>
      <c r="D11" s="1447">
        <f>'表30-8-7'!F34</f>
        <v>0</v>
      </c>
      <c r="E11" s="2900" t="s">
        <v>6296</v>
      </c>
      <c r="F11" s="1443"/>
      <c r="H11" s="1291"/>
      <c r="I11" s="1291"/>
      <c r="J11" s="1291"/>
      <c r="K11" s="1291"/>
      <c r="L11" s="1291"/>
      <c r="M11" s="1291"/>
      <c r="N11" s="1291"/>
      <c r="O11" s="1291"/>
      <c r="P11" s="1291"/>
    </row>
    <row r="12" spans="1:16" ht="16.5">
      <c r="A12" s="1487">
        <f t="shared" si="0"/>
        <v>8</v>
      </c>
      <c r="B12" s="1492" t="s">
        <v>4488</v>
      </c>
      <c r="C12" s="1491"/>
      <c r="D12" s="1443">
        <f>SUM(D13:D15)</f>
        <v>0</v>
      </c>
      <c r="E12" s="2901"/>
      <c r="F12" s="1443">
        <f>SUM(F13:F15)</f>
        <v>0</v>
      </c>
      <c r="H12" s="1291"/>
      <c r="I12" s="1291"/>
      <c r="J12" s="1291"/>
      <c r="K12" s="1291"/>
      <c r="L12" s="1291"/>
      <c r="M12" s="1291"/>
      <c r="N12" s="1291"/>
      <c r="O12" s="1291"/>
      <c r="P12" s="1291"/>
    </row>
    <row r="13" spans="1:16" ht="33">
      <c r="A13" s="1487">
        <f t="shared" si="0"/>
        <v>9</v>
      </c>
      <c r="B13" s="1493" t="s">
        <v>4489</v>
      </c>
      <c r="C13" s="3039" t="s">
        <v>6595</v>
      </c>
      <c r="D13" s="1447">
        <f>'表30-3-1'!D24-'表30-3-1'!D121</f>
        <v>0</v>
      </c>
      <c r="E13" s="2901"/>
      <c r="F13" s="1447">
        <f>'表30-3-1'!F24-'表30-3-1'!F121</f>
        <v>0</v>
      </c>
      <c r="H13" s="1291"/>
      <c r="I13" s="1291"/>
      <c r="J13" s="1291"/>
      <c r="K13" s="1291"/>
      <c r="L13" s="1291"/>
      <c r="M13" s="1291"/>
      <c r="N13" s="1291"/>
      <c r="O13" s="1291"/>
      <c r="P13" s="1291"/>
    </row>
    <row r="14" spans="1:16" ht="33">
      <c r="A14" s="1487">
        <f t="shared" si="0"/>
        <v>10</v>
      </c>
      <c r="B14" s="1493" t="s">
        <v>4490</v>
      </c>
      <c r="C14" s="1436" t="s">
        <v>4491</v>
      </c>
      <c r="D14" s="1447">
        <f>'表30-3-1'!D43</f>
        <v>0</v>
      </c>
      <c r="E14" s="2901"/>
      <c r="F14" s="1447">
        <f>'表30-3-1'!F43</f>
        <v>0</v>
      </c>
      <c r="H14" s="1291"/>
      <c r="I14" s="1291"/>
      <c r="J14" s="1291"/>
      <c r="K14" s="1291"/>
      <c r="L14" s="1291"/>
      <c r="M14" s="1291"/>
      <c r="N14" s="1291"/>
      <c r="O14" s="1291"/>
      <c r="P14" s="1291"/>
    </row>
    <row r="15" spans="1:16" ht="33">
      <c r="A15" s="1487">
        <f t="shared" si="0"/>
        <v>11</v>
      </c>
      <c r="B15" s="1493" t="s">
        <v>4492</v>
      </c>
      <c r="C15" s="1436" t="s">
        <v>4493</v>
      </c>
      <c r="D15" s="1447">
        <f>'表30-3-1'!D44</f>
        <v>0</v>
      </c>
      <c r="E15" s="2900">
        <v>0.20799999999999999</v>
      </c>
      <c r="F15" s="1447">
        <f>ROUND(D15*E15,0)</f>
        <v>0</v>
      </c>
      <c r="H15" s="1291"/>
      <c r="I15" s="1291"/>
      <c r="J15" s="1291"/>
      <c r="K15" s="1291"/>
      <c r="L15" s="1291"/>
      <c r="M15" s="1291"/>
      <c r="N15" s="1291"/>
      <c r="O15" s="1291"/>
      <c r="P15" s="1291"/>
    </row>
    <row r="16" spans="1:16" ht="33">
      <c r="A16" s="1487">
        <f t="shared" si="0"/>
        <v>12</v>
      </c>
      <c r="B16" s="1440" t="s">
        <v>4494</v>
      </c>
      <c r="C16" s="1436" t="s">
        <v>4495</v>
      </c>
      <c r="D16" s="1447">
        <f>'表30-3-1'!D63</f>
        <v>0</v>
      </c>
      <c r="E16" s="2901"/>
      <c r="F16" s="1447">
        <f>'表30-3-1'!F63</f>
        <v>0</v>
      </c>
      <c r="H16" s="1291"/>
      <c r="I16" s="1291"/>
      <c r="J16" s="1291"/>
      <c r="K16" s="1291"/>
      <c r="L16" s="1291"/>
      <c r="M16" s="1291"/>
      <c r="N16" s="1291"/>
      <c r="O16" s="1291"/>
      <c r="P16" s="1291"/>
    </row>
    <row r="17" spans="1:16" ht="20.25">
      <c r="A17" s="1487">
        <f t="shared" si="0"/>
        <v>13</v>
      </c>
      <c r="B17" s="1442" t="s">
        <v>4496</v>
      </c>
      <c r="C17" s="1437"/>
      <c r="D17" s="2912">
        <f>SUM(D18:D21)</f>
        <v>0</v>
      </c>
      <c r="E17" s="2901"/>
      <c r="F17" s="2912">
        <f>SUM(F18:F21)</f>
        <v>0</v>
      </c>
      <c r="H17" s="1291"/>
      <c r="I17" s="1291"/>
      <c r="J17" s="1291"/>
      <c r="K17" s="1291"/>
      <c r="L17" s="1291"/>
      <c r="M17" s="1291"/>
      <c r="N17" s="1291"/>
      <c r="O17" s="1291"/>
      <c r="P17" s="1291"/>
    </row>
    <row r="18" spans="1:16" ht="33">
      <c r="A18" s="1487">
        <f t="shared" si="0"/>
        <v>14</v>
      </c>
      <c r="B18" s="1444" t="s">
        <v>4497</v>
      </c>
      <c r="C18" s="1436" t="s">
        <v>4498</v>
      </c>
      <c r="D18" s="1447">
        <f>'表30-3-1'!D82</f>
        <v>0</v>
      </c>
      <c r="E18" s="2901"/>
      <c r="F18" s="1447">
        <f>'表30-3-1'!F82</f>
        <v>0</v>
      </c>
      <c r="H18" s="1291"/>
      <c r="I18" s="1291"/>
      <c r="J18" s="1291"/>
      <c r="K18" s="1291"/>
      <c r="L18" s="1291"/>
      <c r="M18" s="1291"/>
      <c r="N18" s="1291"/>
      <c r="O18" s="1291"/>
      <c r="P18" s="1291"/>
    </row>
    <row r="19" spans="1:16" ht="33">
      <c r="A19" s="1487">
        <f t="shared" si="0"/>
        <v>15</v>
      </c>
      <c r="B19" s="1444" t="s">
        <v>4499</v>
      </c>
      <c r="C19" s="1436" t="s">
        <v>4500</v>
      </c>
      <c r="D19" s="1447">
        <f>'表30-3-1'!D83</f>
        <v>0</v>
      </c>
      <c r="E19" s="2901"/>
      <c r="F19" s="1447">
        <f>'表30-3-1'!F83</f>
        <v>0</v>
      </c>
      <c r="H19" s="1291"/>
      <c r="I19" s="1291"/>
      <c r="J19" s="1291"/>
      <c r="K19" s="1291"/>
      <c r="L19" s="1291"/>
      <c r="M19" s="1291"/>
      <c r="N19" s="1291"/>
      <c r="O19" s="1291"/>
      <c r="P19" s="1291"/>
    </row>
    <row r="20" spans="1:16" ht="33">
      <c r="A20" s="1487">
        <f t="shared" si="0"/>
        <v>16</v>
      </c>
      <c r="B20" s="1444" t="s">
        <v>4501</v>
      </c>
      <c r="C20" s="1436" t="s">
        <v>4502</v>
      </c>
      <c r="D20" s="1447">
        <f>'表30-3-1'!D84</f>
        <v>0</v>
      </c>
      <c r="E20" s="2902">
        <v>9.2299999999999993E-2</v>
      </c>
      <c r="F20" s="1447">
        <f>ROUND(D20*E20,0)</f>
        <v>0</v>
      </c>
      <c r="H20" s="1291"/>
      <c r="I20" s="1291"/>
      <c r="J20" s="1291"/>
      <c r="K20" s="1291"/>
      <c r="L20" s="1291"/>
      <c r="M20" s="1291"/>
      <c r="N20" s="1291"/>
      <c r="O20" s="1291"/>
      <c r="P20" s="1291"/>
    </row>
    <row r="21" spans="1:16" ht="33">
      <c r="A21" s="2908">
        <f>A20+1</f>
        <v>17</v>
      </c>
      <c r="B21" s="2909" t="s">
        <v>6298</v>
      </c>
      <c r="C21" s="2910" t="s">
        <v>6299</v>
      </c>
      <c r="D21" s="2895">
        <f>'表30-3-1'!D85</f>
        <v>0</v>
      </c>
      <c r="E21" s="2911">
        <v>1.2800000000000001E-2</v>
      </c>
      <c r="F21" s="2895">
        <f>ROUND(D21*E21,0)</f>
        <v>0</v>
      </c>
      <c r="H21" s="1291"/>
      <c r="I21" s="1291"/>
      <c r="J21" s="1291"/>
      <c r="K21" s="1291"/>
      <c r="L21" s="1291"/>
      <c r="M21" s="1291"/>
      <c r="N21" s="1291"/>
      <c r="O21" s="1291"/>
      <c r="P21" s="1291"/>
    </row>
    <row r="22" spans="1:16" ht="16.5">
      <c r="A22" s="1487">
        <f t="shared" ref="A22:A85" si="1">A21+1</f>
        <v>18</v>
      </c>
      <c r="B22" s="1441" t="s">
        <v>4503</v>
      </c>
      <c r="C22" s="1494"/>
      <c r="D22" s="1443">
        <f>SUM(D23:D26)</f>
        <v>0</v>
      </c>
      <c r="E22" s="2901"/>
      <c r="F22" s="1443">
        <f>SUM(F23:F26)</f>
        <v>0</v>
      </c>
      <c r="H22" s="1291"/>
      <c r="I22" s="1291"/>
      <c r="J22" s="1291"/>
      <c r="K22" s="1291"/>
      <c r="L22" s="1291"/>
      <c r="M22" s="1291"/>
      <c r="N22" s="1291"/>
      <c r="O22" s="1291"/>
      <c r="P22" s="1291"/>
    </row>
    <row r="23" spans="1:16" ht="16.5">
      <c r="A23" s="1487">
        <f t="shared" si="1"/>
        <v>19</v>
      </c>
      <c r="B23" s="1440" t="s">
        <v>4504</v>
      </c>
      <c r="C23" s="1436" t="s">
        <v>4505</v>
      </c>
      <c r="D23" s="1447">
        <f>'表05-1'!G16</f>
        <v>0</v>
      </c>
      <c r="E23" s="2900">
        <v>2.5999999999999999E-3</v>
      </c>
      <c r="F23" s="1447">
        <f>ROUND(D23*E23,0)</f>
        <v>0</v>
      </c>
      <c r="H23" s="1291"/>
      <c r="I23" s="1291"/>
      <c r="J23" s="1291"/>
      <c r="K23" s="1291"/>
      <c r="L23" s="1291"/>
      <c r="M23" s="1291"/>
      <c r="N23" s="1291"/>
      <c r="O23" s="1291"/>
      <c r="P23" s="1291"/>
    </row>
    <row r="24" spans="1:16" ht="16.5">
      <c r="A24" s="1487">
        <f t="shared" si="1"/>
        <v>20</v>
      </c>
      <c r="B24" s="1440" t="s">
        <v>4506</v>
      </c>
      <c r="C24" s="1436" t="s">
        <v>4507</v>
      </c>
      <c r="D24" s="1447">
        <f>'表05-1'!G17</f>
        <v>0</v>
      </c>
      <c r="E24" s="2900">
        <v>2.5999999999999999E-3</v>
      </c>
      <c r="F24" s="1447">
        <f>ROUND(D24*E24,0)</f>
        <v>0</v>
      </c>
      <c r="H24" s="1291"/>
      <c r="I24" s="1291"/>
      <c r="J24" s="1291"/>
      <c r="K24" s="1291"/>
      <c r="L24" s="1291"/>
      <c r="M24" s="1291"/>
      <c r="N24" s="1291"/>
      <c r="O24" s="1291"/>
      <c r="P24" s="1291"/>
    </row>
    <row r="25" spans="1:16" ht="16.5">
      <c r="A25" s="1487">
        <f t="shared" si="1"/>
        <v>21</v>
      </c>
      <c r="B25" s="1440" t="s">
        <v>4508</v>
      </c>
      <c r="C25" s="1436" t="s">
        <v>4509</v>
      </c>
      <c r="D25" s="1447">
        <f>'表05-1'!G18</f>
        <v>0</v>
      </c>
      <c r="E25" s="2900">
        <v>2.5999999999999999E-3</v>
      </c>
      <c r="F25" s="1447">
        <f>ROUND(D25*E25,0)</f>
        <v>0</v>
      </c>
      <c r="H25" s="1291"/>
      <c r="I25" s="1291"/>
      <c r="J25" s="1291"/>
      <c r="K25" s="1291"/>
      <c r="L25" s="1291"/>
      <c r="M25" s="1291"/>
      <c r="N25" s="1291"/>
      <c r="O25" s="1291"/>
      <c r="P25" s="1291"/>
    </row>
    <row r="26" spans="1:16" ht="16.5">
      <c r="A26" s="1487">
        <f t="shared" si="1"/>
        <v>22</v>
      </c>
      <c r="B26" s="1440" t="s">
        <v>4510</v>
      </c>
      <c r="C26" s="1436" t="s">
        <v>4511</v>
      </c>
      <c r="D26" s="1447">
        <f>'表05-1'!G19</f>
        <v>0</v>
      </c>
      <c r="E26" s="2900">
        <v>2.5999999999999999E-3</v>
      </c>
      <c r="F26" s="1447">
        <f>ROUND(D26*E26,0)</f>
        <v>0</v>
      </c>
      <c r="H26" s="1291"/>
      <c r="I26" s="1291"/>
      <c r="J26" s="1291"/>
      <c r="K26" s="1291"/>
      <c r="L26" s="1291"/>
      <c r="M26" s="1291"/>
      <c r="N26" s="1291"/>
      <c r="O26" s="1291"/>
      <c r="P26" s="1291"/>
    </row>
    <row r="27" spans="1:16" ht="16.5">
      <c r="A27" s="1487">
        <f t="shared" si="1"/>
        <v>23</v>
      </c>
      <c r="B27" s="1441" t="s">
        <v>4512</v>
      </c>
      <c r="C27" s="1437"/>
      <c r="D27" s="1443">
        <f>SUM(D28,D31,D34:D35)</f>
        <v>0</v>
      </c>
      <c r="E27" s="2901"/>
      <c r="F27" s="1443">
        <f ca="1">SUM(F28,F31,F34:F35)</f>
        <v>0</v>
      </c>
      <c r="H27" s="1291"/>
      <c r="I27" s="1291"/>
      <c r="J27" s="1291"/>
      <c r="K27" s="1291"/>
      <c r="L27" s="1291"/>
      <c r="M27" s="1291"/>
      <c r="N27" s="1291"/>
      <c r="O27" s="1291"/>
      <c r="P27" s="1291"/>
    </row>
    <row r="28" spans="1:16" ht="16.5">
      <c r="A28" s="1487">
        <f t="shared" si="1"/>
        <v>24</v>
      </c>
      <c r="B28" s="1442" t="s">
        <v>4513</v>
      </c>
      <c r="C28" s="1491"/>
      <c r="D28" s="1443">
        <f>SUM(D29:D30)</f>
        <v>0</v>
      </c>
      <c r="E28" s="2901"/>
      <c r="F28" s="1443">
        <f ca="1">SUM(F29:F30)</f>
        <v>0</v>
      </c>
      <c r="H28" s="1291"/>
      <c r="I28" s="1291"/>
      <c r="J28" s="1291"/>
      <c r="K28" s="1291"/>
      <c r="L28" s="1291"/>
      <c r="M28" s="1291"/>
      <c r="N28" s="1291"/>
      <c r="O28" s="1291"/>
      <c r="P28" s="1291"/>
    </row>
    <row r="29" spans="1:16" ht="16.5">
      <c r="A29" s="1487">
        <f t="shared" si="1"/>
        <v>25</v>
      </c>
      <c r="B29" s="1444" t="s">
        <v>4514</v>
      </c>
      <c r="C29" s="1436" t="s">
        <v>4515</v>
      </c>
      <c r="D29" s="1447">
        <f>'表10-4'!G7+'表10-4'!G26</f>
        <v>0</v>
      </c>
      <c r="E29" s="2900">
        <f ca="1">'表30-14'!J7</f>
        <v>0.2586</v>
      </c>
      <c r="F29" s="1447">
        <f ca="1">ROUND(D29*E29,0)</f>
        <v>0</v>
      </c>
      <c r="H29" s="1291"/>
      <c r="I29" s="1291"/>
      <c r="J29" s="1291"/>
      <c r="K29" s="1291"/>
      <c r="L29" s="1291"/>
      <c r="M29" s="1291"/>
      <c r="N29" s="1291"/>
      <c r="O29" s="1291"/>
      <c r="P29" s="1291"/>
    </row>
    <row r="30" spans="1:16" ht="33">
      <c r="A30" s="1487">
        <f t="shared" si="1"/>
        <v>26</v>
      </c>
      <c r="B30" s="1444" t="s">
        <v>4516</v>
      </c>
      <c r="C30" s="1436" t="s">
        <v>4517</v>
      </c>
      <c r="D30" s="1447">
        <f>'表10-4'!G8+'表10-4'!G27-'表16-2-1'!G45</f>
        <v>0</v>
      </c>
      <c r="E30" s="2900">
        <f ca="1">'表30-14'!J8</f>
        <v>0.2261</v>
      </c>
      <c r="F30" s="1447">
        <f ca="1">ROUND(D30*E30,0)</f>
        <v>0</v>
      </c>
      <c r="H30" s="1291"/>
      <c r="I30" s="1291"/>
      <c r="J30" s="1291"/>
      <c r="K30" s="1291"/>
      <c r="L30" s="1291"/>
      <c r="M30" s="1291"/>
      <c r="N30" s="1291"/>
      <c r="O30" s="1291"/>
      <c r="P30" s="1291"/>
    </row>
    <row r="31" spans="1:16" ht="16.5">
      <c r="A31" s="1487">
        <f t="shared" si="1"/>
        <v>27</v>
      </c>
      <c r="B31" s="1442" t="s">
        <v>4518</v>
      </c>
      <c r="C31" s="1491"/>
      <c r="D31" s="1443">
        <f>SUM(D32:D33)</f>
        <v>0</v>
      </c>
      <c r="E31" s="2901"/>
      <c r="F31" s="1443">
        <f ca="1">SUM(F32:F33)</f>
        <v>0</v>
      </c>
      <c r="H31" s="1291"/>
      <c r="I31" s="1291"/>
      <c r="J31" s="1291"/>
      <c r="K31" s="1291"/>
      <c r="L31" s="1291"/>
      <c r="M31" s="1291"/>
      <c r="N31" s="1291"/>
      <c r="O31" s="1291"/>
      <c r="P31" s="1291"/>
    </row>
    <row r="32" spans="1:16" ht="16.5">
      <c r="A32" s="1487">
        <f t="shared" si="1"/>
        <v>28</v>
      </c>
      <c r="B32" s="1444" t="s">
        <v>4519</v>
      </c>
      <c r="C32" s="1436" t="s">
        <v>4520</v>
      </c>
      <c r="D32" s="1447">
        <f>SUM('表10-4'!G10,'表10-4'!G29)</f>
        <v>0</v>
      </c>
      <c r="E32" s="2900">
        <f ca="1">'表30-14'!J10</f>
        <v>0.30819999999999997</v>
      </c>
      <c r="F32" s="1447">
        <f ca="1">ROUND(D32*E32,0)</f>
        <v>0</v>
      </c>
      <c r="H32" s="1291"/>
      <c r="I32" s="1291"/>
      <c r="J32" s="1291"/>
      <c r="K32" s="1291"/>
      <c r="L32" s="1291"/>
      <c r="M32" s="1291"/>
      <c r="N32" s="1291"/>
      <c r="O32" s="1291"/>
      <c r="P32" s="1291"/>
    </row>
    <row r="33" spans="1:16" ht="16.5">
      <c r="A33" s="1487">
        <f t="shared" si="1"/>
        <v>29</v>
      </c>
      <c r="B33" s="1444" t="s">
        <v>4521</v>
      </c>
      <c r="C33" s="1436" t="s">
        <v>4522</v>
      </c>
      <c r="D33" s="1447">
        <f>SUM('表10-4'!G11,'表10-4'!G30)</f>
        <v>0</v>
      </c>
      <c r="E33" s="2900">
        <f ca="1">'表30-14'!J11</f>
        <v>0.26319999999999999</v>
      </c>
      <c r="F33" s="1447">
        <f ca="1">ROUND(D33*E33,0)</f>
        <v>0</v>
      </c>
      <c r="H33" s="1291"/>
      <c r="I33" s="1291"/>
      <c r="J33" s="1291"/>
      <c r="K33" s="1291"/>
      <c r="L33" s="1291"/>
      <c r="M33" s="1291"/>
      <c r="N33" s="1291"/>
      <c r="O33" s="1291"/>
      <c r="P33" s="1291"/>
    </row>
    <row r="34" spans="1:16" ht="16.5">
      <c r="A34" s="1487">
        <f t="shared" si="1"/>
        <v>30</v>
      </c>
      <c r="B34" s="1440" t="s">
        <v>4523</v>
      </c>
      <c r="C34" s="1436" t="s">
        <v>4524</v>
      </c>
      <c r="D34" s="1447">
        <f>SUM('表10-4'!F12,'表10-4'!F31)</f>
        <v>0</v>
      </c>
      <c r="E34" s="2900">
        <v>0.375</v>
      </c>
      <c r="F34" s="1447">
        <f>ROUND(D34*E34,0)</f>
        <v>0</v>
      </c>
      <c r="H34" s="1291"/>
      <c r="I34" s="1291"/>
      <c r="J34" s="1291"/>
      <c r="K34" s="1291"/>
      <c r="L34" s="1291"/>
      <c r="M34" s="1291"/>
      <c r="N34" s="1291"/>
      <c r="O34" s="1291"/>
      <c r="P34" s="1291"/>
    </row>
    <row r="35" spans="1:16" ht="16.5">
      <c r="A35" s="1487">
        <f t="shared" si="1"/>
        <v>31</v>
      </c>
      <c r="B35" s="1442" t="s">
        <v>4525</v>
      </c>
      <c r="C35" s="1437"/>
      <c r="D35" s="1443">
        <f>SUM(D38:D39)</f>
        <v>0</v>
      </c>
      <c r="E35" s="2901"/>
      <c r="F35" s="1443">
        <f>F37</f>
        <v>0</v>
      </c>
      <c r="H35" s="1291"/>
      <c r="I35" s="1291"/>
      <c r="J35" s="1291"/>
      <c r="K35" s="1291"/>
      <c r="L35" s="1291"/>
      <c r="M35" s="1291"/>
      <c r="N35" s="1291"/>
      <c r="O35" s="1291"/>
      <c r="P35" s="1291"/>
    </row>
    <row r="36" spans="1:16" ht="33">
      <c r="A36" s="1487">
        <f t="shared" si="1"/>
        <v>32</v>
      </c>
      <c r="B36" s="1444" t="s">
        <v>4526</v>
      </c>
      <c r="C36" s="1430" t="s">
        <v>4527</v>
      </c>
      <c r="D36" s="1447">
        <f>'表30-8-7'!G34+'表30-8-7'!H34</f>
        <v>0</v>
      </c>
      <c r="E36" s="2900" t="s">
        <v>6296</v>
      </c>
      <c r="F36" s="1443"/>
      <c r="H36" s="1291"/>
      <c r="I36" s="1291"/>
      <c r="J36" s="1291"/>
      <c r="K36" s="1291"/>
      <c r="L36" s="1291"/>
      <c r="M36" s="1291"/>
      <c r="N36" s="1291"/>
      <c r="O36" s="1291"/>
      <c r="P36" s="1291"/>
    </row>
    <row r="37" spans="1:16" ht="16.5">
      <c r="A37" s="1487">
        <f t="shared" si="1"/>
        <v>33</v>
      </c>
      <c r="B37" s="1492" t="s">
        <v>4528</v>
      </c>
      <c r="C37" s="1437"/>
      <c r="D37" s="1443">
        <f>D38+D39</f>
        <v>0</v>
      </c>
      <c r="E37" s="2901"/>
      <c r="F37" s="1443">
        <f>F38+F39</f>
        <v>0</v>
      </c>
      <c r="H37" s="1291"/>
      <c r="I37" s="1291"/>
      <c r="J37" s="1291"/>
      <c r="K37" s="1291"/>
      <c r="L37" s="1291"/>
      <c r="M37" s="1291"/>
      <c r="N37" s="1291"/>
      <c r="O37" s="1291"/>
      <c r="P37" s="1291"/>
    </row>
    <row r="38" spans="1:16" ht="33">
      <c r="A38" s="1487">
        <f t="shared" si="1"/>
        <v>34</v>
      </c>
      <c r="B38" s="1493" t="s">
        <v>4529</v>
      </c>
      <c r="C38" s="3039" t="s">
        <v>6596</v>
      </c>
      <c r="D38" s="1447">
        <f>'表30-3-1'!D102</f>
        <v>0</v>
      </c>
      <c r="E38" s="2901"/>
      <c r="F38" s="1447">
        <f>'表30-3-1'!F102</f>
        <v>0</v>
      </c>
      <c r="H38" s="1291"/>
      <c r="I38" s="1291"/>
      <c r="J38" s="1291"/>
      <c r="K38" s="1291"/>
      <c r="L38" s="1291"/>
      <c r="M38" s="1291"/>
      <c r="N38" s="1291"/>
      <c r="O38" s="1291"/>
      <c r="P38" s="1291"/>
    </row>
    <row r="39" spans="1:16" ht="49.5">
      <c r="A39" s="1487">
        <f t="shared" si="1"/>
        <v>35</v>
      </c>
      <c r="B39" s="1493" t="s">
        <v>4530</v>
      </c>
      <c r="C39" s="1436" t="s">
        <v>4531</v>
      </c>
      <c r="D39" s="1447">
        <f>SUM('表10-4'!G16,'表10-4'!G35,'表10-4'!F17,'表10-4'!F36)-'表10-2'!P37-'表30-8-7'!H33</f>
        <v>0</v>
      </c>
      <c r="E39" s="2900">
        <v>0.21</v>
      </c>
      <c r="F39" s="1447">
        <f>ROUND(D39*E39,0)</f>
        <v>0</v>
      </c>
      <c r="H39" s="1291"/>
      <c r="I39" s="1291"/>
      <c r="J39" s="1291"/>
      <c r="K39" s="1291"/>
      <c r="L39" s="1291"/>
      <c r="M39" s="1291"/>
      <c r="N39" s="1291"/>
      <c r="O39" s="1291"/>
      <c r="P39" s="1291"/>
    </row>
    <row r="40" spans="1:16" ht="16.5">
      <c r="A40" s="1487">
        <f t="shared" si="1"/>
        <v>36</v>
      </c>
      <c r="B40" s="1441" t="s">
        <v>4532</v>
      </c>
      <c r="C40" s="1437"/>
      <c r="D40" s="1443">
        <f>SUM(D41:D45)</f>
        <v>0</v>
      </c>
      <c r="E40" s="2901"/>
      <c r="F40" s="1443">
        <f ca="1">SUM(F41:F45)</f>
        <v>0</v>
      </c>
      <c r="H40" s="1291"/>
      <c r="I40" s="1291"/>
      <c r="J40" s="1291"/>
      <c r="K40" s="1291"/>
      <c r="L40" s="1291"/>
      <c r="M40" s="1291"/>
      <c r="N40" s="1291"/>
      <c r="O40" s="1291"/>
      <c r="P40" s="1291"/>
    </row>
    <row r="41" spans="1:16" ht="33">
      <c r="A41" s="1487">
        <f t="shared" si="1"/>
        <v>37</v>
      </c>
      <c r="B41" s="1440" t="s">
        <v>4533</v>
      </c>
      <c r="C41" s="1436" t="s">
        <v>4534</v>
      </c>
      <c r="D41" s="1447">
        <f>'表05-1'!M57-'表30-14-1'!L8-'表30-14-1'!L9</f>
        <v>0</v>
      </c>
      <c r="E41" s="2900">
        <f ca="1">'表30-14'!J13</f>
        <v>0.2261</v>
      </c>
      <c r="F41" s="1447">
        <f ca="1">ROUND(D41*E41,0)</f>
        <v>0</v>
      </c>
      <c r="H41" s="1291"/>
      <c r="I41" s="1291"/>
      <c r="J41" s="1291"/>
      <c r="K41" s="1291"/>
      <c r="L41" s="1291"/>
      <c r="M41" s="1291"/>
      <c r="N41" s="1291"/>
      <c r="O41" s="1291"/>
      <c r="P41" s="1291"/>
    </row>
    <row r="42" spans="1:16" ht="33">
      <c r="A42" s="1487">
        <f t="shared" si="1"/>
        <v>38</v>
      </c>
      <c r="B42" s="1440" t="s">
        <v>4535</v>
      </c>
      <c r="C42" s="1436" t="s">
        <v>4536</v>
      </c>
      <c r="D42" s="1447">
        <f>'表05-1'!G58-'表30-14-1'!L10-'表30-14-1'!L11</f>
        <v>0</v>
      </c>
      <c r="E42" s="2900">
        <v>8.1000000000000003E-2</v>
      </c>
      <c r="F42" s="1447">
        <f>ROUND(D42*E42-'表30-9'!F26-'表30-9'!F27-'表30-9'!F28,0)</f>
        <v>0</v>
      </c>
      <c r="H42" s="1291"/>
      <c r="I42" s="1291"/>
      <c r="J42" s="1291"/>
      <c r="K42" s="1291"/>
      <c r="L42" s="1291"/>
      <c r="M42" s="1291"/>
      <c r="N42" s="1291"/>
      <c r="O42" s="1291"/>
      <c r="P42" s="1291"/>
    </row>
    <row r="43" spans="1:16" ht="33">
      <c r="A43" s="1487">
        <f t="shared" si="1"/>
        <v>39</v>
      </c>
      <c r="B43" s="1440" t="s">
        <v>4537</v>
      </c>
      <c r="C43" s="1436" t="s">
        <v>4538</v>
      </c>
      <c r="D43" s="1447">
        <f>'表05-1'!M59-'表30-14-1'!L12-'表30-14-1'!L13</f>
        <v>0</v>
      </c>
      <c r="E43" s="2900">
        <f ca="1">'表30-14'!J14</f>
        <v>0.2261</v>
      </c>
      <c r="F43" s="1447">
        <f ca="1">ROUND(D43*E43,0)</f>
        <v>0</v>
      </c>
      <c r="H43" s="1291"/>
      <c r="I43" s="1291"/>
      <c r="J43" s="1291"/>
      <c r="K43" s="1291"/>
      <c r="L43" s="1291"/>
      <c r="M43" s="1291"/>
      <c r="N43" s="1291"/>
      <c r="O43" s="1291"/>
      <c r="P43" s="1291"/>
    </row>
    <row r="44" spans="1:16" ht="16.5">
      <c r="A44" s="1487">
        <f t="shared" si="1"/>
        <v>40</v>
      </c>
      <c r="B44" s="1440" t="s">
        <v>4539</v>
      </c>
      <c r="C44" s="1436" t="s">
        <v>4540</v>
      </c>
      <c r="D44" s="1447">
        <f>SUM('表05-1'!G61)</f>
        <v>0</v>
      </c>
      <c r="E44" s="2900">
        <v>1.4E-2</v>
      </c>
      <c r="F44" s="1447">
        <f>ROUND(D44*E44-'表30-9'!F29-'表30-9'!F30-'表30-9'!F31,0)</f>
        <v>0</v>
      </c>
      <c r="H44" s="1291"/>
      <c r="I44" s="1291"/>
      <c r="J44" s="1291"/>
      <c r="K44" s="1291"/>
      <c r="L44" s="1291"/>
      <c r="M44" s="1291"/>
      <c r="N44" s="1291"/>
      <c r="O44" s="1291"/>
      <c r="P44" s="1291"/>
    </row>
    <row r="45" spans="1:16" ht="33">
      <c r="A45" s="1487">
        <f t="shared" si="1"/>
        <v>41</v>
      </c>
      <c r="B45" s="1440" t="s">
        <v>4541</v>
      </c>
      <c r="C45" s="1436" t="s">
        <v>4542</v>
      </c>
      <c r="D45" s="1447">
        <f>SUM('表05-1'!G62)-'表30-14-1'!L22-'表30-14-1'!L23</f>
        <v>0</v>
      </c>
      <c r="E45" s="2902">
        <v>0.33750000000000002</v>
      </c>
      <c r="F45" s="1447">
        <f>ROUND(D45*E45,0)</f>
        <v>0</v>
      </c>
      <c r="H45" s="1291"/>
      <c r="I45" s="1291"/>
      <c r="J45" s="1291"/>
      <c r="K45" s="1291"/>
      <c r="L45" s="1291"/>
      <c r="M45" s="1291"/>
      <c r="N45" s="1291"/>
      <c r="O45" s="1291"/>
      <c r="P45" s="1291"/>
    </row>
    <row r="46" spans="1:16">
      <c r="A46" s="1487">
        <f t="shared" si="1"/>
        <v>42</v>
      </c>
      <c r="B46" s="1441" t="s">
        <v>746</v>
      </c>
      <c r="C46" s="1437"/>
      <c r="D46" s="1443">
        <f>SUM(D47:D49)</f>
        <v>0</v>
      </c>
      <c r="E46" s="2901"/>
      <c r="F46" s="1443">
        <f ca="1">SUM(F47:F49)</f>
        <v>0</v>
      </c>
      <c r="H46" s="1291"/>
      <c r="I46" s="1291"/>
      <c r="J46" s="1291"/>
      <c r="K46" s="1291"/>
      <c r="L46" s="1291"/>
      <c r="M46" s="1291"/>
      <c r="N46" s="1291"/>
      <c r="O46" s="1291"/>
      <c r="P46" s="1291"/>
    </row>
    <row r="47" spans="1:16" ht="33">
      <c r="A47" s="1487">
        <f t="shared" si="1"/>
        <v>43</v>
      </c>
      <c r="B47" s="1440" t="s">
        <v>4543</v>
      </c>
      <c r="C47" s="1436" t="s">
        <v>4544</v>
      </c>
      <c r="D47" s="1447">
        <f>'表05-1'!M22-'表30-14-1'!L14-'表30-14-1'!L15</f>
        <v>0</v>
      </c>
      <c r="E47" s="2900">
        <f ca="1">'表30-14'!J13</f>
        <v>0.2261</v>
      </c>
      <c r="F47" s="1447">
        <f ca="1">ROUND(D47*E47,0)</f>
        <v>0</v>
      </c>
      <c r="H47" s="1291"/>
      <c r="I47" s="1291"/>
      <c r="J47" s="1291"/>
      <c r="K47" s="1291"/>
      <c r="L47" s="1291"/>
      <c r="M47" s="1291"/>
      <c r="N47" s="1291"/>
      <c r="O47" s="1291"/>
      <c r="P47" s="1291"/>
    </row>
    <row r="48" spans="1:16" ht="33">
      <c r="A48" s="1487">
        <f t="shared" si="1"/>
        <v>44</v>
      </c>
      <c r="B48" s="1440" t="s">
        <v>4545</v>
      </c>
      <c r="C48" s="1436" t="s">
        <v>4546</v>
      </c>
      <c r="D48" s="1447">
        <f>'表05-1'!G23-'表30-14-1'!L16-'表30-14-1'!L17</f>
        <v>0</v>
      </c>
      <c r="E48" s="2900">
        <f>E42</f>
        <v>8.1000000000000003E-2</v>
      </c>
      <c r="F48" s="1447">
        <f>ROUND(D48*E48,0)</f>
        <v>0</v>
      </c>
      <c r="H48" s="1291"/>
      <c r="I48" s="1291"/>
      <c r="J48" s="1291"/>
      <c r="K48" s="1291"/>
      <c r="L48" s="1291"/>
      <c r="M48" s="1291"/>
      <c r="N48" s="1291"/>
      <c r="O48" s="1291"/>
      <c r="P48" s="1291"/>
    </row>
    <row r="49" spans="1:16" ht="33">
      <c r="A49" s="1487">
        <f t="shared" si="1"/>
        <v>45</v>
      </c>
      <c r="B49" s="1440" t="s">
        <v>4547</v>
      </c>
      <c r="C49" s="1436" t="s">
        <v>4548</v>
      </c>
      <c r="D49" s="1447">
        <f>'表05-1'!G24-'表30-14-1'!L18-'表30-14-1'!L19</f>
        <v>0</v>
      </c>
      <c r="E49" s="2900">
        <v>0.2165</v>
      </c>
      <c r="F49" s="1447">
        <f>ROUND(D49*E49,0)</f>
        <v>0</v>
      </c>
      <c r="H49" s="1291"/>
      <c r="I49" s="1291"/>
      <c r="J49" s="1291"/>
      <c r="K49" s="1291"/>
      <c r="L49" s="1291"/>
      <c r="M49" s="1291"/>
      <c r="N49" s="1291"/>
      <c r="O49" s="1291"/>
      <c r="P49" s="1291"/>
    </row>
    <row r="50" spans="1:16" ht="33">
      <c r="A50" s="1487">
        <f t="shared" si="1"/>
        <v>46</v>
      </c>
      <c r="B50" s="1495" t="s">
        <v>735</v>
      </c>
      <c r="C50" s="1436" t="s">
        <v>4549</v>
      </c>
      <c r="D50" s="1447">
        <f>'表05-1'!G25-'表30-14-1'!L20-'表30-14-1'!L21</f>
        <v>0</v>
      </c>
      <c r="E50" s="2900">
        <v>0.30309999999999998</v>
      </c>
      <c r="F50" s="1447">
        <f>ROUND(D50*E50,0)</f>
        <v>0</v>
      </c>
      <c r="H50" s="1291"/>
      <c r="I50" s="1291"/>
      <c r="J50" s="1291"/>
      <c r="K50" s="1291"/>
      <c r="L50" s="1291"/>
      <c r="M50" s="1291"/>
      <c r="N50" s="1291"/>
      <c r="O50" s="1291"/>
      <c r="P50" s="1291"/>
    </row>
    <row r="51" spans="1:16" ht="16.5">
      <c r="A51" s="1487">
        <f t="shared" si="1"/>
        <v>47</v>
      </c>
      <c r="B51" s="1489" t="s">
        <v>4550</v>
      </c>
      <c r="C51" s="1437"/>
      <c r="D51" s="1443">
        <f>SUM(D52,D63)</f>
        <v>0</v>
      </c>
      <c r="E51" s="2901"/>
      <c r="F51" s="1443">
        <f>SUM(F52,F63)</f>
        <v>0</v>
      </c>
      <c r="H51" s="1291"/>
      <c r="I51" s="1291"/>
      <c r="J51" s="1291"/>
      <c r="K51" s="1291"/>
      <c r="L51" s="1291"/>
      <c r="M51" s="1291"/>
      <c r="N51" s="1291"/>
      <c r="O51" s="1291"/>
      <c r="P51" s="1291"/>
    </row>
    <row r="52" spans="1:16" ht="16.5">
      <c r="A52" s="1487">
        <f t="shared" si="1"/>
        <v>48</v>
      </c>
      <c r="B52" s="1441" t="s">
        <v>4551</v>
      </c>
      <c r="C52" s="1437"/>
      <c r="D52" s="1443">
        <f>SUM(D53,D56)</f>
        <v>0</v>
      </c>
      <c r="E52" s="2901"/>
      <c r="F52" s="1443">
        <f>SUM(F53,F56)</f>
        <v>0</v>
      </c>
      <c r="H52" s="1291"/>
      <c r="I52" s="1291"/>
      <c r="J52" s="1291"/>
      <c r="K52" s="1291"/>
      <c r="L52" s="1291"/>
      <c r="M52" s="1291"/>
      <c r="N52" s="1291"/>
      <c r="O52" s="1291"/>
      <c r="P52" s="1291"/>
    </row>
    <row r="53" spans="1:16" ht="16.5">
      <c r="A53" s="1487">
        <f t="shared" si="1"/>
        <v>49</v>
      </c>
      <c r="B53" s="1442" t="s">
        <v>4552</v>
      </c>
      <c r="C53" s="1437"/>
      <c r="D53" s="1443">
        <f>SUM(D54:D55)</f>
        <v>0</v>
      </c>
      <c r="E53" s="2901"/>
      <c r="F53" s="1443">
        <f>SUM(F54:F55)</f>
        <v>0</v>
      </c>
      <c r="H53" s="1291"/>
      <c r="I53" s="1291"/>
      <c r="J53" s="1291"/>
      <c r="K53" s="1291"/>
      <c r="L53" s="1291"/>
      <c r="M53" s="1291"/>
      <c r="N53" s="1291"/>
      <c r="O53" s="1291"/>
      <c r="P53" s="1291"/>
    </row>
    <row r="54" spans="1:16" ht="66">
      <c r="A54" s="1487">
        <f t="shared" si="1"/>
        <v>50</v>
      </c>
      <c r="B54" s="1444" t="s">
        <v>4553</v>
      </c>
      <c r="C54" s="1436" t="s">
        <v>4554</v>
      </c>
      <c r="D54" s="1447">
        <f>SUM('表13-2'!J7:J8)+'表30-8-3'!E11-'表30-8-4'!D6</f>
        <v>0</v>
      </c>
      <c r="E54" s="2900">
        <v>7.8100000000000003E-2</v>
      </c>
      <c r="F54" s="1447">
        <f>ROUND(D54*E54,0)</f>
        <v>0</v>
      </c>
      <c r="H54" s="1291"/>
      <c r="I54" s="1291"/>
      <c r="J54" s="1291"/>
      <c r="K54" s="1291"/>
      <c r="L54" s="1291"/>
      <c r="M54" s="1291"/>
      <c r="N54" s="1291"/>
      <c r="O54" s="1291"/>
      <c r="P54" s="1291"/>
    </row>
    <row r="55" spans="1:16" ht="33">
      <c r="A55" s="1487">
        <f t="shared" si="1"/>
        <v>51</v>
      </c>
      <c r="B55" s="1444" t="s">
        <v>4555</v>
      </c>
      <c r="C55" s="1436" t="s">
        <v>4556</v>
      </c>
      <c r="D55" s="1447">
        <f>'表30-8-4'!D6</f>
        <v>0</v>
      </c>
      <c r="E55" s="2903"/>
      <c r="F55" s="1447">
        <f>'表30-8-4'!E6</f>
        <v>0</v>
      </c>
      <c r="H55" s="1291"/>
      <c r="I55" s="1291"/>
      <c r="J55" s="1291"/>
      <c r="K55" s="1291"/>
      <c r="L55" s="1291"/>
      <c r="M55" s="1291"/>
      <c r="N55" s="1291"/>
      <c r="O55" s="1291"/>
      <c r="P55" s="1291"/>
    </row>
    <row r="56" spans="1:16" ht="16.5">
      <c r="A56" s="1487">
        <f t="shared" si="1"/>
        <v>52</v>
      </c>
      <c r="B56" s="1442" t="s">
        <v>4557</v>
      </c>
      <c r="C56" s="1437"/>
      <c r="D56" s="1443">
        <f>SUM(D57,D60)</f>
        <v>0</v>
      </c>
      <c r="E56" s="2901"/>
      <c r="F56" s="1443">
        <f>SUM(F57,F60)</f>
        <v>0</v>
      </c>
      <c r="H56" s="1291"/>
      <c r="I56" s="1291"/>
      <c r="J56" s="1291"/>
      <c r="K56" s="1291"/>
      <c r="L56" s="1291"/>
      <c r="M56" s="1291"/>
      <c r="N56" s="1291"/>
      <c r="O56" s="1291"/>
      <c r="P56" s="1291"/>
    </row>
    <row r="57" spans="1:16" ht="16.5">
      <c r="A57" s="1487">
        <f t="shared" si="1"/>
        <v>53</v>
      </c>
      <c r="B57" s="1492" t="s">
        <v>4558</v>
      </c>
      <c r="C57" s="1437"/>
      <c r="D57" s="1443">
        <f>SUM(D58:D59)</f>
        <v>0</v>
      </c>
      <c r="E57" s="2903"/>
      <c r="F57" s="1443">
        <f>SUM(F58:F59)</f>
        <v>0</v>
      </c>
      <c r="H57" s="1291"/>
      <c r="I57" s="1291"/>
      <c r="J57" s="1291"/>
      <c r="K57" s="1291"/>
      <c r="L57" s="1291"/>
      <c r="M57" s="1291"/>
      <c r="N57" s="1291"/>
      <c r="O57" s="1291"/>
      <c r="P57" s="1291"/>
    </row>
    <row r="58" spans="1:16" ht="66">
      <c r="A58" s="1487">
        <f t="shared" si="1"/>
        <v>54</v>
      </c>
      <c r="B58" s="1493" t="s">
        <v>4559</v>
      </c>
      <c r="C58" s="1436" t="s">
        <v>4560</v>
      </c>
      <c r="D58" s="1447">
        <f>'表13-2'!J9+'表30-8-3'!E12-'表30-8-4'!D7</f>
        <v>0</v>
      </c>
      <c r="E58" s="2900">
        <v>8.8300000000000003E-2</v>
      </c>
      <c r="F58" s="1447">
        <f>ROUND(D58*E58,0)</f>
        <v>0</v>
      </c>
      <c r="H58" s="1291"/>
      <c r="I58" s="1291"/>
      <c r="J58" s="1291"/>
      <c r="K58" s="1291"/>
      <c r="L58" s="1291"/>
      <c r="M58" s="1291"/>
      <c r="N58" s="1291"/>
      <c r="O58" s="1291"/>
      <c r="P58" s="1291"/>
    </row>
    <row r="59" spans="1:16" ht="33">
      <c r="A59" s="1487">
        <f t="shared" si="1"/>
        <v>55</v>
      </c>
      <c r="B59" s="1493" t="s">
        <v>4561</v>
      </c>
      <c r="C59" s="1436" t="s">
        <v>4562</v>
      </c>
      <c r="D59" s="1447">
        <f>'表30-8-4'!D7</f>
        <v>0</v>
      </c>
      <c r="E59" s="2903"/>
      <c r="F59" s="1447">
        <f>'表30-8-4'!E7</f>
        <v>0</v>
      </c>
      <c r="H59" s="1291"/>
      <c r="I59" s="1291"/>
      <c r="J59" s="1291"/>
      <c r="K59" s="1291"/>
      <c r="L59" s="1291"/>
      <c r="M59" s="1291"/>
      <c r="N59" s="1291"/>
      <c r="O59" s="1291"/>
      <c r="P59" s="1291"/>
    </row>
    <row r="60" spans="1:16" ht="16.5">
      <c r="A60" s="1487">
        <f t="shared" si="1"/>
        <v>56</v>
      </c>
      <c r="B60" s="1492" t="s">
        <v>4563</v>
      </c>
      <c r="C60" s="1437"/>
      <c r="D60" s="1443">
        <f>SUM(D61:D62)</f>
        <v>0</v>
      </c>
      <c r="E60" s="2903"/>
      <c r="F60" s="1443">
        <f>SUM(F61:F62)</f>
        <v>0</v>
      </c>
      <c r="H60" s="1291"/>
      <c r="I60" s="1291"/>
      <c r="J60" s="1291"/>
      <c r="K60" s="1291"/>
      <c r="L60" s="1291"/>
      <c r="M60" s="1291"/>
      <c r="N60" s="1291"/>
      <c r="O60" s="1291"/>
      <c r="P60" s="1291"/>
    </row>
    <row r="61" spans="1:16" ht="66">
      <c r="A61" s="1487">
        <f t="shared" si="1"/>
        <v>57</v>
      </c>
      <c r="B61" s="1493" t="s">
        <v>4564</v>
      </c>
      <c r="C61" s="1436" t="s">
        <v>4565</v>
      </c>
      <c r="D61" s="1447">
        <f>'表13-2'!J10+'表30-8-3'!E13-'表30-8-4'!D8</f>
        <v>0</v>
      </c>
      <c r="E61" s="2900">
        <v>3.5299999999999998E-2</v>
      </c>
      <c r="F61" s="1447">
        <f>ROUND(D61*E61,0)</f>
        <v>0</v>
      </c>
      <c r="H61" s="1291"/>
      <c r="I61" s="1291"/>
      <c r="J61" s="1291"/>
      <c r="K61" s="1291"/>
      <c r="L61" s="1291"/>
      <c r="M61" s="1291"/>
      <c r="N61" s="1291"/>
      <c r="O61" s="1291"/>
      <c r="P61" s="1291"/>
    </row>
    <row r="62" spans="1:16" ht="33">
      <c r="A62" s="1487">
        <f t="shared" si="1"/>
        <v>58</v>
      </c>
      <c r="B62" s="1493" t="s">
        <v>4566</v>
      </c>
      <c r="C62" s="1436" t="s">
        <v>4567</v>
      </c>
      <c r="D62" s="1447">
        <f>'表30-8-4'!D8</f>
        <v>0</v>
      </c>
      <c r="E62" s="2903"/>
      <c r="F62" s="1447">
        <f>'表30-8-4'!E8</f>
        <v>0</v>
      </c>
      <c r="H62" s="1291"/>
      <c r="I62" s="1291"/>
      <c r="J62" s="1291"/>
      <c r="K62" s="1291"/>
      <c r="L62" s="1291"/>
      <c r="M62" s="1291"/>
      <c r="N62" s="1291"/>
      <c r="O62" s="1291"/>
      <c r="P62" s="1291"/>
    </row>
    <row r="63" spans="1:16" ht="16.5">
      <c r="A63" s="1487">
        <f t="shared" si="1"/>
        <v>59</v>
      </c>
      <c r="B63" s="1495" t="s">
        <v>4568</v>
      </c>
      <c r="C63" s="1436" t="s">
        <v>4569</v>
      </c>
      <c r="D63" s="1447">
        <f>'表13-2'!J6</f>
        <v>0</v>
      </c>
      <c r="E63" s="2900">
        <v>7.8100000000000003E-2</v>
      </c>
      <c r="F63" s="1447">
        <f>ROUND(D63*E63,0)</f>
        <v>0</v>
      </c>
      <c r="H63" s="1291"/>
      <c r="I63" s="1291"/>
      <c r="J63" s="1291"/>
      <c r="K63" s="1291"/>
      <c r="L63" s="1291"/>
      <c r="M63" s="1291"/>
      <c r="N63" s="1291"/>
      <c r="O63" s="1291"/>
      <c r="P63" s="1291"/>
    </row>
    <row r="64" spans="1:16" ht="16.5">
      <c r="A64" s="1487">
        <f t="shared" si="1"/>
        <v>60</v>
      </c>
      <c r="B64" s="1489" t="s">
        <v>4570</v>
      </c>
      <c r="C64" s="1437"/>
      <c r="D64" s="1443">
        <f>SUM(D65)</f>
        <v>0</v>
      </c>
      <c r="E64" s="2901"/>
      <c r="F64" s="1443">
        <f>SUM(F65)</f>
        <v>0</v>
      </c>
      <c r="H64" s="1291"/>
      <c r="I64" s="1291"/>
      <c r="J64" s="1291"/>
      <c r="K64" s="1291"/>
      <c r="L64" s="1291"/>
      <c r="M64" s="1291"/>
      <c r="N64" s="1291"/>
      <c r="O64" s="1291"/>
      <c r="P64" s="1291"/>
    </row>
    <row r="65" spans="1:16" ht="16.5">
      <c r="A65" s="1487">
        <f t="shared" si="1"/>
        <v>61</v>
      </c>
      <c r="B65" s="1441" t="s">
        <v>4571</v>
      </c>
      <c r="C65" s="1437"/>
      <c r="D65" s="1443">
        <f>SUM(D66:D69)</f>
        <v>0</v>
      </c>
      <c r="E65" s="2901"/>
      <c r="F65" s="1443">
        <f>SUM(F66:F69)</f>
        <v>0</v>
      </c>
      <c r="H65" s="1291"/>
      <c r="I65" s="1291"/>
      <c r="J65" s="1291"/>
      <c r="K65" s="1291"/>
      <c r="L65" s="1291"/>
      <c r="M65" s="1291"/>
      <c r="N65" s="1291"/>
      <c r="O65" s="1291"/>
      <c r="P65" s="1291"/>
    </row>
    <row r="66" spans="1:16" ht="16.5">
      <c r="A66" s="1487">
        <f t="shared" si="1"/>
        <v>62</v>
      </c>
      <c r="B66" s="1440" t="s">
        <v>4572</v>
      </c>
      <c r="C66" s="1436" t="s">
        <v>4573</v>
      </c>
      <c r="D66" s="1447">
        <f>SUM('表05-1'!G102,'表05-1'!G211)</f>
        <v>0</v>
      </c>
      <c r="E66" s="2900">
        <v>7.1999999999999998E-3</v>
      </c>
      <c r="F66" s="1447">
        <f>ROUND(D66*E66,0)</f>
        <v>0</v>
      </c>
      <c r="H66" s="1291"/>
      <c r="I66" s="1291"/>
      <c r="J66" s="1291"/>
      <c r="K66" s="1291"/>
      <c r="L66" s="1291"/>
      <c r="M66" s="1291"/>
      <c r="N66" s="1291"/>
      <c r="O66" s="1291"/>
      <c r="P66" s="1291"/>
    </row>
    <row r="67" spans="1:16" ht="16.5">
      <c r="A67" s="1487">
        <f t="shared" si="1"/>
        <v>63</v>
      </c>
      <c r="B67" s="1440" t="s">
        <v>4574</v>
      </c>
      <c r="C67" s="1436" t="s">
        <v>4575</v>
      </c>
      <c r="D67" s="1447">
        <f>SUM('表05-1'!G103,'表05-1'!G212)</f>
        <v>0</v>
      </c>
      <c r="E67" s="2900">
        <v>1.0800000000000001E-2</v>
      </c>
      <c r="F67" s="1447">
        <f>ROUND(D67*E67,0)</f>
        <v>0</v>
      </c>
      <c r="H67" s="1291"/>
      <c r="I67" s="1291"/>
      <c r="J67" s="1291"/>
      <c r="K67" s="1291"/>
      <c r="L67" s="1291"/>
      <c r="M67" s="1291"/>
      <c r="N67" s="1291"/>
      <c r="O67" s="1291"/>
      <c r="P67" s="1291"/>
    </row>
    <row r="68" spans="1:16" ht="16.5">
      <c r="A68" s="1487">
        <f t="shared" si="1"/>
        <v>64</v>
      </c>
      <c r="B68" s="1440" t="s">
        <v>4576</v>
      </c>
      <c r="C68" s="1436" t="s">
        <v>4577</v>
      </c>
      <c r="D68" s="1447">
        <f>SUM('表05-1'!G104,'表05-1'!G213)</f>
        <v>0</v>
      </c>
      <c r="E68" s="2900">
        <v>3.9600000000000003E-2</v>
      </c>
      <c r="F68" s="1447">
        <f>ROUND(D68*E68,0)</f>
        <v>0</v>
      </c>
      <c r="H68" s="1291"/>
      <c r="I68" s="1291"/>
      <c r="J68" s="1291"/>
      <c r="K68" s="1291"/>
      <c r="L68" s="1291"/>
      <c r="M68" s="1291"/>
      <c r="N68" s="1291"/>
      <c r="O68" s="1291"/>
      <c r="P68" s="1291"/>
    </row>
    <row r="69" spans="1:16" ht="16.5">
      <c r="A69" s="1487">
        <f t="shared" si="1"/>
        <v>65</v>
      </c>
      <c r="B69" s="1440" t="s">
        <v>4578</v>
      </c>
      <c r="C69" s="1436" t="s">
        <v>4579</v>
      </c>
      <c r="D69" s="1447">
        <f>SUM('表05-1'!G105,'表05-1'!G214)</f>
        <v>0</v>
      </c>
      <c r="E69" s="2900">
        <v>4.7999999999999996E-3</v>
      </c>
      <c r="F69" s="1447">
        <f>ROUND(D69*E69,0)</f>
        <v>0</v>
      </c>
      <c r="H69" s="1291"/>
      <c r="I69" s="1291"/>
      <c r="J69" s="1291"/>
      <c r="K69" s="1291"/>
      <c r="L69" s="1291"/>
      <c r="M69" s="1291"/>
      <c r="N69" s="1291"/>
      <c r="O69" s="1291"/>
      <c r="P69" s="1291"/>
    </row>
    <row r="70" spans="1:16" ht="16.5">
      <c r="A70" s="1487">
        <f t="shared" si="1"/>
        <v>66</v>
      </c>
      <c r="B70" s="1489" t="s">
        <v>4580</v>
      </c>
      <c r="C70" s="1437"/>
      <c r="D70" s="1443">
        <f>SUM(D71,D80)</f>
        <v>0</v>
      </c>
      <c r="E70" s="2901"/>
      <c r="F70" s="1443">
        <f>SUM(F71,F80)</f>
        <v>0</v>
      </c>
      <c r="H70" s="1291"/>
      <c r="I70" s="1291"/>
      <c r="J70" s="1291"/>
      <c r="K70" s="1291"/>
      <c r="L70" s="1291"/>
      <c r="M70" s="1291"/>
      <c r="N70" s="1291"/>
      <c r="O70" s="1291"/>
      <c r="P70" s="1291"/>
    </row>
    <row r="71" spans="1:16" ht="16.5">
      <c r="A71" s="1487">
        <f t="shared" si="1"/>
        <v>67</v>
      </c>
      <c r="B71" s="1441" t="s">
        <v>4581</v>
      </c>
      <c r="C71" s="1437"/>
      <c r="D71" s="1443">
        <f>D72+D73+D77</f>
        <v>0</v>
      </c>
      <c r="E71" s="2901"/>
      <c r="F71" s="1443">
        <f>F72+F73+F77</f>
        <v>0</v>
      </c>
      <c r="H71" s="1291"/>
      <c r="I71" s="1291"/>
      <c r="J71" s="1291"/>
      <c r="K71" s="1291"/>
      <c r="L71" s="1291"/>
      <c r="M71" s="1291"/>
      <c r="N71" s="1291"/>
      <c r="O71" s="1291"/>
      <c r="P71" s="1291"/>
    </row>
    <row r="72" spans="1:16" ht="16.5">
      <c r="A72" s="1487">
        <f t="shared" si="1"/>
        <v>68</v>
      </c>
      <c r="B72" s="1440" t="s">
        <v>4582</v>
      </c>
      <c r="C72" s="1436" t="s">
        <v>4583</v>
      </c>
      <c r="D72" s="1447">
        <f>'表05-1'!G204</f>
        <v>0</v>
      </c>
      <c r="E72" s="2900">
        <v>1.2800000000000001E-2</v>
      </c>
      <c r="F72" s="1447">
        <f>ROUND(D72*E72,0)</f>
        <v>0</v>
      </c>
      <c r="H72" s="1291"/>
      <c r="I72" s="1291"/>
      <c r="J72" s="1291"/>
      <c r="K72" s="1291"/>
      <c r="L72" s="1291"/>
      <c r="M72" s="1291"/>
      <c r="N72" s="1291"/>
      <c r="O72" s="1291"/>
      <c r="P72" s="1291"/>
    </row>
    <row r="73" spans="1:16" ht="16.5">
      <c r="A73" s="1487">
        <f t="shared" si="1"/>
        <v>69</v>
      </c>
      <c r="B73" s="1440" t="s">
        <v>4584</v>
      </c>
      <c r="C73" s="1437"/>
      <c r="D73" s="1447">
        <f>SUM(D74:D76)</f>
        <v>0</v>
      </c>
      <c r="E73" s="2904"/>
      <c r="F73" s="1447">
        <f>SUM(F74:F76)</f>
        <v>0</v>
      </c>
      <c r="H73" s="1291"/>
      <c r="I73" s="1291"/>
      <c r="J73" s="1291"/>
      <c r="K73" s="1291"/>
      <c r="L73" s="1291"/>
      <c r="M73" s="1291"/>
      <c r="N73" s="1291"/>
      <c r="O73" s="1291"/>
      <c r="P73" s="1291"/>
    </row>
    <row r="74" spans="1:16" ht="33">
      <c r="A74" s="1496">
        <f t="shared" si="1"/>
        <v>70</v>
      </c>
      <c r="B74" s="1497" t="s">
        <v>4585</v>
      </c>
      <c r="C74" s="1436" t="s">
        <v>4586</v>
      </c>
      <c r="D74" s="1447">
        <f>'表10-3'!H26+'表10-3'!G26+'表10-4'!F21</f>
        <v>0</v>
      </c>
      <c r="E74" s="2902">
        <v>1.2800000000000001E-2</v>
      </c>
      <c r="F74" s="1447">
        <f>ROUND(D74*E74,0)</f>
        <v>0</v>
      </c>
      <c r="H74" s="1291"/>
      <c r="I74" s="1291"/>
      <c r="J74" s="1291"/>
      <c r="K74" s="1291"/>
      <c r="L74" s="1291"/>
      <c r="M74" s="1291"/>
      <c r="N74" s="1291"/>
      <c r="O74" s="1291"/>
      <c r="P74" s="1291"/>
    </row>
    <row r="75" spans="1:16" ht="33">
      <c r="A75" s="1496">
        <f t="shared" si="1"/>
        <v>71</v>
      </c>
      <c r="B75" s="1440" t="s">
        <v>4587</v>
      </c>
      <c r="C75" s="1436" t="s">
        <v>4588</v>
      </c>
      <c r="D75" s="1447">
        <f>'表10-3'!H27+'表10-3'!G27+'表10-4'!F22</f>
        <v>0</v>
      </c>
      <c r="E75" s="2902">
        <v>0.17249999999999999</v>
      </c>
      <c r="F75" s="1447">
        <f>ROUND(D75*E75,0)</f>
        <v>0</v>
      </c>
      <c r="H75" s="1291"/>
      <c r="I75" s="1291"/>
      <c r="J75" s="1291"/>
      <c r="K75" s="1291"/>
      <c r="L75" s="1291"/>
      <c r="M75" s="1291"/>
      <c r="N75" s="1291"/>
      <c r="O75" s="1291"/>
      <c r="P75" s="1291"/>
    </row>
    <row r="76" spans="1:16" ht="33">
      <c r="A76" s="1496">
        <f t="shared" si="1"/>
        <v>72</v>
      </c>
      <c r="B76" s="1440" t="s">
        <v>4589</v>
      </c>
      <c r="C76" s="1436" t="s">
        <v>4590</v>
      </c>
      <c r="D76" s="1447">
        <f>'表10-3'!H28+'表10-3'!G28+'表10-4'!F23</f>
        <v>0</v>
      </c>
      <c r="E76" s="2902">
        <v>0.33750000000000002</v>
      </c>
      <c r="F76" s="1447">
        <f>ROUND(D76*E76,0)</f>
        <v>0</v>
      </c>
      <c r="H76" s="1291"/>
      <c r="I76" s="1291"/>
      <c r="J76" s="1291"/>
      <c r="K76" s="1291"/>
      <c r="L76" s="1291"/>
      <c r="M76" s="1291"/>
      <c r="N76" s="1291"/>
      <c r="O76" s="1291"/>
      <c r="P76" s="1291"/>
    </row>
    <row r="77" spans="1:16" ht="16.5">
      <c r="A77" s="1487">
        <f t="shared" si="1"/>
        <v>73</v>
      </c>
      <c r="B77" s="1440" t="s">
        <v>4591</v>
      </c>
      <c r="C77" s="1498"/>
      <c r="D77" s="1447">
        <f>SUM(D78:D79)</f>
        <v>0</v>
      </c>
      <c r="E77" s="2904"/>
      <c r="F77" s="1447">
        <f>SUM(F78:F79)</f>
        <v>0</v>
      </c>
      <c r="G77" s="1291"/>
      <c r="H77" s="1291"/>
      <c r="I77" s="1291"/>
      <c r="J77" s="1291"/>
      <c r="K77" s="1291"/>
      <c r="L77" s="1291"/>
      <c r="M77" s="1291"/>
      <c r="N77" s="1291"/>
      <c r="O77" s="1291"/>
      <c r="P77" s="1291"/>
    </row>
    <row r="78" spans="1:16" ht="45.75" customHeight="1">
      <c r="A78" s="1496">
        <f t="shared" si="1"/>
        <v>74</v>
      </c>
      <c r="B78" s="1497" t="s">
        <v>4592</v>
      </c>
      <c r="C78" s="1436" t="s">
        <v>4593</v>
      </c>
      <c r="D78" s="1447">
        <f>'表05-1'!G216-'表30-14-1'!L25-'表30-14-1'!L28</f>
        <v>0</v>
      </c>
      <c r="E78" s="2902">
        <v>1.2800000000000001E-2</v>
      </c>
      <c r="F78" s="1447">
        <f>ROUND(D78*E78,0)</f>
        <v>0</v>
      </c>
      <c r="G78" s="1291"/>
      <c r="H78" s="1291"/>
      <c r="I78" s="1291"/>
      <c r="J78" s="1291"/>
      <c r="K78" s="1291"/>
      <c r="L78" s="1291"/>
      <c r="M78" s="1291"/>
      <c r="N78" s="1291"/>
      <c r="O78" s="1291"/>
      <c r="P78" s="1291"/>
    </row>
    <row r="79" spans="1:16" ht="49.5">
      <c r="A79" s="1496">
        <f t="shared" si="1"/>
        <v>75</v>
      </c>
      <c r="B79" s="1440" t="s">
        <v>4594</v>
      </c>
      <c r="C79" s="1436" t="s">
        <v>4595</v>
      </c>
      <c r="D79" s="1447">
        <f>'表05-1'!G217-'表30-14-1'!L26-'表30-14-1'!L29</f>
        <v>0</v>
      </c>
      <c r="E79" s="2902">
        <v>0.17249999999999999</v>
      </c>
      <c r="F79" s="1447">
        <f>ROUND(D79*E79,0)</f>
        <v>0</v>
      </c>
      <c r="G79" s="1291"/>
      <c r="H79" s="1291"/>
      <c r="I79" s="1291"/>
      <c r="J79" s="1291"/>
      <c r="K79" s="1291"/>
      <c r="L79" s="1291"/>
      <c r="M79" s="1291"/>
      <c r="N79" s="1291"/>
      <c r="O79" s="1291"/>
      <c r="P79" s="1291"/>
    </row>
    <row r="80" spans="1:16" ht="16.5">
      <c r="A80" s="1487">
        <f t="shared" si="1"/>
        <v>76</v>
      </c>
      <c r="B80" s="1441" t="s">
        <v>4596</v>
      </c>
      <c r="C80" s="1437"/>
      <c r="D80" s="1443">
        <f>D81+D82+D85</f>
        <v>0</v>
      </c>
      <c r="E80" s="2905"/>
      <c r="F80" s="1443">
        <f>F81+F82+F85</f>
        <v>0</v>
      </c>
      <c r="H80" s="1291"/>
      <c r="I80" s="1291"/>
      <c r="J80" s="1291"/>
      <c r="K80" s="1291"/>
      <c r="L80" s="1291"/>
      <c r="M80" s="1291"/>
      <c r="N80" s="1291"/>
      <c r="O80" s="1291"/>
      <c r="P80" s="1291"/>
    </row>
    <row r="81" spans="1:16" ht="16.5">
      <c r="A81" s="1487">
        <f t="shared" si="1"/>
        <v>77</v>
      </c>
      <c r="B81" s="1440" t="s">
        <v>4597</v>
      </c>
      <c r="C81" s="1436" t="s">
        <v>4598</v>
      </c>
      <c r="D81" s="1447">
        <f>SUM('表05-1'!G252)</f>
        <v>0</v>
      </c>
      <c r="E81" s="2900">
        <v>3.1899999999999998E-2</v>
      </c>
      <c r="F81" s="1447">
        <f>ROUND(D81*E81,0)</f>
        <v>0</v>
      </c>
      <c r="H81" s="1291"/>
      <c r="I81" s="1291"/>
      <c r="J81" s="1291"/>
      <c r="K81" s="1291"/>
      <c r="L81" s="1291"/>
      <c r="M81" s="1291"/>
      <c r="N81" s="1291"/>
      <c r="O81" s="1291"/>
      <c r="P81" s="1291"/>
    </row>
    <row r="82" spans="1:16" ht="16.5">
      <c r="A82" s="1496">
        <f t="shared" si="1"/>
        <v>78</v>
      </c>
      <c r="B82" s="1442" t="s">
        <v>4599</v>
      </c>
      <c r="C82" s="1437"/>
      <c r="D82" s="1443">
        <f>D83+D84</f>
        <v>0</v>
      </c>
      <c r="E82" s="2901"/>
      <c r="F82" s="1443">
        <f>F83+F84</f>
        <v>0</v>
      </c>
      <c r="G82" s="1291"/>
      <c r="I82" s="1291"/>
      <c r="J82" s="1291"/>
      <c r="K82" s="1291"/>
      <c r="L82" s="1291"/>
      <c r="M82" s="1291"/>
      <c r="N82" s="1291"/>
      <c r="O82" s="1291"/>
      <c r="P82" s="1291"/>
    </row>
    <row r="83" spans="1:16" ht="16.5">
      <c r="A83" s="1496">
        <f t="shared" si="1"/>
        <v>79</v>
      </c>
      <c r="B83" s="1444" t="s">
        <v>4600</v>
      </c>
      <c r="C83" s="1436" t="s">
        <v>4601</v>
      </c>
      <c r="D83" s="1447">
        <f>'表30-3-3'!F27</f>
        <v>0</v>
      </c>
      <c r="E83" s="2901"/>
      <c r="F83" s="1447">
        <f>'表30-3-3'!L27</f>
        <v>0</v>
      </c>
      <c r="G83" s="1291"/>
      <c r="I83" s="1291"/>
      <c r="J83" s="1291"/>
      <c r="K83" s="1291"/>
      <c r="L83" s="1291"/>
      <c r="M83" s="1291"/>
      <c r="N83" s="1291"/>
      <c r="O83" s="1291"/>
      <c r="P83" s="1291"/>
    </row>
    <row r="84" spans="1:16" ht="16.5">
      <c r="A84" s="1496">
        <f t="shared" si="1"/>
        <v>80</v>
      </c>
      <c r="B84" s="1444" t="s">
        <v>4602</v>
      </c>
      <c r="C84" s="1436" t="s">
        <v>4603</v>
      </c>
      <c r="D84" s="1447">
        <f>'表30-3-3'!F49</f>
        <v>0</v>
      </c>
      <c r="E84" s="2901"/>
      <c r="F84" s="1447">
        <f>'表30-3-3'!L49</f>
        <v>0</v>
      </c>
      <c r="G84" s="1291"/>
      <c r="I84" s="1291"/>
      <c r="J84" s="1291"/>
      <c r="K84" s="1291"/>
      <c r="L84" s="1291"/>
      <c r="M84" s="1291"/>
      <c r="N84" s="1291"/>
      <c r="O84" s="1291"/>
      <c r="P84" s="1291"/>
    </row>
    <row r="85" spans="1:16" ht="33">
      <c r="A85" s="1487">
        <f t="shared" si="1"/>
        <v>81</v>
      </c>
      <c r="B85" s="1440" t="s">
        <v>4604</v>
      </c>
      <c r="C85" s="1436" t="s">
        <v>4605</v>
      </c>
      <c r="D85" s="1447">
        <f>SUM('表05-1'!G26,'表05-1'!G60,'表05-1'!G63,'表05-1'!G218,'表05-1'!G254)-'表10-4'!C37</f>
        <v>0</v>
      </c>
      <c r="E85" s="2900">
        <v>3.1899999999999998E-2</v>
      </c>
      <c r="F85" s="1447">
        <f>ROUND(D85*E85,0)</f>
        <v>0</v>
      </c>
      <c r="H85" s="1291"/>
      <c r="I85" s="1291"/>
      <c r="J85" s="1291"/>
      <c r="K85" s="1291"/>
      <c r="L85" s="1291"/>
      <c r="M85" s="1291"/>
      <c r="N85" s="1291"/>
      <c r="O85" s="1291"/>
      <c r="P85" s="1291"/>
    </row>
    <row r="86" spans="1:16" ht="16.5">
      <c r="A86" s="1487">
        <f t="shared" ref="A86:A149" si="2">A85+1</f>
        <v>82</v>
      </c>
      <c r="B86" s="1488" t="s">
        <v>4606</v>
      </c>
      <c r="C86" s="1436"/>
      <c r="D86" s="1447">
        <f ca="1">SUM(F7,F51,F64)-F9</f>
        <v>0</v>
      </c>
      <c r="E86" s="2900">
        <f>'表30-10'!D12</f>
        <v>1</v>
      </c>
      <c r="F86" s="1447">
        <f ca="1">ROUND(D86*E86,0)</f>
        <v>0</v>
      </c>
      <c r="H86" s="1291"/>
      <c r="I86" s="1291"/>
      <c r="J86" s="1291"/>
      <c r="K86" s="1291"/>
      <c r="L86" s="1291"/>
      <c r="M86" s="1291"/>
      <c r="N86" s="1291"/>
      <c r="O86" s="1291"/>
      <c r="P86" s="1291"/>
    </row>
    <row r="87" spans="1:16" ht="16.5">
      <c r="A87" s="1487">
        <f t="shared" si="2"/>
        <v>83</v>
      </c>
      <c r="B87" s="1452" t="s">
        <v>4607</v>
      </c>
      <c r="C87" s="1437"/>
      <c r="D87" s="1443">
        <f>SUM(D88,D131)</f>
        <v>0</v>
      </c>
      <c r="E87" s="2901"/>
      <c r="F87" s="1443" t="e">
        <f>SUM(F88,F131,F173)</f>
        <v>#DIV/0!</v>
      </c>
      <c r="N87" s="1291"/>
      <c r="O87" s="1291"/>
      <c r="P87" s="1291"/>
    </row>
    <row r="88" spans="1:16" ht="16.5">
      <c r="A88" s="1487">
        <f t="shared" si="2"/>
        <v>84</v>
      </c>
      <c r="B88" s="1489" t="s">
        <v>4608</v>
      </c>
      <c r="C88" s="1437"/>
      <c r="D88" s="1443">
        <f>SUM(D89:D90,D97,D102,D111,D114,D117:D122,D125)</f>
        <v>0</v>
      </c>
      <c r="E88" s="2903"/>
      <c r="F88" s="1443" t="e">
        <f>SUM(F89:F90,F97,F102,F111,F114,F117:F122,F125)</f>
        <v>#DIV/0!</v>
      </c>
      <c r="N88" s="1291"/>
      <c r="O88" s="1291"/>
      <c r="P88" s="1291"/>
    </row>
    <row r="89" spans="1:16" ht="16.5">
      <c r="A89" s="1487">
        <f t="shared" si="2"/>
        <v>85</v>
      </c>
      <c r="B89" s="1495" t="s">
        <v>4609</v>
      </c>
      <c r="C89" s="1436" t="s">
        <v>4610</v>
      </c>
      <c r="D89" s="1447">
        <f>SUM('表05-1'!G112)</f>
        <v>0</v>
      </c>
      <c r="E89" s="2900">
        <v>0</v>
      </c>
      <c r="F89" s="1447">
        <f>ROUND(D89*E89,0)</f>
        <v>0</v>
      </c>
      <c r="N89" s="1291"/>
      <c r="O89" s="1291"/>
      <c r="P89" s="1291"/>
    </row>
    <row r="90" spans="1:16" ht="16.5">
      <c r="A90" s="1487">
        <f t="shared" si="2"/>
        <v>86</v>
      </c>
      <c r="B90" s="1441" t="s">
        <v>4611</v>
      </c>
      <c r="C90" s="1437"/>
      <c r="D90" s="1443">
        <f>SUM(D91:D92,D93:D94)</f>
        <v>0</v>
      </c>
      <c r="E90" s="2901"/>
      <c r="F90" s="1443" t="e">
        <f>SUM(F91:F92,F93:F94)</f>
        <v>#DIV/0!</v>
      </c>
      <c r="N90" s="1291"/>
      <c r="O90" s="1291"/>
      <c r="P90" s="1291"/>
    </row>
    <row r="91" spans="1:16" ht="33">
      <c r="A91" s="1487">
        <f t="shared" si="2"/>
        <v>87</v>
      </c>
      <c r="B91" s="1440" t="s">
        <v>4612</v>
      </c>
      <c r="C91" s="1436" t="s">
        <v>4613</v>
      </c>
      <c r="D91" s="1447">
        <f>SUM('表30-3-2'!D27)</f>
        <v>0</v>
      </c>
      <c r="E91" s="2906"/>
      <c r="F91" s="2818" t="e">
        <f>SUM('表30-3-2'!G27)*'表30-3-4'!I15</f>
        <v>#DIV/0!</v>
      </c>
      <c r="N91" s="1291"/>
      <c r="O91" s="1291"/>
      <c r="P91" s="1291"/>
    </row>
    <row r="92" spans="1:16" ht="33">
      <c r="A92" s="1487">
        <f t="shared" si="2"/>
        <v>88</v>
      </c>
      <c r="B92" s="1440" t="s">
        <v>4614</v>
      </c>
      <c r="C92" s="1436" t="s">
        <v>4615</v>
      </c>
      <c r="D92" s="1447">
        <f>'表30-3-2'!D49</f>
        <v>0</v>
      </c>
      <c r="E92" s="2901"/>
      <c r="F92" s="2818" t="e">
        <f>'表30-3-2'!G49*'表30-3-4'!I15</f>
        <v>#DIV/0!</v>
      </c>
      <c r="O92" s="1291"/>
      <c r="P92" s="1291"/>
    </row>
    <row r="93" spans="1:16" ht="33">
      <c r="A93" s="1487">
        <f t="shared" si="2"/>
        <v>89</v>
      </c>
      <c r="B93" s="1440" t="s">
        <v>4616</v>
      </c>
      <c r="C93" s="1436" t="s">
        <v>4617</v>
      </c>
      <c r="D93" s="1447">
        <f>SUM('表30-3-2'!D71)</f>
        <v>0</v>
      </c>
      <c r="E93" s="2907"/>
      <c r="F93" s="2818" t="e">
        <f>SUM('表30-3-2'!G71)*'表30-3-4'!I15</f>
        <v>#DIV/0!</v>
      </c>
    </row>
    <row r="94" spans="1:16" ht="16.5">
      <c r="A94" s="1487">
        <f t="shared" si="2"/>
        <v>90</v>
      </c>
      <c r="B94" s="1442" t="s">
        <v>4618</v>
      </c>
      <c r="C94" s="1491"/>
      <c r="D94" s="1443">
        <f>SUM(D95:D96)</f>
        <v>0</v>
      </c>
      <c r="E94" s="2906"/>
      <c r="F94" s="1443" t="e">
        <f>SUM(F95:F96)</f>
        <v>#DIV/0!</v>
      </c>
      <c r="N94" s="1291"/>
      <c r="O94" s="1291"/>
      <c r="P94" s="1291"/>
    </row>
    <row r="95" spans="1:16" ht="33">
      <c r="A95" s="1487">
        <f t="shared" si="2"/>
        <v>91</v>
      </c>
      <c r="B95" s="1444" t="s">
        <v>4619</v>
      </c>
      <c r="C95" s="1436" t="s">
        <v>4620</v>
      </c>
      <c r="D95" s="1447">
        <f>SUM('表30-3-2'!D93)</f>
        <v>0</v>
      </c>
      <c r="E95" s="2901"/>
      <c r="F95" s="2818" t="e">
        <f>SUM('表30-3-2'!G93)*'表30-3-4'!I15</f>
        <v>#DIV/0!</v>
      </c>
      <c r="N95" s="1291"/>
      <c r="O95" s="1291"/>
      <c r="P95" s="1291"/>
    </row>
    <row r="96" spans="1:16" ht="16.5">
      <c r="A96" s="1487">
        <f t="shared" si="2"/>
        <v>92</v>
      </c>
      <c r="B96" s="1444" t="s">
        <v>4621</v>
      </c>
      <c r="C96" s="1436" t="s">
        <v>4622</v>
      </c>
      <c r="D96" s="1447">
        <f>SUM('表05-1'!G120)</f>
        <v>0</v>
      </c>
      <c r="E96" s="2900">
        <v>0.3</v>
      </c>
      <c r="F96" s="2818" t="e">
        <f>ROUND(D96*E96,0)*'表30-3-4'!I15</f>
        <v>#DIV/0!</v>
      </c>
      <c r="N96" s="1291"/>
      <c r="O96" s="1291"/>
      <c r="P96" s="1291"/>
    </row>
    <row r="97" spans="1:16" ht="16.5">
      <c r="A97" s="1487">
        <f t="shared" si="2"/>
        <v>93</v>
      </c>
      <c r="B97" s="1441" t="s">
        <v>4623</v>
      </c>
      <c r="C97" s="1491"/>
      <c r="D97" s="1443">
        <f>SUM(D98:D99)</f>
        <v>0</v>
      </c>
      <c r="E97" s="2901"/>
      <c r="F97" s="1443" t="e">
        <f ca="1">SUM(F98:F99)</f>
        <v>#DIV/0!</v>
      </c>
      <c r="N97" s="1291"/>
      <c r="O97" s="1291"/>
      <c r="P97" s="1291"/>
    </row>
    <row r="98" spans="1:16" ht="33">
      <c r="A98" s="1487">
        <f t="shared" si="2"/>
        <v>94</v>
      </c>
      <c r="B98" s="1440" t="s">
        <v>4624</v>
      </c>
      <c r="C98" s="1436" t="s">
        <v>4625</v>
      </c>
      <c r="D98" s="1447">
        <f>SUM('表10-4'!G43,'表10-4'!F44,'表10-4'!G38)</f>
        <v>0</v>
      </c>
      <c r="E98" s="2900">
        <f ca="1">'表30-14'!E16</f>
        <v>0.27349999999999997</v>
      </c>
      <c r="F98" s="2819" t="e">
        <f ca="1">ROUND(D98*E98,0)*'表30-3-4'!I16</f>
        <v>#DIV/0!</v>
      </c>
      <c r="N98" s="1291"/>
      <c r="O98" s="1291"/>
      <c r="P98" s="1291"/>
    </row>
    <row r="99" spans="1:16" ht="16.5">
      <c r="A99" s="1487">
        <f t="shared" si="2"/>
        <v>95</v>
      </c>
      <c r="B99" s="1442" t="s">
        <v>4626</v>
      </c>
      <c r="C99" s="1491"/>
      <c r="D99" s="1443">
        <f>SUM(D100:D101)</f>
        <v>0</v>
      </c>
      <c r="E99" s="2901"/>
      <c r="F99" s="1443" t="e">
        <f ca="1">F100+F101</f>
        <v>#DIV/0!</v>
      </c>
      <c r="N99" s="1291"/>
      <c r="O99" s="1291"/>
      <c r="P99" s="1291"/>
    </row>
    <row r="100" spans="1:16" ht="33">
      <c r="A100" s="1487">
        <f t="shared" si="2"/>
        <v>96</v>
      </c>
      <c r="B100" s="1444" t="s">
        <v>4627</v>
      </c>
      <c r="C100" s="1436" t="s">
        <v>4628</v>
      </c>
      <c r="D100" s="1447">
        <f>SUM('表30-3-2'!D115)</f>
        <v>0</v>
      </c>
      <c r="E100" s="2901"/>
      <c r="F100" s="2819" t="e">
        <f>SUM('表30-3-2'!G115)*'表30-3-4'!I16</f>
        <v>#DIV/0!</v>
      </c>
      <c r="N100" s="1291"/>
      <c r="O100" s="1291"/>
      <c r="P100" s="1291"/>
    </row>
    <row r="101" spans="1:16" ht="16.5">
      <c r="A101" s="1487">
        <f t="shared" si="2"/>
        <v>97</v>
      </c>
      <c r="B101" s="1444" t="s">
        <v>4629</v>
      </c>
      <c r="C101" s="1436" t="s">
        <v>4630</v>
      </c>
      <c r="D101" s="1447">
        <f>SUM('表10-4'!G48,'表10-4'!F49)</f>
        <v>0</v>
      </c>
      <c r="E101" s="2900">
        <f ca="1">'表30-14'!E17</f>
        <v>0.27349999999999997</v>
      </c>
      <c r="F101" s="2819" t="e">
        <f ca="1">ROUND(D101*E101,0)*'表30-3-4'!I16</f>
        <v>#DIV/0!</v>
      </c>
      <c r="N101" s="1291"/>
      <c r="O101" s="1291"/>
      <c r="P101" s="1291"/>
    </row>
    <row r="102" spans="1:16" ht="16.5">
      <c r="A102" s="1487">
        <f t="shared" si="2"/>
        <v>98</v>
      </c>
      <c r="B102" s="1441" t="s">
        <v>4631</v>
      </c>
      <c r="C102" s="1491"/>
      <c r="D102" s="1443">
        <f>D103+D104+D105+D106+D107+D108+D109+D110</f>
        <v>0</v>
      </c>
      <c r="E102" s="2901"/>
      <c r="F102" s="1443" t="e">
        <f ca="1">F103+F104+F105+F106+F107+F108+F109+F110</f>
        <v>#DIV/0!</v>
      </c>
      <c r="N102" s="1291"/>
      <c r="O102" s="1291"/>
      <c r="P102" s="1291"/>
    </row>
    <row r="103" spans="1:16" ht="49.5">
      <c r="A103" s="1496">
        <f t="shared" si="2"/>
        <v>99</v>
      </c>
      <c r="B103" s="1440" t="s">
        <v>4632</v>
      </c>
      <c r="C103" s="1436" t="s">
        <v>4633</v>
      </c>
      <c r="D103" s="1447">
        <f>'表12-2'!G56+'表30-14-1'!L8</f>
        <v>0</v>
      </c>
      <c r="E103" s="2900">
        <f ca="1">'表30-14'!E19</f>
        <v>0.27349999999999997</v>
      </c>
      <c r="F103" s="2819" t="e">
        <f ca="1">ROUND(D103*E103,0)*'表30-3-4'!I16</f>
        <v>#DIV/0!</v>
      </c>
      <c r="N103" s="1291"/>
      <c r="O103" s="1291"/>
      <c r="P103" s="1291"/>
    </row>
    <row r="104" spans="1:16" ht="49.5">
      <c r="A104" s="1496">
        <f t="shared" si="2"/>
        <v>100</v>
      </c>
      <c r="B104" s="1440" t="s">
        <v>4634</v>
      </c>
      <c r="C104" s="1436" t="s">
        <v>4635</v>
      </c>
      <c r="D104" s="1447">
        <f>'表12-2'!D57+'表30-14-1'!L10</f>
        <v>0</v>
      </c>
      <c r="E104" s="2900">
        <v>6.3299999999999995E-2</v>
      </c>
      <c r="F104" s="2819" t="e">
        <f>ROUND(D104*E104,0)*'表30-3-4'!I16</f>
        <v>#DIV/0!</v>
      </c>
      <c r="N104" s="1291"/>
      <c r="O104" s="1291"/>
      <c r="P104" s="1291"/>
    </row>
    <row r="105" spans="1:16" ht="49.5">
      <c r="A105" s="1496">
        <f t="shared" si="2"/>
        <v>101</v>
      </c>
      <c r="B105" s="1440" t="s">
        <v>4636</v>
      </c>
      <c r="C105" s="1436" t="s">
        <v>4637</v>
      </c>
      <c r="D105" s="1447">
        <f>'表12-2'!G58+'表30-14-1'!L12</f>
        <v>0</v>
      </c>
      <c r="E105" s="2900">
        <f ca="1">'表30-14'!E20</f>
        <v>0.27349999999999997</v>
      </c>
      <c r="F105" s="2819" t="e">
        <f ca="1">ROUND(D105*E105,0)*'表30-3-4'!I16</f>
        <v>#DIV/0!</v>
      </c>
      <c r="N105" s="1291"/>
      <c r="O105" s="1291"/>
      <c r="P105" s="1291"/>
    </row>
    <row r="106" spans="1:16" ht="16.5">
      <c r="A106" s="1496">
        <f t="shared" si="2"/>
        <v>102</v>
      </c>
      <c r="B106" s="1440" t="s">
        <v>4638</v>
      </c>
      <c r="C106" s="1436" t="s">
        <v>4639</v>
      </c>
      <c r="D106" s="1447">
        <f>'表12-2'!D59</f>
        <v>0</v>
      </c>
      <c r="E106" s="2900">
        <v>1.09E-2</v>
      </c>
      <c r="F106" s="2819" t="e">
        <f>ROUND(D106*E106,0)*'表30-3-4'!I16</f>
        <v>#DIV/0!</v>
      </c>
      <c r="N106" s="1291"/>
      <c r="O106" s="1291"/>
      <c r="P106" s="1291"/>
    </row>
    <row r="107" spans="1:16" ht="49.5">
      <c r="A107" s="1487">
        <f t="shared" si="2"/>
        <v>103</v>
      </c>
      <c r="B107" s="1440" t="s">
        <v>4640</v>
      </c>
      <c r="C107" s="1436" t="s">
        <v>4641</v>
      </c>
      <c r="D107" s="1447">
        <f>'表12-2'!D60+'表30-14-1'!L22</f>
        <v>0</v>
      </c>
      <c r="E107" s="2902">
        <v>0.33750000000000002</v>
      </c>
      <c r="F107" s="2819" t="e">
        <f>ROUND(D107*E107,0)*'表30-3-4'!I16</f>
        <v>#DIV/0!</v>
      </c>
      <c r="N107" s="1291"/>
      <c r="O107" s="1291"/>
      <c r="P107" s="1291"/>
    </row>
    <row r="108" spans="1:16" ht="16.5">
      <c r="A108" s="1487">
        <f t="shared" si="2"/>
        <v>104</v>
      </c>
      <c r="B108" s="1440" t="s">
        <v>4642</v>
      </c>
      <c r="C108" s="1436" t="s">
        <v>4643</v>
      </c>
      <c r="D108" s="1447">
        <f>'表12-2'!D61</f>
        <v>0</v>
      </c>
      <c r="E108" s="2902">
        <v>0.33750000000000002</v>
      </c>
      <c r="F108" s="2819" t="e">
        <f>ROUND(D108*E108,0)*'表30-3-4'!I16</f>
        <v>#DIV/0!</v>
      </c>
      <c r="N108" s="1291"/>
      <c r="O108" s="1291"/>
      <c r="P108" s="1291"/>
    </row>
    <row r="109" spans="1:16" ht="16.5">
      <c r="A109" s="1487">
        <f t="shared" si="2"/>
        <v>105</v>
      </c>
      <c r="B109" s="1440" t="s">
        <v>4644</v>
      </c>
      <c r="C109" s="1436" t="s">
        <v>4645</v>
      </c>
      <c r="D109" s="1447">
        <f>'表12-2'!D62</f>
        <v>0</v>
      </c>
      <c r="E109" s="2902">
        <v>0.33750000000000002</v>
      </c>
      <c r="F109" s="2819" t="e">
        <f>ROUND(D109*E109,0)*'表30-3-4'!I16</f>
        <v>#DIV/0!</v>
      </c>
      <c r="N109" s="1291"/>
      <c r="O109" s="1291"/>
      <c r="P109" s="1291"/>
    </row>
    <row r="110" spans="1:16" ht="16.5">
      <c r="A110" s="1487">
        <f t="shared" si="2"/>
        <v>106</v>
      </c>
      <c r="B110" s="1440" t="s">
        <v>4646</v>
      </c>
      <c r="C110" s="1436" t="s">
        <v>4647</v>
      </c>
      <c r="D110" s="1447">
        <f>'表05-1'!G138</f>
        <v>0</v>
      </c>
      <c r="E110" s="2900">
        <v>0.1018</v>
      </c>
      <c r="F110" s="2819" t="e">
        <f>ROUND(D110*E110,0)*'表30-3-4'!I16</f>
        <v>#DIV/0!</v>
      </c>
      <c r="N110" s="1291"/>
      <c r="O110" s="1291"/>
      <c r="P110" s="1291"/>
    </row>
    <row r="111" spans="1:16" ht="16.5">
      <c r="A111" s="1487">
        <f t="shared" si="2"/>
        <v>107</v>
      </c>
      <c r="B111" s="1441" t="s">
        <v>4648</v>
      </c>
      <c r="C111" s="1491"/>
      <c r="D111" s="1443">
        <f>SUM(D112:D113)</f>
        <v>0</v>
      </c>
      <c r="E111" s="2906"/>
      <c r="F111" s="1443" t="e">
        <f>SUM(F112:F113)</f>
        <v>#DIV/0!</v>
      </c>
      <c r="N111" s="1291"/>
      <c r="O111" s="1291"/>
      <c r="P111" s="1291"/>
    </row>
    <row r="112" spans="1:16" ht="16.5">
      <c r="A112" s="1487">
        <f t="shared" si="2"/>
        <v>108</v>
      </c>
      <c r="B112" s="1440" t="s">
        <v>4649</v>
      </c>
      <c r="C112" s="1436" t="s">
        <v>4650</v>
      </c>
      <c r="D112" s="1447">
        <f>SUM('表05-1'!G128)</f>
        <v>0</v>
      </c>
      <c r="E112" s="2900">
        <v>0</v>
      </c>
      <c r="F112" s="2818" t="e">
        <f>ROUND(D112*E112,0)*'表30-3-4'!I15</f>
        <v>#DIV/0!</v>
      </c>
      <c r="H112" s="1291"/>
      <c r="I112" s="1291"/>
      <c r="J112" s="1291"/>
      <c r="K112" s="1291"/>
      <c r="L112" s="1291"/>
      <c r="M112" s="1291"/>
      <c r="N112" s="1291"/>
      <c r="O112" s="1291"/>
      <c r="P112" s="1291"/>
    </row>
    <row r="113" spans="1:17" ht="16.5">
      <c r="A113" s="1487">
        <f t="shared" si="2"/>
        <v>109</v>
      </c>
      <c r="B113" s="1440" t="s">
        <v>4651</v>
      </c>
      <c r="C113" s="1436" t="s">
        <v>4652</v>
      </c>
      <c r="D113" s="1447">
        <f>SUM('表05-1'!G129)</f>
        <v>0</v>
      </c>
      <c r="E113" s="2900">
        <v>0.25750000000000001</v>
      </c>
      <c r="F113" s="2818" t="e">
        <f>ROUND(D113*E113,0)*'表30-3-4'!I15</f>
        <v>#DIV/0!</v>
      </c>
      <c r="H113" s="1291"/>
      <c r="I113" s="1291"/>
      <c r="J113" s="1291"/>
      <c r="K113" s="1291"/>
      <c r="L113" s="1291"/>
      <c r="M113" s="1291"/>
      <c r="N113" s="1291"/>
      <c r="O113" s="1291"/>
      <c r="P113" s="1291"/>
    </row>
    <row r="114" spans="1:17" ht="16.5">
      <c r="A114" s="1487">
        <f t="shared" si="2"/>
        <v>110</v>
      </c>
      <c r="B114" s="1441" t="s">
        <v>4653</v>
      </c>
      <c r="C114" s="1437"/>
      <c r="D114" s="1443">
        <f>SUM(D115:D116)</f>
        <v>0</v>
      </c>
      <c r="E114" s="2901"/>
      <c r="F114" s="1443">
        <f>SUM(F115:F116)</f>
        <v>0</v>
      </c>
      <c r="H114" s="1291"/>
      <c r="I114" s="1291"/>
      <c r="J114" s="1291"/>
      <c r="K114" s="1291"/>
      <c r="L114" s="1291"/>
      <c r="M114" s="1291"/>
      <c r="N114" s="1291"/>
      <c r="O114" s="1291"/>
      <c r="P114" s="1291"/>
    </row>
    <row r="115" spans="1:17" ht="66">
      <c r="A115" s="1487">
        <f t="shared" si="2"/>
        <v>111</v>
      </c>
      <c r="B115" s="1440" t="s">
        <v>4654</v>
      </c>
      <c r="C115" s="1436" t="s">
        <v>4655</v>
      </c>
      <c r="D115" s="1447">
        <f>SUM('表13-2'!O13,'表13-2'!O16)+'表30-8-3'!E15-'表30-8-4'!D9</f>
        <v>0</v>
      </c>
      <c r="E115" s="2900">
        <v>0.1</v>
      </c>
      <c r="F115" s="1447">
        <f>ROUND(D115*E115,0)</f>
        <v>0</v>
      </c>
      <c r="H115" s="1291"/>
      <c r="I115" s="1291"/>
      <c r="J115" s="1291"/>
      <c r="K115" s="1291"/>
      <c r="L115" s="1291"/>
      <c r="M115" s="1291"/>
      <c r="N115" s="1291"/>
      <c r="O115" s="1291"/>
      <c r="P115" s="1291"/>
    </row>
    <row r="116" spans="1:17" ht="33">
      <c r="A116" s="1487">
        <f t="shared" si="2"/>
        <v>112</v>
      </c>
      <c r="B116" s="1440" t="s">
        <v>4656</v>
      </c>
      <c r="C116" s="1436" t="s">
        <v>4657</v>
      </c>
      <c r="D116" s="1447">
        <f>'表30-8-4'!D9</f>
        <v>0</v>
      </c>
      <c r="E116" s="2903"/>
      <c r="F116" s="1447">
        <f>'表30-8-4'!E9</f>
        <v>0</v>
      </c>
      <c r="H116" s="1291"/>
      <c r="I116" s="1291"/>
      <c r="J116" s="1291"/>
      <c r="K116" s="1291"/>
      <c r="L116" s="1291"/>
      <c r="M116" s="1291"/>
      <c r="N116" s="1291"/>
      <c r="O116" s="1291"/>
      <c r="P116" s="1291"/>
    </row>
    <row r="117" spans="1:17" ht="16.5">
      <c r="A117" s="1487">
        <f t="shared" si="2"/>
        <v>113</v>
      </c>
      <c r="B117" s="1495" t="s">
        <v>4658</v>
      </c>
      <c r="C117" s="1436" t="s">
        <v>4659</v>
      </c>
      <c r="D117" s="1447">
        <f>SUM('表05-1'!G131)</f>
        <v>0</v>
      </c>
      <c r="E117" s="2900">
        <v>0.29499999999999998</v>
      </c>
      <c r="F117" s="2819" t="e">
        <f>ROUND(D117*E117,0)*'表30-3-4'!I16</f>
        <v>#DIV/0!</v>
      </c>
    </row>
    <row r="118" spans="1:17" ht="33">
      <c r="A118" s="1487">
        <f t="shared" si="2"/>
        <v>114</v>
      </c>
      <c r="B118" s="1495" t="s">
        <v>4660</v>
      </c>
      <c r="C118" s="1436" t="s">
        <v>4661</v>
      </c>
      <c r="D118" s="1447">
        <f>SUM('表05-1'!M132,'表30-14-1'!L14)</f>
        <v>0</v>
      </c>
      <c r="E118" s="2900">
        <f ca="1">'表30-14'!E19</f>
        <v>0.27349999999999997</v>
      </c>
      <c r="F118" s="2819" t="e">
        <f ca="1">ROUND(D118*E118,0)*'表30-3-4'!I16</f>
        <v>#DIV/0!</v>
      </c>
    </row>
    <row r="119" spans="1:17" ht="33">
      <c r="A119" s="1487">
        <f t="shared" si="2"/>
        <v>115</v>
      </c>
      <c r="B119" s="1495" t="s">
        <v>4662</v>
      </c>
      <c r="C119" s="1436" t="s">
        <v>4663</v>
      </c>
      <c r="D119" s="1447">
        <f>SUM('表05-1'!G133,'表30-14-1'!L16)</f>
        <v>0</v>
      </c>
      <c r="E119" s="2900">
        <v>6.3299999999999995E-2</v>
      </c>
      <c r="F119" s="2819" t="e">
        <f>ROUND(D119*E119,0)*'表30-3-4'!I16</f>
        <v>#DIV/0!</v>
      </c>
    </row>
    <row r="120" spans="1:17" ht="33">
      <c r="A120" s="1487">
        <f t="shared" si="2"/>
        <v>116</v>
      </c>
      <c r="B120" s="1495" t="s">
        <v>4664</v>
      </c>
      <c r="C120" s="1436" t="s">
        <v>4665</v>
      </c>
      <c r="D120" s="1447">
        <f>SUM('表05-1'!G134,'表30-14-1'!L18)</f>
        <v>0</v>
      </c>
      <c r="E120" s="2900">
        <v>0.2009</v>
      </c>
      <c r="F120" s="2819" t="e">
        <f>ROUND(D120*E120,0)*'表30-3-4'!I16</f>
        <v>#DIV/0!</v>
      </c>
    </row>
    <row r="121" spans="1:17" ht="33">
      <c r="A121" s="1487">
        <f t="shared" si="2"/>
        <v>117</v>
      </c>
      <c r="B121" s="1495" t="s">
        <v>736</v>
      </c>
      <c r="C121" s="1436" t="s">
        <v>4666</v>
      </c>
      <c r="D121" s="1447">
        <f>'表30-14-1'!L20</f>
        <v>0</v>
      </c>
      <c r="E121" s="2900">
        <v>0.28129999999999999</v>
      </c>
      <c r="F121" s="2819" t="e">
        <f>ROUND(D121*E121,0)*'表30-3-4'!I16</f>
        <v>#DIV/0!</v>
      </c>
    </row>
    <row r="122" spans="1:17" ht="16.5">
      <c r="A122" s="1496">
        <f t="shared" si="2"/>
        <v>118</v>
      </c>
      <c r="B122" s="1441" t="s">
        <v>4667</v>
      </c>
      <c r="C122" s="1437"/>
      <c r="D122" s="1443">
        <f>D123+D124</f>
        <v>0</v>
      </c>
      <c r="E122" s="2901"/>
      <c r="F122" s="1443" t="e">
        <f>F123+F124</f>
        <v>#DIV/0!</v>
      </c>
      <c r="G122" s="1291"/>
      <c r="Q122" s="1476"/>
    </row>
    <row r="123" spans="1:17" ht="16.5">
      <c r="A123" s="1496">
        <f t="shared" si="2"/>
        <v>119</v>
      </c>
      <c r="B123" s="1440" t="s">
        <v>4668</v>
      </c>
      <c r="C123" s="1436" t="s">
        <v>4669</v>
      </c>
      <c r="D123" s="1447">
        <f>'表30-3-3'!G27</f>
        <v>0</v>
      </c>
      <c r="E123" s="2901"/>
      <c r="F123" s="2818" t="e">
        <f>'表30-3-3'!M27*'表30-3-4'!I15</f>
        <v>#DIV/0!</v>
      </c>
      <c r="G123" s="1291"/>
      <c r="Q123" s="1476"/>
    </row>
    <row r="124" spans="1:17" ht="16.5">
      <c r="A124" s="1496">
        <f t="shared" si="2"/>
        <v>120</v>
      </c>
      <c r="B124" s="1440" t="s">
        <v>4670</v>
      </c>
      <c r="C124" s="1436" t="s">
        <v>4671</v>
      </c>
      <c r="D124" s="1447">
        <f>'表30-3-3'!G49</f>
        <v>0</v>
      </c>
      <c r="E124" s="2901"/>
      <c r="F124" s="2818" t="e">
        <f>'表30-3-3'!M49*'表30-3-4'!I15</f>
        <v>#DIV/0!</v>
      </c>
      <c r="G124" s="1291"/>
      <c r="Q124" s="1476"/>
    </row>
    <row r="125" spans="1:17" ht="16.5">
      <c r="A125" s="1487">
        <f t="shared" si="2"/>
        <v>121</v>
      </c>
      <c r="B125" s="1441" t="s">
        <v>4672</v>
      </c>
      <c r="C125" s="1436"/>
      <c r="D125" s="1447">
        <f>D126+D127+D128</f>
        <v>0</v>
      </c>
      <c r="E125" s="2901"/>
      <c r="F125" s="1447" t="e">
        <f>F126+F127+F128</f>
        <v>#DIV/0!</v>
      </c>
    </row>
    <row r="126" spans="1:17" ht="49.5">
      <c r="A126" s="1496">
        <f t="shared" si="2"/>
        <v>122</v>
      </c>
      <c r="B126" s="1440" t="s">
        <v>4673</v>
      </c>
      <c r="C126" s="1436" t="s">
        <v>4674</v>
      </c>
      <c r="D126" s="1447">
        <f>'表05-1'!G135-'表05-1'!G137-'表05-1'!G138-'表13-4'!M19</f>
        <v>0</v>
      </c>
      <c r="E126" s="2900">
        <v>0.3</v>
      </c>
      <c r="F126" s="2819" t="e">
        <f>ROUND(D126*E126,0)*'表30-3-4'!I16</f>
        <v>#DIV/0!</v>
      </c>
    </row>
    <row r="127" spans="1:17" ht="16.5">
      <c r="A127" s="1496">
        <f t="shared" si="2"/>
        <v>123</v>
      </c>
      <c r="B127" s="1440" t="s">
        <v>4675</v>
      </c>
      <c r="C127" s="1430" t="s">
        <v>4676</v>
      </c>
      <c r="D127" s="1447">
        <f>'表13-4'!M19</f>
        <v>0</v>
      </c>
      <c r="E127" s="2900">
        <v>0.1</v>
      </c>
      <c r="F127" s="2819" t="e">
        <f>ROUND(D127*E127,0)*'表30-3-4'!I16</f>
        <v>#DIV/0!</v>
      </c>
    </row>
    <row r="128" spans="1:17" ht="33">
      <c r="A128" s="1496">
        <f t="shared" si="2"/>
        <v>124</v>
      </c>
      <c r="B128" s="1440" t="s">
        <v>4677</v>
      </c>
      <c r="C128" s="1425"/>
      <c r="D128" s="1499">
        <f>SUM(D129:D130)</f>
        <v>0</v>
      </c>
      <c r="E128" s="2904"/>
      <c r="F128" s="2820" t="e">
        <f>SUM(F129:F130)*'表30-3-4'!I16</f>
        <v>#DIV/0!</v>
      </c>
    </row>
    <row r="129" spans="1:6" ht="33">
      <c r="A129" s="1496">
        <f t="shared" si="2"/>
        <v>125</v>
      </c>
      <c r="B129" s="1444" t="s">
        <v>4678</v>
      </c>
      <c r="C129" s="1430" t="s">
        <v>4679</v>
      </c>
      <c r="D129" s="1499">
        <f>'表30-14-1'!L25</f>
        <v>0</v>
      </c>
      <c r="E129" s="2902">
        <v>0.1018</v>
      </c>
      <c r="F129" s="2820" t="e">
        <f>ROUND(D129*E129,0)*'表30-3-4'!I16</f>
        <v>#DIV/0!</v>
      </c>
    </row>
    <row r="130" spans="1:6" ht="33">
      <c r="A130" s="1496">
        <f t="shared" si="2"/>
        <v>126</v>
      </c>
      <c r="B130" s="1444" t="s">
        <v>4680</v>
      </c>
      <c r="C130" s="1430" t="s">
        <v>4681</v>
      </c>
      <c r="D130" s="1499">
        <f>'表30-14-1'!L26</f>
        <v>0</v>
      </c>
      <c r="E130" s="2902">
        <v>0.17249999999999999</v>
      </c>
      <c r="F130" s="2820" t="e">
        <f>ROUND(D130*E130,0)*'表30-3-4'!I16</f>
        <v>#DIV/0!</v>
      </c>
    </row>
    <row r="131" spans="1:6" ht="16.5">
      <c r="A131" s="1496">
        <f t="shared" si="2"/>
        <v>127</v>
      </c>
      <c r="B131" s="1489" t="s">
        <v>4682</v>
      </c>
      <c r="C131" s="1437"/>
      <c r="D131" s="1443">
        <f>SUM(D132:D133,D140,D145,D153,D156,D159:D164,D167)</f>
        <v>0</v>
      </c>
      <c r="E131" s="2903"/>
      <c r="F131" s="1443" t="e">
        <f>SUM(F132:F133,F140,F145,F153,F156,F159:F164,F167)</f>
        <v>#DIV/0!</v>
      </c>
    </row>
    <row r="132" spans="1:6" ht="16.5">
      <c r="A132" s="1487">
        <f t="shared" si="2"/>
        <v>128</v>
      </c>
      <c r="B132" s="1495" t="s">
        <v>4683</v>
      </c>
      <c r="C132" s="1436" t="s">
        <v>4684</v>
      </c>
      <c r="D132" s="1447">
        <f>SUM('表05-1'!G142)</f>
        <v>0</v>
      </c>
      <c r="E132" s="2900">
        <v>0</v>
      </c>
      <c r="F132" s="1447">
        <f>ROUND(D132*E132,0)</f>
        <v>0</v>
      </c>
    </row>
    <row r="133" spans="1:6" ht="16.5">
      <c r="A133" s="1487">
        <f t="shared" si="2"/>
        <v>129</v>
      </c>
      <c r="B133" s="1441" t="s">
        <v>4685</v>
      </c>
      <c r="C133" s="1437"/>
      <c r="D133" s="1443">
        <f>SUM(D134:D135,D136:D137)</f>
        <v>0</v>
      </c>
      <c r="E133" s="2901"/>
      <c r="F133" s="1443" t="e">
        <f>SUM(F134:F135,F136:F137)</f>
        <v>#DIV/0!</v>
      </c>
    </row>
    <row r="134" spans="1:6" ht="33">
      <c r="A134" s="1487">
        <f t="shared" si="2"/>
        <v>130</v>
      </c>
      <c r="B134" s="1440" t="s">
        <v>4686</v>
      </c>
      <c r="C134" s="1436" t="s">
        <v>4687</v>
      </c>
      <c r="D134" s="1447">
        <f>SUM('表30-3-2'!E27)</f>
        <v>0</v>
      </c>
      <c r="E134" s="2901"/>
      <c r="F134" s="2818" t="e">
        <f>SUM('表30-3-2'!H27)*'表30-3-4'!I15</f>
        <v>#DIV/0!</v>
      </c>
    </row>
    <row r="135" spans="1:6" ht="33">
      <c r="A135" s="1487">
        <f t="shared" si="2"/>
        <v>131</v>
      </c>
      <c r="B135" s="1440" t="s">
        <v>4688</v>
      </c>
      <c r="C135" s="1436" t="s">
        <v>4689</v>
      </c>
      <c r="D135" s="1447">
        <f>'表30-3-2'!E49</f>
        <v>0</v>
      </c>
      <c r="E135" s="2901"/>
      <c r="F135" s="2818" t="e">
        <f>'表30-3-2'!H49*'表30-3-4'!I15</f>
        <v>#DIV/0!</v>
      </c>
    </row>
    <row r="136" spans="1:6" ht="33">
      <c r="A136" s="1487">
        <f t="shared" si="2"/>
        <v>132</v>
      </c>
      <c r="B136" s="1440" t="s">
        <v>4690</v>
      </c>
      <c r="C136" s="1436" t="s">
        <v>4691</v>
      </c>
      <c r="D136" s="1447">
        <f>SUM('表30-3-2'!E71)</f>
        <v>0</v>
      </c>
      <c r="E136" s="2906"/>
      <c r="F136" s="2818" t="e">
        <f>SUM('表30-3-2'!H71)*'表30-3-4'!I15</f>
        <v>#DIV/0!</v>
      </c>
    </row>
    <row r="137" spans="1:6" ht="16.5">
      <c r="A137" s="1487">
        <f t="shared" si="2"/>
        <v>133</v>
      </c>
      <c r="B137" s="1442" t="s">
        <v>4692</v>
      </c>
      <c r="C137" s="1491"/>
      <c r="D137" s="1443">
        <f>SUM(D138:D139)</f>
        <v>0</v>
      </c>
      <c r="E137" s="2906"/>
      <c r="F137" s="1443" t="e">
        <f>SUM(F138:F139)</f>
        <v>#DIV/0!</v>
      </c>
    </row>
    <row r="138" spans="1:6" ht="33">
      <c r="A138" s="1487">
        <f t="shared" si="2"/>
        <v>134</v>
      </c>
      <c r="B138" s="1444" t="s">
        <v>4693</v>
      </c>
      <c r="C138" s="1436" t="s">
        <v>4694</v>
      </c>
      <c r="D138" s="1447">
        <f>SUM('表30-3-2'!E93)</f>
        <v>0</v>
      </c>
      <c r="E138" s="2901"/>
      <c r="F138" s="2818" t="e">
        <f>SUM('表30-3-2'!H93)*'表30-3-4'!I15</f>
        <v>#DIV/0!</v>
      </c>
    </row>
    <row r="139" spans="1:6" ht="16.5">
      <c r="A139" s="1487">
        <f t="shared" si="2"/>
        <v>135</v>
      </c>
      <c r="B139" s="1444" t="s">
        <v>4695</v>
      </c>
      <c r="C139" s="1436" t="s">
        <v>4696</v>
      </c>
      <c r="D139" s="1447">
        <f>SUM('表05-1'!G150)</f>
        <v>0</v>
      </c>
      <c r="E139" s="2900">
        <v>0.3</v>
      </c>
      <c r="F139" s="2818" t="e">
        <f>ROUND(D139*E139,0)*'表30-3-4'!I15</f>
        <v>#DIV/0!</v>
      </c>
    </row>
    <row r="140" spans="1:6" ht="16.5">
      <c r="A140" s="1487">
        <f t="shared" si="2"/>
        <v>136</v>
      </c>
      <c r="B140" s="1441" t="s">
        <v>4697</v>
      </c>
      <c r="C140" s="1491"/>
      <c r="D140" s="1443">
        <f>SUM(D141:D142)</f>
        <v>0</v>
      </c>
      <c r="E140" s="2901"/>
      <c r="F140" s="1443" t="e">
        <f ca="1">SUM(F141:F142)</f>
        <v>#DIV/0!</v>
      </c>
    </row>
    <row r="141" spans="1:6" ht="33">
      <c r="A141" s="1487">
        <f t="shared" si="2"/>
        <v>137</v>
      </c>
      <c r="B141" s="1440" t="s">
        <v>4698</v>
      </c>
      <c r="C141" s="1436" t="s">
        <v>4699</v>
      </c>
      <c r="D141" s="1447">
        <f>SUM('表10-4'!G51,'表10-4'!F52,'表10-4'!G39)</f>
        <v>0</v>
      </c>
      <c r="E141" s="2900">
        <f ca="1">'表30-14'!E22</f>
        <v>0.29330000000000001</v>
      </c>
      <c r="F141" s="2819" t="e">
        <f ca="1">ROUND(D141*E141,0)*'表30-3-4'!I16</f>
        <v>#DIV/0!</v>
      </c>
    </row>
    <row r="142" spans="1:6" ht="16.5">
      <c r="A142" s="1487">
        <f t="shared" si="2"/>
        <v>138</v>
      </c>
      <c r="B142" s="1442" t="s">
        <v>4700</v>
      </c>
      <c r="C142" s="1491"/>
      <c r="D142" s="1443">
        <f>SUM(D143:D144)</f>
        <v>0</v>
      </c>
      <c r="E142" s="2901"/>
      <c r="F142" s="1443" t="e">
        <f>SUM(F143:F144)</f>
        <v>#DIV/0!</v>
      </c>
    </row>
    <row r="143" spans="1:6" ht="33">
      <c r="A143" s="1487">
        <f t="shared" si="2"/>
        <v>139</v>
      </c>
      <c r="B143" s="1444" t="s">
        <v>4701</v>
      </c>
      <c r="C143" s="1436" t="s">
        <v>4702</v>
      </c>
      <c r="D143" s="1447">
        <f>SUM('表30-3-2'!E115)</f>
        <v>0</v>
      </c>
      <c r="E143" s="2901"/>
      <c r="F143" s="2819" t="e">
        <f>SUM('表30-3-2'!H115)*'表30-3-4'!I16</f>
        <v>#DIV/0!</v>
      </c>
    </row>
    <row r="144" spans="1:6" ht="16.5">
      <c r="A144" s="1487">
        <f t="shared" si="2"/>
        <v>140</v>
      </c>
      <c r="B144" s="1444" t="s">
        <v>4703</v>
      </c>
      <c r="C144" s="1436" t="s">
        <v>4704</v>
      </c>
      <c r="D144" s="1447">
        <f>SUM('表10-4'!G56,'表10-4'!F57)</f>
        <v>0</v>
      </c>
      <c r="E144" s="2900">
        <f ca="1">'表30-14'!E23</f>
        <v>0.29330000000000001</v>
      </c>
      <c r="F144" s="2819" t="e">
        <f ca="1">ROUND(D144*E144,0)*'表30-3-4'!I16</f>
        <v>#DIV/0!</v>
      </c>
    </row>
    <row r="145" spans="1:6" ht="16.5">
      <c r="A145" s="1487">
        <f t="shared" si="2"/>
        <v>141</v>
      </c>
      <c r="B145" s="1441" t="s">
        <v>4705</v>
      </c>
      <c r="C145" s="1491"/>
      <c r="D145" s="1443">
        <f>D146+D147+D148+D149+D150+D151+D152</f>
        <v>0</v>
      </c>
      <c r="E145" s="2901"/>
      <c r="F145" s="1443" t="e">
        <f ca="1">F146+F147+F148+F149+F150+F151+F152</f>
        <v>#DIV/0!</v>
      </c>
    </row>
    <row r="146" spans="1:6" ht="49.5">
      <c r="A146" s="1487">
        <f t="shared" si="2"/>
        <v>142</v>
      </c>
      <c r="B146" s="1440" t="s">
        <v>4706</v>
      </c>
      <c r="C146" s="1436" t="s">
        <v>4707</v>
      </c>
      <c r="D146" s="1447">
        <f>'表12-2'!G64+'表30-14-1'!L9</f>
        <v>0</v>
      </c>
      <c r="E146" s="2900">
        <f ca="1">'表30-14'!E25</f>
        <v>0.29330000000000001</v>
      </c>
      <c r="F146" s="2819" t="e">
        <f ca="1">ROUND(D146*E146,0)*'表30-3-4'!I16</f>
        <v>#DIV/0!</v>
      </c>
    </row>
    <row r="147" spans="1:6" ht="49.5">
      <c r="A147" s="1487">
        <f t="shared" si="2"/>
        <v>143</v>
      </c>
      <c r="B147" s="1440" t="s">
        <v>4708</v>
      </c>
      <c r="C147" s="1436" t="s">
        <v>4709</v>
      </c>
      <c r="D147" s="1447">
        <f>'表12-2'!D65+'表30-14-1'!L11</f>
        <v>0</v>
      </c>
      <c r="E147" s="2900">
        <v>8.3500000000000005E-2</v>
      </c>
      <c r="F147" s="2819" t="e">
        <f>ROUND(D147*E147,0)*'表30-3-4'!I16</f>
        <v>#DIV/0!</v>
      </c>
    </row>
    <row r="148" spans="1:6" ht="49.5">
      <c r="A148" s="1487">
        <f t="shared" si="2"/>
        <v>144</v>
      </c>
      <c r="B148" s="1440" t="s">
        <v>4710</v>
      </c>
      <c r="C148" s="1436" t="s">
        <v>4711</v>
      </c>
      <c r="D148" s="1447">
        <f>'表12-2'!G66+'表30-14-1'!L13</f>
        <v>0</v>
      </c>
      <c r="E148" s="2900">
        <f ca="1">'表30-14'!E26</f>
        <v>0.29330000000000001</v>
      </c>
      <c r="F148" s="2819" t="e">
        <f ca="1">ROUND(D148*E148,0)*'表30-3-4'!I16</f>
        <v>#DIV/0!</v>
      </c>
    </row>
    <row r="149" spans="1:6" ht="16.5">
      <c r="A149" s="1487">
        <f t="shared" si="2"/>
        <v>145</v>
      </c>
      <c r="B149" s="1440" t="s">
        <v>4712</v>
      </c>
      <c r="C149" s="1436" t="s">
        <v>4713</v>
      </c>
      <c r="D149" s="1447">
        <f>'表12-2'!D67</f>
        <v>0</v>
      </c>
      <c r="E149" s="2900">
        <v>1.44E-2</v>
      </c>
      <c r="F149" s="2819" t="e">
        <f>ROUND(D149*E149,0)*'表30-3-4'!I16</f>
        <v>#DIV/0!</v>
      </c>
    </row>
    <row r="150" spans="1:6" ht="49.5">
      <c r="A150" s="1487">
        <f t="shared" ref="A150:A181" si="3">A149+1</f>
        <v>146</v>
      </c>
      <c r="B150" s="1440" t="s">
        <v>4714</v>
      </c>
      <c r="C150" s="1436" t="s">
        <v>4715</v>
      </c>
      <c r="D150" s="1447">
        <f>'表12-2'!D68+'表30-14-1'!L23</f>
        <v>0</v>
      </c>
      <c r="E150" s="2902">
        <v>0.33750000000000002</v>
      </c>
      <c r="F150" s="2819" t="e">
        <f>ROUND(D150*E150,0)*'表30-3-4'!I16</f>
        <v>#DIV/0!</v>
      </c>
    </row>
    <row r="151" spans="1:6" ht="16.5">
      <c r="A151" s="1487">
        <f t="shared" si="3"/>
        <v>147</v>
      </c>
      <c r="B151" s="1440" t="s">
        <v>4716</v>
      </c>
      <c r="C151" s="1436" t="s">
        <v>4717</v>
      </c>
      <c r="D151" s="1447">
        <f>'表12-2'!D69</f>
        <v>0</v>
      </c>
      <c r="E151" s="2902">
        <v>0.33750000000000002</v>
      </c>
      <c r="F151" s="2819" t="e">
        <f>ROUND(D151*E151,0)*'表30-3-4'!I16</f>
        <v>#DIV/0!</v>
      </c>
    </row>
    <row r="152" spans="1:6" ht="16.5">
      <c r="A152" s="1487">
        <f t="shared" si="3"/>
        <v>148</v>
      </c>
      <c r="B152" s="1440" t="s">
        <v>4718</v>
      </c>
      <c r="C152" s="1436" t="s">
        <v>4719</v>
      </c>
      <c r="D152" s="1447">
        <f>'表12-2'!D70</f>
        <v>0</v>
      </c>
      <c r="E152" s="2902">
        <v>0.33750000000000002</v>
      </c>
      <c r="F152" s="2819" t="e">
        <f>ROUND(D152*E152,0)*'表30-3-4'!I16</f>
        <v>#DIV/0!</v>
      </c>
    </row>
    <row r="153" spans="1:6" ht="16.5">
      <c r="A153" s="1487">
        <f t="shared" si="3"/>
        <v>149</v>
      </c>
      <c r="B153" s="1441" t="s">
        <v>4720</v>
      </c>
      <c r="C153" s="1491"/>
      <c r="D153" s="1443">
        <f>SUM(D154:D155)</f>
        <v>0</v>
      </c>
      <c r="E153" s="2906"/>
      <c r="F153" s="1443" t="e">
        <f>SUM(F154:F155)</f>
        <v>#DIV/0!</v>
      </c>
    </row>
    <row r="154" spans="1:6" ht="16.5">
      <c r="A154" s="1487">
        <f t="shared" si="3"/>
        <v>150</v>
      </c>
      <c r="B154" s="1440" t="s">
        <v>4721</v>
      </c>
      <c r="C154" s="1436" t="s">
        <v>4722</v>
      </c>
      <c r="D154" s="1447">
        <f>SUM('表05-1'!G158)</f>
        <v>0</v>
      </c>
      <c r="E154" s="2900">
        <v>0</v>
      </c>
      <c r="F154" s="2818" t="e">
        <f>ROUND(D154*E154,0)*'表30-3-4'!I15</f>
        <v>#DIV/0!</v>
      </c>
    </row>
    <row r="155" spans="1:6" ht="16.5">
      <c r="A155" s="1487">
        <f t="shared" si="3"/>
        <v>151</v>
      </c>
      <c r="B155" s="1440" t="s">
        <v>4723</v>
      </c>
      <c r="C155" s="1436" t="s">
        <v>4724</v>
      </c>
      <c r="D155" s="1447">
        <f>SUM('表05-1'!G159)</f>
        <v>0</v>
      </c>
      <c r="E155" s="2900">
        <v>0.25750000000000001</v>
      </c>
      <c r="F155" s="2818" t="e">
        <f>ROUND(D155*E155,0)*'表30-3-4'!I15</f>
        <v>#DIV/0!</v>
      </c>
    </row>
    <row r="156" spans="1:6" ht="16.5">
      <c r="A156" s="1487">
        <f t="shared" si="3"/>
        <v>152</v>
      </c>
      <c r="B156" s="1441" t="s">
        <v>4725</v>
      </c>
      <c r="C156" s="1437"/>
      <c r="D156" s="1443">
        <f>SUM(D157:D158)</f>
        <v>0</v>
      </c>
      <c r="E156" s="2901"/>
      <c r="F156" s="1443">
        <f>SUM(F157:F158)</f>
        <v>0</v>
      </c>
    </row>
    <row r="157" spans="1:6" ht="66">
      <c r="A157" s="1487">
        <f t="shared" si="3"/>
        <v>153</v>
      </c>
      <c r="B157" s="1440" t="s">
        <v>4726</v>
      </c>
      <c r="C157" s="1436" t="s">
        <v>4727</v>
      </c>
      <c r="D157" s="1447">
        <f>SUM('表13-2'!O14,'表13-2'!O17)+'表30-8-3'!E16-'表30-8-4'!D10</f>
        <v>0</v>
      </c>
      <c r="E157" s="2900">
        <v>0.1</v>
      </c>
      <c r="F157" s="1447">
        <f t="shared" ref="F157" si="4">ROUND(D157*E157,0)</f>
        <v>0</v>
      </c>
    </row>
    <row r="158" spans="1:6" ht="33">
      <c r="A158" s="1487">
        <f t="shared" si="3"/>
        <v>154</v>
      </c>
      <c r="B158" s="1440" t="s">
        <v>4728</v>
      </c>
      <c r="C158" s="1436" t="s">
        <v>4729</v>
      </c>
      <c r="D158" s="1447">
        <f>'表30-8-4'!D10</f>
        <v>0</v>
      </c>
      <c r="E158" s="2903"/>
      <c r="F158" s="1447">
        <f>'表30-8-4'!E10</f>
        <v>0</v>
      </c>
    </row>
    <row r="159" spans="1:6" ht="16.5">
      <c r="A159" s="1487">
        <f t="shared" si="3"/>
        <v>155</v>
      </c>
      <c r="B159" s="1495" t="s">
        <v>4730</v>
      </c>
      <c r="C159" s="1436" t="s">
        <v>4731</v>
      </c>
      <c r="D159" s="1447">
        <f>SUM('表05-1'!G161)</f>
        <v>0</v>
      </c>
      <c r="E159" s="2900">
        <v>0.29499999999999998</v>
      </c>
      <c r="F159" s="2819" t="e">
        <f>ROUND(D159*E159,0)*'表30-3-4'!I16</f>
        <v>#DIV/0!</v>
      </c>
    </row>
    <row r="160" spans="1:6" ht="33">
      <c r="A160" s="1487">
        <f t="shared" si="3"/>
        <v>156</v>
      </c>
      <c r="B160" s="1495" t="s">
        <v>4732</v>
      </c>
      <c r="C160" s="1436" t="s">
        <v>4733</v>
      </c>
      <c r="D160" s="1447">
        <f>SUM('表05-1'!M162,'表30-14-1'!L15)</f>
        <v>0</v>
      </c>
      <c r="E160" s="2900">
        <f ca="1">'表30-14'!E25</f>
        <v>0.29330000000000001</v>
      </c>
      <c r="F160" s="2819" t="e">
        <f ca="1">ROUND(D160*E160,0)*'表30-3-4'!I16</f>
        <v>#DIV/0!</v>
      </c>
    </row>
    <row r="161" spans="1:17" ht="33">
      <c r="A161" s="1487">
        <f t="shared" si="3"/>
        <v>157</v>
      </c>
      <c r="B161" s="1495" t="s">
        <v>4734</v>
      </c>
      <c r="C161" s="1436" t="s">
        <v>4735</v>
      </c>
      <c r="D161" s="1447">
        <f>SUM('表05-1'!G163,'表30-14-1'!L17)</f>
        <v>0</v>
      </c>
      <c r="E161" s="2900">
        <v>8.3500000000000005E-2</v>
      </c>
      <c r="F161" s="2819" t="e">
        <f>ROUND(D161*E161,0)*'表30-3-4'!I16</f>
        <v>#DIV/0!</v>
      </c>
    </row>
    <row r="162" spans="1:17" ht="33">
      <c r="A162" s="1487">
        <f t="shared" si="3"/>
        <v>158</v>
      </c>
      <c r="B162" s="1495" t="s">
        <v>4736</v>
      </c>
      <c r="C162" s="1436" t="s">
        <v>4737</v>
      </c>
      <c r="D162" s="1447">
        <f>SUM('表05-1'!G164,'表30-14-1'!L19)</f>
        <v>0</v>
      </c>
      <c r="E162" s="2900">
        <v>0.28870000000000001</v>
      </c>
      <c r="F162" s="2819" t="e">
        <f>ROUND(D162*E162,0)*'表30-3-4'!I16</f>
        <v>#DIV/0!</v>
      </c>
    </row>
    <row r="163" spans="1:17" ht="33">
      <c r="A163" s="1487">
        <f t="shared" si="3"/>
        <v>159</v>
      </c>
      <c r="B163" s="1495" t="s">
        <v>737</v>
      </c>
      <c r="C163" s="1436" t="s">
        <v>4738</v>
      </c>
      <c r="D163" s="1447">
        <f>'表30-14-1'!L21</f>
        <v>0</v>
      </c>
      <c r="E163" s="2900">
        <v>0.4042</v>
      </c>
      <c r="F163" s="2819" t="e">
        <f>ROUND(D163*E163,0)*'表30-3-4'!I16</f>
        <v>#DIV/0!</v>
      </c>
    </row>
    <row r="164" spans="1:17" ht="16.5">
      <c r="A164" s="1487">
        <f t="shared" si="3"/>
        <v>160</v>
      </c>
      <c r="B164" s="1441" t="s">
        <v>4739</v>
      </c>
      <c r="C164" s="1437"/>
      <c r="D164" s="1443">
        <f>D165+D166</f>
        <v>0</v>
      </c>
      <c r="E164" s="2901"/>
      <c r="F164" s="1443" t="e">
        <f>F165+F166</f>
        <v>#DIV/0!</v>
      </c>
      <c r="G164" s="1291"/>
      <c r="Q164" s="1476"/>
    </row>
    <row r="165" spans="1:17" ht="16.5">
      <c r="A165" s="1487">
        <f t="shared" si="3"/>
        <v>161</v>
      </c>
      <c r="B165" s="1440" t="s">
        <v>4740</v>
      </c>
      <c r="C165" s="1436" t="s">
        <v>4741</v>
      </c>
      <c r="D165" s="1447">
        <f>'表30-3-3'!H27</f>
        <v>0</v>
      </c>
      <c r="E165" s="2901"/>
      <c r="F165" s="2818" t="e">
        <f>'表30-3-3'!N27*'表30-3-4'!I15</f>
        <v>#DIV/0!</v>
      </c>
      <c r="G165" s="1291"/>
      <c r="Q165" s="1476"/>
    </row>
    <row r="166" spans="1:17" ht="16.5">
      <c r="A166" s="1487">
        <f t="shared" si="3"/>
        <v>162</v>
      </c>
      <c r="B166" s="1440" t="s">
        <v>4742</v>
      </c>
      <c r="C166" s="1436" t="s">
        <v>4743</v>
      </c>
      <c r="D166" s="1447">
        <f>'表30-3-3'!H49</f>
        <v>0</v>
      </c>
      <c r="E166" s="2901"/>
      <c r="F166" s="2818" t="e">
        <f>'表30-3-3'!N49*'表30-3-4'!I15</f>
        <v>#DIV/0!</v>
      </c>
      <c r="G166" s="1291"/>
      <c r="Q166" s="1476"/>
    </row>
    <row r="167" spans="1:17" ht="16.5">
      <c r="A167" s="1487">
        <f t="shared" si="3"/>
        <v>163</v>
      </c>
      <c r="B167" s="1441" t="s">
        <v>4744</v>
      </c>
      <c r="C167" s="1437"/>
      <c r="D167" s="1443">
        <f>D168+D169+D170</f>
        <v>0</v>
      </c>
      <c r="E167" s="2901"/>
      <c r="F167" s="1443" t="e">
        <f>F168+F169+F170</f>
        <v>#DIV/0!</v>
      </c>
    </row>
    <row r="168" spans="1:17" ht="33">
      <c r="A168" s="1496">
        <f t="shared" si="3"/>
        <v>164</v>
      </c>
      <c r="B168" s="1440" t="s">
        <v>4745</v>
      </c>
      <c r="C168" s="1436" t="s">
        <v>4746</v>
      </c>
      <c r="D168" s="1447">
        <f>'表05-1'!G165-'表05-1'!G167-'表13-4'!M20</f>
        <v>0</v>
      </c>
      <c r="E168" s="2900">
        <v>0.3</v>
      </c>
      <c r="F168" s="2819" t="e">
        <f>ROUND(D168*E168,0)*'表30-3-4'!I16</f>
        <v>#DIV/0!</v>
      </c>
    </row>
    <row r="169" spans="1:17" ht="16.5">
      <c r="A169" s="1496">
        <f t="shared" si="3"/>
        <v>165</v>
      </c>
      <c r="B169" s="1440" t="s">
        <v>4747</v>
      </c>
      <c r="C169" s="1430" t="s">
        <v>4748</v>
      </c>
      <c r="D169" s="1447">
        <f>'表13-4'!M20</f>
        <v>0</v>
      </c>
      <c r="E169" s="2900">
        <v>0.1</v>
      </c>
      <c r="F169" s="1447">
        <f>ROUND(D169*E169,0)</f>
        <v>0</v>
      </c>
    </row>
    <row r="170" spans="1:17" ht="33">
      <c r="A170" s="1496">
        <f t="shared" si="3"/>
        <v>166</v>
      </c>
      <c r="B170" s="1440" t="s">
        <v>4749</v>
      </c>
      <c r="C170" s="1425"/>
      <c r="D170" s="1499">
        <f>SUM(D171:D172)</f>
        <v>0</v>
      </c>
      <c r="E170" s="2904"/>
      <c r="F170" s="2820" t="e">
        <f>SUM(F171:F172)*'表30-3-4'!I16</f>
        <v>#DIV/0!</v>
      </c>
    </row>
    <row r="171" spans="1:17" ht="33">
      <c r="A171" s="1496">
        <f t="shared" si="3"/>
        <v>167</v>
      </c>
      <c r="B171" s="1444" t="s">
        <v>4750</v>
      </c>
      <c r="C171" s="1430" t="s">
        <v>4751</v>
      </c>
      <c r="D171" s="1499">
        <f>'表30-14-1'!L28</f>
        <v>0</v>
      </c>
      <c r="E171" s="2902">
        <v>0.1018</v>
      </c>
      <c r="F171" s="2820" t="e">
        <f>ROUND(D171*E171,0)*'表30-3-4'!I16</f>
        <v>#DIV/0!</v>
      </c>
    </row>
    <row r="172" spans="1:17" ht="33">
      <c r="A172" s="1496">
        <f t="shared" si="3"/>
        <v>168</v>
      </c>
      <c r="B172" s="1444" t="s">
        <v>4752</v>
      </c>
      <c r="C172" s="1430" t="s">
        <v>4753</v>
      </c>
      <c r="D172" s="1499">
        <f>'表30-14-1'!L29</f>
        <v>0</v>
      </c>
      <c r="E172" s="2902">
        <v>0.17249999999999999</v>
      </c>
      <c r="F172" s="2820" t="e">
        <f>ROUND(D172*E172,0)*'表30-3-4'!I16</f>
        <v>#DIV/0!</v>
      </c>
    </row>
    <row r="173" spans="1:17" ht="49.5">
      <c r="A173" s="1496">
        <f t="shared" si="3"/>
        <v>169</v>
      </c>
      <c r="B173" s="1488" t="s">
        <v>4754</v>
      </c>
      <c r="C173" s="1436" t="s">
        <v>4755</v>
      </c>
      <c r="D173" s="2895" t="e">
        <f>MAX((SUM(D133,D140,D145,D153,D159:D164,D167)+SUM(D90,D111,D97,D102,D117:D122,D125)-'表30-3-4'!E15-'表30-3-4'!E16)*'表30-3-4'!I17
+D89+D114+D132+D156-'表16-2-1'!J11-'表16-2-1'!G11-'表30-3-4'!E18,0)</f>
        <v>#DIV/0!</v>
      </c>
      <c r="E173" s="2900">
        <v>6.6100000000000006E-2</v>
      </c>
      <c r="F173" s="1447" t="e">
        <f>ROUND(D173*E173,0)</f>
        <v>#DIV/0!</v>
      </c>
    </row>
    <row r="174" spans="1:17" ht="16.5">
      <c r="A174" s="1496">
        <f t="shared" si="3"/>
        <v>170</v>
      </c>
      <c r="B174" s="1488" t="s">
        <v>4756</v>
      </c>
      <c r="C174" s="1436" t="s">
        <v>4757</v>
      </c>
      <c r="D174" s="1447">
        <f>'表30-16'!J16</f>
        <v>0</v>
      </c>
      <c r="E174" s="2901"/>
      <c r="F174" s="1443"/>
    </row>
    <row r="175" spans="1:17" ht="16.5">
      <c r="A175" s="1496">
        <f t="shared" si="3"/>
        <v>171</v>
      </c>
      <c r="B175" s="1488" t="s">
        <v>4758</v>
      </c>
      <c r="C175" s="1436"/>
      <c r="D175" s="1447" t="e">
        <f>SUM(F91:F92,F97,F118:F121,F102,F93,F114,F111,F134:F135,F140,F145,F136,F156,,F160:F163,F153,F94,F137,F173)</f>
        <v>#DIV/0!</v>
      </c>
      <c r="E175" s="2900">
        <f>'表30-10'!D12</f>
        <v>1</v>
      </c>
      <c r="F175" s="1447" t="e">
        <f>ROUND(D175*E175,0)</f>
        <v>#DIV/0!</v>
      </c>
      <c r="G175" s="1500"/>
    </row>
    <row r="176" spans="1:17" ht="16.5">
      <c r="A176" s="1496">
        <f t="shared" si="3"/>
        <v>172</v>
      </c>
      <c r="B176" s="1452" t="s">
        <v>4759</v>
      </c>
      <c r="C176" s="1437"/>
      <c r="D176" s="1443">
        <f>SUM(D177,D178)</f>
        <v>0</v>
      </c>
      <c r="E176" s="2905"/>
      <c r="F176" s="1501">
        <f>SUM(F177,F178)</f>
        <v>0</v>
      </c>
    </row>
    <row r="177" spans="1:16" s="1412" customFormat="1" ht="16.5">
      <c r="A177" s="1496">
        <f t="shared" si="3"/>
        <v>173</v>
      </c>
      <c r="B177" s="1488" t="s">
        <v>4760</v>
      </c>
      <c r="C177" s="1436" t="s">
        <v>4761</v>
      </c>
      <c r="D177" s="1502"/>
      <c r="E177" s="2900">
        <v>0.01</v>
      </c>
      <c r="F177" s="1447">
        <f>ROUND(D177*E177,0)</f>
        <v>0</v>
      </c>
      <c r="G177" s="1503"/>
      <c r="P177" s="1476"/>
    </row>
    <row r="178" spans="1:16" s="1412" customFormat="1" ht="16.5">
      <c r="A178" s="1496">
        <f t="shared" si="3"/>
        <v>174</v>
      </c>
      <c r="B178" s="1489" t="s">
        <v>4762</v>
      </c>
      <c r="C178" s="1437"/>
      <c r="D178" s="1443">
        <f>D179+D180</f>
        <v>0</v>
      </c>
      <c r="E178" s="2901" t="s">
        <v>6297</v>
      </c>
      <c r="F178" s="1502"/>
      <c r="G178" s="1503"/>
      <c r="P178" s="1476"/>
    </row>
    <row r="179" spans="1:16" s="1412" customFormat="1" ht="16.5">
      <c r="A179" s="1496">
        <f t="shared" si="3"/>
        <v>175</v>
      </c>
      <c r="B179" s="1495" t="s">
        <v>4763</v>
      </c>
      <c r="C179" s="1436" t="s">
        <v>4764</v>
      </c>
      <c r="D179" s="1447">
        <f>SUM('表16-2-1'!G39,'表16-2-1'!J39)</f>
        <v>0</v>
      </c>
      <c r="E179" s="1490"/>
      <c r="F179" s="1502"/>
      <c r="G179" s="1503"/>
      <c r="P179" s="1476"/>
    </row>
    <row r="180" spans="1:16" s="1412" customFormat="1" ht="50.25" thickBot="1">
      <c r="A180" s="1496">
        <f t="shared" si="3"/>
        <v>176</v>
      </c>
      <c r="B180" s="1504" t="s">
        <v>4765</v>
      </c>
      <c r="C180" s="1457" t="s">
        <v>4766</v>
      </c>
      <c r="D180" s="1505">
        <f>SUM('表16-2-2'!D21,'表16-2-2'!G21,'表16-2-2'!J21,'表16-2-3'!D18,'表16-2-3'!G18,'表16-2-3'!J18)</f>
        <v>0</v>
      </c>
      <c r="E180" s="1506"/>
      <c r="F180" s="1507"/>
      <c r="G180" s="1503"/>
      <c r="P180" s="1476"/>
    </row>
    <row r="181" spans="1:16" s="1412" customFormat="1" ht="17.25" thickTop="1">
      <c r="A181" s="1508">
        <f t="shared" si="3"/>
        <v>177</v>
      </c>
      <c r="B181" s="1509" t="s">
        <v>4767</v>
      </c>
      <c r="C181" s="1510"/>
      <c r="D181" s="1511">
        <f>SUM(D5,D87,D176)</f>
        <v>0</v>
      </c>
      <c r="E181" s="1512"/>
      <c r="F181" s="1511" t="e">
        <f ca="1">SUM(F6,F9,F86,F70,F89,F117,F122,F125,F132,F159,F164,F167,F175,F176)</f>
        <v>#DIV/0!</v>
      </c>
      <c r="G181" s="1503"/>
      <c r="P181" s="1476"/>
    </row>
    <row r="182" spans="1:16" s="1412" customFormat="1" ht="16.5">
      <c r="A182" s="1462" t="s">
        <v>4471</v>
      </c>
      <c r="B182" s="1513"/>
      <c r="C182" s="1514"/>
      <c r="D182" s="1476"/>
      <c r="E182" s="1514"/>
      <c r="F182" s="1503"/>
      <c r="G182" s="1503"/>
      <c r="P182" s="1476"/>
    </row>
    <row r="183" spans="1:16" s="1412" customFormat="1" ht="16.5">
      <c r="A183" s="1462">
        <v>1</v>
      </c>
      <c r="B183" s="1513" t="s">
        <v>4768</v>
      </c>
      <c r="C183" s="1514"/>
      <c r="D183" s="1476"/>
      <c r="E183" s="1514"/>
      <c r="F183" s="1503"/>
      <c r="G183" s="1503"/>
      <c r="P183" s="1476"/>
    </row>
    <row r="184" spans="1:16" s="1412" customFormat="1" ht="16.5">
      <c r="A184" s="1462">
        <v>2</v>
      </c>
      <c r="B184" s="1515" t="s">
        <v>747</v>
      </c>
      <c r="C184" s="1514"/>
      <c r="D184" s="1476"/>
      <c r="E184" s="1514"/>
      <c r="F184" s="1503"/>
      <c r="G184" s="1503"/>
      <c r="P184" s="1476"/>
    </row>
    <row r="185" spans="1:16" s="1412" customFormat="1" ht="16.5">
      <c r="A185" s="1462">
        <v>3</v>
      </c>
      <c r="B185" s="1513" t="s">
        <v>4769</v>
      </c>
      <c r="C185" s="1514"/>
      <c r="D185" s="1476"/>
      <c r="E185" s="1514"/>
      <c r="F185" s="1503"/>
      <c r="G185" s="1503"/>
      <c r="P185" s="1476"/>
    </row>
    <row r="186" spans="1:16" s="1412" customFormat="1" ht="16.5">
      <c r="A186" s="1462"/>
      <c r="B186" s="1513" t="s">
        <v>4770</v>
      </c>
      <c r="C186" s="1514"/>
      <c r="D186" s="1476"/>
      <c r="E186" s="1514"/>
      <c r="F186" s="1503"/>
      <c r="G186" s="1503"/>
      <c r="P186" s="1476"/>
    </row>
    <row r="187" spans="1:16" s="1412" customFormat="1" ht="16.5">
      <c r="A187" s="1462"/>
      <c r="B187" s="1515" t="s">
        <v>3249</v>
      </c>
      <c r="C187" s="1514"/>
      <c r="D187" s="1476"/>
      <c r="E187" s="1514"/>
      <c r="F187" s="1503"/>
      <c r="G187" s="1503"/>
      <c r="P187" s="1476"/>
    </row>
    <row r="188" spans="1:16" s="1518" customFormat="1" ht="16.5">
      <c r="A188" s="1516">
        <v>4</v>
      </c>
      <c r="B188" s="1515" t="s">
        <v>3250</v>
      </c>
      <c r="C188" s="1517"/>
      <c r="D188" s="1476"/>
      <c r="E188" s="1517"/>
      <c r="F188" s="1503"/>
      <c r="G188" s="1476"/>
      <c r="P188" s="1476"/>
    </row>
    <row r="189" spans="1:16" s="1518" customFormat="1" ht="16.5">
      <c r="A189" s="1516">
        <v>5</v>
      </c>
      <c r="B189" s="1513" t="s">
        <v>4771</v>
      </c>
      <c r="C189" s="1517"/>
      <c r="D189" s="1476"/>
      <c r="E189" s="1517"/>
      <c r="F189" s="1503"/>
      <c r="G189" s="1476"/>
      <c r="P189" s="1476"/>
    </row>
    <row r="190" spans="1:16" s="1518" customFormat="1" ht="16.5">
      <c r="A190" s="1516">
        <v>6</v>
      </c>
      <c r="B190" s="1519" t="s">
        <v>748</v>
      </c>
      <c r="C190" s="1517"/>
      <c r="D190" s="1476"/>
      <c r="E190" s="1517"/>
      <c r="F190" s="1503"/>
      <c r="G190" s="1476"/>
      <c r="P190" s="1476"/>
    </row>
    <row r="191" spans="1:16" s="1518" customFormat="1" ht="16.5">
      <c r="A191" s="1516">
        <v>7</v>
      </c>
      <c r="B191" s="1520" t="s">
        <v>4772</v>
      </c>
      <c r="C191" s="1475"/>
      <c r="D191" s="1476"/>
      <c r="E191" s="1521"/>
      <c r="F191" s="1476"/>
      <c r="G191" s="1476"/>
      <c r="P191" s="1476"/>
    </row>
    <row r="192" spans="1:16" s="1518" customFormat="1" ht="16.5">
      <c r="A192" s="3040">
        <v>8</v>
      </c>
      <c r="B192" s="3041" t="s">
        <v>6597</v>
      </c>
      <c r="C192" s="1475"/>
      <c r="D192" s="1476"/>
      <c r="E192" s="1523"/>
      <c r="F192" s="1476"/>
      <c r="G192" s="1476"/>
      <c r="P192" s="1476"/>
    </row>
    <row r="193" spans="2:13">
      <c r="B193" s="1522"/>
    </row>
    <row r="194" spans="2:13">
      <c r="B194" s="1522"/>
    </row>
    <row r="195" spans="2:13">
      <c r="B195" s="1518"/>
    </row>
    <row r="207" spans="2:13">
      <c r="K207" s="1524"/>
      <c r="L207" s="1524"/>
      <c r="M207" s="1567"/>
    </row>
    <row r="208" spans="2:13">
      <c r="K208" s="1524"/>
      <c r="L208" s="1524"/>
      <c r="M208" s="1567"/>
    </row>
    <row r="209" spans="11:13">
      <c r="K209" s="1524"/>
      <c r="L209" s="1524"/>
      <c r="M209" s="1567"/>
    </row>
    <row r="210" spans="11:13">
      <c r="K210" s="1524"/>
      <c r="L210" s="1524"/>
    </row>
    <row r="211" spans="11:13">
      <c r="K211" s="1524"/>
      <c r="L211" s="1524"/>
      <c r="M211" s="1567"/>
    </row>
    <row r="212" spans="11:13">
      <c r="K212" s="1524"/>
      <c r="L212" s="1524"/>
      <c r="M212" s="1567"/>
    </row>
    <row r="213" spans="11:13">
      <c r="K213" s="1524"/>
      <c r="L213" s="1524"/>
      <c r="M213" s="1567"/>
    </row>
    <row r="214" spans="11:13">
      <c r="K214" s="1524"/>
      <c r="L214" s="1524"/>
      <c r="M214" s="1567"/>
    </row>
    <row r="215" spans="11:13">
      <c r="K215" s="1524"/>
      <c r="L215" s="1524"/>
      <c r="M215" s="1567"/>
    </row>
    <row r="216" spans="11:13">
      <c r="K216" s="1524"/>
      <c r="L216" s="1524"/>
      <c r="M216" s="1567"/>
    </row>
    <row r="217" spans="11:13">
      <c r="K217" s="1524"/>
      <c r="L217" s="1524"/>
      <c r="M217" s="1567"/>
    </row>
    <row r="218" spans="11:13">
      <c r="K218" s="1524"/>
      <c r="L218" s="1524"/>
      <c r="M218" s="1567"/>
    </row>
    <row r="219" spans="11:13">
      <c r="K219" s="1524"/>
      <c r="L219" s="1524"/>
      <c r="M219" s="1567"/>
    </row>
    <row r="220" spans="11:13">
      <c r="K220" s="1524"/>
      <c r="L220" s="1524"/>
      <c r="M220" s="1567"/>
    </row>
    <row r="221" spans="11:13">
      <c r="K221" s="1524"/>
      <c r="L221" s="1524"/>
      <c r="M221" s="1567"/>
    </row>
    <row r="222" spans="11:13">
      <c r="K222" s="1524"/>
      <c r="L222" s="1524"/>
      <c r="M222" s="1567"/>
    </row>
    <row r="223" spans="11:13">
      <c r="K223" s="1524"/>
      <c r="L223" s="1524"/>
      <c r="M223" s="1567"/>
    </row>
    <row r="224" spans="11:13">
      <c r="K224" s="1524"/>
      <c r="L224" s="1524"/>
      <c r="M224" s="1567"/>
    </row>
    <row r="225" spans="8:16">
      <c r="K225" s="1524"/>
      <c r="L225" s="1524"/>
      <c r="M225" s="1567"/>
    </row>
    <row r="226" spans="8:16">
      <c r="K226" s="1524"/>
      <c r="L226" s="1524"/>
      <c r="M226" s="1567"/>
    </row>
    <row r="227" spans="8:16">
      <c r="H227" s="1503"/>
      <c r="I227" s="1503"/>
      <c r="J227" s="1503"/>
      <c r="K227" s="1503"/>
      <c r="L227" s="1503"/>
      <c r="M227" s="1503"/>
      <c r="N227" s="1503"/>
      <c r="O227" s="1503"/>
      <c r="P227" s="1503"/>
    </row>
    <row r="228" spans="8:16">
      <c r="H228" s="1503"/>
      <c r="I228" s="1503"/>
      <c r="J228" s="1503"/>
      <c r="K228" s="1503"/>
      <c r="L228" s="1503"/>
      <c r="M228" s="1503"/>
      <c r="N228" s="1503"/>
      <c r="O228" s="1503"/>
      <c r="P228" s="1503"/>
    </row>
    <row r="229" spans="8:16">
      <c r="H229" s="1503"/>
      <c r="I229" s="1503"/>
      <c r="J229" s="1503"/>
      <c r="K229" s="1503"/>
      <c r="L229" s="1503"/>
      <c r="M229" s="1503"/>
      <c r="N229" s="1503"/>
      <c r="O229" s="1503"/>
      <c r="P229" s="1503"/>
    </row>
    <row r="230" spans="8:16">
      <c r="H230" s="1503"/>
      <c r="I230" s="1503"/>
      <c r="J230" s="1503"/>
      <c r="K230" s="1503"/>
      <c r="L230" s="1503"/>
      <c r="M230" s="1503"/>
      <c r="N230" s="1503"/>
      <c r="O230" s="1503"/>
      <c r="P230" s="1503"/>
    </row>
  </sheetData>
  <mergeCells count="3">
    <mergeCell ref="A3:A4"/>
    <mergeCell ref="B3:B4"/>
    <mergeCell ref="C3:C4"/>
  </mergeCells>
  <phoneticPr fontId="9" type="noConversion"/>
  <pageMargins left="0" right="0" top="0" bottom="0" header="0" footer="0"/>
  <pageSetup paperSize="9" scale="47" fitToHeight="0" orientation="portrait" r:id="rId1"/>
  <headerFooter alignWithMargins="0"/>
  <rowBreaks count="2" manualBreakCount="2">
    <brk id="63" max="16383" man="1"/>
    <brk id="1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22">
    <tabColor rgb="FFEE0000"/>
    <pageSetUpPr fitToPage="1"/>
  </sheetPr>
  <dimension ref="A1:F131"/>
  <sheetViews>
    <sheetView zoomScaleNormal="100" zoomScaleSheetLayoutView="100" workbookViewId="0"/>
  </sheetViews>
  <sheetFormatPr defaultColWidth="15.625" defaultRowHeight="15.75"/>
  <cols>
    <col min="1" max="1" width="5.625" style="1563" customWidth="1"/>
    <col min="2" max="2" width="51.5" style="1526" customWidth="1"/>
    <col min="3" max="3" width="30" style="1526" customWidth="1"/>
    <col min="4" max="4" width="20.625" style="1526" customWidth="1"/>
    <col min="5" max="5" width="15.625" style="1526" customWidth="1"/>
    <col min="6" max="6" width="20.625" style="1526" customWidth="1"/>
    <col min="7" max="16384" width="15.625" style="1526"/>
  </cols>
  <sheetData>
    <row r="1" spans="1:6" ht="16.5">
      <c r="A1" s="1525" t="str">
        <f>+封面!A3&amp;" "&amp;封面!A2</f>
        <v xml:space="preserve">        保險股份有限公司(○○分公司) 年度(月、季、半年)報表</v>
      </c>
    </row>
    <row r="2" spans="1:6" ht="17.25" thickBot="1">
      <c r="A2" s="2997" t="s">
        <v>4773</v>
      </c>
      <c r="F2" s="1528" t="s">
        <v>4774</v>
      </c>
    </row>
    <row r="3" spans="1:6" ht="16.5">
      <c r="A3" s="3568" t="s">
        <v>4064</v>
      </c>
      <c r="B3" s="3585" t="s">
        <v>4775</v>
      </c>
      <c r="C3" s="1894" t="s">
        <v>4776</v>
      </c>
      <c r="D3" s="3585" t="s">
        <v>4261</v>
      </c>
      <c r="E3" s="3585" t="s">
        <v>4777</v>
      </c>
      <c r="F3" s="3583" t="s">
        <v>4778</v>
      </c>
    </row>
    <row r="4" spans="1:6" ht="16.5">
      <c r="A4" s="3569"/>
      <c r="B4" s="3586"/>
      <c r="C4" s="1895" t="s">
        <v>4779</v>
      </c>
      <c r="D4" s="3586"/>
      <c r="E4" s="3586"/>
      <c r="F4" s="3584"/>
    </row>
    <row r="5" spans="1:6" ht="16.5" thickBot="1">
      <c r="A5" s="3570"/>
      <c r="B5" s="1529" t="s">
        <v>422</v>
      </c>
      <c r="C5" s="1529" t="s">
        <v>423</v>
      </c>
      <c r="D5" s="1529" t="s">
        <v>171</v>
      </c>
      <c r="E5" s="1897" t="s">
        <v>172</v>
      </c>
      <c r="F5" s="1530" t="s">
        <v>173</v>
      </c>
    </row>
    <row r="6" spans="1:6" ht="15.4" customHeight="1">
      <c r="A6" s="1531" t="s">
        <v>235</v>
      </c>
      <c r="B6" s="3577" t="s">
        <v>4780</v>
      </c>
      <c r="C6" s="1532" t="s">
        <v>386</v>
      </c>
      <c r="D6" s="1533"/>
      <c r="E6" s="1534">
        <v>0</v>
      </c>
      <c r="F6" s="1535">
        <f>ROUND(D6*E6,0)</f>
        <v>0</v>
      </c>
    </row>
    <row r="7" spans="1:6">
      <c r="A7" s="1536">
        <v>2</v>
      </c>
      <c r="B7" s="3578"/>
      <c r="C7" s="1537" t="s">
        <v>387</v>
      </c>
      <c r="D7" s="1538"/>
      <c r="E7" s="1539">
        <v>0</v>
      </c>
      <c r="F7" s="1540">
        <f t="shared" ref="F7:F23" si="0">ROUND(D7*E7,0)</f>
        <v>0</v>
      </c>
    </row>
    <row r="8" spans="1:6">
      <c r="A8" s="1536">
        <v>3</v>
      </c>
      <c r="B8" s="3578"/>
      <c r="C8" s="1537" t="s">
        <v>388</v>
      </c>
      <c r="D8" s="1538"/>
      <c r="E8" s="1539">
        <v>3.0999999999999999E-3</v>
      </c>
      <c r="F8" s="1540">
        <f t="shared" si="0"/>
        <v>0</v>
      </c>
    </row>
    <row r="9" spans="1:6">
      <c r="A9" s="1536">
        <v>4</v>
      </c>
      <c r="B9" s="3578"/>
      <c r="C9" s="1537" t="s">
        <v>389</v>
      </c>
      <c r="D9" s="1538"/>
      <c r="E9" s="1539">
        <v>6.1999999999999998E-3</v>
      </c>
      <c r="F9" s="1540">
        <f t="shared" si="0"/>
        <v>0</v>
      </c>
    </row>
    <row r="10" spans="1:6">
      <c r="A10" s="1536">
        <v>5</v>
      </c>
      <c r="B10" s="3578"/>
      <c r="C10" s="1537" t="s">
        <v>390</v>
      </c>
      <c r="D10" s="1538"/>
      <c r="E10" s="1539">
        <v>7.4000000000000003E-3</v>
      </c>
      <c r="F10" s="1540">
        <f t="shared" si="0"/>
        <v>0</v>
      </c>
    </row>
    <row r="11" spans="1:6">
      <c r="A11" s="1536">
        <v>6</v>
      </c>
      <c r="B11" s="3578"/>
      <c r="C11" s="1537" t="s">
        <v>391</v>
      </c>
      <c r="D11" s="1538"/>
      <c r="E11" s="1539">
        <v>8.6E-3</v>
      </c>
      <c r="F11" s="1540">
        <f t="shared" si="0"/>
        <v>0</v>
      </c>
    </row>
    <row r="12" spans="1:6">
      <c r="A12" s="1536">
        <v>7</v>
      </c>
      <c r="B12" s="3578"/>
      <c r="C12" s="1537" t="s">
        <v>392</v>
      </c>
      <c r="D12" s="1538"/>
      <c r="E12" s="1539">
        <v>9.7999999999999997E-3</v>
      </c>
      <c r="F12" s="1540">
        <f t="shared" si="0"/>
        <v>0</v>
      </c>
    </row>
    <row r="13" spans="1:6">
      <c r="A13" s="1536">
        <v>8</v>
      </c>
      <c r="B13" s="3578"/>
      <c r="C13" s="1537" t="s">
        <v>393</v>
      </c>
      <c r="D13" s="1538"/>
      <c r="E13" s="1539">
        <v>1.7999999999999999E-2</v>
      </c>
      <c r="F13" s="1540">
        <f t="shared" si="0"/>
        <v>0</v>
      </c>
    </row>
    <row r="14" spans="1:6">
      <c r="A14" s="1536">
        <v>9</v>
      </c>
      <c r="B14" s="3578"/>
      <c r="C14" s="1537" t="s">
        <v>394</v>
      </c>
      <c r="D14" s="1538"/>
      <c r="E14" s="1539">
        <v>2.63E-2</v>
      </c>
      <c r="F14" s="1540">
        <f t="shared" si="0"/>
        <v>0</v>
      </c>
    </row>
    <row r="15" spans="1:6">
      <c r="A15" s="1536">
        <v>10</v>
      </c>
      <c r="B15" s="3578"/>
      <c r="C15" s="1537" t="s">
        <v>395</v>
      </c>
      <c r="D15" s="1538"/>
      <c r="E15" s="1539">
        <v>3.4500000000000003E-2</v>
      </c>
      <c r="F15" s="1540">
        <f t="shared" si="0"/>
        <v>0</v>
      </c>
    </row>
    <row r="16" spans="1:6">
      <c r="A16" s="1536">
        <v>11</v>
      </c>
      <c r="B16" s="3578"/>
      <c r="C16" s="1537" t="s">
        <v>396</v>
      </c>
      <c r="D16" s="1538"/>
      <c r="E16" s="1539">
        <v>4.8000000000000001E-2</v>
      </c>
      <c r="F16" s="1540">
        <f t="shared" si="0"/>
        <v>0</v>
      </c>
    </row>
    <row r="17" spans="1:6">
      <c r="A17" s="1536">
        <v>12</v>
      </c>
      <c r="B17" s="3578"/>
      <c r="C17" s="1537" t="s">
        <v>397</v>
      </c>
      <c r="D17" s="1538"/>
      <c r="E17" s="1539">
        <v>6.1499999999999999E-2</v>
      </c>
      <c r="F17" s="1540">
        <f t="shared" si="0"/>
        <v>0</v>
      </c>
    </row>
    <row r="18" spans="1:6">
      <c r="A18" s="1536">
        <v>13</v>
      </c>
      <c r="B18" s="3578"/>
      <c r="C18" s="1537" t="s">
        <v>379</v>
      </c>
      <c r="D18" s="1538"/>
      <c r="E18" s="1539">
        <v>7.4999999999999997E-2</v>
      </c>
      <c r="F18" s="1540">
        <f t="shared" si="0"/>
        <v>0</v>
      </c>
    </row>
    <row r="19" spans="1:6">
      <c r="A19" s="1536">
        <v>14</v>
      </c>
      <c r="B19" s="3578"/>
      <c r="C19" s="1537" t="s">
        <v>380</v>
      </c>
      <c r="D19" s="1538"/>
      <c r="E19" s="1539">
        <v>0.1075</v>
      </c>
      <c r="F19" s="1540">
        <f t="shared" si="0"/>
        <v>0</v>
      </c>
    </row>
    <row r="20" spans="1:6">
      <c r="A20" s="1536">
        <v>15</v>
      </c>
      <c r="B20" s="3578"/>
      <c r="C20" s="1537" t="s">
        <v>381</v>
      </c>
      <c r="D20" s="1538"/>
      <c r="E20" s="1539">
        <v>0.14000000000000001</v>
      </c>
      <c r="F20" s="1540">
        <f t="shared" si="0"/>
        <v>0</v>
      </c>
    </row>
    <row r="21" spans="1:6">
      <c r="A21" s="1536">
        <v>16</v>
      </c>
      <c r="B21" s="3578"/>
      <c r="C21" s="1537" t="s">
        <v>382</v>
      </c>
      <c r="D21" s="1538"/>
      <c r="E21" s="1539">
        <v>0.17249999999999999</v>
      </c>
      <c r="F21" s="1540">
        <f t="shared" si="0"/>
        <v>0</v>
      </c>
    </row>
    <row r="22" spans="1:6">
      <c r="A22" s="1536">
        <v>17</v>
      </c>
      <c r="B22" s="3578"/>
      <c r="C22" s="1537" t="s">
        <v>4</v>
      </c>
      <c r="D22" s="1538"/>
      <c r="E22" s="1539">
        <v>0.2112</v>
      </c>
      <c r="F22" s="1540">
        <f t="shared" si="0"/>
        <v>0</v>
      </c>
    </row>
    <row r="23" spans="1:6">
      <c r="A23" s="1536">
        <v>18</v>
      </c>
      <c r="B23" s="3579"/>
      <c r="C23" s="1541" t="s">
        <v>5</v>
      </c>
      <c r="D23" s="1542"/>
      <c r="E23" s="1543">
        <v>0.2165</v>
      </c>
      <c r="F23" s="1544">
        <f t="shared" si="0"/>
        <v>0</v>
      </c>
    </row>
    <row r="24" spans="1:6">
      <c r="A24" s="1545">
        <v>19</v>
      </c>
      <c r="B24" s="3571" t="s">
        <v>4781</v>
      </c>
      <c r="C24" s="3571"/>
      <c r="D24" s="1546">
        <f>SUM(D6:D23)</f>
        <v>0</v>
      </c>
      <c r="E24" s="1547"/>
      <c r="F24" s="1548">
        <f>SUM(F6:F23)</f>
        <v>0</v>
      </c>
    </row>
    <row r="25" spans="1:6" ht="15.4" customHeight="1">
      <c r="A25" s="1536">
        <v>20</v>
      </c>
      <c r="B25" s="3577" t="s">
        <v>4782</v>
      </c>
      <c r="C25" s="1532" t="s">
        <v>386</v>
      </c>
      <c r="D25" s="1549"/>
      <c r="E25" s="1550">
        <v>0</v>
      </c>
      <c r="F25" s="1535">
        <f t="shared" ref="F25:F42" si="1">ROUND(D25*E25,0)</f>
        <v>0</v>
      </c>
    </row>
    <row r="26" spans="1:6">
      <c r="A26" s="1536">
        <v>21</v>
      </c>
      <c r="B26" s="3578"/>
      <c r="C26" s="1537" t="s">
        <v>387</v>
      </c>
      <c r="D26" s="1538"/>
      <c r="E26" s="1539">
        <v>0</v>
      </c>
      <c r="F26" s="1540">
        <f t="shared" si="1"/>
        <v>0</v>
      </c>
    </row>
    <row r="27" spans="1:6">
      <c r="A27" s="1536">
        <v>22</v>
      </c>
      <c r="B27" s="3578"/>
      <c r="C27" s="1537" t="s">
        <v>388</v>
      </c>
      <c r="D27" s="1538"/>
      <c r="E27" s="1539">
        <v>3.0999999999999999E-3</v>
      </c>
      <c r="F27" s="1540">
        <f t="shared" si="1"/>
        <v>0</v>
      </c>
    </row>
    <row r="28" spans="1:6">
      <c r="A28" s="1536">
        <v>23</v>
      </c>
      <c r="B28" s="3578"/>
      <c r="C28" s="1537" t="s">
        <v>389</v>
      </c>
      <c r="D28" s="1538"/>
      <c r="E28" s="1539">
        <v>6.1999999999999998E-3</v>
      </c>
      <c r="F28" s="1540">
        <f t="shared" si="1"/>
        <v>0</v>
      </c>
    </row>
    <row r="29" spans="1:6">
      <c r="A29" s="1536">
        <v>24</v>
      </c>
      <c r="B29" s="3578"/>
      <c r="C29" s="1537" t="s">
        <v>390</v>
      </c>
      <c r="D29" s="1538"/>
      <c r="E29" s="1539">
        <v>7.4000000000000003E-3</v>
      </c>
      <c r="F29" s="1540">
        <f t="shared" si="1"/>
        <v>0</v>
      </c>
    </row>
    <row r="30" spans="1:6">
      <c r="A30" s="1536">
        <v>25</v>
      </c>
      <c r="B30" s="3578"/>
      <c r="C30" s="1537" t="s">
        <v>391</v>
      </c>
      <c r="D30" s="1538"/>
      <c r="E30" s="1539">
        <v>8.6E-3</v>
      </c>
      <c r="F30" s="1540">
        <f t="shared" si="1"/>
        <v>0</v>
      </c>
    </row>
    <row r="31" spans="1:6">
      <c r="A31" s="1536">
        <v>26</v>
      </c>
      <c r="B31" s="3578"/>
      <c r="C31" s="1537" t="s">
        <v>392</v>
      </c>
      <c r="D31" s="1538"/>
      <c r="E31" s="1539">
        <v>9.7999999999999997E-3</v>
      </c>
      <c r="F31" s="1540">
        <f t="shared" si="1"/>
        <v>0</v>
      </c>
    </row>
    <row r="32" spans="1:6">
      <c r="A32" s="1536">
        <v>27</v>
      </c>
      <c r="B32" s="3578"/>
      <c r="C32" s="1537" t="s">
        <v>393</v>
      </c>
      <c r="D32" s="1538"/>
      <c r="E32" s="1539">
        <v>1.7999999999999999E-2</v>
      </c>
      <c r="F32" s="1540">
        <f t="shared" si="1"/>
        <v>0</v>
      </c>
    </row>
    <row r="33" spans="1:6">
      <c r="A33" s="1536">
        <v>28</v>
      </c>
      <c r="B33" s="3578"/>
      <c r="C33" s="1537" t="s">
        <v>394</v>
      </c>
      <c r="D33" s="1538"/>
      <c r="E33" s="1539">
        <v>2.63E-2</v>
      </c>
      <c r="F33" s="1540">
        <f t="shared" si="1"/>
        <v>0</v>
      </c>
    </row>
    <row r="34" spans="1:6">
      <c r="A34" s="1536">
        <v>29</v>
      </c>
      <c r="B34" s="3578"/>
      <c r="C34" s="1537" t="s">
        <v>395</v>
      </c>
      <c r="D34" s="1538"/>
      <c r="E34" s="1539">
        <v>3.4500000000000003E-2</v>
      </c>
      <c r="F34" s="1540">
        <f t="shared" si="1"/>
        <v>0</v>
      </c>
    </row>
    <row r="35" spans="1:6">
      <c r="A35" s="1536">
        <v>30</v>
      </c>
      <c r="B35" s="3578"/>
      <c r="C35" s="1537" t="s">
        <v>396</v>
      </c>
      <c r="D35" s="1538"/>
      <c r="E35" s="1539">
        <v>4.8000000000000001E-2</v>
      </c>
      <c r="F35" s="1540">
        <f t="shared" si="1"/>
        <v>0</v>
      </c>
    </row>
    <row r="36" spans="1:6">
      <c r="A36" s="1536">
        <v>31</v>
      </c>
      <c r="B36" s="3578"/>
      <c r="C36" s="1537" t="s">
        <v>397</v>
      </c>
      <c r="D36" s="1538"/>
      <c r="E36" s="1539">
        <v>6.1499999999999999E-2</v>
      </c>
      <c r="F36" s="1540">
        <f t="shared" si="1"/>
        <v>0</v>
      </c>
    </row>
    <row r="37" spans="1:6">
      <c r="A37" s="1536">
        <v>32</v>
      </c>
      <c r="B37" s="3578"/>
      <c r="C37" s="1537" t="s">
        <v>379</v>
      </c>
      <c r="D37" s="1538"/>
      <c r="E37" s="1539">
        <v>7.4999999999999997E-2</v>
      </c>
      <c r="F37" s="1540">
        <f t="shared" si="1"/>
        <v>0</v>
      </c>
    </row>
    <row r="38" spans="1:6">
      <c r="A38" s="1536">
        <v>33</v>
      </c>
      <c r="B38" s="3578"/>
      <c r="C38" s="1537" t="s">
        <v>380</v>
      </c>
      <c r="D38" s="1538"/>
      <c r="E38" s="1539">
        <v>0.1075</v>
      </c>
      <c r="F38" s="1540">
        <f t="shared" si="1"/>
        <v>0</v>
      </c>
    </row>
    <row r="39" spans="1:6">
      <c r="A39" s="1536">
        <v>34</v>
      </c>
      <c r="B39" s="3578"/>
      <c r="C39" s="1537" t="s">
        <v>381</v>
      </c>
      <c r="D39" s="1538"/>
      <c r="E39" s="1539">
        <v>0.14000000000000001</v>
      </c>
      <c r="F39" s="1540">
        <f t="shared" si="1"/>
        <v>0</v>
      </c>
    </row>
    <row r="40" spans="1:6">
      <c r="A40" s="1536">
        <v>35</v>
      </c>
      <c r="B40" s="3578"/>
      <c r="C40" s="1537" t="s">
        <v>382</v>
      </c>
      <c r="D40" s="1538"/>
      <c r="E40" s="1539">
        <v>0.17249999999999999</v>
      </c>
      <c r="F40" s="1540">
        <f t="shared" si="1"/>
        <v>0</v>
      </c>
    </row>
    <row r="41" spans="1:6">
      <c r="A41" s="1536">
        <v>36</v>
      </c>
      <c r="B41" s="3578"/>
      <c r="C41" s="1537" t="s">
        <v>4</v>
      </c>
      <c r="D41" s="1538"/>
      <c r="E41" s="1539">
        <v>0.2112</v>
      </c>
      <c r="F41" s="1540">
        <f t="shared" si="1"/>
        <v>0</v>
      </c>
    </row>
    <row r="42" spans="1:6">
      <c r="A42" s="1536">
        <v>37</v>
      </c>
      <c r="B42" s="3579"/>
      <c r="C42" s="1541" t="s">
        <v>5</v>
      </c>
      <c r="D42" s="1542"/>
      <c r="E42" s="1543">
        <v>0.2165</v>
      </c>
      <c r="F42" s="1544">
        <f t="shared" si="1"/>
        <v>0</v>
      </c>
    </row>
    <row r="43" spans="1:6">
      <c r="A43" s="1545">
        <v>38</v>
      </c>
      <c r="B43" s="3571" t="s">
        <v>4783</v>
      </c>
      <c r="C43" s="3571"/>
      <c r="D43" s="1546">
        <f>SUM(D25:D42)</f>
        <v>0</v>
      </c>
      <c r="E43" s="1547"/>
      <c r="F43" s="1548">
        <f>SUM(F25:F42)</f>
        <v>0</v>
      </c>
    </row>
    <row r="44" spans="1:6">
      <c r="A44" s="1545">
        <v>39</v>
      </c>
      <c r="B44" s="3576" t="s">
        <v>4784</v>
      </c>
      <c r="C44" s="3576"/>
      <c r="D44" s="1551"/>
      <c r="E44" s="1552"/>
      <c r="F44" s="1553"/>
    </row>
    <row r="45" spans="1:6" ht="15.4" customHeight="1">
      <c r="A45" s="1536">
        <v>40</v>
      </c>
      <c r="B45" s="3577" t="s">
        <v>4785</v>
      </c>
      <c r="C45" s="1532" t="s">
        <v>386</v>
      </c>
      <c r="D45" s="1533"/>
      <c r="E45" s="1550">
        <v>0</v>
      </c>
      <c r="F45" s="1535">
        <f t="shared" ref="F45:F62" si="2">ROUND(D45*E45,0)</f>
        <v>0</v>
      </c>
    </row>
    <row r="46" spans="1:6">
      <c r="A46" s="1536">
        <v>41</v>
      </c>
      <c r="B46" s="3578"/>
      <c r="C46" s="1537" t="s">
        <v>387</v>
      </c>
      <c r="D46" s="1538"/>
      <c r="E46" s="1539">
        <v>0</v>
      </c>
      <c r="F46" s="1540">
        <f t="shared" si="2"/>
        <v>0</v>
      </c>
    </row>
    <row r="47" spans="1:6">
      <c r="A47" s="1536">
        <v>42</v>
      </c>
      <c r="B47" s="3578"/>
      <c r="C47" s="1537" t="s">
        <v>388</v>
      </c>
      <c r="D47" s="1538"/>
      <c r="E47" s="1539">
        <v>3.0999999999999999E-3</v>
      </c>
      <c r="F47" s="1540">
        <f t="shared" si="2"/>
        <v>0</v>
      </c>
    </row>
    <row r="48" spans="1:6">
      <c r="A48" s="1536">
        <v>43</v>
      </c>
      <c r="B48" s="3578"/>
      <c r="C48" s="1537" t="s">
        <v>389</v>
      </c>
      <c r="D48" s="1538"/>
      <c r="E48" s="1539">
        <v>6.1999999999999998E-3</v>
      </c>
      <c r="F48" s="1540">
        <f t="shared" si="2"/>
        <v>0</v>
      </c>
    </row>
    <row r="49" spans="1:6">
      <c r="A49" s="1536">
        <v>44</v>
      </c>
      <c r="B49" s="3578"/>
      <c r="C49" s="1537" t="s">
        <v>390</v>
      </c>
      <c r="D49" s="1538"/>
      <c r="E49" s="1539">
        <v>7.4000000000000003E-3</v>
      </c>
      <c r="F49" s="1540">
        <f t="shared" si="2"/>
        <v>0</v>
      </c>
    </row>
    <row r="50" spans="1:6">
      <c r="A50" s="1536">
        <v>45</v>
      </c>
      <c r="B50" s="3578"/>
      <c r="C50" s="1537" t="s">
        <v>391</v>
      </c>
      <c r="D50" s="1538"/>
      <c r="E50" s="1539">
        <v>8.6E-3</v>
      </c>
      <c r="F50" s="1540">
        <f t="shared" si="2"/>
        <v>0</v>
      </c>
    </row>
    <row r="51" spans="1:6">
      <c r="A51" s="1536">
        <v>46</v>
      </c>
      <c r="B51" s="3578"/>
      <c r="C51" s="1537" t="s">
        <v>392</v>
      </c>
      <c r="D51" s="1538"/>
      <c r="E51" s="1539">
        <v>9.7999999999999997E-3</v>
      </c>
      <c r="F51" s="1540">
        <f t="shared" si="2"/>
        <v>0</v>
      </c>
    </row>
    <row r="52" spans="1:6">
      <c r="A52" s="1536">
        <v>47</v>
      </c>
      <c r="B52" s="3578"/>
      <c r="C52" s="1537" t="s">
        <v>393</v>
      </c>
      <c r="D52" s="1538"/>
      <c r="E52" s="1539">
        <v>1.7999999999999999E-2</v>
      </c>
      <c r="F52" s="1540">
        <f t="shared" si="2"/>
        <v>0</v>
      </c>
    </row>
    <row r="53" spans="1:6">
      <c r="A53" s="1536">
        <v>48</v>
      </c>
      <c r="B53" s="3578"/>
      <c r="C53" s="1537" t="s">
        <v>394</v>
      </c>
      <c r="D53" s="1538"/>
      <c r="E53" s="1539">
        <v>2.63E-2</v>
      </c>
      <c r="F53" s="1540">
        <f t="shared" si="2"/>
        <v>0</v>
      </c>
    </row>
    <row r="54" spans="1:6">
      <c r="A54" s="1536">
        <v>49</v>
      </c>
      <c r="B54" s="3578"/>
      <c r="C54" s="1537" t="s">
        <v>395</v>
      </c>
      <c r="D54" s="1538"/>
      <c r="E54" s="1539">
        <v>3.4500000000000003E-2</v>
      </c>
      <c r="F54" s="1540">
        <f t="shared" si="2"/>
        <v>0</v>
      </c>
    </row>
    <row r="55" spans="1:6">
      <c r="A55" s="1536">
        <v>50</v>
      </c>
      <c r="B55" s="3578"/>
      <c r="C55" s="1537" t="s">
        <v>396</v>
      </c>
      <c r="D55" s="1538"/>
      <c r="E55" s="1539">
        <v>4.8000000000000001E-2</v>
      </c>
      <c r="F55" s="1540">
        <f t="shared" si="2"/>
        <v>0</v>
      </c>
    </row>
    <row r="56" spans="1:6">
      <c r="A56" s="1536">
        <v>51</v>
      </c>
      <c r="B56" s="3578"/>
      <c r="C56" s="1537" t="s">
        <v>397</v>
      </c>
      <c r="D56" s="1538"/>
      <c r="E56" s="1539">
        <v>6.1499999999999999E-2</v>
      </c>
      <c r="F56" s="1540">
        <f t="shared" si="2"/>
        <v>0</v>
      </c>
    </row>
    <row r="57" spans="1:6">
      <c r="A57" s="1536">
        <v>52</v>
      </c>
      <c r="B57" s="3578"/>
      <c r="C57" s="1537" t="s">
        <v>379</v>
      </c>
      <c r="D57" s="1538"/>
      <c r="E57" s="1539">
        <v>7.4999999999999997E-2</v>
      </c>
      <c r="F57" s="1540">
        <f t="shared" si="2"/>
        <v>0</v>
      </c>
    </row>
    <row r="58" spans="1:6">
      <c r="A58" s="1536">
        <v>53</v>
      </c>
      <c r="B58" s="3578"/>
      <c r="C58" s="1537" t="s">
        <v>380</v>
      </c>
      <c r="D58" s="1538"/>
      <c r="E58" s="1539">
        <v>0.1075</v>
      </c>
      <c r="F58" s="1540">
        <f t="shared" si="2"/>
        <v>0</v>
      </c>
    </row>
    <row r="59" spans="1:6">
      <c r="A59" s="1536">
        <v>54</v>
      </c>
      <c r="B59" s="3578"/>
      <c r="C59" s="1537" t="s">
        <v>381</v>
      </c>
      <c r="D59" s="1538"/>
      <c r="E59" s="1539">
        <v>0.14000000000000001</v>
      </c>
      <c r="F59" s="1540">
        <f t="shared" si="2"/>
        <v>0</v>
      </c>
    </row>
    <row r="60" spans="1:6">
      <c r="A60" s="1536">
        <v>55</v>
      </c>
      <c r="B60" s="3578"/>
      <c r="C60" s="1537" t="s">
        <v>382</v>
      </c>
      <c r="D60" s="1538"/>
      <c r="E60" s="1539">
        <v>0.17249999999999999</v>
      </c>
      <c r="F60" s="1540">
        <f t="shared" si="2"/>
        <v>0</v>
      </c>
    </row>
    <row r="61" spans="1:6">
      <c r="A61" s="1536">
        <v>56</v>
      </c>
      <c r="B61" s="3578"/>
      <c r="C61" s="1537" t="s">
        <v>4</v>
      </c>
      <c r="D61" s="1538"/>
      <c r="E61" s="1539">
        <v>0.2112</v>
      </c>
      <c r="F61" s="1540">
        <f t="shared" si="2"/>
        <v>0</v>
      </c>
    </row>
    <row r="62" spans="1:6">
      <c r="A62" s="1536">
        <v>57</v>
      </c>
      <c r="B62" s="3579"/>
      <c r="C62" s="1541" t="s">
        <v>5</v>
      </c>
      <c r="D62" s="1542"/>
      <c r="E62" s="1543">
        <v>0.2165</v>
      </c>
      <c r="F62" s="1544">
        <f t="shared" si="2"/>
        <v>0</v>
      </c>
    </row>
    <row r="63" spans="1:6">
      <c r="A63" s="1545">
        <v>58</v>
      </c>
      <c r="B63" s="3571" t="s">
        <v>4786</v>
      </c>
      <c r="C63" s="3571"/>
      <c r="D63" s="1546">
        <f>SUM(D45:D62)</f>
        <v>0</v>
      </c>
      <c r="E63" s="1547"/>
      <c r="F63" s="1548">
        <f>SUM(F45:F62)</f>
        <v>0</v>
      </c>
    </row>
    <row r="64" spans="1:6">
      <c r="A64" s="1536">
        <v>59</v>
      </c>
      <c r="B64" s="3577" t="s">
        <v>4787</v>
      </c>
      <c r="C64" s="1532" t="s">
        <v>386</v>
      </c>
      <c r="D64" s="1533"/>
      <c r="E64" s="1550">
        <v>0</v>
      </c>
      <c r="F64" s="1535">
        <f t="shared" ref="F64:F81" si="3">ROUND(D64*E64,0)</f>
        <v>0</v>
      </c>
    </row>
    <row r="65" spans="1:6">
      <c r="A65" s="1536">
        <v>60</v>
      </c>
      <c r="B65" s="3578"/>
      <c r="C65" s="1537" t="s">
        <v>387</v>
      </c>
      <c r="D65" s="1538"/>
      <c r="E65" s="1539">
        <v>0</v>
      </c>
      <c r="F65" s="1540">
        <f t="shared" si="3"/>
        <v>0</v>
      </c>
    </row>
    <row r="66" spans="1:6">
      <c r="A66" s="1536">
        <v>61</v>
      </c>
      <c r="B66" s="3578"/>
      <c r="C66" s="1537" t="s">
        <v>388</v>
      </c>
      <c r="D66" s="1538"/>
      <c r="E66" s="1539">
        <v>3.0999999999999999E-3</v>
      </c>
      <c r="F66" s="1540">
        <f t="shared" si="3"/>
        <v>0</v>
      </c>
    </row>
    <row r="67" spans="1:6">
      <c r="A67" s="1536">
        <v>62</v>
      </c>
      <c r="B67" s="3578"/>
      <c r="C67" s="1537" t="s">
        <v>389</v>
      </c>
      <c r="D67" s="1538"/>
      <c r="E67" s="1539">
        <v>6.1999999999999998E-3</v>
      </c>
      <c r="F67" s="1540">
        <f t="shared" si="3"/>
        <v>0</v>
      </c>
    </row>
    <row r="68" spans="1:6">
      <c r="A68" s="1536">
        <v>63</v>
      </c>
      <c r="B68" s="3578"/>
      <c r="C68" s="1537" t="s">
        <v>390</v>
      </c>
      <c r="D68" s="1538"/>
      <c r="E68" s="1539">
        <v>7.4000000000000003E-3</v>
      </c>
      <c r="F68" s="1540">
        <f t="shared" si="3"/>
        <v>0</v>
      </c>
    </row>
    <row r="69" spans="1:6">
      <c r="A69" s="1536">
        <v>64</v>
      </c>
      <c r="B69" s="3578"/>
      <c r="C69" s="1537" t="s">
        <v>391</v>
      </c>
      <c r="D69" s="1538"/>
      <c r="E69" s="1539">
        <v>8.6E-3</v>
      </c>
      <c r="F69" s="1540">
        <f t="shared" si="3"/>
        <v>0</v>
      </c>
    </row>
    <row r="70" spans="1:6">
      <c r="A70" s="1536">
        <v>65</v>
      </c>
      <c r="B70" s="3578"/>
      <c r="C70" s="1537" t="s">
        <v>392</v>
      </c>
      <c r="D70" s="1538"/>
      <c r="E70" s="1539">
        <v>9.7999999999999997E-3</v>
      </c>
      <c r="F70" s="1540">
        <f t="shared" si="3"/>
        <v>0</v>
      </c>
    </row>
    <row r="71" spans="1:6">
      <c r="A71" s="1536">
        <v>66</v>
      </c>
      <c r="B71" s="3578"/>
      <c r="C71" s="1537" t="s">
        <v>393</v>
      </c>
      <c r="D71" s="1538"/>
      <c r="E71" s="1539">
        <v>1.7999999999999999E-2</v>
      </c>
      <c r="F71" s="1540">
        <f t="shared" si="3"/>
        <v>0</v>
      </c>
    </row>
    <row r="72" spans="1:6">
      <c r="A72" s="1536">
        <v>67</v>
      </c>
      <c r="B72" s="3578"/>
      <c r="C72" s="1537" t="s">
        <v>394</v>
      </c>
      <c r="D72" s="1538"/>
      <c r="E72" s="1539">
        <v>2.63E-2</v>
      </c>
      <c r="F72" s="1540">
        <f t="shared" si="3"/>
        <v>0</v>
      </c>
    </row>
    <row r="73" spans="1:6">
      <c r="A73" s="1536">
        <v>68</v>
      </c>
      <c r="B73" s="3578"/>
      <c r="C73" s="1537" t="s">
        <v>395</v>
      </c>
      <c r="D73" s="1538"/>
      <c r="E73" s="1539">
        <v>3.4500000000000003E-2</v>
      </c>
      <c r="F73" s="1540">
        <f t="shared" si="3"/>
        <v>0</v>
      </c>
    </row>
    <row r="74" spans="1:6">
      <c r="A74" s="1536">
        <v>69</v>
      </c>
      <c r="B74" s="3578"/>
      <c r="C74" s="1537" t="s">
        <v>396</v>
      </c>
      <c r="D74" s="1538"/>
      <c r="E74" s="1539">
        <v>4.8000000000000001E-2</v>
      </c>
      <c r="F74" s="1540">
        <f t="shared" si="3"/>
        <v>0</v>
      </c>
    </row>
    <row r="75" spans="1:6">
      <c r="A75" s="1536">
        <v>70</v>
      </c>
      <c r="B75" s="3578"/>
      <c r="C75" s="1537" t="s">
        <v>397</v>
      </c>
      <c r="D75" s="1538"/>
      <c r="E75" s="1539">
        <v>6.1499999999999999E-2</v>
      </c>
      <c r="F75" s="1540">
        <f t="shared" si="3"/>
        <v>0</v>
      </c>
    </row>
    <row r="76" spans="1:6">
      <c r="A76" s="1536">
        <v>71</v>
      </c>
      <c r="B76" s="3578"/>
      <c r="C76" s="1537" t="s">
        <v>379</v>
      </c>
      <c r="D76" s="1538"/>
      <c r="E76" s="1539">
        <v>7.4999999999999997E-2</v>
      </c>
      <c r="F76" s="1540">
        <f t="shared" si="3"/>
        <v>0</v>
      </c>
    </row>
    <row r="77" spans="1:6">
      <c r="A77" s="1536">
        <v>72</v>
      </c>
      <c r="B77" s="3578"/>
      <c r="C77" s="1537" t="s">
        <v>380</v>
      </c>
      <c r="D77" s="1538"/>
      <c r="E77" s="1539">
        <v>0.1075</v>
      </c>
      <c r="F77" s="1540">
        <f t="shared" si="3"/>
        <v>0</v>
      </c>
    </row>
    <row r="78" spans="1:6">
      <c r="A78" s="1536">
        <v>73</v>
      </c>
      <c r="B78" s="3578"/>
      <c r="C78" s="1537" t="s">
        <v>381</v>
      </c>
      <c r="D78" s="1538"/>
      <c r="E78" s="1539">
        <v>0.14000000000000001</v>
      </c>
      <c r="F78" s="1540">
        <f t="shared" si="3"/>
        <v>0</v>
      </c>
    </row>
    <row r="79" spans="1:6">
      <c r="A79" s="1536">
        <v>74</v>
      </c>
      <c r="B79" s="3578"/>
      <c r="C79" s="1537" t="s">
        <v>382</v>
      </c>
      <c r="D79" s="1538"/>
      <c r="E79" s="1539">
        <v>0.17249999999999999</v>
      </c>
      <c r="F79" s="1540">
        <f t="shared" si="3"/>
        <v>0</v>
      </c>
    </row>
    <row r="80" spans="1:6">
      <c r="A80" s="1536">
        <v>75</v>
      </c>
      <c r="B80" s="3578"/>
      <c r="C80" s="1537" t="s">
        <v>4</v>
      </c>
      <c r="D80" s="1538"/>
      <c r="E80" s="1539">
        <v>0.2112</v>
      </c>
      <c r="F80" s="1540">
        <f t="shared" si="3"/>
        <v>0</v>
      </c>
    </row>
    <row r="81" spans="1:6">
      <c r="A81" s="1536">
        <v>76</v>
      </c>
      <c r="B81" s="3579"/>
      <c r="C81" s="1541" t="s">
        <v>5</v>
      </c>
      <c r="D81" s="1542"/>
      <c r="E81" s="1543">
        <v>0.2165</v>
      </c>
      <c r="F81" s="1544">
        <f t="shared" si="3"/>
        <v>0</v>
      </c>
    </row>
    <row r="82" spans="1:6">
      <c r="A82" s="1545">
        <f>A81+1</f>
        <v>77</v>
      </c>
      <c r="B82" s="3580" t="s">
        <v>4788</v>
      </c>
      <c r="C82" s="3580"/>
      <c r="D82" s="1554">
        <f>SUM(D64:D81)</f>
        <v>0</v>
      </c>
      <c r="E82" s="1555"/>
      <c r="F82" s="1556">
        <f>SUM(F64:F81)</f>
        <v>0</v>
      </c>
    </row>
    <row r="83" spans="1:6">
      <c r="A83" s="2897">
        <f t="shared" ref="A83:A121" si="4">A82+1</f>
        <v>78</v>
      </c>
      <c r="B83" s="3580" t="s">
        <v>4789</v>
      </c>
      <c r="C83" s="3580"/>
      <c r="D83" s="1554"/>
      <c r="E83" s="1555"/>
      <c r="F83" s="1556"/>
    </row>
    <row r="84" spans="1:6" ht="15.75" customHeight="1">
      <c r="A84" s="2896">
        <f t="shared" si="4"/>
        <v>79</v>
      </c>
      <c r="B84" s="3581" t="s">
        <v>6294</v>
      </c>
      <c r="C84" s="3581"/>
      <c r="D84" s="1546"/>
      <c r="E84" s="1547"/>
      <c r="F84" s="1548"/>
    </row>
    <row r="85" spans="1:6">
      <c r="A85" s="2898">
        <f t="shared" si="4"/>
        <v>80</v>
      </c>
      <c r="B85" s="3582" t="s">
        <v>6295</v>
      </c>
      <c r="C85" s="3582"/>
      <c r="D85" s="1551"/>
      <c r="E85" s="1552"/>
      <c r="F85" s="1553"/>
    </row>
    <row r="86" spans="1:6">
      <c r="A86" s="1536">
        <f t="shared" si="4"/>
        <v>81</v>
      </c>
      <c r="B86" s="3577" t="s">
        <v>4790</v>
      </c>
      <c r="C86" s="1532" t="s">
        <v>386</v>
      </c>
      <c r="D86" s="1533"/>
      <c r="E86" s="1550">
        <v>3.0999999999999999E-3</v>
      </c>
      <c r="F86" s="1535">
        <f t="shared" ref="F86:F101" si="5">ROUND(D86*E86,0)</f>
        <v>0</v>
      </c>
    </row>
    <row r="87" spans="1:6">
      <c r="A87" s="1536">
        <f t="shared" si="4"/>
        <v>82</v>
      </c>
      <c r="B87" s="3578"/>
      <c r="C87" s="1537" t="s">
        <v>387</v>
      </c>
      <c r="D87" s="1538"/>
      <c r="E87" s="1539">
        <v>6.1999999999999998E-3</v>
      </c>
      <c r="F87" s="1540">
        <f t="shared" si="5"/>
        <v>0</v>
      </c>
    </row>
    <row r="88" spans="1:6">
      <c r="A88" s="1536">
        <f t="shared" si="4"/>
        <v>83</v>
      </c>
      <c r="B88" s="3578"/>
      <c r="C88" s="1537" t="s">
        <v>388</v>
      </c>
      <c r="D88" s="1538"/>
      <c r="E88" s="1539">
        <v>7.4000000000000003E-3</v>
      </c>
      <c r="F88" s="1540">
        <f t="shared" si="5"/>
        <v>0</v>
      </c>
    </row>
    <row r="89" spans="1:6">
      <c r="A89" s="1536">
        <f t="shared" si="4"/>
        <v>84</v>
      </c>
      <c r="B89" s="3578"/>
      <c r="C89" s="1537" t="s">
        <v>389</v>
      </c>
      <c r="D89" s="1538"/>
      <c r="E89" s="1539">
        <v>8.6E-3</v>
      </c>
      <c r="F89" s="1540">
        <f t="shared" si="5"/>
        <v>0</v>
      </c>
    </row>
    <row r="90" spans="1:6">
      <c r="A90" s="1536">
        <f t="shared" si="4"/>
        <v>85</v>
      </c>
      <c r="B90" s="3578"/>
      <c r="C90" s="1537" t="s">
        <v>390</v>
      </c>
      <c r="D90" s="1538"/>
      <c r="E90" s="1539">
        <v>9.7999999999999997E-3</v>
      </c>
      <c r="F90" s="1540">
        <f t="shared" si="5"/>
        <v>0</v>
      </c>
    </row>
    <row r="91" spans="1:6">
      <c r="A91" s="1536">
        <f t="shared" si="4"/>
        <v>86</v>
      </c>
      <c r="B91" s="3578"/>
      <c r="C91" s="1537" t="s">
        <v>391</v>
      </c>
      <c r="D91" s="1538"/>
      <c r="E91" s="1539">
        <v>1.7999999999999999E-2</v>
      </c>
      <c r="F91" s="1540">
        <f t="shared" si="5"/>
        <v>0</v>
      </c>
    </row>
    <row r="92" spans="1:6">
      <c r="A92" s="1536">
        <f t="shared" si="4"/>
        <v>87</v>
      </c>
      <c r="B92" s="3578"/>
      <c r="C92" s="1537" t="s">
        <v>392</v>
      </c>
      <c r="D92" s="1538"/>
      <c r="E92" s="1539">
        <v>2.63E-2</v>
      </c>
      <c r="F92" s="1540">
        <f t="shared" si="5"/>
        <v>0</v>
      </c>
    </row>
    <row r="93" spans="1:6">
      <c r="A93" s="1536">
        <f t="shared" si="4"/>
        <v>88</v>
      </c>
      <c r="B93" s="3578"/>
      <c r="C93" s="1537" t="s">
        <v>393</v>
      </c>
      <c r="D93" s="1538"/>
      <c r="E93" s="1539">
        <v>3.4500000000000003E-2</v>
      </c>
      <c r="F93" s="1540">
        <f t="shared" si="5"/>
        <v>0</v>
      </c>
    </row>
    <row r="94" spans="1:6">
      <c r="A94" s="1536">
        <f t="shared" si="4"/>
        <v>89</v>
      </c>
      <c r="B94" s="3578"/>
      <c r="C94" s="1537" t="s">
        <v>394</v>
      </c>
      <c r="D94" s="1538"/>
      <c r="E94" s="1539">
        <v>4.8000000000000001E-2</v>
      </c>
      <c r="F94" s="1540">
        <f t="shared" si="5"/>
        <v>0</v>
      </c>
    </row>
    <row r="95" spans="1:6">
      <c r="A95" s="1536">
        <f t="shared" si="4"/>
        <v>90</v>
      </c>
      <c r="B95" s="3578"/>
      <c r="C95" s="1537" t="s">
        <v>395</v>
      </c>
      <c r="D95" s="1538"/>
      <c r="E95" s="1539">
        <v>6.1499999999999999E-2</v>
      </c>
      <c r="F95" s="1540">
        <f t="shared" si="5"/>
        <v>0</v>
      </c>
    </row>
    <row r="96" spans="1:6">
      <c r="A96" s="1536">
        <f t="shared" si="4"/>
        <v>91</v>
      </c>
      <c r="B96" s="3578"/>
      <c r="C96" s="1537" t="s">
        <v>396</v>
      </c>
      <c r="D96" s="1538"/>
      <c r="E96" s="1539">
        <v>7.4999999999999997E-2</v>
      </c>
      <c r="F96" s="1540">
        <f t="shared" si="5"/>
        <v>0</v>
      </c>
    </row>
    <row r="97" spans="1:6">
      <c r="A97" s="1536">
        <f t="shared" si="4"/>
        <v>92</v>
      </c>
      <c r="B97" s="3578"/>
      <c r="C97" s="1537" t="s">
        <v>397</v>
      </c>
      <c r="D97" s="1538"/>
      <c r="E97" s="1539">
        <v>0.1075</v>
      </c>
      <c r="F97" s="1540">
        <f t="shared" si="5"/>
        <v>0</v>
      </c>
    </row>
    <row r="98" spans="1:6">
      <c r="A98" s="1536">
        <f t="shared" si="4"/>
        <v>93</v>
      </c>
      <c r="B98" s="3578"/>
      <c r="C98" s="1537" t="s">
        <v>379</v>
      </c>
      <c r="D98" s="1538"/>
      <c r="E98" s="1539">
        <v>0.14000000000000001</v>
      </c>
      <c r="F98" s="1540">
        <f t="shared" si="5"/>
        <v>0</v>
      </c>
    </row>
    <row r="99" spans="1:6">
      <c r="A99" s="1536">
        <f t="shared" si="4"/>
        <v>94</v>
      </c>
      <c r="B99" s="3578"/>
      <c r="C99" s="1537" t="s">
        <v>380</v>
      </c>
      <c r="D99" s="1538"/>
      <c r="E99" s="1539">
        <v>0.17249999999999999</v>
      </c>
      <c r="F99" s="1540">
        <f t="shared" si="5"/>
        <v>0</v>
      </c>
    </row>
    <row r="100" spans="1:6">
      <c r="A100" s="1536">
        <f t="shared" si="4"/>
        <v>95</v>
      </c>
      <c r="B100" s="3578"/>
      <c r="C100" s="1537" t="s">
        <v>381</v>
      </c>
      <c r="D100" s="1538"/>
      <c r="E100" s="1539">
        <v>0.2112</v>
      </c>
      <c r="F100" s="1540">
        <f t="shared" si="5"/>
        <v>0</v>
      </c>
    </row>
    <row r="101" spans="1:6">
      <c r="A101" s="1536">
        <f t="shared" si="4"/>
        <v>96</v>
      </c>
      <c r="B101" s="3579"/>
      <c r="C101" s="1541" t="s">
        <v>382</v>
      </c>
      <c r="D101" s="1542"/>
      <c r="E101" s="1543">
        <v>0.2165</v>
      </c>
      <c r="F101" s="1544">
        <f t="shared" si="5"/>
        <v>0</v>
      </c>
    </row>
    <row r="102" spans="1:6" ht="16.5" customHeight="1">
      <c r="A102" s="1545">
        <f t="shared" si="4"/>
        <v>97</v>
      </c>
      <c r="B102" s="3571" t="s">
        <v>4791</v>
      </c>
      <c r="C102" s="3571"/>
      <c r="D102" s="1546">
        <f>SUM(D86:D101)</f>
        <v>0</v>
      </c>
      <c r="E102" s="1547"/>
      <c r="F102" s="1548">
        <f>SUM(F86:F101)</f>
        <v>0</v>
      </c>
    </row>
    <row r="103" spans="1:6" ht="15.75" customHeight="1">
      <c r="A103" s="1536">
        <f t="shared" si="4"/>
        <v>98</v>
      </c>
      <c r="B103" s="3572" t="s">
        <v>4792</v>
      </c>
      <c r="C103" s="1532" t="s">
        <v>734</v>
      </c>
      <c r="D103" s="1533"/>
      <c r="E103" s="1550">
        <v>0</v>
      </c>
      <c r="F103" s="1535">
        <f t="shared" ref="F103:F120" si="6">ROUND(D103*E103,0)</f>
        <v>0</v>
      </c>
    </row>
    <row r="104" spans="1:6">
      <c r="A104" s="1536">
        <f t="shared" si="4"/>
        <v>99</v>
      </c>
      <c r="B104" s="3573"/>
      <c r="C104" s="1537" t="s">
        <v>387</v>
      </c>
      <c r="D104" s="1538"/>
      <c r="E104" s="1539">
        <v>0</v>
      </c>
      <c r="F104" s="1540">
        <f t="shared" si="6"/>
        <v>0</v>
      </c>
    </row>
    <row r="105" spans="1:6">
      <c r="A105" s="1536">
        <f t="shared" si="4"/>
        <v>100</v>
      </c>
      <c r="B105" s="3573"/>
      <c r="C105" s="1537" t="s">
        <v>388</v>
      </c>
      <c r="D105" s="1538"/>
      <c r="E105" s="1539">
        <v>3.0999999999999999E-3</v>
      </c>
      <c r="F105" s="1540">
        <f t="shared" si="6"/>
        <v>0</v>
      </c>
    </row>
    <row r="106" spans="1:6">
      <c r="A106" s="1536">
        <f t="shared" si="4"/>
        <v>101</v>
      </c>
      <c r="B106" s="3573"/>
      <c r="C106" s="1537" t="s">
        <v>389</v>
      </c>
      <c r="D106" s="1538"/>
      <c r="E106" s="1539">
        <v>6.1999999999999998E-3</v>
      </c>
      <c r="F106" s="1540">
        <f t="shared" si="6"/>
        <v>0</v>
      </c>
    </row>
    <row r="107" spans="1:6">
      <c r="A107" s="1536">
        <f t="shared" si="4"/>
        <v>102</v>
      </c>
      <c r="B107" s="3573"/>
      <c r="C107" s="1537" t="s">
        <v>390</v>
      </c>
      <c r="D107" s="1538"/>
      <c r="E107" s="1539">
        <v>7.4000000000000003E-3</v>
      </c>
      <c r="F107" s="1540">
        <f t="shared" si="6"/>
        <v>0</v>
      </c>
    </row>
    <row r="108" spans="1:6">
      <c r="A108" s="1536">
        <f t="shared" si="4"/>
        <v>103</v>
      </c>
      <c r="B108" s="3573"/>
      <c r="C108" s="1537" t="s">
        <v>391</v>
      </c>
      <c r="D108" s="1538"/>
      <c r="E108" s="1539">
        <v>8.6E-3</v>
      </c>
      <c r="F108" s="1540">
        <f t="shared" si="6"/>
        <v>0</v>
      </c>
    </row>
    <row r="109" spans="1:6">
      <c r="A109" s="1536">
        <f t="shared" si="4"/>
        <v>104</v>
      </c>
      <c r="B109" s="3573"/>
      <c r="C109" s="1537" t="s">
        <v>392</v>
      </c>
      <c r="D109" s="1538"/>
      <c r="E109" s="1539">
        <v>9.7999999999999997E-3</v>
      </c>
      <c r="F109" s="1540">
        <f t="shared" si="6"/>
        <v>0</v>
      </c>
    </row>
    <row r="110" spans="1:6">
      <c r="A110" s="1536">
        <f t="shared" si="4"/>
        <v>105</v>
      </c>
      <c r="B110" s="3573"/>
      <c r="C110" s="1537" t="s">
        <v>393</v>
      </c>
      <c r="D110" s="1538"/>
      <c r="E110" s="1539">
        <v>1.7999999999999999E-2</v>
      </c>
      <c r="F110" s="1540">
        <f t="shared" si="6"/>
        <v>0</v>
      </c>
    </row>
    <row r="111" spans="1:6">
      <c r="A111" s="1536">
        <f t="shared" si="4"/>
        <v>106</v>
      </c>
      <c r="B111" s="3573"/>
      <c r="C111" s="1537" t="s">
        <v>394</v>
      </c>
      <c r="D111" s="1538"/>
      <c r="E111" s="1539">
        <v>2.63E-2</v>
      </c>
      <c r="F111" s="1540">
        <f t="shared" si="6"/>
        <v>0</v>
      </c>
    </row>
    <row r="112" spans="1:6">
      <c r="A112" s="1536">
        <f t="shared" si="4"/>
        <v>107</v>
      </c>
      <c r="B112" s="3573"/>
      <c r="C112" s="1537" t="s">
        <v>395</v>
      </c>
      <c r="D112" s="1538"/>
      <c r="E112" s="1539">
        <v>3.4500000000000003E-2</v>
      </c>
      <c r="F112" s="1540">
        <f t="shared" si="6"/>
        <v>0</v>
      </c>
    </row>
    <row r="113" spans="1:6">
      <c r="A113" s="1536">
        <f t="shared" si="4"/>
        <v>108</v>
      </c>
      <c r="B113" s="3573"/>
      <c r="C113" s="1537" t="s">
        <v>396</v>
      </c>
      <c r="D113" s="1538"/>
      <c r="E113" s="1539">
        <v>4.8000000000000001E-2</v>
      </c>
      <c r="F113" s="1540">
        <f t="shared" si="6"/>
        <v>0</v>
      </c>
    </row>
    <row r="114" spans="1:6">
      <c r="A114" s="1536">
        <f t="shared" si="4"/>
        <v>109</v>
      </c>
      <c r="B114" s="3573"/>
      <c r="C114" s="1537" t="s">
        <v>397</v>
      </c>
      <c r="D114" s="1538"/>
      <c r="E114" s="1539">
        <v>6.1499999999999999E-2</v>
      </c>
      <c r="F114" s="1540">
        <f t="shared" si="6"/>
        <v>0</v>
      </c>
    </row>
    <row r="115" spans="1:6">
      <c r="A115" s="1536">
        <f t="shared" si="4"/>
        <v>110</v>
      </c>
      <c r="B115" s="3573"/>
      <c r="C115" s="1537" t="s">
        <v>379</v>
      </c>
      <c r="D115" s="1538"/>
      <c r="E115" s="1539">
        <v>7.4999999999999997E-2</v>
      </c>
      <c r="F115" s="1540">
        <f t="shared" si="6"/>
        <v>0</v>
      </c>
    </row>
    <row r="116" spans="1:6">
      <c r="A116" s="1536">
        <f t="shared" si="4"/>
        <v>111</v>
      </c>
      <c r="B116" s="3573"/>
      <c r="C116" s="1537" t="s">
        <v>380</v>
      </c>
      <c r="D116" s="1538"/>
      <c r="E116" s="1539">
        <v>0.1075</v>
      </c>
      <c r="F116" s="1540">
        <f t="shared" si="6"/>
        <v>0</v>
      </c>
    </row>
    <row r="117" spans="1:6">
      <c r="A117" s="1536">
        <f t="shared" si="4"/>
        <v>112</v>
      </c>
      <c r="B117" s="3573"/>
      <c r="C117" s="1537" t="s">
        <v>381</v>
      </c>
      <c r="D117" s="1538"/>
      <c r="E117" s="1539">
        <v>0.14000000000000001</v>
      </c>
      <c r="F117" s="1540">
        <f t="shared" si="6"/>
        <v>0</v>
      </c>
    </row>
    <row r="118" spans="1:6">
      <c r="A118" s="1536">
        <f t="shared" si="4"/>
        <v>113</v>
      </c>
      <c r="B118" s="3573"/>
      <c r="C118" s="1537" t="s">
        <v>382</v>
      </c>
      <c r="D118" s="1538"/>
      <c r="E118" s="1539">
        <v>0.17249999999999999</v>
      </c>
      <c r="F118" s="1540">
        <f t="shared" si="6"/>
        <v>0</v>
      </c>
    </row>
    <row r="119" spans="1:6">
      <c r="A119" s="1557">
        <f t="shared" si="4"/>
        <v>114</v>
      </c>
      <c r="B119" s="3573"/>
      <c r="C119" s="1537" t="s">
        <v>4</v>
      </c>
      <c r="D119" s="1538"/>
      <c r="E119" s="1539">
        <v>0.2112</v>
      </c>
      <c r="F119" s="1540">
        <f t="shared" si="6"/>
        <v>0</v>
      </c>
    </row>
    <row r="120" spans="1:6">
      <c r="A120" s="1557">
        <f t="shared" si="4"/>
        <v>115</v>
      </c>
      <c r="B120" s="3574"/>
      <c r="C120" s="1541" t="s">
        <v>5</v>
      </c>
      <c r="D120" s="1542"/>
      <c r="E120" s="1543">
        <v>0.2165</v>
      </c>
      <c r="F120" s="1544">
        <f t="shared" si="6"/>
        <v>0</v>
      </c>
    </row>
    <row r="121" spans="1:6" ht="16.5" thickBot="1">
      <c r="A121" s="1558">
        <f t="shared" si="4"/>
        <v>116</v>
      </c>
      <c r="B121" s="3575" t="s">
        <v>4793</v>
      </c>
      <c r="C121" s="3575"/>
      <c r="D121" s="1559">
        <f>SUM(D103:D120)</f>
        <v>0</v>
      </c>
      <c r="E121" s="1560"/>
      <c r="F121" s="1561">
        <f>SUM(F103:F120)</f>
        <v>0</v>
      </c>
    </row>
    <row r="122" spans="1:6">
      <c r="A122" s="1526"/>
    </row>
    <row r="123" spans="1:6" ht="16.5">
      <c r="A123" s="1450" t="s">
        <v>4794</v>
      </c>
      <c r="B123" s="1527" t="s">
        <v>4795</v>
      </c>
    </row>
    <row r="124" spans="1:6" ht="16.5">
      <c r="A124" s="1450"/>
      <c r="B124" s="1527" t="s">
        <v>4796</v>
      </c>
    </row>
    <row r="125" spans="1:6" ht="16.5">
      <c r="A125" s="1450" t="s">
        <v>4797</v>
      </c>
      <c r="B125" s="1527" t="s">
        <v>4798</v>
      </c>
      <c r="F125" s="1562" t="str">
        <f>IF(+D24+D43+D44+'表30-3'!D11-'表05-1'!G47=0,"","註2檢核錯誤")</f>
        <v/>
      </c>
    </row>
    <row r="126" spans="1:6" ht="16.5">
      <c r="A126" s="1450" t="s">
        <v>4799</v>
      </c>
      <c r="B126" s="2997" t="s">
        <v>6589</v>
      </c>
      <c r="F126" s="1562" t="str">
        <f>IF(+D82+D83+D84-('表05-1'!G20+'表05-1'!G21)=0,"","註3檢核錯誤")</f>
        <v/>
      </c>
    </row>
    <row r="127" spans="1:6" ht="16.5">
      <c r="A127" s="1450" t="s">
        <v>4174</v>
      </c>
      <c r="B127" s="1527" t="s">
        <v>4800</v>
      </c>
      <c r="F127" s="1562" t="str">
        <f>IF(+D63-'表05-1'!G15=0,"","註4檢核錯誤")</f>
        <v/>
      </c>
    </row>
    <row r="128" spans="1:6" ht="16.5">
      <c r="A128" s="1450" t="s">
        <v>4801</v>
      </c>
      <c r="B128" s="2997" t="s">
        <v>6590</v>
      </c>
      <c r="F128" s="1562" t="str">
        <f>IF(+D102+'表10-2'!L36-'表05-1'!G45-('表10-4'!G14+'表10-4'!G33)=0,"","註5檢核錯誤")</f>
        <v/>
      </c>
    </row>
    <row r="129" spans="1:6" ht="16.5">
      <c r="A129" s="1450" t="s">
        <v>4802</v>
      </c>
      <c r="B129" s="1527" t="s">
        <v>4058</v>
      </c>
    </row>
    <row r="130" spans="1:6" ht="16.5">
      <c r="A130" s="1450" t="s">
        <v>4803</v>
      </c>
      <c r="B130" s="1196" t="s">
        <v>4804</v>
      </c>
    </row>
    <row r="131" spans="1:6" ht="16.5">
      <c r="A131" s="1450" t="s">
        <v>5797</v>
      </c>
      <c r="B131" s="2997" t="s">
        <v>6591</v>
      </c>
      <c r="F131" s="1562" t="str">
        <f>IF(E121-'表30-8-7'!F35=0,"","註9檢核錯誤")</f>
        <v/>
      </c>
    </row>
  </sheetData>
  <mergeCells count="21">
    <mergeCell ref="F3:F4"/>
    <mergeCell ref="B6:B23"/>
    <mergeCell ref="B25:B42"/>
    <mergeCell ref="B43:C43"/>
    <mergeCell ref="B3:B4"/>
    <mergeCell ref="D3:D4"/>
    <mergeCell ref="E3:E4"/>
    <mergeCell ref="A3:A5"/>
    <mergeCell ref="B24:C24"/>
    <mergeCell ref="B103:B120"/>
    <mergeCell ref="B121:C121"/>
    <mergeCell ref="B44:C44"/>
    <mergeCell ref="B45:B62"/>
    <mergeCell ref="B64:B81"/>
    <mergeCell ref="B86:B101"/>
    <mergeCell ref="B83:C83"/>
    <mergeCell ref="B82:C82"/>
    <mergeCell ref="B102:C102"/>
    <mergeCell ref="B84:C84"/>
    <mergeCell ref="B63:C63"/>
    <mergeCell ref="B85:C85"/>
  </mergeCells>
  <phoneticPr fontId="7" type="noConversion"/>
  <pageMargins left="0.7" right="0.7" top="0.75" bottom="0.75" header="0.3" footer="0.3"/>
  <pageSetup paperSize="9" scale="5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pageSetUpPr fitToPage="1"/>
  </sheetPr>
  <dimension ref="A1:H128"/>
  <sheetViews>
    <sheetView zoomScaleNormal="100" zoomScaleSheetLayoutView="110" workbookViewId="0"/>
  </sheetViews>
  <sheetFormatPr defaultColWidth="15.625" defaultRowHeight="15.75"/>
  <cols>
    <col min="1" max="1" width="4.75" style="1566" customWidth="1"/>
    <col min="2" max="2" width="25.125" style="1566" customWidth="1"/>
    <col min="3" max="3" width="18.75" style="1566" customWidth="1"/>
    <col min="4" max="5" width="20.625" style="1566" customWidth="1"/>
    <col min="6" max="6" width="15.125" style="1566" customWidth="1"/>
    <col min="7" max="8" width="20.625" style="1566" customWidth="1"/>
    <col min="9" max="16384" width="15.625" style="1566"/>
  </cols>
  <sheetData>
    <row r="1" spans="1:8" ht="16.5">
      <c r="A1" s="1564" t="str">
        <f>+封面!A3&amp;" "&amp;封面!A2</f>
        <v xml:space="preserve">        保險股份有限公司(○○分公司) 年度(月、季、半年)報表</v>
      </c>
    </row>
    <row r="2" spans="1:8" ht="17.25" thickBot="1">
      <c r="A2" s="1474" t="s">
        <v>5763</v>
      </c>
      <c r="B2" s="1476"/>
      <c r="C2" s="1476"/>
      <c r="D2" s="1524"/>
      <c r="E2" s="1524"/>
      <c r="F2" s="1567"/>
      <c r="G2" s="1476"/>
      <c r="H2" s="2341" t="s">
        <v>5764</v>
      </c>
    </row>
    <row r="3" spans="1:8" ht="16.5" customHeight="1">
      <c r="A3" s="3600" t="s">
        <v>3863</v>
      </c>
      <c r="B3" s="3603" t="s">
        <v>4806</v>
      </c>
      <c r="C3" s="1568" t="s">
        <v>5765</v>
      </c>
      <c r="D3" s="3588" t="s">
        <v>743</v>
      </c>
      <c r="E3" s="3588"/>
      <c r="F3" s="3605" t="s">
        <v>4262</v>
      </c>
      <c r="G3" s="3588" t="s">
        <v>1849</v>
      </c>
      <c r="H3" s="3599"/>
    </row>
    <row r="4" spans="1:8" ht="16.5">
      <c r="A4" s="3601"/>
      <c r="B4" s="3604"/>
      <c r="C4" s="1569" t="s">
        <v>751</v>
      </c>
      <c r="D4" s="1569" t="s">
        <v>4814</v>
      </c>
      <c r="E4" s="1569" t="s">
        <v>4815</v>
      </c>
      <c r="F4" s="3606"/>
      <c r="G4" s="1569" t="s">
        <v>4814</v>
      </c>
      <c r="H4" s="2342" t="s">
        <v>4815</v>
      </c>
    </row>
    <row r="5" spans="1:8" ht="15.75" customHeight="1" thickBot="1">
      <c r="A5" s="3602"/>
      <c r="B5" s="1571" t="s">
        <v>209</v>
      </c>
      <c r="C5" s="1571" t="s">
        <v>210</v>
      </c>
      <c r="D5" s="1571" t="s">
        <v>332</v>
      </c>
      <c r="E5" s="1571" t="s">
        <v>268</v>
      </c>
      <c r="F5" s="1571" t="s">
        <v>269</v>
      </c>
      <c r="G5" s="1571" t="s">
        <v>270</v>
      </c>
      <c r="H5" s="2343" t="s">
        <v>34</v>
      </c>
    </row>
    <row r="6" spans="1:8" ht="15.4" customHeight="1">
      <c r="A6" s="1572">
        <v>1</v>
      </c>
      <c r="B6" s="3589" t="s">
        <v>5766</v>
      </c>
      <c r="C6" s="1573" t="s">
        <v>150</v>
      </c>
      <c r="D6" s="1574"/>
      <c r="E6" s="1574"/>
      <c r="F6" s="1575">
        <v>0</v>
      </c>
      <c r="G6" s="1576">
        <f>ROUND(D6*F6,0)</f>
        <v>0</v>
      </c>
      <c r="H6" s="2344">
        <f>ROUND(E6*F6,0)</f>
        <v>0</v>
      </c>
    </row>
    <row r="7" spans="1:8">
      <c r="A7" s="1577">
        <f t="shared" ref="A7:A38" si="0">A6+1</f>
        <v>2</v>
      </c>
      <c r="B7" s="3590"/>
      <c r="C7" s="1578" t="s">
        <v>151</v>
      </c>
      <c r="D7" s="1579"/>
      <c r="E7" s="1579"/>
      <c r="F7" s="1580">
        <v>0</v>
      </c>
      <c r="G7" s="2345">
        <f t="shared" ref="G7:G26" si="1">ROUND(D7*F7,0)</f>
        <v>0</v>
      </c>
      <c r="H7" s="2346">
        <f t="shared" ref="H7:H26" si="2">ROUND(E7*F7,0)</f>
        <v>0</v>
      </c>
    </row>
    <row r="8" spans="1:8">
      <c r="A8" s="1577">
        <f t="shared" si="0"/>
        <v>3</v>
      </c>
      <c r="B8" s="3590"/>
      <c r="C8" s="1578" t="s">
        <v>152</v>
      </c>
      <c r="D8" s="1579"/>
      <c r="E8" s="1579"/>
      <c r="F8" s="1580">
        <v>0</v>
      </c>
      <c r="G8" s="2345">
        <f t="shared" si="1"/>
        <v>0</v>
      </c>
      <c r="H8" s="2346">
        <f t="shared" si="2"/>
        <v>0</v>
      </c>
    </row>
    <row r="9" spans="1:8">
      <c r="A9" s="1577">
        <f t="shared" si="0"/>
        <v>4</v>
      </c>
      <c r="B9" s="3590"/>
      <c r="C9" s="1578" t="s">
        <v>153</v>
      </c>
      <c r="D9" s="1579"/>
      <c r="E9" s="1579"/>
      <c r="F9" s="1580">
        <v>0</v>
      </c>
      <c r="G9" s="2345">
        <f t="shared" si="1"/>
        <v>0</v>
      </c>
      <c r="H9" s="2346">
        <f t="shared" si="2"/>
        <v>0</v>
      </c>
    </row>
    <row r="10" spans="1:8">
      <c r="A10" s="1577">
        <f t="shared" si="0"/>
        <v>5</v>
      </c>
      <c r="B10" s="3590"/>
      <c r="C10" s="1578" t="s">
        <v>154</v>
      </c>
      <c r="D10" s="1579"/>
      <c r="E10" s="1579"/>
      <c r="F10" s="1581">
        <v>3.0999999999999999E-3</v>
      </c>
      <c r="G10" s="2345">
        <f t="shared" si="1"/>
        <v>0</v>
      </c>
      <c r="H10" s="2346">
        <f t="shared" si="2"/>
        <v>0</v>
      </c>
    </row>
    <row r="11" spans="1:8">
      <c r="A11" s="1577">
        <f t="shared" si="0"/>
        <v>6</v>
      </c>
      <c r="B11" s="3590"/>
      <c r="C11" s="1578" t="s">
        <v>155</v>
      </c>
      <c r="D11" s="1579"/>
      <c r="E11" s="1579"/>
      <c r="F11" s="1581">
        <v>6.1999999999999998E-3</v>
      </c>
      <c r="G11" s="2345">
        <f t="shared" si="1"/>
        <v>0</v>
      </c>
      <c r="H11" s="2346">
        <f t="shared" si="2"/>
        <v>0</v>
      </c>
    </row>
    <row r="12" spans="1:8">
      <c r="A12" s="1577">
        <f t="shared" si="0"/>
        <v>7</v>
      </c>
      <c r="B12" s="3590"/>
      <c r="C12" s="1578" t="s">
        <v>156</v>
      </c>
      <c r="D12" s="1579"/>
      <c r="E12" s="1579"/>
      <c r="F12" s="1581">
        <v>7.3999999999999995E-3</v>
      </c>
      <c r="G12" s="2345">
        <f t="shared" si="1"/>
        <v>0</v>
      </c>
      <c r="H12" s="2346">
        <f t="shared" si="2"/>
        <v>0</v>
      </c>
    </row>
    <row r="13" spans="1:8">
      <c r="A13" s="1577">
        <f t="shared" si="0"/>
        <v>8</v>
      </c>
      <c r="B13" s="3590"/>
      <c r="C13" s="1578" t="s">
        <v>157</v>
      </c>
      <c r="D13" s="1579"/>
      <c r="E13" s="1579"/>
      <c r="F13" s="1581">
        <v>8.6E-3</v>
      </c>
      <c r="G13" s="2345">
        <f t="shared" si="1"/>
        <v>0</v>
      </c>
      <c r="H13" s="2346">
        <f t="shared" si="2"/>
        <v>0</v>
      </c>
    </row>
    <row r="14" spans="1:8">
      <c r="A14" s="1577">
        <f t="shared" si="0"/>
        <v>9</v>
      </c>
      <c r="B14" s="3590"/>
      <c r="C14" s="1578" t="s">
        <v>158</v>
      </c>
      <c r="D14" s="1579"/>
      <c r="E14" s="1579"/>
      <c r="F14" s="1581">
        <v>9.7999999999999997E-3</v>
      </c>
      <c r="G14" s="2345">
        <f t="shared" si="1"/>
        <v>0</v>
      </c>
      <c r="H14" s="2346">
        <f t="shared" si="2"/>
        <v>0</v>
      </c>
    </row>
    <row r="15" spans="1:8">
      <c r="A15" s="1577">
        <f t="shared" si="0"/>
        <v>10</v>
      </c>
      <c r="B15" s="3590"/>
      <c r="C15" s="1578" t="s">
        <v>159</v>
      </c>
      <c r="D15" s="1579"/>
      <c r="E15" s="1579"/>
      <c r="F15" s="1581">
        <v>1.8033333333333332E-2</v>
      </c>
      <c r="G15" s="2345">
        <f t="shared" si="1"/>
        <v>0</v>
      </c>
      <c r="H15" s="2346">
        <f t="shared" si="2"/>
        <v>0</v>
      </c>
    </row>
    <row r="16" spans="1:8">
      <c r="A16" s="1577">
        <f t="shared" si="0"/>
        <v>11</v>
      </c>
      <c r="B16" s="3590"/>
      <c r="C16" s="1578" t="s">
        <v>160</v>
      </c>
      <c r="D16" s="1579"/>
      <c r="E16" s="1579"/>
      <c r="F16" s="1581">
        <v>2.6266666666666667E-2</v>
      </c>
      <c r="G16" s="2345">
        <f t="shared" si="1"/>
        <v>0</v>
      </c>
      <c r="H16" s="2346">
        <f t="shared" si="2"/>
        <v>0</v>
      </c>
    </row>
    <row r="17" spans="1:8">
      <c r="A17" s="1577">
        <f t="shared" si="0"/>
        <v>12</v>
      </c>
      <c r="B17" s="3590"/>
      <c r="C17" s="1578" t="s">
        <v>161</v>
      </c>
      <c r="D17" s="1579"/>
      <c r="E17" s="1579"/>
      <c r="F17" s="1581">
        <v>3.4500000000000003E-2</v>
      </c>
      <c r="G17" s="2345">
        <f t="shared" si="1"/>
        <v>0</v>
      </c>
      <c r="H17" s="2346">
        <f t="shared" si="2"/>
        <v>0</v>
      </c>
    </row>
    <row r="18" spans="1:8">
      <c r="A18" s="1577">
        <f t="shared" si="0"/>
        <v>13</v>
      </c>
      <c r="B18" s="3590"/>
      <c r="C18" s="1578" t="s">
        <v>449</v>
      </c>
      <c r="D18" s="1579"/>
      <c r="E18" s="1579"/>
      <c r="F18" s="1581">
        <v>4.8000000000000001E-2</v>
      </c>
      <c r="G18" s="2345">
        <f t="shared" si="1"/>
        <v>0</v>
      </c>
      <c r="H18" s="2346">
        <f t="shared" si="2"/>
        <v>0</v>
      </c>
    </row>
    <row r="19" spans="1:8">
      <c r="A19" s="1577">
        <f t="shared" si="0"/>
        <v>14</v>
      </c>
      <c r="B19" s="3590"/>
      <c r="C19" s="1578" t="s">
        <v>162</v>
      </c>
      <c r="D19" s="1579"/>
      <c r="E19" s="1579"/>
      <c r="F19" s="1581">
        <v>6.1499999999999999E-2</v>
      </c>
      <c r="G19" s="2345">
        <f t="shared" si="1"/>
        <v>0</v>
      </c>
      <c r="H19" s="2346">
        <f t="shared" si="2"/>
        <v>0</v>
      </c>
    </row>
    <row r="20" spans="1:8">
      <c r="A20" s="1577">
        <f t="shared" si="0"/>
        <v>15</v>
      </c>
      <c r="B20" s="3590"/>
      <c r="C20" s="1578" t="s">
        <v>163</v>
      </c>
      <c r="D20" s="1579"/>
      <c r="E20" s="1579"/>
      <c r="F20" s="1581">
        <v>7.4999999999999997E-2</v>
      </c>
      <c r="G20" s="2345">
        <f t="shared" si="1"/>
        <v>0</v>
      </c>
      <c r="H20" s="2346">
        <f t="shared" si="2"/>
        <v>0</v>
      </c>
    </row>
    <row r="21" spans="1:8">
      <c r="A21" s="1577">
        <f t="shared" si="0"/>
        <v>16</v>
      </c>
      <c r="B21" s="3590"/>
      <c r="C21" s="1578" t="s">
        <v>164</v>
      </c>
      <c r="D21" s="1579"/>
      <c r="E21" s="1579"/>
      <c r="F21" s="1581">
        <v>0.1075</v>
      </c>
      <c r="G21" s="2345">
        <f t="shared" si="1"/>
        <v>0</v>
      </c>
      <c r="H21" s="2346">
        <f t="shared" si="2"/>
        <v>0</v>
      </c>
    </row>
    <row r="22" spans="1:8">
      <c r="A22" s="1577">
        <f t="shared" si="0"/>
        <v>17</v>
      </c>
      <c r="B22" s="3590"/>
      <c r="C22" s="1578" t="s">
        <v>165</v>
      </c>
      <c r="D22" s="1579"/>
      <c r="E22" s="1579"/>
      <c r="F22" s="1581">
        <v>0.14000000000000001</v>
      </c>
      <c r="G22" s="2345">
        <f t="shared" si="1"/>
        <v>0</v>
      </c>
      <c r="H22" s="2346">
        <f t="shared" si="2"/>
        <v>0</v>
      </c>
    </row>
    <row r="23" spans="1:8">
      <c r="A23" s="1577">
        <f t="shared" si="0"/>
        <v>18</v>
      </c>
      <c r="B23" s="3590"/>
      <c r="C23" s="1578" t="s">
        <v>166</v>
      </c>
      <c r="D23" s="1579"/>
      <c r="E23" s="1579"/>
      <c r="F23" s="1581">
        <v>0.17249999999999999</v>
      </c>
      <c r="G23" s="2345">
        <f t="shared" si="1"/>
        <v>0</v>
      </c>
      <c r="H23" s="2346">
        <f t="shared" si="2"/>
        <v>0</v>
      </c>
    </row>
    <row r="24" spans="1:8">
      <c r="A24" s="1577">
        <f t="shared" si="0"/>
        <v>19</v>
      </c>
      <c r="B24" s="3590"/>
      <c r="C24" s="1578" t="s">
        <v>167</v>
      </c>
      <c r="D24" s="1579"/>
      <c r="E24" s="1579"/>
      <c r="F24" s="1581">
        <v>0.2112</v>
      </c>
      <c r="G24" s="2345">
        <f t="shared" si="1"/>
        <v>0</v>
      </c>
      <c r="H24" s="2346">
        <f t="shared" si="2"/>
        <v>0</v>
      </c>
    </row>
    <row r="25" spans="1:8">
      <c r="A25" s="1577">
        <f t="shared" si="0"/>
        <v>20</v>
      </c>
      <c r="B25" s="3590"/>
      <c r="C25" s="1578" t="s">
        <v>168</v>
      </c>
      <c r="D25" s="1579"/>
      <c r="E25" s="1579"/>
      <c r="F25" s="1581">
        <v>0.25</v>
      </c>
      <c r="G25" s="2345">
        <f t="shared" si="1"/>
        <v>0</v>
      </c>
      <c r="H25" s="2346">
        <f t="shared" si="2"/>
        <v>0</v>
      </c>
    </row>
    <row r="26" spans="1:8">
      <c r="A26" s="1577">
        <f t="shared" si="0"/>
        <v>21</v>
      </c>
      <c r="B26" s="3591"/>
      <c r="C26" s="1582" t="s">
        <v>450</v>
      </c>
      <c r="D26" s="1583"/>
      <c r="E26" s="1583"/>
      <c r="F26" s="1584">
        <v>0.28870000000000001</v>
      </c>
      <c r="G26" s="2347">
        <f t="shared" si="1"/>
        <v>0</v>
      </c>
      <c r="H26" s="2348">
        <f t="shared" si="2"/>
        <v>0</v>
      </c>
    </row>
    <row r="27" spans="1:8">
      <c r="A27" s="1585">
        <f t="shared" si="0"/>
        <v>22</v>
      </c>
      <c r="B27" s="3592" t="s">
        <v>5767</v>
      </c>
      <c r="C27" s="3592"/>
      <c r="D27" s="1586">
        <f>SUM(D6:D26)</f>
        <v>0</v>
      </c>
      <c r="E27" s="1586">
        <f>SUM(E6:E26)</f>
        <v>0</v>
      </c>
      <c r="F27" s="1547"/>
      <c r="G27" s="1586">
        <f>SUM(G6:G26)</f>
        <v>0</v>
      </c>
      <c r="H27" s="2349">
        <f>SUM(H6:H26)</f>
        <v>0</v>
      </c>
    </row>
    <row r="28" spans="1:8">
      <c r="A28" s="1587">
        <f t="shared" si="0"/>
        <v>23</v>
      </c>
      <c r="B28" s="3589" t="s">
        <v>5768</v>
      </c>
      <c r="C28" s="1573" t="s">
        <v>150</v>
      </c>
      <c r="D28" s="1574"/>
      <c r="E28" s="1574"/>
      <c r="F28" s="1575">
        <v>0</v>
      </c>
      <c r="G28" s="1576">
        <f>ROUND(D28*F28,0)</f>
        <v>0</v>
      </c>
      <c r="H28" s="2344">
        <f t="shared" ref="H28:H48" si="3">ROUND(E28*F28,0)</f>
        <v>0</v>
      </c>
    </row>
    <row r="29" spans="1:8">
      <c r="A29" s="1587">
        <f t="shared" si="0"/>
        <v>24</v>
      </c>
      <c r="B29" s="3590"/>
      <c r="C29" s="1578" t="s">
        <v>151</v>
      </c>
      <c r="D29" s="1579"/>
      <c r="E29" s="1579"/>
      <c r="F29" s="1580">
        <v>0</v>
      </c>
      <c r="G29" s="2345">
        <f t="shared" ref="G29:G48" si="4">ROUND(D29*F29,0)</f>
        <v>0</v>
      </c>
      <c r="H29" s="2346">
        <f t="shared" si="3"/>
        <v>0</v>
      </c>
    </row>
    <row r="30" spans="1:8">
      <c r="A30" s="1587">
        <f t="shared" si="0"/>
        <v>25</v>
      </c>
      <c r="B30" s="3590"/>
      <c r="C30" s="1578" t="s">
        <v>152</v>
      </c>
      <c r="D30" s="1579"/>
      <c r="E30" s="1579"/>
      <c r="F30" s="1580">
        <v>0</v>
      </c>
      <c r="G30" s="2345">
        <f t="shared" si="4"/>
        <v>0</v>
      </c>
      <c r="H30" s="2346">
        <f t="shared" si="3"/>
        <v>0</v>
      </c>
    </row>
    <row r="31" spans="1:8">
      <c r="A31" s="1587">
        <f t="shared" si="0"/>
        <v>26</v>
      </c>
      <c r="B31" s="3590"/>
      <c r="C31" s="1578" t="s">
        <v>153</v>
      </c>
      <c r="D31" s="1579"/>
      <c r="E31" s="1579"/>
      <c r="F31" s="1580">
        <v>0</v>
      </c>
      <c r="G31" s="2345">
        <f t="shared" si="4"/>
        <v>0</v>
      </c>
      <c r="H31" s="2346">
        <f t="shared" si="3"/>
        <v>0</v>
      </c>
    </row>
    <row r="32" spans="1:8">
      <c r="A32" s="1587">
        <f t="shared" si="0"/>
        <v>27</v>
      </c>
      <c r="B32" s="3590"/>
      <c r="C32" s="1578" t="s">
        <v>154</v>
      </c>
      <c r="D32" s="1579"/>
      <c r="E32" s="1579"/>
      <c r="F32" s="1581">
        <v>3.0999999999999999E-3</v>
      </c>
      <c r="G32" s="2345">
        <f t="shared" si="4"/>
        <v>0</v>
      </c>
      <c r="H32" s="2346">
        <f t="shared" si="3"/>
        <v>0</v>
      </c>
    </row>
    <row r="33" spans="1:8">
      <c r="A33" s="1587">
        <f t="shared" si="0"/>
        <v>28</v>
      </c>
      <c r="B33" s="3590"/>
      <c r="C33" s="1578" t="s">
        <v>155</v>
      </c>
      <c r="D33" s="1579"/>
      <c r="E33" s="1579"/>
      <c r="F33" s="1581">
        <v>6.1999999999999998E-3</v>
      </c>
      <c r="G33" s="2345">
        <f t="shared" si="4"/>
        <v>0</v>
      </c>
      <c r="H33" s="2346">
        <f t="shared" si="3"/>
        <v>0</v>
      </c>
    </row>
    <row r="34" spans="1:8">
      <c r="A34" s="1587">
        <f t="shared" si="0"/>
        <v>29</v>
      </c>
      <c r="B34" s="3590"/>
      <c r="C34" s="1578" t="s">
        <v>156</v>
      </c>
      <c r="D34" s="1579"/>
      <c r="E34" s="1579"/>
      <c r="F34" s="1581">
        <v>7.3999999999999995E-3</v>
      </c>
      <c r="G34" s="2345">
        <f t="shared" si="4"/>
        <v>0</v>
      </c>
      <c r="H34" s="2346">
        <f t="shared" si="3"/>
        <v>0</v>
      </c>
    </row>
    <row r="35" spans="1:8">
      <c r="A35" s="1587">
        <f t="shared" si="0"/>
        <v>30</v>
      </c>
      <c r="B35" s="3590"/>
      <c r="C35" s="1578" t="s">
        <v>157</v>
      </c>
      <c r="D35" s="1579"/>
      <c r="E35" s="1579"/>
      <c r="F35" s="1581">
        <v>8.6E-3</v>
      </c>
      <c r="G35" s="2345">
        <f t="shared" si="4"/>
        <v>0</v>
      </c>
      <c r="H35" s="2346">
        <f t="shared" si="3"/>
        <v>0</v>
      </c>
    </row>
    <row r="36" spans="1:8">
      <c r="A36" s="1587">
        <f t="shared" si="0"/>
        <v>31</v>
      </c>
      <c r="B36" s="3590"/>
      <c r="C36" s="1578" t="s">
        <v>158</v>
      </c>
      <c r="D36" s="1579"/>
      <c r="E36" s="1579"/>
      <c r="F36" s="1581">
        <v>9.7999999999999997E-3</v>
      </c>
      <c r="G36" s="2345">
        <f>ROUND(D36*F36,0)</f>
        <v>0</v>
      </c>
      <c r="H36" s="2346">
        <f t="shared" si="3"/>
        <v>0</v>
      </c>
    </row>
    <row r="37" spans="1:8">
      <c r="A37" s="1587">
        <f t="shared" si="0"/>
        <v>32</v>
      </c>
      <c r="B37" s="3590"/>
      <c r="C37" s="1578" t="s">
        <v>159</v>
      </c>
      <c r="D37" s="1579"/>
      <c r="E37" s="1579"/>
      <c r="F37" s="1581">
        <v>1.8033333333333332E-2</v>
      </c>
      <c r="G37" s="2345">
        <f t="shared" si="4"/>
        <v>0</v>
      </c>
      <c r="H37" s="2346">
        <f t="shared" si="3"/>
        <v>0</v>
      </c>
    </row>
    <row r="38" spans="1:8">
      <c r="A38" s="1587">
        <f t="shared" si="0"/>
        <v>33</v>
      </c>
      <c r="B38" s="3590"/>
      <c r="C38" s="1578" t="s">
        <v>160</v>
      </c>
      <c r="D38" s="1579"/>
      <c r="E38" s="1579"/>
      <c r="F38" s="1581">
        <v>2.6266666666666667E-2</v>
      </c>
      <c r="G38" s="2345">
        <f t="shared" si="4"/>
        <v>0</v>
      </c>
      <c r="H38" s="2346">
        <f>ROUND(E38*F38,0)</f>
        <v>0</v>
      </c>
    </row>
    <row r="39" spans="1:8">
      <c r="A39" s="1587">
        <f t="shared" ref="A39:A70" si="5">A38+1</f>
        <v>34</v>
      </c>
      <c r="B39" s="3590"/>
      <c r="C39" s="1578" t="s">
        <v>161</v>
      </c>
      <c r="D39" s="1579"/>
      <c r="E39" s="1579"/>
      <c r="F39" s="1581">
        <v>3.4500000000000003E-2</v>
      </c>
      <c r="G39" s="2345">
        <f t="shared" si="4"/>
        <v>0</v>
      </c>
      <c r="H39" s="2346">
        <f t="shared" si="3"/>
        <v>0</v>
      </c>
    </row>
    <row r="40" spans="1:8">
      <c r="A40" s="1587">
        <f t="shared" si="5"/>
        <v>35</v>
      </c>
      <c r="B40" s="3590"/>
      <c r="C40" s="1578" t="s">
        <v>449</v>
      </c>
      <c r="D40" s="1579"/>
      <c r="E40" s="1579"/>
      <c r="F40" s="1581">
        <v>4.8000000000000001E-2</v>
      </c>
      <c r="G40" s="2345">
        <f t="shared" si="4"/>
        <v>0</v>
      </c>
      <c r="H40" s="2346">
        <f t="shared" si="3"/>
        <v>0</v>
      </c>
    </row>
    <row r="41" spans="1:8">
      <c r="A41" s="1587">
        <f t="shared" si="5"/>
        <v>36</v>
      </c>
      <c r="B41" s="3590"/>
      <c r="C41" s="1578" t="s">
        <v>162</v>
      </c>
      <c r="D41" s="1579"/>
      <c r="E41" s="1579"/>
      <c r="F41" s="1581">
        <v>6.1499999999999999E-2</v>
      </c>
      <c r="G41" s="2345">
        <f t="shared" si="4"/>
        <v>0</v>
      </c>
      <c r="H41" s="2346">
        <f t="shared" si="3"/>
        <v>0</v>
      </c>
    </row>
    <row r="42" spans="1:8">
      <c r="A42" s="1587">
        <f t="shared" si="5"/>
        <v>37</v>
      </c>
      <c r="B42" s="3590"/>
      <c r="C42" s="1578" t="s">
        <v>163</v>
      </c>
      <c r="D42" s="1579"/>
      <c r="E42" s="1579"/>
      <c r="F42" s="1581">
        <v>7.4999999999999997E-2</v>
      </c>
      <c r="G42" s="2345">
        <f t="shared" si="4"/>
        <v>0</v>
      </c>
      <c r="H42" s="2346">
        <f t="shared" si="3"/>
        <v>0</v>
      </c>
    </row>
    <row r="43" spans="1:8">
      <c r="A43" s="1587">
        <f t="shared" si="5"/>
        <v>38</v>
      </c>
      <c r="B43" s="3590"/>
      <c r="C43" s="1578" t="s">
        <v>164</v>
      </c>
      <c r="D43" s="1579"/>
      <c r="E43" s="1579"/>
      <c r="F43" s="1581">
        <v>0.1075</v>
      </c>
      <c r="G43" s="2345">
        <f t="shared" si="4"/>
        <v>0</v>
      </c>
      <c r="H43" s="2346">
        <f t="shared" si="3"/>
        <v>0</v>
      </c>
    </row>
    <row r="44" spans="1:8">
      <c r="A44" s="1587">
        <f t="shared" si="5"/>
        <v>39</v>
      </c>
      <c r="B44" s="3590"/>
      <c r="C44" s="1578" t="s">
        <v>165</v>
      </c>
      <c r="D44" s="1579"/>
      <c r="E44" s="1579"/>
      <c r="F44" s="1581">
        <v>0.14000000000000001</v>
      </c>
      <c r="G44" s="2345">
        <f t="shared" si="4"/>
        <v>0</v>
      </c>
      <c r="H44" s="2346">
        <f t="shared" si="3"/>
        <v>0</v>
      </c>
    </row>
    <row r="45" spans="1:8">
      <c r="A45" s="1587">
        <f t="shared" si="5"/>
        <v>40</v>
      </c>
      <c r="B45" s="3590"/>
      <c r="C45" s="1578" t="s">
        <v>166</v>
      </c>
      <c r="D45" s="1579"/>
      <c r="E45" s="1579"/>
      <c r="F45" s="1581">
        <v>0.17249999999999999</v>
      </c>
      <c r="G45" s="2345">
        <f t="shared" si="4"/>
        <v>0</v>
      </c>
      <c r="H45" s="2346">
        <f t="shared" si="3"/>
        <v>0</v>
      </c>
    </row>
    <row r="46" spans="1:8">
      <c r="A46" s="1587">
        <f t="shared" si="5"/>
        <v>41</v>
      </c>
      <c r="B46" s="3590"/>
      <c r="C46" s="1578" t="s">
        <v>167</v>
      </c>
      <c r="D46" s="1579"/>
      <c r="E46" s="1579"/>
      <c r="F46" s="1581">
        <v>0.2112</v>
      </c>
      <c r="G46" s="2345">
        <f t="shared" si="4"/>
        <v>0</v>
      </c>
      <c r="H46" s="2346">
        <f t="shared" si="3"/>
        <v>0</v>
      </c>
    </row>
    <row r="47" spans="1:8">
      <c r="A47" s="1587">
        <f t="shared" si="5"/>
        <v>42</v>
      </c>
      <c r="B47" s="3590"/>
      <c r="C47" s="1578" t="s">
        <v>168</v>
      </c>
      <c r="D47" s="1579"/>
      <c r="E47" s="1579"/>
      <c r="F47" s="1581">
        <v>0.25</v>
      </c>
      <c r="G47" s="2345">
        <f t="shared" si="4"/>
        <v>0</v>
      </c>
      <c r="H47" s="2346">
        <f t="shared" si="3"/>
        <v>0</v>
      </c>
    </row>
    <row r="48" spans="1:8">
      <c r="A48" s="1587">
        <f t="shared" si="5"/>
        <v>43</v>
      </c>
      <c r="B48" s="3591"/>
      <c r="C48" s="1582" t="s">
        <v>169</v>
      </c>
      <c r="D48" s="1583"/>
      <c r="E48" s="1583"/>
      <c r="F48" s="1584">
        <v>0.28870000000000001</v>
      </c>
      <c r="G48" s="2347">
        <f t="shared" si="4"/>
        <v>0</v>
      </c>
      <c r="H48" s="2348">
        <f t="shared" si="3"/>
        <v>0</v>
      </c>
    </row>
    <row r="49" spans="1:8">
      <c r="A49" s="1585">
        <f t="shared" si="5"/>
        <v>44</v>
      </c>
      <c r="B49" s="3596" t="s">
        <v>5769</v>
      </c>
      <c r="C49" s="3596"/>
      <c r="D49" s="1546">
        <f>SUM(D28:D48)</f>
        <v>0</v>
      </c>
      <c r="E49" s="2350">
        <f>SUM(E28:E48)</f>
        <v>0</v>
      </c>
      <c r="F49" s="1589"/>
      <c r="G49" s="2350">
        <f>SUM(G28:G48)</f>
        <v>0</v>
      </c>
      <c r="H49" s="2351">
        <f>SUM(H28:H48)</f>
        <v>0</v>
      </c>
    </row>
    <row r="50" spans="1:8" ht="15.4" customHeight="1">
      <c r="A50" s="1587">
        <f t="shared" si="5"/>
        <v>45</v>
      </c>
      <c r="B50" s="3593" t="s">
        <v>5770</v>
      </c>
      <c r="C50" s="1573" t="s">
        <v>150</v>
      </c>
      <c r="D50" s="1588"/>
      <c r="E50" s="1588"/>
      <c r="F50" s="1581">
        <f t="shared" ref="F50:F64" si="6">F51</f>
        <v>0.1517</v>
      </c>
      <c r="G50" s="1576">
        <f>ROUND(D50*F50,0)</f>
        <v>0</v>
      </c>
      <c r="H50" s="2344">
        <f t="shared" ref="H50:H70" si="7">ROUND(E50*F50,0)</f>
        <v>0</v>
      </c>
    </row>
    <row r="51" spans="1:8">
      <c r="A51" s="1587">
        <f t="shared" si="5"/>
        <v>46</v>
      </c>
      <c r="B51" s="3594"/>
      <c r="C51" s="1578" t="s">
        <v>151</v>
      </c>
      <c r="D51" s="1579"/>
      <c r="E51" s="1579"/>
      <c r="F51" s="1581">
        <f t="shared" si="6"/>
        <v>0.1517</v>
      </c>
      <c r="G51" s="2345">
        <f t="shared" ref="G51:G70" si="8">ROUND(D51*F51,0)</f>
        <v>0</v>
      </c>
      <c r="H51" s="2346">
        <f t="shared" si="7"/>
        <v>0</v>
      </c>
    </row>
    <row r="52" spans="1:8">
      <c r="A52" s="1587">
        <f t="shared" si="5"/>
        <v>47</v>
      </c>
      <c r="B52" s="3594"/>
      <c r="C52" s="1578" t="s">
        <v>152</v>
      </c>
      <c r="D52" s="1579"/>
      <c r="E52" s="1579"/>
      <c r="F52" s="1581">
        <f t="shared" si="6"/>
        <v>0.1517</v>
      </c>
      <c r="G52" s="2345">
        <f t="shared" si="8"/>
        <v>0</v>
      </c>
      <c r="H52" s="2346">
        <f t="shared" si="7"/>
        <v>0</v>
      </c>
    </row>
    <row r="53" spans="1:8">
      <c r="A53" s="1587">
        <f t="shared" si="5"/>
        <v>48</v>
      </c>
      <c r="B53" s="3594"/>
      <c r="C53" s="1578" t="s">
        <v>153</v>
      </c>
      <c r="D53" s="1579"/>
      <c r="E53" s="1579"/>
      <c r="F53" s="1581">
        <f t="shared" si="6"/>
        <v>0.1517</v>
      </c>
      <c r="G53" s="2345">
        <f t="shared" si="8"/>
        <v>0</v>
      </c>
      <c r="H53" s="2346">
        <f t="shared" si="7"/>
        <v>0</v>
      </c>
    </row>
    <row r="54" spans="1:8">
      <c r="A54" s="1587">
        <f t="shared" si="5"/>
        <v>49</v>
      </c>
      <c r="B54" s="3594"/>
      <c r="C54" s="1578" t="s">
        <v>154</v>
      </c>
      <c r="D54" s="1579"/>
      <c r="E54" s="1579"/>
      <c r="F54" s="1581">
        <f t="shared" si="6"/>
        <v>0.1517</v>
      </c>
      <c r="G54" s="2345">
        <f t="shared" si="8"/>
        <v>0</v>
      </c>
      <c r="H54" s="2346">
        <f t="shared" si="7"/>
        <v>0</v>
      </c>
    </row>
    <row r="55" spans="1:8">
      <c r="A55" s="1587">
        <f t="shared" si="5"/>
        <v>50</v>
      </c>
      <c r="B55" s="3594"/>
      <c r="C55" s="1578" t="s">
        <v>155</v>
      </c>
      <c r="D55" s="1579"/>
      <c r="E55" s="1579"/>
      <c r="F55" s="1581">
        <f t="shared" si="6"/>
        <v>0.1517</v>
      </c>
      <c r="G55" s="2345">
        <f t="shared" si="8"/>
        <v>0</v>
      </c>
      <c r="H55" s="2346">
        <f t="shared" si="7"/>
        <v>0</v>
      </c>
    </row>
    <row r="56" spans="1:8">
      <c r="A56" s="1587">
        <f t="shared" si="5"/>
        <v>51</v>
      </c>
      <c r="B56" s="3594"/>
      <c r="C56" s="1578" t="s">
        <v>156</v>
      </c>
      <c r="D56" s="1579"/>
      <c r="E56" s="1579"/>
      <c r="F56" s="1581">
        <f t="shared" si="6"/>
        <v>0.1517</v>
      </c>
      <c r="G56" s="2345">
        <f t="shared" si="8"/>
        <v>0</v>
      </c>
      <c r="H56" s="2346">
        <f t="shared" si="7"/>
        <v>0</v>
      </c>
    </row>
    <row r="57" spans="1:8">
      <c r="A57" s="1587">
        <f t="shared" si="5"/>
        <v>52</v>
      </c>
      <c r="B57" s="3594"/>
      <c r="C57" s="1578" t="s">
        <v>157</v>
      </c>
      <c r="D57" s="1579"/>
      <c r="E57" s="1579"/>
      <c r="F57" s="1581">
        <f t="shared" si="6"/>
        <v>0.1517</v>
      </c>
      <c r="G57" s="2345">
        <f t="shared" si="8"/>
        <v>0</v>
      </c>
      <c r="H57" s="2346">
        <f t="shared" si="7"/>
        <v>0</v>
      </c>
    </row>
    <row r="58" spans="1:8">
      <c r="A58" s="1587">
        <f t="shared" si="5"/>
        <v>53</v>
      </c>
      <c r="B58" s="3594"/>
      <c r="C58" s="1578" t="s">
        <v>158</v>
      </c>
      <c r="D58" s="1579"/>
      <c r="E58" s="1579"/>
      <c r="F58" s="1581">
        <f t="shared" si="6"/>
        <v>0.1517</v>
      </c>
      <c r="G58" s="2345">
        <f t="shared" si="8"/>
        <v>0</v>
      </c>
      <c r="H58" s="2346">
        <f t="shared" si="7"/>
        <v>0</v>
      </c>
    </row>
    <row r="59" spans="1:8">
      <c r="A59" s="1587">
        <f t="shared" si="5"/>
        <v>54</v>
      </c>
      <c r="B59" s="3594"/>
      <c r="C59" s="1578" t="s">
        <v>159</v>
      </c>
      <c r="D59" s="1579"/>
      <c r="E59" s="1579"/>
      <c r="F59" s="1581">
        <f t="shared" si="6"/>
        <v>0.1517</v>
      </c>
      <c r="G59" s="2345">
        <f t="shared" si="8"/>
        <v>0</v>
      </c>
      <c r="H59" s="2346">
        <f t="shared" si="7"/>
        <v>0</v>
      </c>
    </row>
    <row r="60" spans="1:8">
      <c r="A60" s="1587">
        <f t="shared" si="5"/>
        <v>55</v>
      </c>
      <c r="B60" s="3594"/>
      <c r="C60" s="1578" t="s">
        <v>160</v>
      </c>
      <c r="D60" s="1579"/>
      <c r="E60" s="1579"/>
      <c r="F60" s="1581">
        <f t="shared" si="6"/>
        <v>0.1517</v>
      </c>
      <c r="G60" s="2345">
        <f t="shared" si="8"/>
        <v>0</v>
      </c>
      <c r="H60" s="2346">
        <f>ROUND(E60*F60,0)</f>
        <v>0</v>
      </c>
    </row>
    <row r="61" spans="1:8">
      <c r="A61" s="1587">
        <f t="shared" si="5"/>
        <v>56</v>
      </c>
      <c r="B61" s="3594"/>
      <c r="C61" s="1578" t="s">
        <v>161</v>
      </c>
      <c r="D61" s="1579"/>
      <c r="E61" s="1579"/>
      <c r="F61" s="1581">
        <f t="shared" si="6"/>
        <v>0.1517</v>
      </c>
      <c r="G61" s="2345">
        <f t="shared" si="8"/>
        <v>0</v>
      </c>
      <c r="H61" s="2346">
        <f t="shared" si="7"/>
        <v>0</v>
      </c>
    </row>
    <row r="62" spans="1:8">
      <c r="A62" s="1587">
        <f t="shared" si="5"/>
        <v>57</v>
      </c>
      <c r="B62" s="3594"/>
      <c r="C62" s="1578" t="s">
        <v>449</v>
      </c>
      <c r="D62" s="1579"/>
      <c r="E62" s="1579"/>
      <c r="F62" s="1581">
        <f t="shared" si="6"/>
        <v>0.1517</v>
      </c>
      <c r="G62" s="2345">
        <f t="shared" si="8"/>
        <v>0</v>
      </c>
      <c r="H62" s="2346">
        <f t="shared" si="7"/>
        <v>0</v>
      </c>
    </row>
    <row r="63" spans="1:8">
      <c r="A63" s="1587">
        <f t="shared" si="5"/>
        <v>58</v>
      </c>
      <c r="B63" s="3594"/>
      <c r="C63" s="1578" t="s">
        <v>162</v>
      </c>
      <c r="D63" s="1579"/>
      <c r="E63" s="1579"/>
      <c r="F63" s="1581">
        <f t="shared" si="6"/>
        <v>0.1517</v>
      </c>
      <c r="G63" s="2345">
        <f t="shared" si="8"/>
        <v>0</v>
      </c>
      <c r="H63" s="2346">
        <f t="shared" si="7"/>
        <v>0</v>
      </c>
    </row>
    <row r="64" spans="1:8">
      <c r="A64" s="1587">
        <f t="shared" si="5"/>
        <v>59</v>
      </c>
      <c r="B64" s="3594"/>
      <c r="C64" s="1578" t="s">
        <v>163</v>
      </c>
      <c r="D64" s="1579"/>
      <c r="E64" s="1579"/>
      <c r="F64" s="1581">
        <f t="shared" si="6"/>
        <v>0.1517</v>
      </c>
      <c r="G64" s="2345">
        <f t="shared" si="8"/>
        <v>0</v>
      </c>
      <c r="H64" s="2346">
        <f t="shared" si="7"/>
        <v>0</v>
      </c>
    </row>
    <row r="65" spans="1:8">
      <c r="A65" s="1587">
        <f t="shared" si="5"/>
        <v>60</v>
      </c>
      <c r="B65" s="3594"/>
      <c r="C65" s="1578" t="s">
        <v>164</v>
      </c>
      <c r="D65" s="1579"/>
      <c r="E65" s="1579"/>
      <c r="F65" s="1581">
        <f>F66</f>
        <v>0.1517</v>
      </c>
      <c r="G65" s="2345">
        <f t="shared" si="8"/>
        <v>0</v>
      </c>
      <c r="H65" s="2346">
        <f t="shared" si="7"/>
        <v>0</v>
      </c>
    </row>
    <row r="66" spans="1:8">
      <c r="A66" s="1587">
        <f t="shared" si="5"/>
        <v>61</v>
      </c>
      <c r="B66" s="3594"/>
      <c r="C66" s="1578" t="s">
        <v>165</v>
      </c>
      <c r="D66" s="1579"/>
      <c r="E66" s="1579"/>
      <c r="F66" s="1581">
        <v>0.1517</v>
      </c>
      <c r="G66" s="2345">
        <f t="shared" si="8"/>
        <v>0</v>
      </c>
      <c r="H66" s="2346">
        <f t="shared" si="7"/>
        <v>0</v>
      </c>
    </row>
    <row r="67" spans="1:8">
      <c r="A67" s="1587">
        <f t="shared" si="5"/>
        <v>62</v>
      </c>
      <c r="B67" s="3594"/>
      <c r="C67" s="1578" t="s">
        <v>166</v>
      </c>
      <c r="D67" s="1579"/>
      <c r="E67" s="1579"/>
      <c r="F67" s="1581">
        <v>0.17249999999999999</v>
      </c>
      <c r="G67" s="2345">
        <f t="shared" si="8"/>
        <v>0</v>
      </c>
      <c r="H67" s="2346">
        <f t="shared" si="7"/>
        <v>0</v>
      </c>
    </row>
    <row r="68" spans="1:8">
      <c r="A68" s="1587">
        <f t="shared" si="5"/>
        <v>63</v>
      </c>
      <c r="B68" s="3594"/>
      <c r="C68" s="1578" t="s">
        <v>167</v>
      </c>
      <c r="D68" s="1579"/>
      <c r="E68" s="1579"/>
      <c r="F68" s="1581">
        <f>$F$24</f>
        <v>0.2112</v>
      </c>
      <c r="G68" s="2345">
        <f t="shared" si="8"/>
        <v>0</v>
      </c>
      <c r="H68" s="2346">
        <f t="shared" si="7"/>
        <v>0</v>
      </c>
    </row>
    <row r="69" spans="1:8">
      <c r="A69" s="1587">
        <f t="shared" si="5"/>
        <v>64</v>
      </c>
      <c r="B69" s="3594"/>
      <c r="C69" s="1578" t="s">
        <v>168</v>
      </c>
      <c r="D69" s="1579"/>
      <c r="E69" s="1579"/>
      <c r="F69" s="1581">
        <f>$F$25</f>
        <v>0.25</v>
      </c>
      <c r="G69" s="2345">
        <f t="shared" si="8"/>
        <v>0</v>
      </c>
      <c r="H69" s="2346">
        <f t="shared" si="7"/>
        <v>0</v>
      </c>
    </row>
    <row r="70" spans="1:8">
      <c r="A70" s="1587">
        <f t="shared" si="5"/>
        <v>65</v>
      </c>
      <c r="B70" s="3595"/>
      <c r="C70" s="1582" t="s">
        <v>169</v>
      </c>
      <c r="D70" s="1583"/>
      <c r="E70" s="1583"/>
      <c r="F70" s="1584">
        <f>$F$26</f>
        <v>0.28870000000000001</v>
      </c>
      <c r="G70" s="2347">
        <f t="shared" si="8"/>
        <v>0</v>
      </c>
      <c r="H70" s="2348">
        <f t="shared" si="7"/>
        <v>0</v>
      </c>
    </row>
    <row r="71" spans="1:8">
      <c r="A71" s="2352">
        <f t="shared" ref="A71:A102" si="9">A70+1</f>
        <v>66</v>
      </c>
      <c r="B71" s="3598" t="s">
        <v>5771</v>
      </c>
      <c r="C71" s="3598"/>
      <c r="D71" s="1546">
        <f>SUM(D50:D70)</f>
        <v>0</v>
      </c>
      <c r="E71" s="1546">
        <f>SUM(E50:E70)</f>
        <v>0</v>
      </c>
      <c r="F71" s="1589"/>
      <c r="G71" s="1546">
        <f>SUM(G50:G70)</f>
        <v>0</v>
      </c>
      <c r="H71" s="1548">
        <f>SUM(H50:H70)</f>
        <v>0</v>
      </c>
    </row>
    <row r="72" spans="1:8">
      <c r="A72" s="1587">
        <f t="shared" si="9"/>
        <v>67</v>
      </c>
      <c r="B72" s="3593" t="s">
        <v>5772</v>
      </c>
      <c r="C72" s="1573" t="s">
        <v>150</v>
      </c>
      <c r="D72" s="1588"/>
      <c r="E72" s="1588"/>
      <c r="F72" s="1575">
        <v>0</v>
      </c>
      <c r="G72" s="1576">
        <f t="shared" ref="G72:G92" si="10">ROUND(D72*F72,0)</f>
        <v>0</v>
      </c>
      <c r="H72" s="2344">
        <f t="shared" ref="H72:H92" si="11">ROUND(E72*F72,0)</f>
        <v>0</v>
      </c>
    </row>
    <row r="73" spans="1:8">
      <c r="A73" s="1587">
        <f t="shared" si="9"/>
        <v>68</v>
      </c>
      <c r="B73" s="3594"/>
      <c r="C73" s="1578" t="s">
        <v>151</v>
      </c>
      <c r="D73" s="1579"/>
      <c r="E73" s="1579"/>
      <c r="F73" s="1580">
        <v>0</v>
      </c>
      <c r="G73" s="2345">
        <f t="shared" si="10"/>
        <v>0</v>
      </c>
      <c r="H73" s="2346">
        <f t="shared" si="11"/>
        <v>0</v>
      </c>
    </row>
    <row r="74" spans="1:8">
      <c r="A74" s="1587">
        <f t="shared" si="9"/>
        <v>69</v>
      </c>
      <c r="B74" s="3594"/>
      <c r="C74" s="1578" t="s">
        <v>152</v>
      </c>
      <c r="D74" s="1579"/>
      <c r="E74" s="1579"/>
      <c r="F74" s="1580">
        <v>0</v>
      </c>
      <c r="G74" s="2345">
        <f t="shared" si="10"/>
        <v>0</v>
      </c>
      <c r="H74" s="2346">
        <f t="shared" si="11"/>
        <v>0</v>
      </c>
    </row>
    <row r="75" spans="1:8">
      <c r="A75" s="1587">
        <f t="shared" si="9"/>
        <v>70</v>
      </c>
      <c r="B75" s="3594"/>
      <c r="C75" s="1578" t="s">
        <v>153</v>
      </c>
      <c r="D75" s="1579"/>
      <c r="E75" s="1579"/>
      <c r="F75" s="1580">
        <v>0</v>
      </c>
      <c r="G75" s="2345">
        <f t="shared" si="10"/>
        <v>0</v>
      </c>
      <c r="H75" s="2346">
        <f t="shared" si="11"/>
        <v>0</v>
      </c>
    </row>
    <row r="76" spans="1:8">
      <c r="A76" s="1587">
        <f t="shared" si="9"/>
        <v>71</v>
      </c>
      <c r="B76" s="3594"/>
      <c r="C76" s="1578" t="s">
        <v>154</v>
      </c>
      <c r="D76" s="1579"/>
      <c r="E76" s="1579"/>
      <c r="F76" s="1581">
        <v>3.0999999999999999E-3</v>
      </c>
      <c r="G76" s="2345">
        <f t="shared" si="10"/>
        <v>0</v>
      </c>
      <c r="H76" s="2346">
        <f t="shared" si="11"/>
        <v>0</v>
      </c>
    </row>
    <row r="77" spans="1:8">
      <c r="A77" s="1587">
        <f t="shared" si="9"/>
        <v>72</v>
      </c>
      <c r="B77" s="3594"/>
      <c r="C77" s="1578" t="s">
        <v>155</v>
      </c>
      <c r="D77" s="1579"/>
      <c r="E77" s="1579"/>
      <c r="F77" s="1581">
        <v>6.1999999999999998E-3</v>
      </c>
      <c r="G77" s="2345">
        <f t="shared" si="10"/>
        <v>0</v>
      </c>
      <c r="H77" s="2346">
        <f t="shared" si="11"/>
        <v>0</v>
      </c>
    </row>
    <row r="78" spans="1:8">
      <c r="A78" s="1587">
        <f t="shared" si="9"/>
        <v>73</v>
      </c>
      <c r="B78" s="3594"/>
      <c r="C78" s="1578" t="s">
        <v>156</v>
      </c>
      <c r="D78" s="1579"/>
      <c r="E78" s="1579"/>
      <c r="F78" s="1581">
        <v>7.3999999999999995E-3</v>
      </c>
      <c r="G78" s="2345">
        <f t="shared" si="10"/>
        <v>0</v>
      </c>
      <c r="H78" s="2346">
        <f t="shared" si="11"/>
        <v>0</v>
      </c>
    </row>
    <row r="79" spans="1:8">
      <c r="A79" s="1587">
        <f t="shared" si="9"/>
        <v>74</v>
      </c>
      <c r="B79" s="3594"/>
      <c r="C79" s="1578" t="s">
        <v>157</v>
      </c>
      <c r="D79" s="1579"/>
      <c r="E79" s="1579"/>
      <c r="F79" s="1581">
        <v>8.6E-3</v>
      </c>
      <c r="G79" s="2345">
        <f t="shared" si="10"/>
        <v>0</v>
      </c>
      <c r="H79" s="2346">
        <f t="shared" si="11"/>
        <v>0</v>
      </c>
    </row>
    <row r="80" spans="1:8">
      <c r="A80" s="1587">
        <f t="shared" si="9"/>
        <v>75</v>
      </c>
      <c r="B80" s="3594"/>
      <c r="C80" s="1578" t="s">
        <v>158</v>
      </c>
      <c r="D80" s="1579"/>
      <c r="E80" s="1579"/>
      <c r="F80" s="1581">
        <v>9.7999999999999997E-3</v>
      </c>
      <c r="G80" s="2345">
        <f t="shared" si="10"/>
        <v>0</v>
      </c>
      <c r="H80" s="2346">
        <f>ROUND(E80*F80,0)</f>
        <v>0</v>
      </c>
    </row>
    <row r="81" spans="1:8">
      <c r="A81" s="1587">
        <f t="shared" si="9"/>
        <v>76</v>
      </c>
      <c r="B81" s="3594"/>
      <c r="C81" s="1578" t="s">
        <v>159</v>
      </c>
      <c r="D81" s="1579"/>
      <c r="E81" s="1579"/>
      <c r="F81" s="1581">
        <v>1.8033333333333332E-2</v>
      </c>
      <c r="G81" s="2345">
        <f t="shared" si="10"/>
        <v>0</v>
      </c>
      <c r="H81" s="2346">
        <f t="shared" si="11"/>
        <v>0</v>
      </c>
    </row>
    <row r="82" spans="1:8">
      <c r="A82" s="1587">
        <f t="shared" si="9"/>
        <v>77</v>
      </c>
      <c r="B82" s="3594"/>
      <c r="C82" s="1578" t="s">
        <v>160</v>
      </c>
      <c r="D82" s="1579"/>
      <c r="E82" s="1579"/>
      <c r="F82" s="1581">
        <v>2.6266666666666667E-2</v>
      </c>
      <c r="G82" s="2345">
        <f t="shared" si="10"/>
        <v>0</v>
      </c>
      <c r="H82" s="2346">
        <f t="shared" si="11"/>
        <v>0</v>
      </c>
    </row>
    <row r="83" spans="1:8">
      <c r="A83" s="1587">
        <f t="shared" si="9"/>
        <v>78</v>
      </c>
      <c r="B83" s="3594"/>
      <c r="C83" s="1578" t="s">
        <v>161</v>
      </c>
      <c r="D83" s="1579"/>
      <c r="E83" s="1579"/>
      <c r="F83" s="1581">
        <v>3.4500000000000003E-2</v>
      </c>
      <c r="G83" s="2345">
        <f t="shared" si="10"/>
        <v>0</v>
      </c>
      <c r="H83" s="2346">
        <f t="shared" si="11"/>
        <v>0</v>
      </c>
    </row>
    <row r="84" spans="1:8">
      <c r="A84" s="1587">
        <f t="shared" si="9"/>
        <v>79</v>
      </c>
      <c r="B84" s="3594"/>
      <c r="C84" s="1578" t="s">
        <v>449</v>
      </c>
      <c r="D84" s="1579"/>
      <c r="E84" s="1579"/>
      <c r="F84" s="1581">
        <v>4.8000000000000001E-2</v>
      </c>
      <c r="G84" s="2345">
        <f t="shared" si="10"/>
        <v>0</v>
      </c>
      <c r="H84" s="2346">
        <f t="shared" si="11"/>
        <v>0</v>
      </c>
    </row>
    <row r="85" spans="1:8">
      <c r="A85" s="1587">
        <f t="shared" si="9"/>
        <v>80</v>
      </c>
      <c r="B85" s="3594"/>
      <c r="C85" s="1578" t="s">
        <v>162</v>
      </c>
      <c r="D85" s="1579"/>
      <c r="E85" s="1579"/>
      <c r="F85" s="1581">
        <v>6.1499999999999999E-2</v>
      </c>
      <c r="G85" s="2345">
        <f>ROUND(D85*F85,0)</f>
        <v>0</v>
      </c>
      <c r="H85" s="2346">
        <f t="shared" si="11"/>
        <v>0</v>
      </c>
    </row>
    <row r="86" spans="1:8">
      <c r="A86" s="1587">
        <f t="shared" si="9"/>
        <v>81</v>
      </c>
      <c r="B86" s="3594"/>
      <c r="C86" s="1578" t="s">
        <v>163</v>
      </c>
      <c r="D86" s="1579"/>
      <c r="E86" s="1579"/>
      <c r="F86" s="1581">
        <v>7.4999999999999997E-2</v>
      </c>
      <c r="G86" s="2345">
        <f t="shared" si="10"/>
        <v>0</v>
      </c>
      <c r="H86" s="2346">
        <f t="shared" si="11"/>
        <v>0</v>
      </c>
    </row>
    <row r="87" spans="1:8">
      <c r="A87" s="1587">
        <f t="shared" si="9"/>
        <v>82</v>
      </c>
      <c r="B87" s="3594"/>
      <c r="C87" s="1578" t="s">
        <v>164</v>
      </c>
      <c r="D87" s="1579"/>
      <c r="E87" s="1579"/>
      <c r="F87" s="1581">
        <v>0.1075</v>
      </c>
      <c r="G87" s="2345">
        <f t="shared" si="10"/>
        <v>0</v>
      </c>
      <c r="H87" s="2346">
        <f t="shared" si="11"/>
        <v>0</v>
      </c>
    </row>
    <row r="88" spans="1:8">
      <c r="A88" s="1587">
        <f t="shared" si="9"/>
        <v>83</v>
      </c>
      <c r="B88" s="3594"/>
      <c r="C88" s="1578" t="s">
        <v>165</v>
      </c>
      <c r="D88" s="1579"/>
      <c r="E88" s="1579"/>
      <c r="F88" s="1581">
        <v>0.14000000000000001</v>
      </c>
      <c r="G88" s="2345">
        <f t="shared" si="10"/>
        <v>0</v>
      </c>
      <c r="H88" s="2346">
        <f t="shared" si="11"/>
        <v>0</v>
      </c>
    </row>
    <row r="89" spans="1:8">
      <c r="A89" s="1587">
        <f t="shared" si="9"/>
        <v>84</v>
      </c>
      <c r="B89" s="3594"/>
      <c r="C89" s="1578" t="s">
        <v>166</v>
      </c>
      <c r="D89" s="1579"/>
      <c r="E89" s="1579"/>
      <c r="F89" s="1581">
        <v>0.17249999999999999</v>
      </c>
      <c r="G89" s="2345">
        <f t="shared" si="10"/>
        <v>0</v>
      </c>
      <c r="H89" s="2346">
        <f t="shared" si="11"/>
        <v>0</v>
      </c>
    </row>
    <row r="90" spans="1:8">
      <c r="A90" s="1587">
        <f t="shared" si="9"/>
        <v>85</v>
      </c>
      <c r="B90" s="3594"/>
      <c r="C90" s="1578" t="s">
        <v>167</v>
      </c>
      <c r="D90" s="1579"/>
      <c r="E90" s="1579"/>
      <c r="F90" s="1581">
        <v>0.2112</v>
      </c>
      <c r="G90" s="2345">
        <f t="shared" si="10"/>
        <v>0</v>
      </c>
      <c r="H90" s="2346">
        <f t="shared" si="11"/>
        <v>0</v>
      </c>
    </row>
    <row r="91" spans="1:8">
      <c r="A91" s="1587">
        <f t="shared" si="9"/>
        <v>86</v>
      </c>
      <c r="B91" s="3594"/>
      <c r="C91" s="1578" t="s">
        <v>168</v>
      </c>
      <c r="D91" s="1579"/>
      <c r="E91" s="1579"/>
      <c r="F91" s="1581">
        <v>0.25</v>
      </c>
      <c r="G91" s="2345">
        <f t="shared" si="10"/>
        <v>0</v>
      </c>
      <c r="H91" s="2346">
        <f t="shared" si="11"/>
        <v>0</v>
      </c>
    </row>
    <row r="92" spans="1:8">
      <c r="A92" s="1587">
        <f t="shared" si="9"/>
        <v>87</v>
      </c>
      <c r="B92" s="3595"/>
      <c r="C92" s="1582" t="s">
        <v>169</v>
      </c>
      <c r="D92" s="1583"/>
      <c r="E92" s="1583"/>
      <c r="F92" s="1584">
        <v>0.28870000000000001</v>
      </c>
      <c r="G92" s="2347">
        <f t="shared" si="10"/>
        <v>0</v>
      </c>
      <c r="H92" s="2348">
        <f t="shared" si="11"/>
        <v>0</v>
      </c>
    </row>
    <row r="93" spans="1:8">
      <c r="A93" s="2352">
        <f t="shared" si="9"/>
        <v>88</v>
      </c>
      <c r="B93" s="3598" t="s">
        <v>5773</v>
      </c>
      <c r="C93" s="3598"/>
      <c r="D93" s="1546">
        <f>SUM(D72:D92)</f>
        <v>0</v>
      </c>
      <c r="E93" s="1546">
        <f>SUM(E72:E92)</f>
        <v>0</v>
      </c>
      <c r="F93" s="1589"/>
      <c r="G93" s="1546">
        <f>SUM(G72:G92)</f>
        <v>0</v>
      </c>
      <c r="H93" s="1548">
        <f>SUM(H72:H92)</f>
        <v>0</v>
      </c>
    </row>
    <row r="94" spans="1:8" ht="15.4" customHeight="1">
      <c r="A94" s="1587">
        <f t="shared" si="9"/>
        <v>89</v>
      </c>
      <c r="B94" s="3593" t="s">
        <v>5774</v>
      </c>
      <c r="C94" s="1573" t="s">
        <v>150</v>
      </c>
      <c r="D94" s="1588"/>
      <c r="E94" s="1588"/>
      <c r="F94" s="1575">
        <v>0</v>
      </c>
      <c r="G94" s="1576">
        <f t="shared" ref="G94:G114" si="12">ROUND(D94*F94,0)</f>
        <v>0</v>
      </c>
      <c r="H94" s="2344">
        <f t="shared" ref="H94:H114" si="13">ROUND(E94*F94,0)</f>
        <v>0</v>
      </c>
    </row>
    <row r="95" spans="1:8">
      <c r="A95" s="1587">
        <f t="shared" si="9"/>
        <v>90</v>
      </c>
      <c r="B95" s="3594"/>
      <c r="C95" s="1578" t="s">
        <v>151</v>
      </c>
      <c r="D95" s="1579"/>
      <c r="E95" s="1579"/>
      <c r="F95" s="1580">
        <v>0</v>
      </c>
      <c r="G95" s="2345">
        <f t="shared" si="12"/>
        <v>0</v>
      </c>
      <c r="H95" s="2346">
        <f t="shared" si="13"/>
        <v>0</v>
      </c>
    </row>
    <row r="96" spans="1:8">
      <c r="A96" s="1587">
        <f t="shared" si="9"/>
        <v>91</v>
      </c>
      <c r="B96" s="3594"/>
      <c r="C96" s="1578" t="s">
        <v>152</v>
      </c>
      <c r="D96" s="1579"/>
      <c r="E96" s="1579"/>
      <c r="F96" s="1580">
        <v>0</v>
      </c>
      <c r="G96" s="2345">
        <f t="shared" si="12"/>
        <v>0</v>
      </c>
      <c r="H96" s="2346">
        <f t="shared" si="13"/>
        <v>0</v>
      </c>
    </row>
    <row r="97" spans="1:8">
      <c r="A97" s="1587">
        <f t="shared" si="9"/>
        <v>92</v>
      </c>
      <c r="B97" s="3594"/>
      <c r="C97" s="1578" t="s">
        <v>153</v>
      </c>
      <c r="D97" s="1579"/>
      <c r="E97" s="1579"/>
      <c r="F97" s="1580">
        <v>0</v>
      </c>
      <c r="G97" s="2345">
        <f t="shared" si="12"/>
        <v>0</v>
      </c>
      <c r="H97" s="2346">
        <f t="shared" si="13"/>
        <v>0</v>
      </c>
    </row>
    <row r="98" spans="1:8">
      <c r="A98" s="1587">
        <f t="shared" si="9"/>
        <v>93</v>
      </c>
      <c r="B98" s="3594"/>
      <c r="C98" s="1578" t="s">
        <v>154</v>
      </c>
      <c r="D98" s="1579"/>
      <c r="E98" s="1579"/>
      <c r="F98" s="1581">
        <v>3.0999999999999999E-3</v>
      </c>
      <c r="G98" s="2345">
        <f t="shared" si="12"/>
        <v>0</v>
      </c>
      <c r="H98" s="2346">
        <f t="shared" si="13"/>
        <v>0</v>
      </c>
    </row>
    <row r="99" spans="1:8">
      <c r="A99" s="1587">
        <f t="shared" si="9"/>
        <v>94</v>
      </c>
      <c r="B99" s="3594"/>
      <c r="C99" s="1578" t="s">
        <v>155</v>
      </c>
      <c r="D99" s="1579"/>
      <c r="E99" s="1579"/>
      <c r="F99" s="1581">
        <v>6.1999999999999998E-3</v>
      </c>
      <c r="G99" s="2345">
        <f t="shared" si="12"/>
        <v>0</v>
      </c>
      <c r="H99" s="2346">
        <f t="shared" si="13"/>
        <v>0</v>
      </c>
    </row>
    <row r="100" spans="1:8">
      <c r="A100" s="1587">
        <f t="shared" si="9"/>
        <v>95</v>
      </c>
      <c r="B100" s="3594"/>
      <c r="C100" s="1578" t="s">
        <v>156</v>
      </c>
      <c r="D100" s="1579"/>
      <c r="E100" s="1579"/>
      <c r="F100" s="1581">
        <v>7.3999999999999995E-3</v>
      </c>
      <c r="G100" s="2345">
        <f t="shared" si="12"/>
        <v>0</v>
      </c>
      <c r="H100" s="2346">
        <f t="shared" si="13"/>
        <v>0</v>
      </c>
    </row>
    <row r="101" spans="1:8">
      <c r="A101" s="1587">
        <f t="shared" si="9"/>
        <v>96</v>
      </c>
      <c r="B101" s="3594"/>
      <c r="C101" s="1578" t="s">
        <v>157</v>
      </c>
      <c r="D101" s="1579"/>
      <c r="E101" s="1579"/>
      <c r="F101" s="1581">
        <v>8.6E-3</v>
      </c>
      <c r="G101" s="2345">
        <f t="shared" si="12"/>
        <v>0</v>
      </c>
      <c r="H101" s="2346">
        <f t="shared" si="13"/>
        <v>0</v>
      </c>
    </row>
    <row r="102" spans="1:8">
      <c r="A102" s="1587">
        <f t="shared" si="9"/>
        <v>97</v>
      </c>
      <c r="B102" s="3594"/>
      <c r="C102" s="1578" t="s">
        <v>158</v>
      </c>
      <c r="D102" s="1579"/>
      <c r="E102" s="1579"/>
      <c r="F102" s="1581">
        <v>9.7999999999999997E-3</v>
      </c>
      <c r="G102" s="2345">
        <f t="shared" si="12"/>
        <v>0</v>
      </c>
      <c r="H102" s="2346">
        <f t="shared" si="13"/>
        <v>0</v>
      </c>
    </row>
    <row r="103" spans="1:8">
      <c r="A103" s="1587">
        <f t="shared" ref="A103:A115" si="14">A102+1</f>
        <v>98</v>
      </c>
      <c r="B103" s="3594"/>
      <c r="C103" s="1578" t="s">
        <v>159</v>
      </c>
      <c r="D103" s="1579"/>
      <c r="E103" s="1579"/>
      <c r="F103" s="1581">
        <v>1.8033333333333332E-2</v>
      </c>
      <c r="G103" s="2345">
        <f t="shared" si="12"/>
        <v>0</v>
      </c>
      <c r="H103" s="2346">
        <f>ROUND(E103*F103,0)</f>
        <v>0</v>
      </c>
    </row>
    <row r="104" spans="1:8">
      <c r="A104" s="1587">
        <f t="shared" si="14"/>
        <v>99</v>
      </c>
      <c r="B104" s="3594"/>
      <c r="C104" s="1578" t="s">
        <v>160</v>
      </c>
      <c r="D104" s="1579"/>
      <c r="E104" s="1579"/>
      <c r="F104" s="1581">
        <v>2.6266666666666667E-2</v>
      </c>
      <c r="G104" s="2345">
        <f t="shared" si="12"/>
        <v>0</v>
      </c>
      <c r="H104" s="2346">
        <f t="shared" si="13"/>
        <v>0</v>
      </c>
    </row>
    <row r="105" spans="1:8">
      <c r="A105" s="1587">
        <f t="shared" si="14"/>
        <v>100</v>
      </c>
      <c r="B105" s="3594"/>
      <c r="C105" s="1578" t="s">
        <v>161</v>
      </c>
      <c r="D105" s="1579"/>
      <c r="E105" s="1579"/>
      <c r="F105" s="1581">
        <v>3.4500000000000003E-2</v>
      </c>
      <c r="G105" s="2345">
        <f t="shared" si="12"/>
        <v>0</v>
      </c>
      <c r="H105" s="2346">
        <f t="shared" si="13"/>
        <v>0</v>
      </c>
    </row>
    <row r="106" spans="1:8">
      <c r="A106" s="1587">
        <f t="shared" si="14"/>
        <v>101</v>
      </c>
      <c r="B106" s="3594"/>
      <c r="C106" s="1578" t="s">
        <v>449</v>
      </c>
      <c r="D106" s="1579"/>
      <c r="E106" s="1579"/>
      <c r="F106" s="1581">
        <v>4.8000000000000001E-2</v>
      </c>
      <c r="G106" s="2345">
        <f t="shared" si="12"/>
        <v>0</v>
      </c>
      <c r="H106" s="2346">
        <f t="shared" si="13"/>
        <v>0</v>
      </c>
    </row>
    <row r="107" spans="1:8">
      <c r="A107" s="1587">
        <f t="shared" si="14"/>
        <v>102</v>
      </c>
      <c r="B107" s="3594"/>
      <c r="C107" s="1578" t="s">
        <v>162</v>
      </c>
      <c r="D107" s="1579"/>
      <c r="E107" s="1579"/>
      <c r="F107" s="1581">
        <v>6.1499999999999999E-2</v>
      </c>
      <c r="G107" s="2345">
        <f t="shared" si="12"/>
        <v>0</v>
      </c>
      <c r="H107" s="2346">
        <f t="shared" si="13"/>
        <v>0</v>
      </c>
    </row>
    <row r="108" spans="1:8">
      <c r="A108" s="1587">
        <f t="shared" si="14"/>
        <v>103</v>
      </c>
      <c r="B108" s="3594"/>
      <c r="C108" s="1578" t="s">
        <v>163</v>
      </c>
      <c r="D108" s="1579"/>
      <c r="E108" s="1579"/>
      <c r="F108" s="1581">
        <v>7.4999999999999997E-2</v>
      </c>
      <c r="G108" s="2345">
        <f t="shared" si="12"/>
        <v>0</v>
      </c>
      <c r="H108" s="2346">
        <f t="shared" si="13"/>
        <v>0</v>
      </c>
    </row>
    <row r="109" spans="1:8">
      <c r="A109" s="1587">
        <f t="shared" si="14"/>
        <v>104</v>
      </c>
      <c r="B109" s="3594"/>
      <c r="C109" s="1578" t="s">
        <v>164</v>
      </c>
      <c r="D109" s="1579"/>
      <c r="E109" s="1579"/>
      <c r="F109" s="1581">
        <v>0.1075</v>
      </c>
      <c r="G109" s="2345">
        <f>ROUND(D109*F109,0)</f>
        <v>0</v>
      </c>
      <c r="H109" s="2346">
        <f t="shared" si="13"/>
        <v>0</v>
      </c>
    </row>
    <row r="110" spans="1:8">
      <c r="A110" s="1587">
        <f t="shared" si="14"/>
        <v>105</v>
      </c>
      <c r="B110" s="3594"/>
      <c r="C110" s="1578" t="s">
        <v>165</v>
      </c>
      <c r="D110" s="1579"/>
      <c r="E110" s="1579"/>
      <c r="F110" s="1581">
        <v>0.14000000000000001</v>
      </c>
      <c r="G110" s="2345">
        <f t="shared" si="12"/>
        <v>0</v>
      </c>
      <c r="H110" s="2346">
        <f t="shared" si="13"/>
        <v>0</v>
      </c>
    </row>
    <row r="111" spans="1:8">
      <c r="A111" s="1587">
        <f t="shared" si="14"/>
        <v>106</v>
      </c>
      <c r="B111" s="3594"/>
      <c r="C111" s="1578" t="s">
        <v>166</v>
      </c>
      <c r="D111" s="1579"/>
      <c r="E111" s="1579"/>
      <c r="F111" s="1581">
        <v>0.17249999999999999</v>
      </c>
      <c r="G111" s="2345">
        <f t="shared" si="12"/>
        <v>0</v>
      </c>
      <c r="H111" s="2346">
        <f t="shared" si="13"/>
        <v>0</v>
      </c>
    </row>
    <row r="112" spans="1:8">
      <c r="A112" s="1587">
        <f t="shared" si="14"/>
        <v>107</v>
      </c>
      <c r="B112" s="3594"/>
      <c r="C112" s="1578" t="s">
        <v>167</v>
      </c>
      <c r="D112" s="1579"/>
      <c r="E112" s="1579"/>
      <c r="F112" s="1581">
        <v>0.2112</v>
      </c>
      <c r="G112" s="2345">
        <f t="shared" si="12"/>
        <v>0</v>
      </c>
      <c r="H112" s="2346">
        <f t="shared" si="13"/>
        <v>0</v>
      </c>
    </row>
    <row r="113" spans="1:8">
      <c r="A113" s="1587">
        <f t="shared" si="14"/>
        <v>108</v>
      </c>
      <c r="B113" s="3594"/>
      <c r="C113" s="1578" t="s">
        <v>168</v>
      </c>
      <c r="D113" s="1579"/>
      <c r="E113" s="1579"/>
      <c r="F113" s="1581">
        <v>0.25</v>
      </c>
      <c r="G113" s="2345">
        <f t="shared" si="12"/>
        <v>0</v>
      </c>
      <c r="H113" s="2346">
        <f t="shared" si="13"/>
        <v>0</v>
      </c>
    </row>
    <row r="114" spans="1:8">
      <c r="A114" s="1587">
        <f t="shared" si="14"/>
        <v>109</v>
      </c>
      <c r="B114" s="3597"/>
      <c r="C114" s="2353" t="s">
        <v>169</v>
      </c>
      <c r="D114" s="2354"/>
      <c r="E114" s="2354"/>
      <c r="F114" s="2355">
        <v>0.28870000000000001</v>
      </c>
      <c r="G114" s="2356">
        <f t="shared" si="12"/>
        <v>0</v>
      </c>
      <c r="H114" s="2357">
        <f t="shared" si="13"/>
        <v>0</v>
      </c>
    </row>
    <row r="115" spans="1:8" ht="16.5" thickBot="1">
      <c r="A115" s="2358">
        <f t="shared" si="14"/>
        <v>110</v>
      </c>
      <c r="B115" s="3587" t="s">
        <v>5775</v>
      </c>
      <c r="C115" s="3587"/>
      <c r="D115" s="1559">
        <f>SUM(D94:D114)</f>
        <v>0</v>
      </c>
      <c r="E115" s="1559">
        <f>SUM(E94:E114)</f>
        <v>0</v>
      </c>
      <c r="F115" s="2359"/>
      <c r="G115" s="2360">
        <f>SUM(G94:G114)</f>
        <v>0</v>
      </c>
      <c r="H115" s="2361">
        <f>SUM(H94:H114)</f>
        <v>0</v>
      </c>
    </row>
    <row r="117" spans="1:8" ht="16.5">
      <c r="A117" s="1593" t="s">
        <v>4821</v>
      </c>
      <c r="B117" s="1195" t="s">
        <v>5776</v>
      </c>
    </row>
    <row r="118" spans="1:8" ht="16.5">
      <c r="A118" s="1593" t="s">
        <v>4170</v>
      </c>
      <c r="B118" s="1195" t="s">
        <v>5777</v>
      </c>
    </row>
    <row r="119" spans="1:8" ht="16.5">
      <c r="A119" s="1593" t="s">
        <v>5778</v>
      </c>
      <c r="B119" s="1195" t="s">
        <v>5779</v>
      </c>
      <c r="H119" s="2362" t="str">
        <f>IF(AND(+D27-'表05-1'!G114=0,E27-'表05-1'!G144=0),"","註4檢核錯誤")</f>
        <v/>
      </c>
    </row>
    <row r="120" spans="1:8" ht="16.5">
      <c r="A120" s="1593" t="s">
        <v>5780</v>
      </c>
      <c r="B120" s="1195" t="s">
        <v>5781</v>
      </c>
      <c r="H120" s="2363" t="str">
        <f>IF(D49-('表05-1'!G115+'表05-1'!G117)=0,"","註5檢核錯誤")</f>
        <v/>
      </c>
    </row>
    <row r="121" spans="1:8" ht="16.5">
      <c r="A121" s="1593" t="s">
        <v>5782</v>
      </c>
      <c r="B121" s="1195" t="s">
        <v>5783</v>
      </c>
      <c r="H121" s="2363" t="str">
        <f>IF(E49-('表05-1'!G145+'表05-1'!G147)=0,"","註6檢核錯誤")</f>
        <v/>
      </c>
    </row>
    <row r="122" spans="1:8" ht="16.5">
      <c r="A122" s="1593" t="s">
        <v>5784</v>
      </c>
      <c r="B122" s="1195" t="s">
        <v>5785</v>
      </c>
      <c r="H122" s="2364" t="str">
        <f>IF(AND(D71-'表05-1'!G116=0,E71-'表05-1'!G146=0),"","註7檢核錯誤")</f>
        <v/>
      </c>
    </row>
    <row r="123" spans="1:8" ht="16.5">
      <c r="A123" s="1593" t="s">
        <v>5786</v>
      </c>
      <c r="B123" s="1195" t="s">
        <v>5787</v>
      </c>
      <c r="H123" s="2363" t="str">
        <f>IF(AND(D93-'表05-1'!G119=0,E93-'表05-1'!G149=0),"","註8檢核錯誤")</f>
        <v/>
      </c>
    </row>
    <row r="124" spans="1:8" ht="16.5">
      <c r="A124" s="1593" t="s">
        <v>5788</v>
      </c>
      <c r="B124" s="1195" t="s">
        <v>5789</v>
      </c>
      <c r="H124" s="2365" t="str">
        <f>IF(+D115-'表10-4'!G46=0,"","註9檢核錯誤")</f>
        <v/>
      </c>
    </row>
    <row r="125" spans="1:8" ht="16.5">
      <c r="A125" s="1593" t="s">
        <v>5790</v>
      </c>
      <c r="B125" s="1195" t="s">
        <v>5791</v>
      </c>
      <c r="H125" s="2365" t="str">
        <f>IF(+E115-'表10-4'!G54=0,"","註10檢核錯誤")</f>
        <v/>
      </c>
    </row>
    <row r="126" spans="1:8" ht="16.5">
      <c r="A126" s="1593" t="s">
        <v>5792</v>
      </c>
      <c r="B126" s="1195" t="s">
        <v>4058</v>
      </c>
    </row>
    <row r="127" spans="1:8" ht="16.5">
      <c r="A127" s="1593" t="s">
        <v>5793</v>
      </c>
      <c r="B127" s="1195" t="s">
        <v>5794</v>
      </c>
    </row>
    <row r="128" spans="1:8" ht="16.5">
      <c r="A128" s="1593" t="s">
        <v>5795</v>
      </c>
      <c r="B128" s="1195" t="s">
        <v>5796</v>
      </c>
    </row>
  </sheetData>
  <mergeCells count="15">
    <mergeCell ref="G3:H3"/>
    <mergeCell ref="B28:B48"/>
    <mergeCell ref="A3:A5"/>
    <mergeCell ref="B3:B4"/>
    <mergeCell ref="F3:F4"/>
    <mergeCell ref="B115:C115"/>
    <mergeCell ref="D3:E3"/>
    <mergeCell ref="B6:B26"/>
    <mergeCell ref="B27:C27"/>
    <mergeCell ref="B50:B70"/>
    <mergeCell ref="B49:C49"/>
    <mergeCell ref="B94:B114"/>
    <mergeCell ref="B71:C71"/>
    <mergeCell ref="B72:B92"/>
    <mergeCell ref="B93:C93"/>
  </mergeCells>
  <phoneticPr fontId="7" type="noConversion"/>
  <pageMargins left="0.51181102362204722" right="0.35433070866141736" top="0.39370078740157483" bottom="0.27559055118110237" header="0.15748031496062992" footer="0.23622047244094491"/>
  <pageSetup paperSize="9" scale="64"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9">
    <pageSetUpPr fitToPage="1"/>
  </sheetPr>
  <dimension ref="A1:N1098"/>
  <sheetViews>
    <sheetView workbookViewId="0">
      <pane xSplit="3" ySplit="5" topLeftCell="D6"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9" customWidth="1"/>
    <col min="2" max="2" width="15.25" style="9" customWidth="1"/>
    <col min="3" max="3" width="18.5" style="9" customWidth="1"/>
    <col min="4" max="8" width="15.625" style="9"/>
    <col min="9" max="9" width="12.125" style="9" customWidth="1"/>
    <col min="10" max="16384" width="15.625" style="9"/>
  </cols>
  <sheetData>
    <row r="1" spans="1:14" ht="16.5">
      <c r="A1" s="1565" t="str">
        <f>+封面!A3&amp;" "&amp;封面!A2</f>
        <v xml:space="preserve">        保險股份有限公司(○○分公司) 年度(月、季、半年)報表</v>
      </c>
      <c r="B1" s="1566"/>
      <c r="C1" s="1566"/>
      <c r="D1" s="1566"/>
      <c r="E1" s="1566"/>
      <c r="F1" s="1566"/>
      <c r="G1" s="1566"/>
      <c r="H1" s="1566"/>
      <c r="I1" s="1566"/>
      <c r="J1" s="1566"/>
      <c r="K1" s="1566"/>
    </row>
    <row r="2" spans="1:14" ht="17.25" thickBot="1">
      <c r="A2" s="1474" t="s">
        <v>4805</v>
      </c>
      <c r="B2" s="1476"/>
      <c r="C2" s="1476"/>
      <c r="D2" s="1524"/>
      <c r="E2" s="1524"/>
      <c r="F2" s="1524"/>
      <c r="G2" s="1524"/>
      <c r="H2" s="1524"/>
      <c r="I2" s="1567"/>
      <c r="J2" s="1524"/>
      <c r="K2" s="1524"/>
      <c r="L2" s="355"/>
      <c r="M2" s="354"/>
      <c r="N2" s="356" t="s">
        <v>2981</v>
      </c>
    </row>
    <row r="3" spans="1:14" ht="16.5">
      <c r="A3" s="3600" t="s">
        <v>3863</v>
      </c>
      <c r="B3" s="3603" t="s">
        <v>4806</v>
      </c>
      <c r="C3" s="1568" t="s">
        <v>4807</v>
      </c>
      <c r="D3" s="3608" t="s">
        <v>4808</v>
      </c>
      <c r="E3" s="3608"/>
      <c r="F3" s="3608" t="s">
        <v>4809</v>
      </c>
      <c r="G3" s="3608" t="s">
        <v>4810</v>
      </c>
      <c r="H3" s="3608"/>
      <c r="I3" s="3605" t="s">
        <v>4262</v>
      </c>
      <c r="J3" s="3608" t="s">
        <v>4811</v>
      </c>
      <c r="K3" s="3608"/>
      <c r="L3" s="3610" t="s">
        <v>2982</v>
      </c>
      <c r="M3" s="3610" t="s">
        <v>2983</v>
      </c>
      <c r="N3" s="3611"/>
    </row>
    <row r="4" spans="1:14" ht="33">
      <c r="A4" s="3601"/>
      <c r="B4" s="3604"/>
      <c r="C4" s="1569" t="s">
        <v>284</v>
      </c>
      <c r="D4" s="1569" t="s">
        <v>4812</v>
      </c>
      <c r="E4" s="1570" t="s">
        <v>4813</v>
      </c>
      <c r="F4" s="3609"/>
      <c r="G4" s="1569" t="s">
        <v>4814</v>
      </c>
      <c r="H4" s="1570" t="s">
        <v>4815</v>
      </c>
      <c r="I4" s="3606"/>
      <c r="J4" s="1569" t="s">
        <v>4812</v>
      </c>
      <c r="K4" s="1570" t="s">
        <v>4813</v>
      </c>
      <c r="L4" s="3612"/>
      <c r="M4" s="357" t="s">
        <v>2984</v>
      </c>
      <c r="N4" s="358" t="s">
        <v>2985</v>
      </c>
    </row>
    <row r="5" spans="1:14" ht="16.5" customHeight="1" thickBot="1">
      <c r="A5" s="3602"/>
      <c r="B5" s="1571" t="s">
        <v>209</v>
      </c>
      <c r="C5" s="1571" t="s">
        <v>210</v>
      </c>
      <c r="D5" s="1571" t="s">
        <v>749</v>
      </c>
      <c r="E5" s="1571" t="s">
        <v>268</v>
      </c>
      <c r="F5" s="1571" t="s">
        <v>173</v>
      </c>
      <c r="G5" s="1571" t="s">
        <v>174</v>
      </c>
      <c r="H5" s="1571" t="s">
        <v>175</v>
      </c>
      <c r="I5" s="1571" t="s">
        <v>176</v>
      </c>
      <c r="J5" s="1571" t="s">
        <v>177</v>
      </c>
      <c r="K5" s="1571" t="s">
        <v>178</v>
      </c>
      <c r="L5" s="359" t="s">
        <v>179</v>
      </c>
      <c r="M5" s="359" t="s">
        <v>180</v>
      </c>
      <c r="N5" s="360" t="s">
        <v>416</v>
      </c>
    </row>
    <row r="6" spans="1:14">
      <c r="A6" s="1572">
        <v>1</v>
      </c>
      <c r="B6" s="3589" t="s">
        <v>4816</v>
      </c>
      <c r="C6" s="1573" t="s">
        <v>150</v>
      </c>
      <c r="D6" s="1574"/>
      <c r="E6" s="1574"/>
      <c r="F6" s="1574"/>
      <c r="G6" s="1574"/>
      <c r="H6" s="1574"/>
      <c r="I6" s="1575">
        <v>0</v>
      </c>
      <c r="J6" s="1576">
        <f t="shared" ref="J6:J26" si="0">ROUND(D6*$I6,0)</f>
        <v>0</v>
      </c>
      <c r="K6" s="1576">
        <f t="shared" ref="K6:K26" si="1">ROUND(E6*$I6,0)</f>
        <v>0</v>
      </c>
      <c r="L6" s="361">
        <f t="shared" ref="L6:L26" si="2">ROUND(F6*$I6,0)</f>
        <v>0</v>
      </c>
      <c r="M6" s="361">
        <f t="shared" ref="M6:M26" si="3">ROUND(G6*$I6,0)</f>
        <v>0</v>
      </c>
      <c r="N6" s="362">
        <f t="shared" ref="N6:N26" si="4">ROUND(H6*$I6,0)</f>
        <v>0</v>
      </c>
    </row>
    <row r="7" spans="1:14">
      <c r="A7" s="1577">
        <f t="shared" ref="A7:A25" si="5">A6+1</f>
        <v>2</v>
      </c>
      <c r="B7" s="3590"/>
      <c r="C7" s="1578" t="s">
        <v>151</v>
      </c>
      <c r="D7" s="1579"/>
      <c r="E7" s="1579"/>
      <c r="F7" s="1579"/>
      <c r="G7" s="1579"/>
      <c r="H7" s="1579"/>
      <c r="I7" s="1580">
        <v>0</v>
      </c>
      <c r="J7" s="1579">
        <f t="shared" si="0"/>
        <v>0</v>
      </c>
      <c r="K7" s="1579">
        <f t="shared" si="1"/>
        <v>0</v>
      </c>
      <c r="L7" s="363">
        <f t="shared" si="2"/>
        <v>0</v>
      </c>
      <c r="M7" s="187">
        <f t="shared" si="3"/>
        <v>0</v>
      </c>
      <c r="N7" s="364">
        <f t="shared" si="4"/>
        <v>0</v>
      </c>
    </row>
    <row r="8" spans="1:14">
      <c r="A8" s="1577">
        <f t="shared" si="5"/>
        <v>3</v>
      </c>
      <c r="B8" s="3590"/>
      <c r="C8" s="1578" t="s">
        <v>152</v>
      </c>
      <c r="D8" s="1579"/>
      <c r="E8" s="1579"/>
      <c r="F8" s="1579"/>
      <c r="G8" s="1579"/>
      <c r="H8" s="1579"/>
      <c r="I8" s="1580">
        <v>0</v>
      </c>
      <c r="J8" s="1579">
        <f t="shared" si="0"/>
        <v>0</v>
      </c>
      <c r="K8" s="1579">
        <f t="shared" si="1"/>
        <v>0</v>
      </c>
      <c r="L8" s="363">
        <f t="shared" si="2"/>
        <v>0</v>
      </c>
      <c r="M8" s="187">
        <f t="shared" si="3"/>
        <v>0</v>
      </c>
      <c r="N8" s="364">
        <f t="shared" si="4"/>
        <v>0</v>
      </c>
    </row>
    <row r="9" spans="1:14">
      <c r="A9" s="1577">
        <f t="shared" si="5"/>
        <v>4</v>
      </c>
      <c r="B9" s="3590"/>
      <c r="C9" s="1578" t="s">
        <v>153</v>
      </c>
      <c r="D9" s="1579"/>
      <c r="E9" s="1579"/>
      <c r="F9" s="1579"/>
      <c r="G9" s="1579"/>
      <c r="H9" s="1579"/>
      <c r="I9" s="1580">
        <v>0</v>
      </c>
      <c r="J9" s="1579">
        <f t="shared" si="0"/>
        <v>0</v>
      </c>
      <c r="K9" s="1579">
        <f t="shared" si="1"/>
        <v>0</v>
      </c>
      <c r="L9" s="363">
        <f t="shared" si="2"/>
        <v>0</v>
      </c>
      <c r="M9" s="187">
        <f t="shared" si="3"/>
        <v>0</v>
      </c>
      <c r="N9" s="364">
        <f t="shared" si="4"/>
        <v>0</v>
      </c>
    </row>
    <row r="10" spans="1:14">
      <c r="A10" s="1577">
        <f t="shared" si="5"/>
        <v>5</v>
      </c>
      <c r="B10" s="3590"/>
      <c r="C10" s="1578" t="s">
        <v>154</v>
      </c>
      <c r="D10" s="1579"/>
      <c r="E10" s="1579"/>
      <c r="F10" s="1579"/>
      <c r="G10" s="1579"/>
      <c r="H10" s="1579"/>
      <c r="I10" s="1581">
        <v>3.0999999999999999E-3</v>
      </c>
      <c r="J10" s="1579">
        <f t="shared" si="0"/>
        <v>0</v>
      </c>
      <c r="K10" s="1579">
        <f t="shared" si="1"/>
        <v>0</v>
      </c>
      <c r="L10" s="363">
        <f t="shared" si="2"/>
        <v>0</v>
      </c>
      <c r="M10" s="187">
        <f t="shared" si="3"/>
        <v>0</v>
      </c>
      <c r="N10" s="364">
        <f t="shared" si="4"/>
        <v>0</v>
      </c>
    </row>
    <row r="11" spans="1:14">
      <c r="A11" s="1577">
        <f t="shared" si="5"/>
        <v>6</v>
      </c>
      <c r="B11" s="3590"/>
      <c r="C11" s="1578" t="s">
        <v>155</v>
      </c>
      <c r="D11" s="1579"/>
      <c r="E11" s="1579"/>
      <c r="F11" s="1579"/>
      <c r="G11" s="1579"/>
      <c r="H11" s="1579"/>
      <c r="I11" s="1581">
        <v>6.1999999999999998E-3</v>
      </c>
      <c r="J11" s="1579">
        <f t="shared" si="0"/>
        <v>0</v>
      </c>
      <c r="K11" s="1579">
        <f t="shared" si="1"/>
        <v>0</v>
      </c>
      <c r="L11" s="363">
        <f t="shared" si="2"/>
        <v>0</v>
      </c>
      <c r="M11" s="187">
        <f t="shared" si="3"/>
        <v>0</v>
      </c>
      <c r="N11" s="364">
        <f t="shared" si="4"/>
        <v>0</v>
      </c>
    </row>
    <row r="12" spans="1:14">
      <c r="A12" s="1577">
        <f t="shared" si="5"/>
        <v>7</v>
      </c>
      <c r="B12" s="3590"/>
      <c r="C12" s="1578" t="s">
        <v>156</v>
      </c>
      <c r="D12" s="1579"/>
      <c r="E12" s="1579"/>
      <c r="F12" s="1579"/>
      <c r="G12" s="1579"/>
      <c r="H12" s="1579"/>
      <c r="I12" s="1581">
        <v>7.3999999999999995E-3</v>
      </c>
      <c r="J12" s="1579">
        <f t="shared" si="0"/>
        <v>0</v>
      </c>
      <c r="K12" s="1579">
        <f t="shared" si="1"/>
        <v>0</v>
      </c>
      <c r="L12" s="363">
        <f t="shared" si="2"/>
        <v>0</v>
      </c>
      <c r="M12" s="187">
        <f t="shared" si="3"/>
        <v>0</v>
      </c>
      <c r="N12" s="364">
        <f t="shared" si="4"/>
        <v>0</v>
      </c>
    </row>
    <row r="13" spans="1:14">
      <c r="A13" s="1577">
        <f t="shared" si="5"/>
        <v>8</v>
      </c>
      <c r="B13" s="3590"/>
      <c r="C13" s="1578" t="s">
        <v>157</v>
      </c>
      <c r="D13" s="1579"/>
      <c r="E13" s="1579"/>
      <c r="F13" s="1579"/>
      <c r="G13" s="1579"/>
      <c r="H13" s="1579"/>
      <c r="I13" s="1581">
        <v>8.6E-3</v>
      </c>
      <c r="J13" s="1579">
        <f t="shared" si="0"/>
        <v>0</v>
      </c>
      <c r="K13" s="1579">
        <f t="shared" si="1"/>
        <v>0</v>
      </c>
      <c r="L13" s="363">
        <f t="shared" si="2"/>
        <v>0</v>
      </c>
      <c r="M13" s="187">
        <f t="shared" si="3"/>
        <v>0</v>
      </c>
      <c r="N13" s="364">
        <f t="shared" si="4"/>
        <v>0</v>
      </c>
    </row>
    <row r="14" spans="1:14">
      <c r="A14" s="1577">
        <f t="shared" si="5"/>
        <v>9</v>
      </c>
      <c r="B14" s="3590"/>
      <c r="C14" s="1578" t="s">
        <v>158</v>
      </c>
      <c r="D14" s="1579"/>
      <c r="E14" s="1579"/>
      <c r="F14" s="1579"/>
      <c r="G14" s="1579"/>
      <c r="H14" s="1579"/>
      <c r="I14" s="1581">
        <v>9.7999999999999997E-3</v>
      </c>
      <c r="J14" s="1579">
        <f t="shared" si="0"/>
        <v>0</v>
      </c>
      <c r="K14" s="1579">
        <f t="shared" si="1"/>
        <v>0</v>
      </c>
      <c r="L14" s="363">
        <f t="shared" si="2"/>
        <v>0</v>
      </c>
      <c r="M14" s="187">
        <f t="shared" si="3"/>
        <v>0</v>
      </c>
      <c r="N14" s="364">
        <f t="shared" si="4"/>
        <v>0</v>
      </c>
    </row>
    <row r="15" spans="1:14">
      <c r="A15" s="1577">
        <f t="shared" si="5"/>
        <v>10</v>
      </c>
      <c r="B15" s="3590"/>
      <c r="C15" s="1578" t="s">
        <v>159</v>
      </c>
      <c r="D15" s="1579"/>
      <c r="E15" s="1579"/>
      <c r="F15" s="1579"/>
      <c r="G15" s="1579"/>
      <c r="H15" s="1579"/>
      <c r="I15" s="1581">
        <v>1.8033333333333332E-2</v>
      </c>
      <c r="J15" s="1579">
        <f t="shared" si="0"/>
        <v>0</v>
      </c>
      <c r="K15" s="1579">
        <f t="shared" si="1"/>
        <v>0</v>
      </c>
      <c r="L15" s="363">
        <f t="shared" si="2"/>
        <v>0</v>
      </c>
      <c r="M15" s="187">
        <f t="shared" si="3"/>
        <v>0</v>
      </c>
      <c r="N15" s="364">
        <f t="shared" si="4"/>
        <v>0</v>
      </c>
    </row>
    <row r="16" spans="1:14">
      <c r="A16" s="1577">
        <f t="shared" si="5"/>
        <v>11</v>
      </c>
      <c r="B16" s="3590"/>
      <c r="C16" s="1578" t="s">
        <v>160</v>
      </c>
      <c r="D16" s="1579"/>
      <c r="E16" s="1579"/>
      <c r="F16" s="1579"/>
      <c r="G16" s="1579"/>
      <c r="H16" s="1579"/>
      <c r="I16" s="1581">
        <v>2.6266666666666667E-2</v>
      </c>
      <c r="J16" s="1579">
        <f t="shared" si="0"/>
        <v>0</v>
      </c>
      <c r="K16" s="1579">
        <f t="shared" si="1"/>
        <v>0</v>
      </c>
      <c r="L16" s="363">
        <f t="shared" si="2"/>
        <v>0</v>
      </c>
      <c r="M16" s="187">
        <f t="shared" si="3"/>
        <v>0</v>
      </c>
      <c r="N16" s="364">
        <f t="shared" si="4"/>
        <v>0</v>
      </c>
    </row>
    <row r="17" spans="1:14">
      <c r="A17" s="1577">
        <f t="shared" si="5"/>
        <v>12</v>
      </c>
      <c r="B17" s="3590"/>
      <c r="C17" s="1578" t="s">
        <v>161</v>
      </c>
      <c r="D17" s="1579"/>
      <c r="E17" s="1579"/>
      <c r="F17" s="1579"/>
      <c r="G17" s="1579"/>
      <c r="H17" s="1579"/>
      <c r="I17" s="1581">
        <v>3.4500000000000003E-2</v>
      </c>
      <c r="J17" s="1579">
        <f t="shared" si="0"/>
        <v>0</v>
      </c>
      <c r="K17" s="1579">
        <f t="shared" si="1"/>
        <v>0</v>
      </c>
      <c r="L17" s="363">
        <f t="shared" si="2"/>
        <v>0</v>
      </c>
      <c r="M17" s="187">
        <f t="shared" si="3"/>
        <v>0</v>
      </c>
      <c r="N17" s="364">
        <f t="shared" si="4"/>
        <v>0</v>
      </c>
    </row>
    <row r="18" spans="1:14">
      <c r="A18" s="1577">
        <f t="shared" si="5"/>
        <v>13</v>
      </c>
      <c r="B18" s="3590"/>
      <c r="C18" s="1578" t="s">
        <v>449</v>
      </c>
      <c r="D18" s="1579"/>
      <c r="E18" s="1579"/>
      <c r="F18" s="1579"/>
      <c r="G18" s="1579"/>
      <c r="H18" s="1579"/>
      <c r="I18" s="1581">
        <v>4.8000000000000001E-2</v>
      </c>
      <c r="J18" s="1579">
        <f t="shared" si="0"/>
        <v>0</v>
      </c>
      <c r="K18" s="1579">
        <f t="shared" si="1"/>
        <v>0</v>
      </c>
      <c r="L18" s="363">
        <f t="shared" si="2"/>
        <v>0</v>
      </c>
      <c r="M18" s="187">
        <f t="shared" si="3"/>
        <v>0</v>
      </c>
      <c r="N18" s="364">
        <f t="shared" si="4"/>
        <v>0</v>
      </c>
    </row>
    <row r="19" spans="1:14">
      <c r="A19" s="1577">
        <f t="shared" si="5"/>
        <v>14</v>
      </c>
      <c r="B19" s="3590"/>
      <c r="C19" s="1578" t="s">
        <v>162</v>
      </c>
      <c r="D19" s="1579"/>
      <c r="E19" s="1579"/>
      <c r="F19" s="1579"/>
      <c r="G19" s="1579"/>
      <c r="H19" s="1579"/>
      <c r="I19" s="1581">
        <v>6.1499999999999999E-2</v>
      </c>
      <c r="J19" s="1579">
        <f t="shared" si="0"/>
        <v>0</v>
      </c>
      <c r="K19" s="1579">
        <f t="shared" si="1"/>
        <v>0</v>
      </c>
      <c r="L19" s="363">
        <f t="shared" si="2"/>
        <v>0</v>
      </c>
      <c r="M19" s="187">
        <f t="shared" si="3"/>
        <v>0</v>
      </c>
      <c r="N19" s="364">
        <f t="shared" si="4"/>
        <v>0</v>
      </c>
    </row>
    <row r="20" spans="1:14">
      <c r="A20" s="1577">
        <f t="shared" si="5"/>
        <v>15</v>
      </c>
      <c r="B20" s="3590"/>
      <c r="C20" s="1578" t="s">
        <v>163</v>
      </c>
      <c r="D20" s="1579"/>
      <c r="E20" s="1579"/>
      <c r="F20" s="1579"/>
      <c r="G20" s="1579"/>
      <c r="H20" s="1579"/>
      <c r="I20" s="1581">
        <v>7.4999999999999997E-2</v>
      </c>
      <c r="J20" s="1579">
        <f t="shared" si="0"/>
        <v>0</v>
      </c>
      <c r="K20" s="1579">
        <f t="shared" si="1"/>
        <v>0</v>
      </c>
      <c r="L20" s="363">
        <f t="shared" si="2"/>
        <v>0</v>
      </c>
      <c r="M20" s="187">
        <f t="shared" si="3"/>
        <v>0</v>
      </c>
      <c r="N20" s="364">
        <f t="shared" si="4"/>
        <v>0</v>
      </c>
    </row>
    <row r="21" spans="1:14">
      <c r="A21" s="1577">
        <f t="shared" si="5"/>
        <v>16</v>
      </c>
      <c r="B21" s="3590"/>
      <c r="C21" s="1578" t="s">
        <v>164</v>
      </c>
      <c r="D21" s="1579"/>
      <c r="E21" s="1579"/>
      <c r="F21" s="1579"/>
      <c r="G21" s="1579"/>
      <c r="H21" s="1579"/>
      <c r="I21" s="1581">
        <v>0.1075</v>
      </c>
      <c r="J21" s="1579">
        <f t="shared" si="0"/>
        <v>0</v>
      </c>
      <c r="K21" s="1579">
        <f t="shared" si="1"/>
        <v>0</v>
      </c>
      <c r="L21" s="363">
        <f t="shared" si="2"/>
        <v>0</v>
      </c>
      <c r="M21" s="187">
        <f t="shared" si="3"/>
        <v>0</v>
      </c>
      <c r="N21" s="364">
        <f t="shared" si="4"/>
        <v>0</v>
      </c>
    </row>
    <row r="22" spans="1:14">
      <c r="A22" s="1577">
        <f t="shared" si="5"/>
        <v>17</v>
      </c>
      <c r="B22" s="3590"/>
      <c r="C22" s="1578" t="s">
        <v>165</v>
      </c>
      <c r="D22" s="1579"/>
      <c r="E22" s="1579"/>
      <c r="F22" s="1579"/>
      <c r="G22" s="1579"/>
      <c r="H22" s="1579"/>
      <c r="I22" s="1581">
        <v>0.14000000000000001</v>
      </c>
      <c r="J22" s="1579">
        <f t="shared" si="0"/>
        <v>0</v>
      </c>
      <c r="K22" s="1579">
        <f t="shared" si="1"/>
        <v>0</v>
      </c>
      <c r="L22" s="363">
        <f t="shared" si="2"/>
        <v>0</v>
      </c>
      <c r="M22" s="187">
        <f t="shared" si="3"/>
        <v>0</v>
      </c>
      <c r="N22" s="364">
        <f t="shared" si="4"/>
        <v>0</v>
      </c>
    </row>
    <row r="23" spans="1:14">
      <c r="A23" s="1577">
        <f t="shared" si="5"/>
        <v>18</v>
      </c>
      <c r="B23" s="3590"/>
      <c r="C23" s="1578" t="s">
        <v>166</v>
      </c>
      <c r="D23" s="1579"/>
      <c r="E23" s="1579"/>
      <c r="F23" s="1579"/>
      <c r="G23" s="1579"/>
      <c r="H23" s="1579"/>
      <c r="I23" s="1581">
        <v>0.17249999999999999</v>
      </c>
      <c r="J23" s="1579">
        <f t="shared" si="0"/>
        <v>0</v>
      </c>
      <c r="K23" s="1579">
        <f t="shared" si="1"/>
        <v>0</v>
      </c>
      <c r="L23" s="363">
        <f t="shared" si="2"/>
        <v>0</v>
      </c>
      <c r="M23" s="187">
        <f t="shared" si="3"/>
        <v>0</v>
      </c>
      <c r="N23" s="364">
        <f t="shared" si="4"/>
        <v>0</v>
      </c>
    </row>
    <row r="24" spans="1:14">
      <c r="A24" s="1577">
        <f t="shared" si="5"/>
        <v>19</v>
      </c>
      <c r="B24" s="3590"/>
      <c r="C24" s="1578" t="s">
        <v>167</v>
      </c>
      <c r="D24" s="1579"/>
      <c r="E24" s="1579"/>
      <c r="F24" s="1579"/>
      <c r="G24" s="1579"/>
      <c r="H24" s="1579"/>
      <c r="I24" s="1581">
        <v>0.2112</v>
      </c>
      <c r="J24" s="1579">
        <f t="shared" si="0"/>
        <v>0</v>
      </c>
      <c r="K24" s="1579">
        <f t="shared" si="1"/>
        <v>0</v>
      </c>
      <c r="L24" s="363">
        <f t="shared" si="2"/>
        <v>0</v>
      </c>
      <c r="M24" s="187">
        <f t="shared" si="3"/>
        <v>0</v>
      </c>
      <c r="N24" s="364">
        <f t="shared" si="4"/>
        <v>0</v>
      </c>
    </row>
    <row r="25" spans="1:14">
      <c r="A25" s="1577">
        <f t="shared" si="5"/>
        <v>20</v>
      </c>
      <c r="B25" s="3590"/>
      <c r="C25" s="1578" t="s">
        <v>168</v>
      </c>
      <c r="D25" s="1579"/>
      <c r="E25" s="1579"/>
      <c r="F25" s="1579"/>
      <c r="G25" s="1579"/>
      <c r="H25" s="1579"/>
      <c r="I25" s="1581">
        <v>0.25</v>
      </c>
      <c r="J25" s="1579">
        <f t="shared" si="0"/>
        <v>0</v>
      </c>
      <c r="K25" s="1579">
        <f t="shared" si="1"/>
        <v>0</v>
      </c>
      <c r="L25" s="363">
        <f t="shared" si="2"/>
        <v>0</v>
      </c>
      <c r="M25" s="187">
        <f t="shared" si="3"/>
        <v>0</v>
      </c>
      <c r="N25" s="364">
        <f t="shared" si="4"/>
        <v>0</v>
      </c>
    </row>
    <row r="26" spans="1:14">
      <c r="A26" s="1577">
        <v>21</v>
      </c>
      <c r="B26" s="3591"/>
      <c r="C26" s="1582" t="s">
        <v>450</v>
      </c>
      <c r="D26" s="1583"/>
      <c r="E26" s="1583"/>
      <c r="F26" s="1583"/>
      <c r="G26" s="1583"/>
      <c r="H26" s="1583"/>
      <c r="I26" s="1584">
        <v>0.28870000000000001</v>
      </c>
      <c r="J26" s="1583">
        <f t="shared" si="0"/>
        <v>0</v>
      </c>
      <c r="K26" s="1583">
        <f t="shared" si="1"/>
        <v>0</v>
      </c>
      <c r="L26" s="365">
        <f t="shared" si="2"/>
        <v>0</v>
      </c>
      <c r="M26" s="366">
        <f t="shared" si="3"/>
        <v>0</v>
      </c>
      <c r="N26" s="367">
        <f t="shared" si="4"/>
        <v>0</v>
      </c>
    </row>
    <row r="27" spans="1:14">
      <c r="A27" s="1585">
        <f t="shared" ref="A27:A50" si="6">A26+1</f>
        <v>22</v>
      </c>
      <c r="B27" s="3592" t="s">
        <v>4817</v>
      </c>
      <c r="C27" s="3592"/>
      <c r="D27" s="1586">
        <f>SUM(D6:D26)</f>
        <v>0</v>
      </c>
      <c r="E27" s="1586">
        <f>SUM(E6:E26)</f>
        <v>0</v>
      </c>
      <c r="F27" s="1586">
        <f>SUM(F6:F26)</f>
        <v>0</v>
      </c>
      <c r="G27" s="1586">
        <f>SUM(G6:G26)</f>
        <v>0</v>
      </c>
      <c r="H27" s="1586">
        <f>SUM(H6:H26)</f>
        <v>0</v>
      </c>
      <c r="I27" s="1547"/>
      <c r="J27" s="1586">
        <f>SUM(J6:J26)</f>
        <v>0</v>
      </c>
      <c r="K27" s="1586">
        <f>SUM(K6:K26)</f>
        <v>0</v>
      </c>
      <c r="L27" s="368">
        <f>SUM(L6:L26)</f>
        <v>0</v>
      </c>
      <c r="M27" s="368">
        <f>SUM(M6:M26)</f>
        <v>0</v>
      </c>
      <c r="N27" s="369">
        <f>SUM(N6:N26)</f>
        <v>0</v>
      </c>
    </row>
    <row r="28" spans="1:14">
      <c r="A28" s="1587">
        <f t="shared" si="6"/>
        <v>23</v>
      </c>
      <c r="B28" s="3589" t="s">
        <v>4818</v>
      </c>
      <c r="C28" s="1573" t="s">
        <v>150</v>
      </c>
      <c r="D28" s="1574"/>
      <c r="E28" s="1574"/>
      <c r="F28" s="1574"/>
      <c r="G28" s="1574"/>
      <c r="H28" s="1574"/>
      <c r="I28" s="1575">
        <v>0</v>
      </c>
      <c r="J28" s="1588">
        <f t="shared" ref="J28:J48" si="7">ROUND(D28*$I28,0)</f>
        <v>0</v>
      </c>
      <c r="K28" s="1588">
        <f t="shared" ref="K28:K48" si="8">ROUND(E28*$I28,0)</f>
        <v>0</v>
      </c>
      <c r="L28" s="370">
        <f t="shared" ref="L28:L48" si="9">ROUND(F28*$I28,0)</f>
        <v>0</v>
      </c>
      <c r="M28" s="361">
        <f t="shared" ref="M28:M48" si="10">ROUND(G28*$I28,0)</f>
        <v>0</v>
      </c>
      <c r="N28" s="362">
        <f t="shared" ref="N28:N48" si="11">ROUND(H28*$I28,0)</f>
        <v>0</v>
      </c>
    </row>
    <row r="29" spans="1:14">
      <c r="A29" s="1587">
        <f t="shared" si="6"/>
        <v>24</v>
      </c>
      <c r="B29" s="3590"/>
      <c r="C29" s="1578" t="s">
        <v>151</v>
      </c>
      <c r="D29" s="1579"/>
      <c r="E29" s="1579"/>
      <c r="F29" s="1579"/>
      <c r="G29" s="1579"/>
      <c r="H29" s="1579"/>
      <c r="I29" s="1580">
        <v>0</v>
      </c>
      <c r="J29" s="1579">
        <f t="shared" si="7"/>
        <v>0</v>
      </c>
      <c r="K29" s="1579">
        <f t="shared" si="8"/>
        <v>0</v>
      </c>
      <c r="L29" s="363">
        <f t="shared" si="9"/>
        <v>0</v>
      </c>
      <c r="M29" s="187">
        <f t="shared" si="10"/>
        <v>0</v>
      </c>
      <c r="N29" s="364">
        <f t="shared" si="11"/>
        <v>0</v>
      </c>
    </row>
    <row r="30" spans="1:14">
      <c r="A30" s="1587">
        <f t="shared" si="6"/>
        <v>25</v>
      </c>
      <c r="B30" s="3590"/>
      <c r="C30" s="1578" t="s">
        <v>152</v>
      </c>
      <c r="D30" s="1579"/>
      <c r="E30" s="1579"/>
      <c r="F30" s="1579"/>
      <c r="G30" s="1579"/>
      <c r="H30" s="1579"/>
      <c r="I30" s="1580">
        <v>0</v>
      </c>
      <c r="J30" s="1579">
        <f t="shared" si="7"/>
        <v>0</v>
      </c>
      <c r="K30" s="1579">
        <f t="shared" si="8"/>
        <v>0</v>
      </c>
      <c r="L30" s="363">
        <f t="shared" si="9"/>
        <v>0</v>
      </c>
      <c r="M30" s="187">
        <f t="shared" si="10"/>
        <v>0</v>
      </c>
      <c r="N30" s="364">
        <f t="shared" si="11"/>
        <v>0</v>
      </c>
    </row>
    <row r="31" spans="1:14">
      <c r="A31" s="1587">
        <f t="shared" si="6"/>
        <v>26</v>
      </c>
      <c r="B31" s="3590"/>
      <c r="C31" s="1578" t="s">
        <v>153</v>
      </c>
      <c r="D31" s="1579"/>
      <c r="E31" s="1579"/>
      <c r="F31" s="1579"/>
      <c r="G31" s="1579"/>
      <c r="H31" s="1579"/>
      <c r="I31" s="1581">
        <v>3.0999999999999999E-3</v>
      </c>
      <c r="J31" s="1579">
        <f t="shared" si="7"/>
        <v>0</v>
      </c>
      <c r="K31" s="1579">
        <f t="shared" si="8"/>
        <v>0</v>
      </c>
      <c r="L31" s="363">
        <f t="shared" si="9"/>
        <v>0</v>
      </c>
      <c r="M31" s="187">
        <f t="shared" si="10"/>
        <v>0</v>
      </c>
      <c r="N31" s="364">
        <f t="shared" si="11"/>
        <v>0</v>
      </c>
    </row>
    <row r="32" spans="1:14">
      <c r="A32" s="1587">
        <f t="shared" si="6"/>
        <v>27</v>
      </c>
      <c r="B32" s="3590"/>
      <c r="C32" s="1578" t="s">
        <v>154</v>
      </c>
      <c r="D32" s="1579"/>
      <c r="E32" s="1579"/>
      <c r="F32" s="1579"/>
      <c r="G32" s="1579"/>
      <c r="H32" s="1579"/>
      <c r="I32" s="1581">
        <v>6.1999999999999998E-3</v>
      </c>
      <c r="J32" s="1579">
        <f t="shared" si="7"/>
        <v>0</v>
      </c>
      <c r="K32" s="1579">
        <f t="shared" si="8"/>
        <v>0</v>
      </c>
      <c r="L32" s="363">
        <f t="shared" si="9"/>
        <v>0</v>
      </c>
      <c r="M32" s="187">
        <f t="shared" si="10"/>
        <v>0</v>
      </c>
      <c r="N32" s="364">
        <f t="shared" si="11"/>
        <v>0</v>
      </c>
    </row>
    <row r="33" spans="1:14">
      <c r="A33" s="1587">
        <f t="shared" si="6"/>
        <v>28</v>
      </c>
      <c r="B33" s="3590"/>
      <c r="C33" s="1578" t="s">
        <v>155</v>
      </c>
      <c r="D33" s="1579"/>
      <c r="E33" s="1579"/>
      <c r="F33" s="1579"/>
      <c r="G33" s="1579"/>
      <c r="H33" s="1579"/>
      <c r="I33" s="1581">
        <v>7.3999999999999995E-3</v>
      </c>
      <c r="J33" s="1579">
        <f t="shared" si="7"/>
        <v>0</v>
      </c>
      <c r="K33" s="1579">
        <f t="shared" si="8"/>
        <v>0</v>
      </c>
      <c r="L33" s="363">
        <f t="shared" si="9"/>
        <v>0</v>
      </c>
      <c r="M33" s="187">
        <f t="shared" si="10"/>
        <v>0</v>
      </c>
      <c r="N33" s="364">
        <f t="shared" si="11"/>
        <v>0</v>
      </c>
    </row>
    <row r="34" spans="1:14">
      <c r="A34" s="1587">
        <f t="shared" si="6"/>
        <v>29</v>
      </c>
      <c r="B34" s="3590"/>
      <c r="C34" s="1578" t="s">
        <v>156</v>
      </c>
      <c r="D34" s="1579"/>
      <c r="E34" s="1579"/>
      <c r="F34" s="1579"/>
      <c r="G34" s="1579"/>
      <c r="H34" s="1579"/>
      <c r="I34" s="1581">
        <v>8.6E-3</v>
      </c>
      <c r="J34" s="1579">
        <f t="shared" si="7"/>
        <v>0</v>
      </c>
      <c r="K34" s="1579">
        <f t="shared" si="8"/>
        <v>0</v>
      </c>
      <c r="L34" s="363">
        <f t="shared" si="9"/>
        <v>0</v>
      </c>
      <c r="M34" s="187">
        <f t="shared" si="10"/>
        <v>0</v>
      </c>
      <c r="N34" s="364">
        <f t="shared" si="11"/>
        <v>0</v>
      </c>
    </row>
    <row r="35" spans="1:14">
      <c r="A35" s="1587">
        <f t="shared" si="6"/>
        <v>30</v>
      </c>
      <c r="B35" s="3590"/>
      <c r="C35" s="1578" t="s">
        <v>157</v>
      </c>
      <c r="D35" s="1579"/>
      <c r="E35" s="1579"/>
      <c r="F35" s="1579"/>
      <c r="G35" s="1579"/>
      <c r="H35" s="1579"/>
      <c r="I35" s="1581">
        <v>9.7999999999999997E-3</v>
      </c>
      <c r="J35" s="1579">
        <f t="shared" si="7"/>
        <v>0</v>
      </c>
      <c r="K35" s="1579">
        <f t="shared" si="8"/>
        <v>0</v>
      </c>
      <c r="L35" s="363">
        <f t="shared" si="9"/>
        <v>0</v>
      </c>
      <c r="M35" s="187">
        <f t="shared" si="10"/>
        <v>0</v>
      </c>
      <c r="N35" s="364">
        <f t="shared" si="11"/>
        <v>0</v>
      </c>
    </row>
    <row r="36" spans="1:14">
      <c r="A36" s="1587">
        <f t="shared" si="6"/>
        <v>31</v>
      </c>
      <c r="B36" s="3590"/>
      <c r="C36" s="1578" t="s">
        <v>158</v>
      </c>
      <c r="D36" s="1579"/>
      <c r="E36" s="1579"/>
      <c r="F36" s="1579"/>
      <c r="G36" s="1579"/>
      <c r="H36" s="1579"/>
      <c r="I36" s="1581">
        <v>1.8033333333333332E-2</v>
      </c>
      <c r="J36" s="1579">
        <f t="shared" si="7"/>
        <v>0</v>
      </c>
      <c r="K36" s="1579">
        <f t="shared" si="8"/>
        <v>0</v>
      </c>
      <c r="L36" s="363">
        <f t="shared" si="9"/>
        <v>0</v>
      </c>
      <c r="M36" s="187">
        <f t="shared" si="10"/>
        <v>0</v>
      </c>
      <c r="N36" s="364">
        <f t="shared" si="11"/>
        <v>0</v>
      </c>
    </row>
    <row r="37" spans="1:14">
      <c r="A37" s="1587">
        <f t="shared" si="6"/>
        <v>32</v>
      </c>
      <c r="B37" s="3590"/>
      <c r="C37" s="1578" t="s">
        <v>159</v>
      </c>
      <c r="D37" s="1579"/>
      <c r="E37" s="1579"/>
      <c r="F37" s="1579"/>
      <c r="G37" s="1579"/>
      <c r="H37" s="1579"/>
      <c r="I37" s="1581">
        <v>2.6266666666666667E-2</v>
      </c>
      <c r="J37" s="1579">
        <f t="shared" si="7"/>
        <v>0</v>
      </c>
      <c r="K37" s="1579">
        <f t="shared" si="8"/>
        <v>0</v>
      </c>
      <c r="L37" s="363">
        <f t="shared" si="9"/>
        <v>0</v>
      </c>
      <c r="M37" s="187">
        <f t="shared" si="10"/>
        <v>0</v>
      </c>
      <c r="N37" s="364">
        <f t="shared" si="11"/>
        <v>0</v>
      </c>
    </row>
    <row r="38" spans="1:14">
      <c r="A38" s="1587">
        <f t="shared" si="6"/>
        <v>33</v>
      </c>
      <c r="B38" s="3590"/>
      <c r="C38" s="1578" t="s">
        <v>160</v>
      </c>
      <c r="D38" s="1579"/>
      <c r="E38" s="1579"/>
      <c r="F38" s="1579"/>
      <c r="G38" s="1579"/>
      <c r="H38" s="1579"/>
      <c r="I38" s="1581">
        <v>3.4500000000000003E-2</v>
      </c>
      <c r="J38" s="1579">
        <f t="shared" si="7"/>
        <v>0</v>
      </c>
      <c r="K38" s="1579">
        <f t="shared" si="8"/>
        <v>0</v>
      </c>
      <c r="L38" s="363">
        <f t="shared" si="9"/>
        <v>0</v>
      </c>
      <c r="M38" s="187">
        <f t="shared" si="10"/>
        <v>0</v>
      </c>
      <c r="N38" s="364">
        <f t="shared" si="11"/>
        <v>0</v>
      </c>
    </row>
    <row r="39" spans="1:14">
      <c r="A39" s="1587">
        <f t="shared" si="6"/>
        <v>34</v>
      </c>
      <c r="B39" s="3590"/>
      <c r="C39" s="1578" t="s">
        <v>161</v>
      </c>
      <c r="D39" s="1579"/>
      <c r="E39" s="1579"/>
      <c r="F39" s="1579"/>
      <c r="G39" s="1579"/>
      <c r="H39" s="1579"/>
      <c r="I39" s="1581">
        <v>4.8000000000000001E-2</v>
      </c>
      <c r="J39" s="1579">
        <f t="shared" si="7"/>
        <v>0</v>
      </c>
      <c r="K39" s="1579">
        <f t="shared" si="8"/>
        <v>0</v>
      </c>
      <c r="L39" s="363">
        <f t="shared" si="9"/>
        <v>0</v>
      </c>
      <c r="M39" s="187">
        <f t="shared" si="10"/>
        <v>0</v>
      </c>
      <c r="N39" s="364">
        <f t="shared" si="11"/>
        <v>0</v>
      </c>
    </row>
    <row r="40" spans="1:14">
      <c r="A40" s="1587">
        <f t="shared" si="6"/>
        <v>35</v>
      </c>
      <c r="B40" s="3590"/>
      <c r="C40" s="1578" t="s">
        <v>449</v>
      </c>
      <c r="D40" s="1579"/>
      <c r="E40" s="1579"/>
      <c r="F40" s="1579"/>
      <c r="G40" s="1579"/>
      <c r="H40" s="1579"/>
      <c r="I40" s="1581">
        <v>6.1499999999999999E-2</v>
      </c>
      <c r="J40" s="1579">
        <f t="shared" si="7"/>
        <v>0</v>
      </c>
      <c r="K40" s="1579">
        <f t="shared" si="8"/>
        <v>0</v>
      </c>
      <c r="L40" s="363">
        <f t="shared" si="9"/>
        <v>0</v>
      </c>
      <c r="M40" s="187">
        <f t="shared" si="10"/>
        <v>0</v>
      </c>
      <c r="N40" s="364">
        <f t="shared" si="11"/>
        <v>0</v>
      </c>
    </row>
    <row r="41" spans="1:14">
      <c r="A41" s="1587">
        <f t="shared" si="6"/>
        <v>36</v>
      </c>
      <c r="B41" s="3590"/>
      <c r="C41" s="1578" t="s">
        <v>162</v>
      </c>
      <c r="D41" s="1579"/>
      <c r="E41" s="1579"/>
      <c r="F41" s="1579"/>
      <c r="G41" s="1579"/>
      <c r="H41" s="1579"/>
      <c r="I41" s="1581">
        <v>7.4999999999999997E-2</v>
      </c>
      <c r="J41" s="1579">
        <f t="shared" si="7"/>
        <v>0</v>
      </c>
      <c r="K41" s="1579">
        <f t="shared" si="8"/>
        <v>0</v>
      </c>
      <c r="L41" s="363">
        <f t="shared" si="9"/>
        <v>0</v>
      </c>
      <c r="M41" s="187">
        <f t="shared" si="10"/>
        <v>0</v>
      </c>
      <c r="N41" s="364">
        <f t="shared" si="11"/>
        <v>0</v>
      </c>
    </row>
    <row r="42" spans="1:14">
      <c r="A42" s="1587">
        <f t="shared" si="6"/>
        <v>37</v>
      </c>
      <c r="B42" s="3590"/>
      <c r="C42" s="1578" t="s">
        <v>163</v>
      </c>
      <c r="D42" s="1579"/>
      <c r="E42" s="1579"/>
      <c r="F42" s="1579"/>
      <c r="G42" s="1579"/>
      <c r="H42" s="1579"/>
      <c r="I42" s="1581">
        <v>0.1075</v>
      </c>
      <c r="J42" s="1579">
        <f t="shared" si="7"/>
        <v>0</v>
      </c>
      <c r="K42" s="1579">
        <f t="shared" si="8"/>
        <v>0</v>
      </c>
      <c r="L42" s="363">
        <f t="shared" si="9"/>
        <v>0</v>
      </c>
      <c r="M42" s="187">
        <f t="shared" si="10"/>
        <v>0</v>
      </c>
      <c r="N42" s="364">
        <f t="shared" si="11"/>
        <v>0</v>
      </c>
    </row>
    <row r="43" spans="1:14">
      <c r="A43" s="1587">
        <f t="shared" si="6"/>
        <v>38</v>
      </c>
      <c r="B43" s="3590"/>
      <c r="C43" s="1578" t="s">
        <v>164</v>
      </c>
      <c r="D43" s="1579"/>
      <c r="E43" s="1579"/>
      <c r="F43" s="1579"/>
      <c r="G43" s="1579"/>
      <c r="H43" s="1579"/>
      <c r="I43" s="1581">
        <v>0.14000000000000001</v>
      </c>
      <c r="J43" s="1579">
        <f t="shared" si="7"/>
        <v>0</v>
      </c>
      <c r="K43" s="1579">
        <f t="shared" si="8"/>
        <v>0</v>
      </c>
      <c r="L43" s="363">
        <f t="shared" si="9"/>
        <v>0</v>
      </c>
      <c r="M43" s="187">
        <f t="shared" si="10"/>
        <v>0</v>
      </c>
      <c r="N43" s="364">
        <f t="shared" si="11"/>
        <v>0</v>
      </c>
    </row>
    <row r="44" spans="1:14">
      <c r="A44" s="1587">
        <f t="shared" si="6"/>
        <v>39</v>
      </c>
      <c r="B44" s="3590"/>
      <c r="C44" s="1578" t="s">
        <v>165</v>
      </c>
      <c r="D44" s="1579"/>
      <c r="E44" s="1579"/>
      <c r="F44" s="1579"/>
      <c r="G44" s="1579"/>
      <c r="H44" s="1579"/>
      <c r="I44" s="1581">
        <v>0.17249999999999999</v>
      </c>
      <c r="J44" s="1579">
        <f t="shared" si="7"/>
        <v>0</v>
      </c>
      <c r="K44" s="1579">
        <f t="shared" si="8"/>
        <v>0</v>
      </c>
      <c r="L44" s="363">
        <f t="shared" si="9"/>
        <v>0</v>
      </c>
      <c r="M44" s="187">
        <f t="shared" si="10"/>
        <v>0</v>
      </c>
      <c r="N44" s="364">
        <f t="shared" si="11"/>
        <v>0</v>
      </c>
    </row>
    <row r="45" spans="1:14">
      <c r="A45" s="1587">
        <f t="shared" si="6"/>
        <v>40</v>
      </c>
      <c r="B45" s="3590"/>
      <c r="C45" s="1578" t="s">
        <v>166</v>
      </c>
      <c r="D45" s="1579"/>
      <c r="E45" s="1579"/>
      <c r="F45" s="1579"/>
      <c r="G45" s="1579"/>
      <c r="H45" s="1579"/>
      <c r="I45" s="1581">
        <v>0.2112</v>
      </c>
      <c r="J45" s="1579">
        <f t="shared" si="7"/>
        <v>0</v>
      </c>
      <c r="K45" s="1579">
        <f t="shared" si="8"/>
        <v>0</v>
      </c>
      <c r="L45" s="363">
        <f t="shared" si="9"/>
        <v>0</v>
      </c>
      <c r="M45" s="187">
        <f t="shared" si="10"/>
        <v>0</v>
      </c>
      <c r="N45" s="364">
        <f t="shared" si="11"/>
        <v>0</v>
      </c>
    </row>
    <row r="46" spans="1:14">
      <c r="A46" s="1587">
        <f t="shared" si="6"/>
        <v>41</v>
      </c>
      <c r="B46" s="3590"/>
      <c r="C46" s="1578" t="s">
        <v>167</v>
      </c>
      <c r="D46" s="1579"/>
      <c r="E46" s="1579"/>
      <c r="F46" s="1579"/>
      <c r="G46" s="1579"/>
      <c r="H46" s="1579"/>
      <c r="I46" s="1581">
        <v>0.25</v>
      </c>
      <c r="J46" s="1579">
        <f t="shared" si="7"/>
        <v>0</v>
      </c>
      <c r="K46" s="1579">
        <f t="shared" si="8"/>
        <v>0</v>
      </c>
      <c r="L46" s="363">
        <f t="shared" si="9"/>
        <v>0</v>
      </c>
      <c r="M46" s="187">
        <f t="shared" si="10"/>
        <v>0</v>
      </c>
      <c r="N46" s="364">
        <f t="shared" si="11"/>
        <v>0</v>
      </c>
    </row>
    <row r="47" spans="1:14">
      <c r="A47" s="1587">
        <f t="shared" si="6"/>
        <v>42</v>
      </c>
      <c r="B47" s="3590"/>
      <c r="C47" s="1578" t="s">
        <v>168</v>
      </c>
      <c r="D47" s="1579"/>
      <c r="E47" s="1579"/>
      <c r="F47" s="1579"/>
      <c r="G47" s="1579"/>
      <c r="H47" s="1579"/>
      <c r="I47" s="1581">
        <v>0.28870000000000001</v>
      </c>
      <c r="J47" s="1579">
        <f t="shared" si="7"/>
        <v>0</v>
      </c>
      <c r="K47" s="1579">
        <f t="shared" si="8"/>
        <v>0</v>
      </c>
      <c r="L47" s="363">
        <f t="shared" si="9"/>
        <v>0</v>
      </c>
      <c r="M47" s="187">
        <f t="shared" si="10"/>
        <v>0</v>
      </c>
      <c r="N47" s="364">
        <f t="shared" si="11"/>
        <v>0</v>
      </c>
    </row>
    <row r="48" spans="1:14">
      <c r="A48" s="1587">
        <f t="shared" si="6"/>
        <v>43</v>
      </c>
      <c r="B48" s="3591"/>
      <c r="C48" s="1582" t="s">
        <v>169</v>
      </c>
      <c r="D48" s="1583"/>
      <c r="E48" s="1583"/>
      <c r="F48" s="1583"/>
      <c r="G48" s="1583"/>
      <c r="H48" s="1583"/>
      <c r="I48" s="1584">
        <v>0.3</v>
      </c>
      <c r="J48" s="1583">
        <f t="shared" si="7"/>
        <v>0</v>
      </c>
      <c r="K48" s="1583">
        <f t="shared" si="8"/>
        <v>0</v>
      </c>
      <c r="L48" s="365">
        <f t="shared" si="9"/>
        <v>0</v>
      </c>
      <c r="M48" s="366">
        <f t="shared" si="10"/>
        <v>0</v>
      </c>
      <c r="N48" s="367">
        <f t="shared" si="11"/>
        <v>0</v>
      </c>
    </row>
    <row r="49" spans="1:14">
      <c r="A49" s="1587">
        <f t="shared" si="6"/>
        <v>44</v>
      </c>
      <c r="B49" s="3596" t="s">
        <v>4819</v>
      </c>
      <c r="C49" s="3596"/>
      <c r="D49" s="1546">
        <f>SUM(D28:D48)</f>
        <v>0</v>
      </c>
      <c r="E49" s="1546">
        <f>SUM(E28:E48)</f>
        <v>0</v>
      </c>
      <c r="F49" s="1546">
        <f>SUM(F28:F48)</f>
        <v>0</v>
      </c>
      <c r="G49" s="1546">
        <f>SUM(G28:G48)</f>
        <v>0</v>
      </c>
      <c r="H49" s="1546">
        <f>SUM(H28:H48)</f>
        <v>0</v>
      </c>
      <c r="I49" s="1589"/>
      <c r="J49" s="1546">
        <f>SUM(J28:J48)</f>
        <v>0</v>
      </c>
      <c r="K49" s="1546">
        <f>SUM(K28:K48)</f>
        <v>0</v>
      </c>
      <c r="L49" s="371">
        <f>SUM(L28:L48)</f>
        <v>0</v>
      </c>
      <c r="M49" s="371">
        <f>SUM(M28:M48)</f>
        <v>0</v>
      </c>
      <c r="N49" s="372">
        <f>SUM(N28:N48)</f>
        <v>0</v>
      </c>
    </row>
    <row r="50" spans="1:14" ht="16.5" thickBot="1">
      <c r="A50" s="1590">
        <f t="shared" si="6"/>
        <v>45</v>
      </c>
      <c r="B50" s="3607" t="s">
        <v>4820</v>
      </c>
      <c r="C50" s="3607"/>
      <c r="D50" s="1591">
        <f>D49+D27</f>
        <v>0</v>
      </c>
      <c r="E50" s="1591">
        <f>E49+E27</f>
        <v>0</v>
      </c>
      <c r="F50" s="1591">
        <f>F49+F27</f>
        <v>0</v>
      </c>
      <c r="G50" s="1591">
        <f>G49+G27</f>
        <v>0</v>
      </c>
      <c r="H50" s="1591">
        <f>H49+H27</f>
        <v>0</v>
      </c>
      <c r="I50" s="1592"/>
      <c r="J50" s="1592"/>
      <c r="K50" s="1592"/>
      <c r="L50" s="373"/>
      <c r="M50" s="373"/>
      <c r="N50" s="374"/>
    </row>
    <row r="51" spans="1:14">
      <c r="A51" s="1566"/>
      <c r="B51" s="1566"/>
      <c r="C51" s="1566"/>
      <c r="D51" s="1566"/>
      <c r="E51" s="1566"/>
      <c r="F51" s="1566"/>
      <c r="G51" s="1566"/>
      <c r="H51" s="1566"/>
      <c r="I51" s="1566"/>
      <c r="J51" s="1566"/>
      <c r="K51" s="1566"/>
    </row>
    <row r="52" spans="1:14" ht="16.5">
      <c r="A52" s="1593" t="s">
        <v>4821</v>
      </c>
      <c r="B52" s="1195" t="s">
        <v>4822</v>
      </c>
      <c r="C52" s="1566"/>
      <c r="D52" s="1566"/>
      <c r="E52" s="1566"/>
      <c r="F52" s="1566"/>
      <c r="G52" s="1566"/>
      <c r="H52" s="1566"/>
      <c r="I52" s="1566"/>
      <c r="J52" s="1566"/>
      <c r="K52" s="1566"/>
    </row>
    <row r="53" spans="1:14" ht="16.5">
      <c r="A53" s="1593" t="s">
        <v>4797</v>
      </c>
      <c r="B53" s="1195" t="s">
        <v>4823</v>
      </c>
      <c r="C53" s="1566"/>
      <c r="D53" s="1566"/>
      <c r="E53" s="1566"/>
      <c r="F53" s="1566"/>
      <c r="G53" s="1566"/>
      <c r="H53" s="1566"/>
      <c r="I53" s="1566"/>
      <c r="J53" s="1566"/>
      <c r="K53" s="1566"/>
    </row>
    <row r="54" spans="1:14" ht="16.5">
      <c r="A54" s="1593" t="s">
        <v>4799</v>
      </c>
      <c r="B54" s="1195" t="s">
        <v>4824</v>
      </c>
      <c r="C54" s="1566"/>
      <c r="D54" s="1566"/>
      <c r="E54" s="1566"/>
      <c r="F54" s="1566"/>
      <c r="G54" s="1566"/>
      <c r="H54" s="1566"/>
      <c r="I54" s="1566"/>
      <c r="J54" s="1566"/>
      <c r="K54" s="1566"/>
    </row>
    <row r="55" spans="1:14">
      <c r="A55" s="1566"/>
      <c r="B55" s="1566"/>
      <c r="C55" s="1566"/>
      <c r="D55" s="1566"/>
      <c r="E55" s="1566"/>
      <c r="F55" s="1566"/>
      <c r="G55" s="1566"/>
      <c r="H55" s="1566"/>
      <c r="I55" s="1566"/>
      <c r="J55" s="1566"/>
      <c r="K55" s="1566"/>
    </row>
    <row r="56" spans="1:14">
      <c r="A56" s="1566"/>
      <c r="B56" s="1566"/>
      <c r="C56" s="1566"/>
      <c r="D56" s="1566"/>
      <c r="E56" s="1566"/>
      <c r="F56" s="1566"/>
      <c r="G56" s="1566"/>
      <c r="H56" s="1566"/>
      <c r="I56" s="1566"/>
      <c r="J56" s="1566"/>
      <c r="K56" s="1566"/>
    </row>
    <row r="57" spans="1:14">
      <c r="A57" s="1566"/>
      <c r="B57" s="1566"/>
      <c r="C57" s="1566"/>
      <c r="D57" s="1566"/>
      <c r="E57" s="1566"/>
      <c r="F57" s="1566"/>
      <c r="G57" s="1566"/>
      <c r="H57" s="1566"/>
      <c r="I57" s="1566"/>
      <c r="J57" s="1566"/>
      <c r="K57" s="1566"/>
    </row>
    <row r="58" spans="1:14">
      <c r="A58" s="1566"/>
      <c r="B58" s="1566"/>
      <c r="C58" s="1566"/>
      <c r="D58" s="1566"/>
      <c r="E58" s="1566"/>
      <c r="F58" s="1566"/>
      <c r="G58" s="1566"/>
      <c r="H58" s="1566"/>
      <c r="I58" s="1566"/>
      <c r="J58" s="1566"/>
      <c r="K58" s="1566"/>
    </row>
    <row r="59" spans="1:14">
      <c r="A59" s="1566"/>
      <c r="B59" s="1566"/>
      <c r="C59" s="1566"/>
      <c r="D59" s="1566"/>
      <c r="E59" s="1566"/>
      <c r="F59" s="1566"/>
      <c r="G59" s="1566"/>
      <c r="H59" s="1566"/>
      <c r="I59" s="1566"/>
      <c r="J59" s="1566"/>
      <c r="K59" s="1566"/>
    </row>
    <row r="60" spans="1:14">
      <c r="A60" s="1566"/>
      <c r="B60" s="1566"/>
      <c r="C60" s="1566"/>
      <c r="D60" s="1566"/>
      <c r="E60" s="1566"/>
      <c r="F60" s="1566"/>
      <c r="G60" s="1566"/>
      <c r="H60" s="1566"/>
      <c r="I60" s="1566"/>
      <c r="J60" s="1566"/>
      <c r="K60" s="1566"/>
    </row>
    <row r="61" spans="1:14">
      <c r="A61" s="1566"/>
      <c r="B61" s="1566"/>
      <c r="C61" s="1566"/>
      <c r="D61" s="1566"/>
      <c r="E61" s="1566"/>
      <c r="F61" s="1566"/>
      <c r="G61" s="1566"/>
      <c r="H61" s="1566"/>
      <c r="I61" s="1566"/>
      <c r="J61" s="1566"/>
      <c r="K61" s="1566"/>
    </row>
    <row r="62" spans="1:14">
      <c r="A62" s="1566"/>
      <c r="B62" s="1566"/>
      <c r="C62" s="1566"/>
      <c r="D62" s="1566"/>
      <c r="E62" s="1566"/>
      <c r="F62" s="1566"/>
      <c r="G62" s="1566"/>
      <c r="H62" s="1566"/>
      <c r="I62" s="1566"/>
      <c r="J62" s="1566"/>
      <c r="K62" s="1566"/>
    </row>
    <row r="63" spans="1:14">
      <c r="A63" s="1566"/>
      <c r="B63" s="1566"/>
      <c r="C63" s="1566"/>
      <c r="D63" s="1566"/>
      <c r="E63" s="1566"/>
      <c r="F63" s="1566"/>
      <c r="G63" s="1566"/>
      <c r="H63" s="1566"/>
      <c r="I63" s="1566"/>
      <c r="J63" s="1566"/>
      <c r="K63" s="1566"/>
    </row>
    <row r="64" spans="1:14">
      <c r="A64" s="1566"/>
      <c r="B64" s="1566"/>
      <c r="C64" s="1566"/>
      <c r="D64" s="1566"/>
      <c r="E64" s="1566"/>
      <c r="F64" s="1566"/>
      <c r="G64" s="1566"/>
      <c r="H64" s="1566"/>
      <c r="I64" s="1566"/>
      <c r="J64" s="1566"/>
      <c r="K64" s="1566"/>
    </row>
    <row r="65" spans="1:11">
      <c r="A65" s="1566"/>
      <c r="B65" s="1566"/>
      <c r="C65" s="1566"/>
      <c r="D65" s="1566"/>
      <c r="E65" s="1566"/>
      <c r="F65" s="1566"/>
      <c r="G65" s="1566"/>
      <c r="H65" s="1566"/>
      <c r="I65" s="1566"/>
      <c r="J65" s="1566"/>
      <c r="K65" s="1566"/>
    </row>
    <row r="66" spans="1:11">
      <c r="A66" s="1566"/>
      <c r="B66" s="1566"/>
      <c r="C66" s="1566"/>
      <c r="D66" s="1566"/>
      <c r="E66" s="1566"/>
      <c r="F66" s="1566"/>
      <c r="G66" s="1566"/>
      <c r="H66" s="1566"/>
      <c r="I66" s="1566"/>
      <c r="J66" s="1566"/>
      <c r="K66" s="1566"/>
    </row>
    <row r="67" spans="1:11">
      <c r="A67" s="1566"/>
      <c r="B67" s="1566"/>
      <c r="C67" s="1566"/>
      <c r="D67" s="1566"/>
      <c r="E67" s="1566"/>
      <c r="F67" s="1566"/>
      <c r="G67" s="1566"/>
      <c r="H67" s="1566"/>
      <c r="I67" s="1566"/>
      <c r="J67" s="1566"/>
      <c r="K67" s="1566"/>
    </row>
    <row r="68" spans="1:11">
      <c r="A68" s="1566"/>
      <c r="B68" s="1566"/>
      <c r="C68" s="1566"/>
      <c r="D68" s="1566"/>
      <c r="E68" s="1566"/>
      <c r="F68" s="1566"/>
      <c r="G68" s="1566"/>
      <c r="H68" s="1566"/>
      <c r="I68" s="1566"/>
      <c r="J68" s="1566"/>
      <c r="K68" s="1566"/>
    </row>
    <row r="69" spans="1:11">
      <c r="A69" s="1566"/>
      <c r="B69" s="1566"/>
      <c r="C69" s="1566"/>
      <c r="D69" s="1566"/>
      <c r="E69" s="1566"/>
      <c r="F69" s="1566"/>
      <c r="G69" s="1566"/>
      <c r="H69" s="1566"/>
      <c r="I69" s="1566"/>
      <c r="J69" s="1566"/>
      <c r="K69" s="1566"/>
    </row>
    <row r="70" spans="1:11">
      <c r="A70" s="1566"/>
      <c r="B70" s="1566"/>
      <c r="C70" s="1566"/>
      <c r="D70" s="1566"/>
      <c r="E70" s="1566"/>
      <c r="F70" s="1566"/>
      <c r="G70" s="1566"/>
      <c r="H70" s="1566"/>
      <c r="I70" s="1566"/>
      <c r="J70" s="1566"/>
      <c r="K70" s="1566"/>
    </row>
    <row r="71" spans="1:11">
      <c r="A71" s="1566"/>
      <c r="B71" s="1566"/>
      <c r="C71" s="1566"/>
      <c r="D71" s="1566"/>
      <c r="E71" s="1566"/>
      <c r="F71" s="1566"/>
      <c r="G71" s="1566"/>
      <c r="H71" s="1566"/>
      <c r="I71" s="1566"/>
      <c r="J71" s="1566"/>
      <c r="K71" s="1566"/>
    </row>
    <row r="72" spans="1:11">
      <c r="A72" s="1566"/>
      <c r="B72" s="1566"/>
      <c r="C72" s="1566"/>
      <c r="D72" s="1566"/>
      <c r="E72" s="1566"/>
      <c r="F72" s="1566"/>
      <c r="G72" s="1566"/>
      <c r="H72" s="1566"/>
      <c r="I72" s="1566"/>
      <c r="J72" s="1566"/>
      <c r="K72" s="1566"/>
    </row>
    <row r="73" spans="1:11">
      <c r="A73" s="1566"/>
      <c r="B73" s="1566"/>
      <c r="C73" s="1566"/>
      <c r="D73" s="1566"/>
      <c r="E73" s="1566"/>
      <c r="F73" s="1566"/>
      <c r="G73" s="1566"/>
      <c r="H73" s="1566"/>
      <c r="I73" s="1566"/>
      <c r="J73" s="1566"/>
      <c r="K73" s="1566"/>
    </row>
    <row r="74" spans="1:11">
      <c r="A74" s="1566"/>
      <c r="B74" s="1566"/>
      <c r="C74" s="1566"/>
      <c r="D74" s="1566"/>
      <c r="E74" s="1566"/>
      <c r="F74" s="1566"/>
      <c r="G74" s="1566"/>
      <c r="H74" s="1566"/>
      <c r="I74" s="1566"/>
      <c r="J74" s="1566"/>
      <c r="K74" s="1566"/>
    </row>
    <row r="75" spans="1:11">
      <c r="A75" s="1566"/>
      <c r="B75" s="1566"/>
      <c r="C75" s="1566"/>
      <c r="D75" s="1566"/>
      <c r="E75" s="1566"/>
      <c r="F75" s="1566"/>
      <c r="G75" s="1566"/>
      <c r="H75" s="1566"/>
      <c r="I75" s="1566"/>
      <c r="J75" s="1566"/>
      <c r="K75" s="1566"/>
    </row>
    <row r="76" spans="1:11">
      <c r="A76" s="1566"/>
      <c r="B76" s="1566"/>
      <c r="C76" s="1566"/>
      <c r="D76" s="1566"/>
      <c r="E76" s="1566"/>
      <c r="F76" s="1566"/>
      <c r="G76" s="1566"/>
      <c r="H76" s="1566"/>
      <c r="I76" s="1566"/>
      <c r="J76" s="1566"/>
      <c r="K76" s="1566"/>
    </row>
    <row r="77" spans="1:11">
      <c r="A77" s="1566"/>
      <c r="B77" s="1566"/>
      <c r="C77" s="1566"/>
      <c r="D77" s="1566"/>
      <c r="E77" s="1566"/>
      <c r="F77" s="1566"/>
      <c r="G77" s="1566"/>
      <c r="H77" s="1566"/>
      <c r="I77" s="1566"/>
      <c r="J77" s="1566"/>
      <c r="K77" s="1566"/>
    </row>
    <row r="78" spans="1:11">
      <c r="A78" s="1566"/>
      <c r="B78" s="1566"/>
      <c r="C78" s="1566"/>
      <c r="D78" s="1566"/>
      <c r="E78" s="1566"/>
      <c r="F78" s="1566"/>
      <c r="G78" s="1566"/>
      <c r="H78" s="1566"/>
      <c r="I78" s="1566"/>
      <c r="J78" s="1566"/>
      <c r="K78" s="1566"/>
    </row>
    <row r="79" spans="1:11">
      <c r="A79" s="1566"/>
      <c r="B79" s="1566"/>
      <c r="C79" s="1566"/>
      <c r="D79" s="1566"/>
      <c r="E79" s="1566"/>
      <c r="F79" s="1566"/>
      <c r="G79" s="1566"/>
      <c r="H79" s="1566"/>
      <c r="I79" s="1566"/>
      <c r="J79" s="1566"/>
      <c r="K79" s="1566"/>
    </row>
    <row r="80" spans="1:11">
      <c r="A80" s="1566"/>
      <c r="B80" s="1566"/>
      <c r="C80" s="1566"/>
      <c r="D80" s="1566"/>
      <c r="E80" s="1566"/>
      <c r="F80" s="1566"/>
      <c r="G80" s="1566"/>
      <c r="H80" s="1566"/>
      <c r="I80" s="1566"/>
      <c r="J80" s="1566"/>
      <c r="K80" s="1566"/>
    </row>
    <row r="81" spans="1:11">
      <c r="A81" s="1566"/>
      <c r="B81" s="1566"/>
      <c r="C81" s="1566"/>
      <c r="D81" s="1566"/>
      <c r="E81" s="1566"/>
      <c r="F81" s="1566"/>
      <c r="G81" s="1566"/>
      <c r="H81" s="1566"/>
      <c r="I81" s="1566"/>
      <c r="J81" s="1566"/>
      <c r="K81" s="1566"/>
    </row>
    <row r="82" spans="1:11">
      <c r="A82" s="1566"/>
      <c r="B82" s="1566"/>
      <c r="C82" s="1566"/>
      <c r="D82" s="1566"/>
      <c r="E82" s="1566"/>
      <c r="F82" s="1566"/>
      <c r="G82" s="1566"/>
      <c r="H82" s="1566"/>
      <c r="I82" s="1566"/>
      <c r="J82" s="1566"/>
      <c r="K82" s="1566"/>
    </row>
    <row r="83" spans="1:11">
      <c r="A83" s="1566"/>
      <c r="B83" s="1566"/>
      <c r="C83" s="1566"/>
      <c r="D83" s="1566"/>
      <c r="E83" s="1566"/>
      <c r="F83" s="1566"/>
      <c r="G83" s="1566"/>
      <c r="H83" s="1566"/>
      <c r="I83" s="1566"/>
      <c r="J83" s="1566"/>
      <c r="K83" s="1566"/>
    </row>
    <row r="84" spans="1:11">
      <c r="A84" s="1566"/>
      <c r="B84" s="1566"/>
      <c r="C84" s="1566"/>
      <c r="D84" s="1566"/>
      <c r="E84" s="1566"/>
      <c r="F84" s="1566"/>
      <c r="G84" s="1566"/>
      <c r="H84" s="1566"/>
      <c r="I84" s="1566"/>
      <c r="J84" s="1566"/>
      <c r="K84" s="1566"/>
    </row>
    <row r="85" spans="1:11">
      <c r="A85" s="1566"/>
      <c r="B85" s="1566"/>
      <c r="C85" s="1566"/>
      <c r="D85" s="1566"/>
      <c r="E85" s="1566"/>
      <c r="F85" s="1566"/>
      <c r="G85" s="1566"/>
      <c r="H85" s="1566"/>
      <c r="I85" s="1566"/>
      <c r="J85" s="1566"/>
      <c r="K85" s="1566"/>
    </row>
    <row r="86" spans="1:11">
      <c r="A86" s="1566"/>
      <c r="B86" s="1566"/>
      <c r="C86" s="1566"/>
      <c r="D86" s="1566"/>
      <c r="E86" s="1566"/>
      <c r="F86" s="1566"/>
      <c r="G86" s="1566"/>
      <c r="H86" s="1566"/>
      <c r="I86" s="1566"/>
      <c r="J86" s="1566"/>
      <c r="K86" s="1566"/>
    </row>
    <row r="87" spans="1:11">
      <c r="A87" s="1566"/>
      <c r="B87" s="1566"/>
      <c r="C87" s="1566"/>
      <c r="D87" s="1566"/>
      <c r="E87" s="1566"/>
      <c r="F87" s="1566"/>
      <c r="G87" s="1566"/>
      <c r="H87" s="1566"/>
      <c r="I87" s="1566"/>
      <c r="J87" s="1566"/>
      <c r="K87" s="1566"/>
    </row>
    <row r="88" spans="1:11">
      <c r="A88" s="1566"/>
      <c r="B88" s="1566"/>
      <c r="C88" s="1566"/>
      <c r="D88" s="1566"/>
      <c r="E88" s="1566"/>
      <c r="F88" s="1566"/>
      <c r="G88" s="1566"/>
      <c r="H88" s="1566"/>
      <c r="I88" s="1566"/>
      <c r="J88" s="1566"/>
      <c r="K88" s="1566"/>
    </row>
    <row r="89" spans="1:11">
      <c r="A89" s="1566"/>
      <c r="B89" s="1566"/>
      <c r="C89" s="1566"/>
      <c r="D89" s="1566"/>
      <c r="E89" s="1566"/>
      <c r="F89" s="1566"/>
      <c r="G89" s="1566"/>
      <c r="H89" s="1566"/>
      <c r="I89" s="1566"/>
      <c r="J89" s="1566"/>
      <c r="K89" s="1566"/>
    </row>
    <row r="90" spans="1:11">
      <c r="A90" s="1566"/>
      <c r="B90" s="1566"/>
      <c r="C90" s="1566"/>
      <c r="D90" s="1566"/>
      <c r="E90" s="1566"/>
      <c r="F90" s="1566"/>
      <c r="G90" s="1566"/>
      <c r="H90" s="1566"/>
      <c r="I90" s="1566"/>
      <c r="J90" s="1566"/>
      <c r="K90" s="1566"/>
    </row>
    <row r="91" spans="1:11">
      <c r="A91" s="1566"/>
      <c r="B91" s="1566"/>
      <c r="C91" s="1566"/>
      <c r="D91" s="1566"/>
      <c r="E91" s="1566"/>
      <c r="F91" s="1566"/>
      <c r="G91" s="1566"/>
      <c r="H91" s="1566"/>
      <c r="I91" s="1566"/>
      <c r="J91" s="1566"/>
      <c r="K91" s="1566"/>
    </row>
    <row r="92" spans="1:11">
      <c r="A92" s="1566"/>
      <c r="B92" s="1566"/>
      <c r="C92" s="1566"/>
      <c r="D92" s="1566"/>
      <c r="E92" s="1566"/>
      <c r="F92" s="1566"/>
      <c r="G92" s="1566"/>
      <c r="H92" s="1566"/>
      <c r="I92" s="1566"/>
      <c r="J92" s="1566"/>
      <c r="K92" s="1566"/>
    </row>
    <row r="93" spans="1:11">
      <c r="A93" s="1566"/>
      <c r="B93" s="1566"/>
      <c r="C93" s="1566"/>
      <c r="D93" s="1566"/>
      <c r="E93" s="1566"/>
      <c r="F93" s="1566"/>
      <c r="G93" s="1566"/>
      <c r="H93" s="1566"/>
      <c r="I93" s="1566"/>
      <c r="J93" s="1566"/>
      <c r="K93" s="1566"/>
    </row>
    <row r="94" spans="1:11">
      <c r="A94" s="1566"/>
      <c r="B94" s="1566"/>
      <c r="C94" s="1566"/>
      <c r="D94" s="1566"/>
      <c r="E94" s="1566"/>
      <c r="F94" s="1566"/>
      <c r="G94" s="1566"/>
      <c r="H94" s="1566"/>
      <c r="I94" s="1566"/>
      <c r="J94" s="1566"/>
      <c r="K94" s="1566"/>
    </row>
    <row r="95" spans="1:11">
      <c r="A95" s="1566"/>
      <c r="B95" s="1566"/>
      <c r="C95" s="1566"/>
      <c r="D95" s="1566"/>
      <c r="E95" s="1566"/>
      <c r="F95" s="1566"/>
      <c r="G95" s="1566"/>
      <c r="H95" s="1566"/>
      <c r="I95" s="1566"/>
      <c r="J95" s="1566"/>
      <c r="K95" s="1566"/>
    </row>
    <row r="96" spans="1:11">
      <c r="A96" s="1566"/>
      <c r="B96" s="1566"/>
      <c r="C96" s="1566"/>
      <c r="D96" s="1566"/>
      <c r="E96" s="1566"/>
      <c r="F96" s="1566"/>
      <c r="G96" s="1566"/>
      <c r="H96" s="1566"/>
      <c r="I96" s="1566"/>
      <c r="J96" s="1566"/>
      <c r="K96" s="1566"/>
    </row>
    <row r="97" spans="1:11">
      <c r="A97" s="1566"/>
      <c r="B97" s="1566"/>
      <c r="C97" s="1566"/>
      <c r="D97" s="1566"/>
      <c r="E97" s="1566"/>
      <c r="F97" s="1566"/>
      <c r="G97" s="1566"/>
      <c r="H97" s="1566"/>
      <c r="I97" s="1566"/>
      <c r="J97" s="1566"/>
      <c r="K97" s="1566"/>
    </row>
    <row r="98" spans="1:11">
      <c r="A98" s="1566"/>
      <c r="B98" s="1566"/>
      <c r="C98" s="1566"/>
      <c r="D98" s="1566"/>
      <c r="E98" s="1566"/>
      <c r="F98" s="1566"/>
      <c r="G98" s="1566"/>
      <c r="H98" s="1566"/>
      <c r="I98" s="1566"/>
      <c r="J98" s="1566"/>
      <c r="K98" s="1566"/>
    </row>
    <row r="99" spans="1:11">
      <c r="A99" s="1566"/>
      <c r="B99" s="1566"/>
      <c r="C99" s="1566"/>
      <c r="D99" s="1566"/>
      <c r="E99" s="1566"/>
      <c r="F99" s="1566"/>
      <c r="G99" s="1566"/>
      <c r="H99" s="1566"/>
      <c r="I99" s="1566"/>
      <c r="J99" s="1566"/>
      <c r="K99" s="1566"/>
    </row>
    <row r="100" spans="1:11">
      <c r="A100" s="1566"/>
      <c r="B100" s="1566"/>
      <c r="C100" s="1566"/>
      <c r="D100" s="1566"/>
      <c r="E100" s="1566"/>
      <c r="F100" s="1566"/>
      <c r="G100" s="1566"/>
      <c r="H100" s="1566"/>
      <c r="I100" s="1566"/>
      <c r="J100" s="1566"/>
      <c r="K100" s="1566"/>
    </row>
    <row r="101" spans="1:11">
      <c r="A101" s="1566"/>
      <c r="B101" s="1566"/>
      <c r="C101" s="1566"/>
      <c r="D101" s="1566"/>
      <c r="E101" s="1566"/>
      <c r="F101" s="1566"/>
      <c r="G101" s="1566"/>
      <c r="H101" s="1566"/>
      <c r="I101" s="1566"/>
      <c r="J101" s="1566"/>
      <c r="K101" s="1566"/>
    </row>
    <row r="102" spans="1:11">
      <c r="A102" s="1566"/>
      <c r="B102" s="1566"/>
      <c r="C102" s="1566"/>
      <c r="D102" s="1566"/>
      <c r="E102" s="1566"/>
      <c r="F102" s="1566"/>
      <c r="G102" s="1566"/>
      <c r="H102" s="1566"/>
      <c r="I102" s="1566"/>
      <c r="J102" s="1566"/>
      <c r="K102" s="1566"/>
    </row>
    <row r="103" spans="1:11">
      <c r="A103" s="1566"/>
      <c r="B103" s="1566"/>
      <c r="C103" s="1566"/>
      <c r="D103" s="1566"/>
      <c r="E103" s="1566"/>
      <c r="F103" s="1566"/>
      <c r="G103" s="1566"/>
      <c r="H103" s="1566"/>
      <c r="I103" s="1566"/>
      <c r="J103" s="1566"/>
      <c r="K103" s="1566"/>
    </row>
    <row r="104" spans="1:11">
      <c r="A104" s="1566"/>
      <c r="B104" s="1566"/>
      <c r="C104" s="1566"/>
      <c r="D104" s="1566"/>
      <c r="E104" s="1566"/>
      <c r="F104" s="1566"/>
      <c r="G104" s="1566"/>
      <c r="H104" s="1566"/>
      <c r="I104" s="1566"/>
      <c r="J104" s="1566"/>
      <c r="K104" s="1566"/>
    </row>
    <row r="105" spans="1:11">
      <c r="A105" s="1566"/>
      <c r="B105" s="1566"/>
      <c r="C105" s="1566"/>
      <c r="D105" s="1566"/>
      <c r="E105" s="1566"/>
      <c r="F105" s="1566"/>
      <c r="G105" s="1566"/>
      <c r="H105" s="1566"/>
      <c r="I105" s="1566"/>
      <c r="J105" s="1566"/>
      <c r="K105" s="1566"/>
    </row>
    <row r="106" spans="1:11">
      <c r="A106" s="1566"/>
      <c r="B106" s="1566"/>
      <c r="C106" s="1566"/>
      <c r="D106" s="1566"/>
      <c r="E106" s="1566"/>
      <c r="F106" s="1566"/>
      <c r="G106" s="1566"/>
      <c r="H106" s="1566"/>
      <c r="I106" s="1566"/>
      <c r="J106" s="1566"/>
      <c r="K106" s="1566"/>
    </row>
    <row r="107" spans="1:11">
      <c r="A107" s="1566"/>
      <c r="B107" s="1566"/>
      <c r="C107" s="1566"/>
      <c r="D107" s="1566"/>
      <c r="E107" s="1566"/>
      <c r="F107" s="1566"/>
      <c r="G107" s="1566"/>
      <c r="H107" s="1566"/>
      <c r="I107" s="1566"/>
      <c r="J107" s="1566"/>
      <c r="K107" s="1566"/>
    </row>
    <row r="108" spans="1:11">
      <c r="A108" s="1566"/>
      <c r="B108" s="1566"/>
      <c r="C108" s="1566"/>
      <c r="D108" s="1566"/>
      <c r="E108" s="1566"/>
      <c r="F108" s="1566"/>
      <c r="G108" s="1566"/>
      <c r="H108" s="1566"/>
      <c r="I108" s="1566"/>
      <c r="J108" s="1566"/>
      <c r="K108" s="1566"/>
    </row>
    <row r="109" spans="1:11">
      <c r="A109" s="1566"/>
      <c r="B109" s="1566"/>
      <c r="C109" s="1566"/>
      <c r="D109" s="1566"/>
      <c r="E109" s="1566"/>
      <c r="F109" s="1566"/>
      <c r="G109" s="1566"/>
      <c r="H109" s="1566"/>
      <c r="I109" s="1566"/>
      <c r="J109" s="1566"/>
      <c r="K109" s="1566"/>
    </row>
    <row r="110" spans="1:11">
      <c r="A110" s="1566"/>
      <c r="B110" s="1566"/>
      <c r="C110" s="1566"/>
      <c r="D110" s="1566"/>
      <c r="E110" s="1566"/>
      <c r="F110" s="1566"/>
      <c r="G110" s="1566"/>
      <c r="H110" s="1566"/>
      <c r="I110" s="1566"/>
      <c r="J110" s="1566"/>
      <c r="K110" s="1566"/>
    </row>
    <row r="111" spans="1:11">
      <c r="A111" s="1566"/>
      <c r="B111" s="1566"/>
      <c r="C111" s="1566"/>
      <c r="D111" s="1566"/>
      <c r="E111" s="1566"/>
      <c r="F111" s="1566"/>
      <c r="G111" s="1566"/>
      <c r="H111" s="1566"/>
      <c r="I111" s="1566"/>
      <c r="J111" s="1566"/>
      <c r="K111" s="1566"/>
    </row>
    <row r="112" spans="1:11">
      <c r="A112" s="1566"/>
      <c r="B112" s="1566"/>
      <c r="C112" s="1566"/>
      <c r="D112" s="1566"/>
      <c r="E112" s="1566"/>
      <c r="F112" s="1566"/>
      <c r="G112" s="1566"/>
      <c r="H112" s="1566"/>
      <c r="I112" s="1566"/>
      <c r="J112" s="1566"/>
      <c r="K112" s="1566"/>
    </row>
    <row r="113" spans="1:11">
      <c r="A113" s="1566"/>
      <c r="B113" s="1566"/>
      <c r="C113" s="1566"/>
      <c r="D113" s="1566"/>
      <c r="E113" s="1566"/>
      <c r="F113" s="1566"/>
      <c r="G113" s="1566"/>
      <c r="H113" s="1566"/>
      <c r="I113" s="1566"/>
      <c r="J113" s="1566"/>
      <c r="K113" s="1566"/>
    </row>
    <row r="114" spans="1:11">
      <c r="A114" s="1566"/>
      <c r="B114" s="1566"/>
      <c r="C114" s="1566"/>
      <c r="D114" s="1566"/>
      <c r="E114" s="1566"/>
      <c r="F114" s="1566"/>
      <c r="G114" s="1566"/>
      <c r="H114" s="1566"/>
      <c r="I114" s="1566"/>
      <c r="J114" s="1566"/>
      <c r="K114" s="1566"/>
    </row>
    <row r="115" spans="1:11">
      <c r="A115" s="1566"/>
      <c r="B115" s="1566"/>
      <c r="C115" s="1566"/>
      <c r="D115" s="1566"/>
      <c r="E115" s="1566"/>
      <c r="F115" s="1566"/>
      <c r="G115" s="1566"/>
      <c r="H115" s="1566"/>
      <c r="I115" s="1566"/>
      <c r="J115" s="1566"/>
      <c r="K115" s="1566"/>
    </row>
    <row r="116" spans="1:11">
      <c r="A116" s="1566"/>
      <c r="B116" s="1566"/>
      <c r="C116" s="1566"/>
      <c r="D116" s="1566"/>
      <c r="E116" s="1566"/>
      <c r="F116" s="1566"/>
      <c r="G116" s="1566"/>
      <c r="H116" s="1566"/>
      <c r="I116" s="1566"/>
      <c r="J116" s="1566"/>
      <c r="K116" s="1566"/>
    </row>
    <row r="117" spans="1:11">
      <c r="A117" s="1566"/>
      <c r="B117" s="1566"/>
      <c r="C117" s="1566"/>
      <c r="D117" s="1566"/>
      <c r="E117" s="1566"/>
      <c r="F117" s="1566"/>
      <c r="G117" s="1566"/>
      <c r="H117" s="1566"/>
      <c r="I117" s="1566"/>
      <c r="J117" s="1566"/>
      <c r="K117" s="1566"/>
    </row>
    <row r="118" spans="1:11">
      <c r="A118" s="1566"/>
      <c r="B118" s="1566"/>
      <c r="C118" s="1566"/>
      <c r="D118" s="1566"/>
      <c r="E118" s="1566"/>
      <c r="F118" s="1566"/>
      <c r="G118" s="1566"/>
      <c r="H118" s="1566"/>
      <c r="I118" s="1566"/>
      <c r="J118" s="1566"/>
      <c r="K118" s="1566"/>
    </row>
    <row r="119" spans="1:11">
      <c r="A119" s="1566"/>
      <c r="B119" s="1566"/>
      <c r="C119" s="1566"/>
      <c r="D119" s="1566"/>
      <c r="E119" s="1566"/>
      <c r="F119" s="1566"/>
      <c r="G119" s="1566"/>
      <c r="H119" s="1566"/>
      <c r="I119" s="1566"/>
      <c r="J119" s="1566"/>
      <c r="K119" s="1566"/>
    </row>
    <row r="120" spans="1:11">
      <c r="A120" s="1566"/>
      <c r="B120" s="1566"/>
      <c r="C120" s="1566"/>
      <c r="D120" s="1566"/>
      <c r="E120" s="1566"/>
      <c r="F120" s="1566"/>
      <c r="G120" s="1566"/>
      <c r="H120" s="1566"/>
      <c r="I120" s="1566"/>
      <c r="J120" s="1566"/>
      <c r="K120" s="1566"/>
    </row>
    <row r="121" spans="1:11">
      <c r="A121" s="1566"/>
      <c r="B121" s="1566"/>
      <c r="C121" s="1566"/>
      <c r="D121" s="1566"/>
      <c r="E121" s="1566"/>
      <c r="F121" s="1566"/>
      <c r="G121" s="1566"/>
      <c r="H121" s="1566"/>
      <c r="I121" s="1566"/>
      <c r="J121" s="1566"/>
      <c r="K121" s="1566"/>
    </row>
    <row r="122" spans="1:11">
      <c r="A122" s="1566"/>
      <c r="B122" s="1566"/>
      <c r="C122" s="1566"/>
      <c r="D122" s="1566"/>
      <c r="E122" s="1566"/>
      <c r="F122" s="1566"/>
      <c r="G122" s="1566"/>
      <c r="H122" s="1566"/>
      <c r="I122" s="1566"/>
      <c r="J122" s="1566"/>
      <c r="K122" s="1566"/>
    </row>
    <row r="123" spans="1:11">
      <c r="A123" s="1566"/>
      <c r="B123" s="1566"/>
      <c r="C123" s="1566"/>
      <c r="D123" s="1566"/>
      <c r="E123" s="1566"/>
      <c r="F123" s="1566"/>
      <c r="G123" s="1566"/>
      <c r="H123" s="1566"/>
      <c r="I123" s="1566"/>
      <c r="J123" s="1566"/>
      <c r="K123" s="1566"/>
    </row>
    <row r="124" spans="1:11">
      <c r="A124" s="1566"/>
      <c r="B124" s="1566"/>
      <c r="C124" s="1566"/>
      <c r="D124" s="1566"/>
      <c r="E124" s="1566"/>
      <c r="F124" s="1566"/>
      <c r="G124" s="1566"/>
      <c r="H124" s="1566"/>
      <c r="I124" s="1566"/>
      <c r="J124" s="1566"/>
      <c r="K124" s="1566"/>
    </row>
    <row r="125" spans="1:11">
      <c r="A125" s="1566"/>
      <c r="B125" s="1566"/>
      <c r="C125" s="1566"/>
      <c r="D125" s="1566"/>
      <c r="E125" s="1566"/>
      <c r="F125" s="1566"/>
      <c r="G125" s="1566"/>
      <c r="H125" s="1566"/>
      <c r="I125" s="1566"/>
      <c r="J125" s="1566"/>
      <c r="K125" s="1566"/>
    </row>
    <row r="126" spans="1:11">
      <c r="A126" s="1566"/>
      <c r="B126" s="1566"/>
      <c r="C126" s="1566"/>
      <c r="D126" s="1566"/>
      <c r="E126" s="1566"/>
      <c r="F126" s="1566"/>
      <c r="G126" s="1566"/>
      <c r="H126" s="1566"/>
      <c r="I126" s="1566"/>
      <c r="J126" s="1566"/>
      <c r="K126" s="1566"/>
    </row>
    <row r="127" spans="1:11">
      <c r="A127" s="1566"/>
      <c r="B127" s="1566"/>
      <c r="C127" s="1566"/>
      <c r="D127" s="1566"/>
      <c r="E127" s="1566"/>
      <c r="F127" s="1566"/>
      <c r="G127" s="1566"/>
      <c r="H127" s="1566"/>
      <c r="I127" s="1566"/>
      <c r="J127" s="1566"/>
      <c r="K127" s="1566"/>
    </row>
    <row r="128" spans="1:11">
      <c r="A128" s="1566"/>
      <c r="B128" s="1566"/>
      <c r="C128" s="1566"/>
      <c r="D128" s="1566"/>
      <c r="E128" s="1566"/>
      <c r="F128" s="1566"/>
      <c r="G128" s="1566"/>
      <c r="H128" s="1566"/>
      <c r="I128" s="1566"/>
      <c r="J128" s="1566"/>
      <c r="K128" s="1566"/>
    </row>
    <row r="129" spans="1:11">
      <c r="A129" s="1566"/>
      <c r="B129" s="1566"/>
      <c r="C129" s="1566"/>
      <c r="D129" s="1566"/>
      <c r="E129" s="1566"/>
      <c r="F129" s="1566"/>
      <c r="G129" s="1566"/>
      <c r="H129" s="1566"/>
      <c r="I129" s="1566"/>
      <c r="J129" s="1566"/>
      <c r="K129" s="1566"/>
    </row>
    <row r="130" spans="1:11">
      <c r="A130" s="1566"/>
      <c r="B130" s="1566"/>
      <c r="C130" s="1566"/>
      <c r="D130" s="1566"/>
      <c r="E130" s="1566"/>
      <c r="F130" s="1566"/>
      <c r="G130" s="1566"/>
      <c r="H130" s="1566"/>
      <c r="I130" s="1566"/>
      <c r="J130" s="1566"/>
      <c r="K130" s="1566"/>
    </row>
    <row r="131" spans="1:11">
      <c r="A131" s="1566"/>
      <c r="B131" s="1566"/>
      <c r="C131" s="1566"/>
      <c r="D131" s="1566"/>
      <c r="E131" s="1566"/>
      <c r="F131" s="1566"/>
      <c r="G131" s="1566"/>
      <c r="H131" s="1566"/>
      <c r="I131" s="1566"/>
      <c r="J131" s="1566"/>
      <c r="K131" s="1566"/>
    </row>
    <row r="132" spans="1:11">
      <c r="A132" s="1566"/>
      <c r="B132" s="1566"/>
      <c r="C132" s="1566"/>
      <c r="D132" s="1566"/>
      <c r="E132" s="1566"/>
      <c r="F132" s="1566"/>
      <c r="G132" s="1566"/>
      <c r="H132" s="1566"/>
      <c r="I132" s="1566"/>
      <c r="J132" s="1566"/>
      <c r="K132" s="1566"/>
    </row>
    <row r="133" spans="1:11">
      <c r="A133" s="1566"/>
      <c r="B133" s="1566"/>
      <c r="C133" s="1566"/>
      <c r="D133" s="1566"/>
      <c r="E133" s="1566"/>
      <c r="F133" s="1566"/>
      <c r="G133" s="1566"/>
      <c r="H133" s="1566"/>
      <c r="I133" s="1566"/>
      <c r="J133" s="1566"/>
      <c r="K133" s="1566"/>
    </row>
    <row r="134" spans="1:11">
      <c r="A134" s="1566"/>
      <c r="B134" s="1566"/>
      <c r="C134" s="1566"/>
      <c r="D134" s="1566"/>
      <c r="E134" s="1566"/>
      <c r="F134" s="1566"/>
      <c r="G134" s="1566"/>
      <c r="H134" s="1566"/>
      <c r="I134" s="1566"/>
      <c r="J134" s="1566"/>
      <c r="K134" s="1566"/>
    </row>
    <row r="135" spans="1:11">
      <c r="A135" s="1566"/>
      <c r="B135" s="1566"/>
      <c r="C135" s="1566"/>
      <c r="D135" s="1566"/>
      <c r="E135" s="1566"/>
      <c r="F135" s="1566"/>
      <c r="G135" s="1566"/>
      <c r="H135" s="1566"/>
      <c r="I135" s="1566"/>
      <c r="J135" s="1566"/>
      <c r="K135" s="1566"/>
    </row>
    <row r="136" spans="1:11">
      <c r="A136" s="1566"/>
      <c r="B136" s="1566"/>
      <c r="C136" s="1566"/>
      <c r="D136" s="1566"/>
      <c r="E136" s="1566"/>
      <c r="F136" s="1566"/>
      <c r="G136" s="1566"/>
      <c r="H136" s="1566"/>
      <c r="I136" s="1566"/>
      <c r="J136" s="1566"/>
      <c r="K136" s="1566"/>
    </row>
    <row r="137" spans="1:11">
      <c r="A137" s="1566"/>
      <c r="B137" s="1566"/>
      <c r="C137" s="1566"/>
      <c r="D137" s="1566"/>
      <c r="E137" s="1566"/>
      <c r="F137" s="1566"/>
      <c r="G137" s="1566"/>
      <c r="H137" s="1566"/>
      <c r="I137" s="1566"/>
      <c r="J137" s="1566"/>
      <c r="K137" s="1566"/>
    </row>
    <row r="138" spans="1:11">
      <c r="A138" s="1566"/>
      <c r="B138" s="1566"/>
      <c r="C138" s="1566"/>
      <c r="D138" s="1566"/>
      <c r="E138" s="1566"/>
      <c r="F138" s="1566"/>
      <c r="G138" s="1566"/>
      <c r="H138" s="1566"/>
      <c r="I138" s="1566"/>
      <c r="J138" s="1566"/>
      <c r="K138" s="1566"/>
    </row>
    <row r="139" spans="1:11">
      <c r="A139" s="1566"/>
      <c r="B139" s="1566"/>
      <c r="C139" s="1566"/>
      <c r="D139" s="1566"/>
      <c r="E139" s="1566"/>
      <c r="F139" s="1566"/>
      <c r="G139" s="1566"/>
      <c r="H139" s="1566"/>
      <c r="I139" s="1566"/>
      <c r="J139" s="1566"/>
      <c r="K139" s="1566"/>
    </row>
    <row r="140" spans="1:11">
      <c r="A140" s="1566"/>
      <c r="B140" s="1566"/>
      <c r="C140" s="1566"/>
      <c r="D140" s="1566"/>
      <c r="E140" s="1566"/>
      <c r="F140" s="1566"/>
      <c r="G140" s="1566"/>
      <c r="H140" s="1566"/>
      <c r="I140" s="1566"/>
      <c r="J140" s="1566"/>
      <c r="K140" s="1566"/>
    </row>
    <row r="141" spans="1:11">
      <c r="A141" s="1566"/>
      <c r="B141" s="1566"/>
      <c r="C141" s="1566"/>
      <c r="D141" s="1566"/>
      <c r="E141" s="1566"/>
      <c r="F141" s="1566"/>
      <c r="G141" s="1566"/>
      <c r="H141" s="1566"/>
      <c r="I141" s="1566"/>
      <c r="J141" s="1566"/>
      <c r="K141" s="1566"/>
    </row>
    <row r="142" spans="1:11">
      <c r="A142" s="1566"/>
      <c r="B142" s="1566"/>
      <c r="C142" s="1566"/>
      <c r="D142" s="1566"/>
      <c r="E142" s="1566"/>
      <c r="F142" s="1566"/>
      <c r="G142" s="1566"/>
      <c r="H142" s="1566"/>
      <c r="I142" s="1566"/>
      <c r="J142" s="1566"/>
      <c r="K142" s="1566"/>
    </row>
    <row r="143" spans="1:11">
      <c r="A143" s="1566"/>
      <c r="B143" s="1566"/>
      <c r="C143" s="1566"/>
      <c r="D143" s="1566"/>
      <c r="E143" s="1566"/>
      <c r="F143" s="1566"/>
      <c r="G143" s="1566"/>
      <c r="H143" s="1566"/>
      <c r="I143" s="1566"/>
      <c r="J143" s="1566"/>
      <c r="K143" s="1566"/>
    </row>
    <row r="144" spans="1:11">
      <c r="A144" s="1566"/>
      <c r="B144" s="1566"/>
      <c r="C144" s="1566"/>
      <c r="D144" s="1566"/>
      <c r="E144" s="1566"/>
      <c r="F144" s="1566"/>
      <c r="G144" s="1566"/>
      <c r="H144" s="1566"/>
      <c r="I144" s="1566"/>
      <c r="J144" s="1566"/>
      <c r="K144" s="1566"/>
    </row>
    <row r="145" spans="1:11">
      <c r="A145" s="1566"/>
      <c r="B145" s="1566"/>
      <c r="C145" s="1566"/>
      <c r="D145" s="1566"/>
      <c r="E145" s="1566"/>
      <c r="F145" s="1566"/>
      <c r="G145" s="1566"/>
      <c r="H145" s="1566"/>
      <c r="I145" s="1566"/>
      <c r="J145" s="1566"/>
      <c r="K145" s="1566"/>
    </row>
    <row r="146" spans="1:11">
      <c r="A146" s="1566"/>
      <c r="B146" s="1566"/>
      <c r="C146" s="1566"/>
      <c r="D146" s="1566"/>
      <c r="E146" s="1566"/>
      <c r="F146" s="1566"/>
      <c r="G146" s="1566"/>
      <c r="H146" s="1566"/>
      <c r="I146" s="1566"/>
      <c r="J146" s="1566"/>
      <c r="K146" s="1566"/>
    </row>
    <row r="147" spans="1:11">
      <c r="A147" s="1566"/>
      <c r="B147" s="1566"/>
      <c r="C147" s="1566"/>
      <c r="D147" s="1566"/>
      <c r="E147" s="1566"/>
      <c r="F147" s="1566"/>
      <c r="G147" s="1566"/>
      <c r="H147" s="1566"/>
      <c r="I147" s="1566"/>
      <c r="J147" s="1566"/>
      <c r="K147" s="1566"/>
    </row>
    <row r="148" spans="1:11">
      <c r="A148" s="1566"/>
      <c r="B148" s="1566"/>
      <c r="C148" s="1566"/>
      <c r="D148" s="1566"/>
      <c r="E148" s="1566"/>
      <c r="F148" s="1566"/>
      <c r="G148" s="1566"/>
      <c r="H148" s="1566"/>
      <c r="I148" s="1566"/>
      <c r="J148" s="1566"/>
      <c r="K148" s="1566"/>
    </row>
    <row r="149" spans="1:11">
      <c r="A149" s="1566"/>
      <c r="B149" s="1566"/>
      <c r="C149" s="1566"/>
      <c r="D149" s="1566"/>
      <c r="E149" s="1566"/>
      <c r="F149" s="1566"/>
      <c r="G149" s="1566"/>
      <c r="H149" s="1566"/>
      <c r="I149" s="1566"/>
      <c r="J149" s="1566"/>
      <c r="K149" s="1566"/>
    </row>
    <row r="150" spans="1:11">
      <c r="A150" s="1566"/>
      <c r="B150" s="1566"/>
      <c r="C150" s="1566"/>
      <c r="D150" s="1566"/>
      <c r="E150" s="1566"/>
      <c r="F150" s="1566"/>
      <c r="G150" s="1566"/>
      <c r="H150" s="1566"/>
      <c r="I150" s="1566"/>
      <c r="J150" s="1566"/>
      <c r="K150" s="1566"/>
    </row>
    <row r="151" spans="1:11">
      <c r="A151" s="1566"/>
      <c r="B151" s="1566"/>
      <c r="C151" s="1566"/>
      <c r="D151" s="1566"/>
      <c r="E151" s="1566"/>
      <c r="F151" s="1566"/>
      <c r="G151" s="1566"/>
      <c r="H151" s="1566"/>
      <c r="I151" s="1566"/>
      <c r="J151" s="1566"/>
      <c r="K151" s="1566"/>
    </row>
    <row r="152" spans="1:11">
      <c r="A152" s="1566"/>
      <c r="B152" s="1566"/>
      <c r="C152" s="1566"/>
      <c r="D152" s="1566"/>
      <c r="E152" s="1566"/>
      <c r="F152" s="1566"/>
      <c r="G152" s="1566"/>
      <c r="H152" s="1566"/>
      <c r="I152" s="1566"/>
      <c r="J152" s="1566"/>
      <c r="K152" s="1566"/>
    </row>
    <row r="153" spans="1:11">
      <c r="A153" s="1566"/>
      <c r="B153" s="1566"/>
      <c r="C153" s="1566"/>
      <c r="D153" s="1566"/>
      <c r="E153" s="1566"/>
      <c r="F153" s="1566"/>
      <c r="G153" s="1566"/>
      <c r="H153" s="1566"/>
      <c r="I153" s="1566"/>
      <c r="J153" s="1566"/>
      <c r="K153" s="1566"/>
    </row>
    <row r="154" spans="1:11">
      <c r="A154" s="1566"/>
      <c r="B154" s="1566"/>
      <c r="C154" s="1566"/>
      <c r="D154" s="1566"/>
      <c r="E154" s="1566"/>
      <c r="F154" s="1566"/>
      <c r="G154" s="1566"/>
      <c r="H154" s="1566"/>
      <c r="I154" s="1566"/>
      <c r="J154" s="1566"/>
      <c r="K154" s="1566"/>
    </row>
    <row r="155" spans="1:11">
      <c r="A155" s="1566"/>
      <c r="B155" s="1566"/>
      <c r="C155" s="1566"/>
      <c r="D155" s="1566"/>
      <c r="E155" s="1566"/>
      <c r="F155" s="1566"/>
      <c r="G155" s="1566"/>
      <c r="H155" s="1566"/>
      <c r="I155" s="1566"/>
      <c r="J155" s="1566"/>
      <c r="K155" s="1566"/>
    </row>
    <row r="156" spans="1:11">
      <c r="A156" s="1566"/>
      <c r="B156" s="1566"/>
      <c r="C156" s="1566"/>
      <c r="D156" s="1566"/>
      <c r="E156" s="1566"/>
      <c r="F156" s="1566"/>
      <c r="G156" s="1566"/>
      <c r="H156" s="1566"/>
      <c r="I156" s="1566"/>
      <c r="J156" s="1566"/>
      <c r="K156" s="1566"/>
    </row>
    <row r="157" spans="1:11">
      <c r="A157" s="1566"/>
      <c r="B157" s="1566"/>
      <c r="C157" s="1566"/>
      <c r="D157" s="1566"/>
      <c r="E157" s="1566"/>
      <c r="F157" s="1566"/>
      <c r="G157" s="1566"/>
      <c r="H157" s="1566"/>
      <c r="I157" s="1566"/>
      <c r="J157" s="1566"/>
      <c r="K157" s="1566"/>
    </row>
    <row r="158" spans="1:11">
      <c r="A158" s="1566"/>
      <c r="B158" s="1566"/>
      <c r="C158" s="1566"/>
      <c r="D158" s="1566"/>
      <c r="E158" s="1566"/>
      <c r="F158" s="1566"/>
      <c r="G158" s="1566"/>
      <c r="H158" s="1566"/>
      <c r="I158" s="1566"/>
      <c r="J158" s="1566"/>
      <c r="K158" s="1566"/>
    </row>
    <row r="159" spans="1:11">
      <c r="A159" s="1566"/>
      <c r="B159" s="1566"/>
      <c r="C159" s="1566"/>
      <c r="D159" s="1566"/>
      <c r="E159" s="1566"/>
      <c r="F159" s="1566"/>
      <c r="G159" s="1566"/>
      <c r="H159" s="1566"/>
      <c r="I159" s="1566"/>
      <c r="J159" s="1566"/>
      <c r="K159" s="1566"/>
    </row>
    <row r="160" spans="1:11">
      <c r="A160" s="1566"/>
      <c r="B160" s="1566"/>
      <c r="C160" s="1566"/>
      <c r="D160" s="1566"/>
      <c r="E160" s="1566"/>
      <c r="F160" s="1566"/>
      <c r="G160" s="1566"/>
      <c r="H160" s="1566"/>
      <c r="I160" s="1566"/>
      <c r="J160" s="1566"/>
      <c r="K160" s="1566"/>
    </row>
    <row r="161" spans="1:11">
      <c r="A161" s="1566"/>
      <c r="B161" s="1566"/>
      <c r="C161" s="1566"/>
      <c r="D161" s="1566"/>
      <c r="E161" s="1566"/>
      <c r="F161" s="1566"/>
      <c r="G161" s="1566"/>
      <c r="H161" s="1566"/>
      <c r="I161" s="1566"/>
      <c r="J161" s="1566"/>
      <c r="K161" s="1566"/>
    </row>
    <row r="162" spans="1:11">
      <c r="A162" s="1566"/>
      <c r="B162" s="1566"/>
      <c r="C162" s="1566"/>
      <c r="D162" s="1566"/>
      <c r="E162" s="1566"/>
      <c r="F162" s="1566"/>
      <c r="G162" s="1566"/>
      <c r="H162" s="1566"/>
      <c r="I162" s="1566"/>
      <c r="J162" s="1566"/>
      <c r="K162" s="1566"/>
    </row>
    <row r="163" spans="1:11">
      <c r="A163" s="1566"/>
      <c r="B163" s="1566"/>
      <c r="C163" s="1566"/>
      <c r="D163" s="1566"/>
      <c r="E163" s="1566"/>
      <c r="F163" s="1566"/>
      <c r="G163" s="1566"/>
      <c r="H163" s="1566"/>
      <c r="I163" s="1566"/>
      <c r="J163" s="1566"/>
      <c r="K163" s="1566"/>
    </row>
    <row r="164" spans="1:11">
      <c r="A164" s="1566"/>
      <c r="B164" s="1566"/>
      <c r="C164" s="1566"/>
      <c r="D164" s="1566"/>
      <c r="E164" s="1566"/>
      <c r="F164" s="1566"/>
      <c r="G164" s="1566"/>
      <c r="H164" s="1566"/>
      <c r="I164" s="1566"/>
      <c r="J164" s="1566"/>
      <c r="K164" s="1566"/>
    </row>
    <row r="165" spans="1:11">
      <c r="A165" s="1566"/>
      <c r="B165" s="1566"/>
      <c r="C165" s="1566"/>
      <c r="D165" s="1566"/>
      <c r="E165" s="1566"/>
      <c r="F165" s="1566"/>
      <c r="G165" s="1566"/>
      <c r="H165" s="1566"/>
      <c r="I165" s="1566"/>
      <c r="J165" s="1566"/>
      <c r="K165" s="1566"/>
    </row>
    <row r="166" spans="1:11">
      <c r="A166" s="1566"/>
      <c r="B166" s="1566"/>
      <c r="C166" s="1566"/>
      <c r="D166" s="1566"/>
      <c r="E166" s="1566"/>
      <c r="F166" s="1566"/>
      <c r="G166" s="1566"/>
      <c r="H166" s="1566"/>
      <c r="I166" s="1566"/>
      <c r="J166" s="1566"/>
      <c r="K166" s="1566"/>
    </row>
    <row r="167" spans="1:11">
      <c r="A167" s="1566"/>
      <c r="B167" s="1566"/>
      <c r="C167" s="1566"/>
      <c r="D167" s="1566"/>
      <c r="E167" s="1566"/>
      <c r="F167" s="1566"/>
      <c r="G167" s="1566"/>
      <c r="H167" s="1566"/>
      <c r="I167" s="1566"/>
      <c r="J167" s="1566"/>
      <c r="K167" s="1566"/>
    </row>
    <row r="168" spans="1:11">
      <c r="A168" s="1566"/>
      <c r="B168" s="1566"/>
      <c r="C168" s="1566"/>
      <c r="D168" s="1566"/>
      <c r="E168" s="1566"/>
      <c r="F168" s="1566"/>
      <c r="G168" s="1566"/>
      <c r="H168" s="1566"/>
      <c r="I168" s="1566"/>
      <c r="J168" s="1566"/>
      <c r="K168" s="1566"/>
    </row>
    <row r="169" spans="1:11">
      <c r="A169" s="1566"/>
      <c r="B169" s="1566"/>
      <c r="C169" s="1566"/>
      <c r="D169" s="1566"/>
      <c r="E169" s="1566"/>
      <c r="F169" s="1566"/>
      <c r="G169" s="1566"/>
      <c r="H169" s="1566"/>
      <c r="I169" s="1566"/>
      <c r="J169" s="1566"/>
      <c r="K169" s="1566"/>
    </row>
    <row r="170" spans="1:11">
      <c r="A170" s="1566"/>
      <c r="B170" s="1566"/>
      <c r="C170" s="1566"/>
      <c r="D170" s="1566"/>
      <c r="E170" s="1566"/>
      <c r="F170" s="1566"/>
      <c r="G170" s="1566"/>
      <c r="H170" s="1566"/>
      <c r="I170" s="1566"/>
      <c r="J170" s="1566"/>
      <c r="K170" s="1566"/>
    </row>
    <row r="171" spans="1:11">
      <c r="A171" s="1566"/>
      <c r="B171" s="1566"/>
      <c r="C171" s="1566"/>
      <c r="D171" s="1566"/>
      <c r="E171" s="1566"/>
      <c r="F171" s="1566"/>
      <c r="G171" s="1566"/>
      <c r="H171" s="1566"/>
      <c r="I171" s="1566"/>
      <c r="J171" s="1566"/>
      <c r="K171" s="1566"/>
    </row>
    <row r="172" spans="1:11">
      <c r="A172" s="1566"/>
      <c r="B172" s="1566"/>
      <c r="C172" s="1566"/>
      <c r="D172" s="1566"/>
      <c r="E172" s="1566"/>
      <c r="F172" s="1566"/>
      <c r="G172" s="1566"/>
      <c r="H172" s="1566"/>
      <c r="I172" s="1566"/>
      <c r="J172" s="1566"/>
      <c r="K172" s="1566"/>
    </row>
    <row r="173" spans="1:11">
      <c r="A173" s="1566"/>
      <c r="B173" s="1566"/>
      <c r="C173" s="1566"/>
      <c r="D173" s="1566"/>
      <c r="E173" s="1566"/>
      <c r="F173" s="1566"/>
      <c r="G173" s="1566"/>
      <c r="H173" s="1566"/>
      <c r="I173" s="1566"/>
      <c r="J173" s="1566"/>
      <c r="K173" s="1566"/>
    </row>
    <row r="174" spans="1:11">
      <c r="A174" s="1566"/>
      <c r="B174" s="1566"/>
      <c r="C174" s="1566"/>
      <c r="D174" s="1566"/>
      <c r="E174" s="1566"/>
      <c r="F174" s="1566"/>
      <c r="G174" s="1566"/>
      <c r="H174" s="1566"/>
      <c r="I174" s="1566"/>
      <c r="J174" s="1566"/>
      <c r="K174" s="1566"/>
    </row>
    <row r="175" spans="1:11">
      <c r="A175" s="1566"/>
      <c r="B175" s="1566"/>
      <c r="C175" s="1566"/>
      <c r="D175" s="1566"/>
      <c r="E175" s="1566"/>
      <c r="F175" s="1566"/>
      <c r="G175" s="1566"/>
      <c r="H175" s="1566"/>
      <c r="I175" s="1566"/>
      <c r="J175" s="1566"/>
      <c r="K175" s="1566"/>
    </row>
    <row r="176" spans="1:11">
      <c r="A176" s="1566"/>
      <c r="B176" s="1566"/>
      <c r="C176" s="1566"/>
      <c r="D176" s="1566"/>
      <c r="E176" s="1566"/>
      <c r="F176" s="1566"/>
      <c r="G176" s="1566"/>
      <c r="H176" s="1566"/>
      <c r="I176" s="1566"/>
      <c r="J176" s="1566"/>
      <c r="K176" s="1566"/>
    </row>
    <row r="177" spans="1:11">
      <c r="A177" s="1566"/>
      <c r="B177" s="1566"/>
      <c r="C177" s="1566"/>
      <c r="D177" s="1566"/>
      <c r="E177" s="1566"/>
      <c r="F177" s="1566"/>
      <c r="G177" s="1566"/>
      <c r="H177" s="1566"/>
      <c r="I177" s="1566"/>
      <c r="J177" s="1566"/>
      <c r="K177" s="1566"/>
    </row>
    <row r="178" spans="1:11">
      <c r="A178" s="1566"/>
      <c r="B178" s="1566"/>
      <c r="C178" s="1566"/>
      <c r="D178" s="1566"/>
      <c r="E178" s="1566"/>
      <c r="F178" s="1566"/>
      <c r="G178" s="1566"/>
      <c r="H178" s="1566"/>
      <c r="I178" s="1566"/>
      <c r="J178" s="1566"/>
      <c r="K178" s="1566"/>
    </row>
    <row r="179" spans="1:11">
      <c r="A179" s="1566"/>
      <c r="B179" s="1566"/>
      <c r="C179" s="1566"/>
      <c r="D179" s="1566"/>
      <c r="E179" s="1566"/>
      <c r="F179" s="1566"/>
      <c r="G179" s="1566"/>
      <c r="H179" s="1566"/>
      <c r="I179" s="1566"/>
      <c r="J179" s="1566"/>
      <c r="K179" s="1566"/>
    </row>
    <row r="180" spans="1:11">
      <c r="A180" s="1566"/>
      <c r="B180" s="1566"/>
      <c r="C180" s="1566"/>
      <c r="D180" s="1566"/>
      <c r="E180" s="1566"/>
      <c r="F180" s="1566"/>
      <c r="G180" s="1566"/>
      <c r="H180" s="1566"/>
      <c r="I180" s="1566"/>
      <c r="J180" s="1566"/>
      <c r="K180" s="1566"/>
    </row>
    <row r="181" spans="1:11">
      <c r="A181" s="1566"/>
      <c r="B181" s="1566"/>
      <c r="C181" s="1566"/>
      <c r="D181" s="1566"/>
      <c r="E181" s="1566"/>
      <c r="F181" s="1566"/>
      <c r="G181" s="1566"/>
      <c r="H181" s="1566"/>
      <c r="I181" s="1566"/>
      <c r="J181" s="1566"/>
      <c r="K181" s="1566"/>
    </row>
    <row r="182" spans="1:11">
      <c r="A182" s="1566"/>
      <c r="B182" s="1566"/>
      <c r="C182" s="1566"/>
      <c r="D182" s="1566"/>
      <c r="E182" s="1566"/>
      <c r="F182" s="1566"/>
      <c r="G182" s="1566"/>
      <c r="H182" s="1566"/>
      <c r="I182" s="1566"/>
      <c r="J182" s="1566"/>
      <c r="K182" s="1566"/>
    </row>
    <row r="183" spans="1:11">
      <c r="A183" s="1566"/>
      <c r="B183" s="1566"/>
      <c r="C183" s="1566"/>
      <c r="D183" s="1566"/>
      <c r="E183" s="1566"/>
      <c r="F183" s="1566"/>
      <c r="G183" s="1566"/>
      <c r="H183" s="1566"/>
      <c r="I183" s="1566"/>
      <c r="J183" s="1566"/>
      <c r="K183" s="1566"/>
    </row>
    <row r="184" spans="1:11">
      <c r="A184" s="1566"/>
      <c r="B184" s="1566"/>
      <c r="C184" s="1566"/>
      <c r="D184" s="1566"/>
      <c r="E184" s="1566"/>
      <c r="F184" s="1566"/>
      <c r="G184" s="1566"/>
      <c r="H184" s="1566"/>
      <c r="I184" s="1566"/>
      <c r="J184" s="1566"/>
      <c r="K184" s="1566"/>
    </row>
    <row r="185" spans="1:11">
      <c r="A185" s="1566"/>
      <c r="B185" s="1566"/>
      <c r="C185" s="1566"/>
      <c r="D185" s="1566"/>
      <c r="E185" s="1566"/>
      <c r="F185" s="1566"/>
      <c r="G185" s="1566"/>
      <c r="H185" s="1566"/>
      <c r="I185" s="1566"/>
      <c r="J185" s="1566"/>
      <c r="K185" s="1566"/>
    </row>
    <row r="186" spans="1:11">
      <c r="A186" s="1566"/>
      <c r="B186" s="1566"/>
      <c r="C186" s="1566"/>
      <c r="D186" s="1566"/>
      <c r="E186" s="1566"/>
      <c r="F186" s="1566"/>
      <c r="G186" s="1566"/>
      <c r="H186" s="1566"/>
      <c r="I186" s="1566"/>
      <c r="J186" s="1566"/>
      <c r="K186" s="1566"/>
    </row>
    <row r="187" spans="1:11">
      <c r="A187" s="1566"/>
      <c r="B187" s="1566"/>
      <c r="C187" s="1566"/>
      <c r="D187" s="1566"/>
      <c r="E187" s="1566"/>
      <c r="F187" s="1566"/>
      <c r="G187" s="1566"/>
      <c r="H187" s="1566"/>
      <c r="I187" s="1566"/>
      <c r="J187" s="1566"/>
      <c r="K187" s="1566"/>
    </row>
    <row r="188" spans="1:11">
      <c r="A188" s="1566"/>
      <c r="B188" s="1566"/>
      <c r="C188" s="1566"/>
      <c r="D188" s="1566"/>
      <c r="E188" s="1566"/>
      <c r="F188" s="1566"/>
      <c r="G188" s="1566"/>
      <c r="H188" s="1566"/>
      <c r="I188" s="1566"/>
      <c r="J188" s="1566"/>
      <c r="K188" s="1566"/>
    </row>
    <row r="189" spans="1:11">
      <c r="A189" s="1566"/>
      <c r="B189" s="1566"/>
      <c r="C189" s="1566"/>
      <c r="D189" s="1566"/>
      <c r="E189" s="1566"/>
      <c r="F189" s="1566"/>
      <c r="G189" s="1566"/>
      <c r="H189" s="1566"/>
      <c r="I189" s="1566"/>
      <c r="J189" s="1566"/>
      <c r="K189" s="1566"/>
    </row>
    <row r="190" spans="1:11">
      <c r="A190" s="1566"/>
      <c r="B190" s="1566"/>
      <c r="C190" s="1566"/>
      <c r="D190" s="1566"/>
      <c r="E190" s="1566"/>
      <c r="F190" s="1566"/>
      <c r="G190" s="1566"/>
      <c r="H190" s="1566"/>
      <c r="I190" s="1566"/>
      <c r="J190" s="1566"/>
      <c r="K190" s="1566"/>
    </row>
    <row r="191" spans="1:11">
      <c r="A191" s="1566"/>
      <c r="B191" s="1566"/>
      <c r="C191" s="1566"/>
      <c r="D191" s="1566"/>
      <c r="E191" s="1566"/>
      <c r="F191" s="1566"/>
      <c r="G191" s="1566"/>
      <c r="H191" s="1566"/>
      <c r="I191" s="1566"/>
      <c r="J191" s="1566"/>
      <c r="K191" s="1566"/>
    </row>
    <row r="192" spans="1:11">
      <c r="A192" s="1566"/>
      <c r="B192" s="1566"/>
      <c r="C192" s="1566"/>
      <c r="D192" s="1566"/>
      <c r="E192" s="1566"/>
      <c r="F192" s="1566"/>
      <c r="G192" s="1566"/>
      <c r="H192" s="1566"/>
      <c r="I192" s="1566"/>
      <c r="J192" s="1566"/>
      <c r="K192" s="1566"/>
    </row>
    <row r="193" spans="1:11">
      <c r="A193" s="1566"/>
      <c r="B193" s="1566"/>
      <c r="C193" s="1566"/>
      <c r="D193" s="1566"/>
      <c r="E193" s="1566"/>
      <c r="F193" s="1566"/>
      <c r="G193" s="1566"/>
      <c r="H193" s="1566"/>
      <c r="I193" s="1566"/>
      <c r="J193" s="1566"/>
      <c r="K193" s="1566"/>
    </row>
    <row r="194" spans="1:11">
      <c r="A194" s="1566"/>
      <c r="B194" s="1566"/>
      <c r="C194" s="1566"/>
      <c r="D194" s="1566"/>
      <c r="E194" s="1566"/>
      <c r="F194" s="1566"/>
      <c r="G194" s="1566"/>
      <c r="H194" s="1566"/>
      <c r="I194" s="1566"/>
      <c r="J194" s="1566"/>
      <c r="K194" s="1566"/>
    </row>
    <row r="195" spans="1:11">
      <c r="A195" s="1566"/>
      <c r="B195" s="1566"/>
      <c r="C195" s="1566"/>
      <c r="D195" s="1566"/>
      <c r="E195" s="1566"/>
      <c r="F195" s="1566"/>
      <c r="G195" s="1566"/>
      <c r="H195" s="1566"/>
      <c r="I195" s="1566"/>
      <c r="J195" s="1566"/>
      <c r="K195" s="1566"/>
    </row>
    <row r="196" spans="1:11">
      <c r="A196" s="1566"/>
      <c r="B196" s="1566"/>
      <c r="C196" s="1566"/>
      <c r="D196" s="1566"/>
      <c r="E196" s="1566"/>
      <c r="F196" s="1566"/>
      <c r="G196" s="1566"/>
      <c r="H196" s="1566"/>
      <c r="I196" s="1566"/>
      <c r="J196" s="1566"/>
      <c r="K196" s="1566"/>
    </row>
    <row r="197" spans="1:11">
      <c r="A197" s="1566"/>
      <c r="B197" s="1566"/>
      <c r="C197" s="1566"/>
      <c r="D197" s="1566"/>
      <c r="E197" s="1566"/>
      <c r="F197" s="1566"/>
      <c r="G197" s="1566"/>
      <c r="H197" s="1566"/>
      <c r="I197" s="1566"/>
      <c r="J197" s="1566"/>
      <c r="K197" s="1566"/>
    </row>
    <row r="198" spans="1:11">
      <c r="A198" s="1566"/>
      <c r="B198" s="1566"/>
      <c r="C198" s="1566"/>
      <c r="D198" s="1566"/>
      <c r="E198" s="1566"/>
      <c r="F198" s="1566"/>
      <c r="G198" s="1566"/>
      <c r="H198" s="1566"/>
      <c r="I198" s="1566"/>
      <c r="J198" s="1566"/>
      <c r="K198" s="1566"/>
    </row>
    <row r="199" spans="1:11">
      <c r="A199" s="1566"/>
      <c r="B199" s="1566"/>
      <c r="C199" s="1566"/>
      <c r="D199" s="1566"/>
      <c r="E199" s="1566"/>
      <c r="F199" s="1566"/>
      <c r="G199" s="1566"/>
      <c r="H199" s="1566"/>
      <c r="I199" s="1566"/>
      <c r="J199" s="1566"/>
      <c r="K199" s="1566"/>
    </row>
    <row r="200" spans="1:11">
      <c r="A200" s="1566"/>
      <c r="B200" s="1566"/>
      <c r="C200" s="1566"/>
      <c r="D200" s="1566"/>
      <c r="E200" s="1566"/>
      <c r="F200" s="1566"/>
      <c r="G200" s="1566"/>
      <c r="H200" s="1566"/>
      <c r="I200" s="1566"/>
      <c r="J200" s="1566"/>
      <c r="K200" s="1566"/>
    </row>
    <row r="201" spans="1:11">
      <c r="A201" s="1566"/>
      <c r="B201" s="1566"/>
      <c r="C201" s="1566"/>
      <c r="D201" s="1566"/>
      <c r="E201" s="1566"/>
      <c r="F201" s="1566"/>
      <c r="G201" s="1566"/>
      <c r="H201" s="1566"/>
      <c r="I201" s="1566"/>
      <c r="J201" s="1566"/>
      <c r="K201" s="1566"/>
    </row>
    <row r="202" spans="1:11">
      <c r="A202" s="1566"/>
      <c r="B202" s="1566"/>
      <c r="C202" s="1566"/>
      <c r="D202" s="1566"/>
      <c r="E202" s="1566"/>
      <c r="F202" s="1566"/>
      <c r="G202" s="1566"/>
      <c r="H202" s="1566"/>
      <c r="I202" s="1566"/>
      <c r="J202" s="1566"/>
      <c r="K202" s="1566"/>
    </row>
    <row r="203" spans="1:11">
      <c r="A203" s="1566"/>
      <c r="B203" s="1566"/>
      <c r="C203" s="1566"/>
      <c r="D203" s="1566"/>
      <c r="E203" s="1566"/>
      <c r="F203" s="1566"/>
      <c r="G203" s="1566"/>
      <c r="H203" s="1566"/>
      <c r="I203" s="1566"/>
      <c r="J203" s="1566"/>
      <c r="K203" s="1566"/>
    </row>
    <row r="204" spans="1:11">
      <c r="A204" s="1566"/>
      <c r="B204" s="1566"/>
      <c r="C204" s="1566"/>
      <c r="D204" s="1566"/>
      <c r="E204" s="1566"/>
      <c r="F204" s="1566"/>
      <c r="G204" s="1566"/>
      <c r="H204" s="1566"/>
      <c r="I204" s="1566"/>
      <c r="J204" s="1566"/>
      <c r="K204" s="1566"/>
    </row>
    <row r="205" spans="1:11">
      <c r="A205" s="1566"/>
      <c r="B205" s="1566"/>
      <c r="C205" s="1566"/>
      <c r="D205" s="1566"/>
      <c r="E205" s="1566"/>
      <c r="F205" s="1566"/>
      <c r="G205" s="1566"/>
      <c r="H205" s="1566"/>
      <c r="I205" s="1566"/>
      <c r="J205" s="1566"/>
      <c r="K205" s="1566"/>
    </row>
    <row r="206" spans="1:11">
      <c r="A206" s="1566"/>
      <c r="B206" s="1566"/>
      <c r="C206" s="1566"/>
      <c r="D206" s="1566"/>
      <c r="E206" s="1566"/>
      <c r="F206" s="1566"/>
      <c r="G206" s="1566"/>
      <c r="H206" s="1566"/>
      <c r="I206" s="1566"/>
      <c r="J206" s="1566"/>
      <c r="K206" s="1566"/>
    </row>
    <row r="207" spans="1:11">
      <c r="A207" s="1566"/>
      <c r="B207" s="1566"/>
      <c r="C207" s="1566"/>
      <c r="D207" s="1566"/>
      <c r="E207" s="1566"/>
      <c r="F207" s="1566"/>
      <c r="G207" s="1566"/>
      <c r="H207" s="1566"/>
      <c r="I207" s="1566"/>
      <c r="J207" s="1566"/>
      <c r="K207" s="1566"/>
    </row>
    <row r="208" spans="1:11">
      <c r="A208" s="1566"/>
      <c r="B208" s="1566"/>
      <c r="C208" s="1566"/>
      <c r="D208" s="1566"/>
      <c r="E208" s="1566"/>
      <c r="F208" s="1566"/>
      <c r="G208" s="1566"/>
      <c r="H208" s="1566"/>
      <c r="I208" s="1566"/>
      <c r="J208" s="1566"/>
      <c r="K208" s="1566"/>
    </row>
    <row r="209" spans="1:11">
      <c r="A209" s="1566"/>
      <c r="B209" s="1566"/>
      <c r="C209" s="1566"/>
      <c r="D209" s="1566"/>
      <c r="E209" s="1566"/>
      <c r="F209" s="1566"/>
      <c r="G209" s="1566"/>
      <c r="H209" s="1566"/>
      <c r="I209" s="1566"/>
      <c r="J209" s="1566"/>
      <c r="K209" s="1566"/>
    </row>
    <row r="210" spans="1:11">
      <c r="A210" s="1566"/>
      <c r="B210" s="1566"/>
      <c r="C210" s="1566"/>
      <c r="D210" s="1566"/>
      <c r="E210" s="1566"/>
      <c r="F210" s="1566"/>
      <c r="G210" s="1566"/>
      <c r="H210" s="1566"/>
      <c r="I210" s="1566"/>
      <c r="J210" s="1566"/>
      <c r="K210" s="1566"/>
    </row>
    <row r="211" spans="1:11">
      <c r="A211" s="1566"/>
      <c r="B211" s="1566"/>
      <c r="C211" s="1566"/>
      <c r="D211" s="1566"/>
      <c r="E211" s="1566"/>
      <c r="F211" s="1566"/>
      <c r="G211" s="1566"/>
      <c r="H211" s="1566"/>
      <c r="I211" s="1566"/>
      <c r="J211" s="1566"/>
      <c r="K211" s="1566"/>
    </row>
    <row r="212" spans="1:11">
      <c r="A212" s="1566"/>
      <c r="B212" s="1566"/>
      <c r="C212" s="1566"/>
      <c r="D212" s="1566"/>
      <c r="E212" s="1566"/>
      <c r="F212" s="1566"/>
      <c r="G212" s="1566"/>
      <c r="H212" s="1566"/>
      <c r="I212" s="1566"/>
      <c r="J212" s="1566"/>
      <c r="K212" s="1566"/>
    </row>
    <row r="213" spans="1:11">
      <c r="A213" s="1566"/>
      <c r="B213" s="1566"/>
      <c r="C213" s="1566"/>
      <c r="D213" s="1566"/>
      <c r="E213" s="1566"/>
      <c r="F213" s="1566"/>
      <c r="G213" s="1566"/>
      <c r="H213" s="1566"/>
      <c r="I213" s="1566"/>
      <c r="J213" s="1566"/>
      <c r="K213" s="1566"/>
    </row>
    <row r="214" spans="1:11">
      <c r="A214" s="1566"/>
      <c r="B214" s="1566"/>
      <c r="C214" s="1566"/>
      <c r="D214" s="1566"/>
      <c r="E214" s="1566"/>
      <c r="F214" s="1566"/>
      <c r="G214" s="1566"/>
      <c r="H214" s="1566"/>
      <c r="I214" s="1566"/>
      <c r="J214" s="1566"/>
      <c r="K214" s="1566"/>
    </row>
    <row r="215" spans="1:11">
      <c r="A215" s="1566"/>
      <c r="B215" s="1566"/>
      <c r="C215" s="1566"/>
      <c r="D215" s="1566"/>
      <c r="E215" s="1566"/>
      <c r="F215" s="1566"/>
      <c r="G215" s="1566"/>
      <c r="H215" s="1566"/>
      <c r="I215" s="1566"/>
      <c r="J215" s="1566"/>
      <c r="K215" s="1566"/>
    </row>
    <row r="216" spans="1:11">
      <c r="A216" s="1566"/>
      <c r="B216" s="1566"/>
      <c r="C216" s="1566"/>
      <c r="D216" s="1566"/>
      <c r="E216" s="1566"/>
      <c r="F216" s="1566"/>
      <c r="G216" s="1566"/>
      <c r="H216" s="1566"/>
      <c r="I216" s="1566"/>
      <c r="J216" s="1566"/>
      <c r="K216" s="1566"/>
    </row>
    <row r="217" spans="1:11">
      <c r="A217" s="1566"/>
      <c r="B217" s="1566"/>
      <c r="C217" s="1566"/>
      <c r="D217" s="1566"/>
      <c r="E217" s="1566"/>
      <c r="F217" s="1566"/>
      <c r="G217" s="1566"/>
      <c r="H217" s="1566"/>
      <c r="I217" s="1566"/>
      <c r="J217" s="1566"/>
      <c r="K217" s="1566"/>
    </row>
    <row r="218" spans="1:11">
      <c r="A218" s="1566"/>
      <c r="B218" s="1566"/>
      <c r="C218" s="1566"/>
      <c r="D218" s="1566"/>
      <c r="E218" s="1566"/>
      <c r="F218" s="1566"/>
      <c r="G218" s="1566"/>
      <c r="H218" s="1566"/>
      <c r="I218" s="1566"/>
      <c r="J218" s="1566"/>
      <c r="K218" s="1566"/>
    </row>
    <row r="219" spans="1:11">
      <c r="A219" s="1566"/>
      <c r="B219" s="1566"/>
      <c r="C219" s="1566"/>
      <c r="D219" s="1566"/>
      <c r="E219" s="1566"/>
      <c r="F219" s="1566"/>
      <c r="G219" s="1566"/>
      <c r="H219" s="1566"/>
      <c r="I219" s="1566"/>
      <c r="J219" s="1566"/>
      <c r="K219" s="1566"/>
    </row>
    <row r="220" spans="1:11">
      <c r="A220" s="1566"/>
      <c r="B220" s="1566"/>
      <c r="C220" s="1566"/>
      <c r="D220" s="1566"/>
      <c r="E220" s="1566"/>
      <c r="F220" s="1566"/>
      <c r="G220" s="1566"/>
      <c r="H220" s="1566"/>
      <c r="I220" s="1566"/>
      <c r="J220" s="1566"/>
      <c r="K220" s="1566"/>
    </row>
    <row r="221" spans="1:11">
      <c r="A221" s="1566"/>
      <c r="B221" s="1566"/>
      <c r="C221" s="1566"/>
      <c r="D221" s="1566"/>
      <c r="E221" s="1566"/>
      <c r="F221" s="1566"/>
      <c r="G221" s="1566"/>
      <c r="H221" s="1566"/>
      <c r="I221" s="1566"/>
      <c r="J221" s="1566"/>
      <c r="K221" s="1566"/>
    </row>
    <row r="222" spans="1:11">
      <c r="A222" s="1566"/>
      <c r="B222" s="1566"/>
      <c r="C222" s="1566"/>
      <c r="D222" s="1566"/>
      <c r="E222" s="1566"/>
      <c r="F222" s="1566"/>
      <c r="G222" s="1566"/>
      <c r="H222" s="1566"/>
      <c r="I222" s="1566"/>
      <c r="J222" s="1566"/>
      <c r="K222" s="1566"/>
    </row>
    <row r="223" spans="1:11">
      <c r="A223" s="1566"/>
      <c r="B223" s="1566"/>
      <c r="C223" s="1566"/>
      <c r="D223" s="1566"/>
      <c r="E223" s="1566"/>
      <c r="F223" s="1566"/>
      <c r="G223" s="1566"/>
      <c r="H223" s="1566"/>
      <c r="I223" s="1566"/>
      <c r="J223" s="1566"/>
      <c r="K223" s="1566"/>
    </row>
    <row r="224" spans="1:11">
      <c r="A224" s="1566"/>
      <c r="B224" s="1566"/>
      <c r="C224" s="1566"/>
      <c r="D224" s="1566"/>
      <c r="E224" s="1566"/>
      <c r="F224" s="1566"/>
      <c r="G224" s="1566"/>
      <c r="H224" s="1566"/>
      <c r="I224" s="1566"/>
      <c r="J224" s="1566"/>
      <c r="K224" s="1566"/>
    </row>
    <row r="225" spans="1:11">
      <c r="A225" s="1566"/>
      <c r="B225" s="1566"/>
      <c r="C225" s="1566"/>
      <c r="D225" s="1566"/>
      <c r="E225" s="1566"/>
      <c r="F225" s="1566"/>
      <c r="G225" s="1566"/>
      <c r="H225" s="1566"/>
      <c r="I225" s="1566"/>
      <c r="J225" s="1566"/>
      <c r="K225" s="1566"/>
    </row>
    <row r="226" spans="1:11">
      <c r="A226" s="1566"/>
      <c r="B226" s="1566"/>
      <c r="C226" s="1566"/>
      <c r="D226" s="1566"/>
      <c r="E226" s="1566"/>
      <c r="F226" s="1566"/>
      <c r="G226" s="1566"/>
      <c r="H226" s="1566"/>
      <c r="I226" s="1566"/>
      <c r="J226" s="1566"/>
      <c r="K226" s="1566"/>
    </row>
    <row r="227" spans="1:11">
      <c r="A227" s="1566"/>
      <c r="B227" s="1566"/>
      <c r="C227" s="1566"/>
      <c r="D227" s="1566"/>
      <c r="E227" s="1566"/>
      <c r="F227" s="1566"/>
      <c r="G227" s="1566"/>
      <c r="H227" s="1566"/>
      <c r="I227" s="1566"/>
      <c r="J227" s="1566"/>
      <c r="K227" s="1566"/>
    </row>
    <row r="228" spans="1:11">
      <c r="A228" s="1566"/>
      <c r="B228" s="1566"/>
      <c r="C228" s="1566"/>
      <c r="D228" s="1566"/>
      <c r="E228" s="1566"/>
      <c r="F228" s="1566"/>
      <c r="G228" s="1566"/>
      <c r="H228" s="1566"/>
      <c r="I228" s="1566"/>
      <c r="J228" s="1566"/>
      <c r="K228" s="1566"/>
    </row>
    <row r="229" spans="1:11">
      <c r="A229" s="1566"/>
      <c r="B229" s="1566"/>
      <c r="C229" s="1566"/>
      <c r="D229" s="1566"/>
      <c r="E229" s="1566"/>
      <c r="F229" s="1566"/>
      <c r="G229" s="1566"/>
      <c r="H229" s="1566"/>
      <c r="I229" s="1566"/>
      <c r="J229" s="1566"/>
      <c r="K229" s="1566"/>
    </row>
    <row r="230" spans="1:11">
      <c r="A230" s="1566"/>
      <c r="B230" s="1566"/>
      <c r="C230" s="1566"/>
      <c r="D230" s="1566"/>
      <c r="E230" s="1566"/>
      <c r="F230" s="1566"/>
      <c r="G230" s="1566"/>
      <c r="H230" s="1566"/>
      <c r="I230" s="1566"/>
      <c r="J230" s="1566"/>
      <c r="K230" s="1566"/>
    </row>
    <row r="231" spans="1:11">
      <c r="A231" s="1566"/>
      <c r="B231" s="1566"/>
      <c r="C231" s="1566"/>
      <c r="D231" s="1566"/>
      <c r="E231" s="1566"/>
      <c r="F231" s="1566"/>
      <c r="G231" s="1566"/>
      <c r="H231" s="1566"/>
      <c r="I231" s="1566"/>
      <c r="J231" s="1566"/>
      <c r="K231" s="1566"/>
    </row>
    <row r="232" spans="1:11">
      <c r="A232" s="1566"/>
      <c r="B232" s="1566"/>
      <c r="C232" s="1566"/>
      <c r="D232" s="1566"/>
      <c r="E232" s="1566"/>
      <c r="F232" s="1566"/>
      <c r="G232" s="1566"/>
      <c r="H232" s="1566"/>
      <c r="I232" s="1566"/>
      <c r="J232" s="1566"/>
      <c r="K232" s="1566"/>
    </row>
    <row r="233" spans="1:11">
      <c r="A233" s="1566"/>
      <c r="B233" s="1566"/>
      <c r="C233" s="1566"/>
      <c r="D233" s="1566"/>
      <c r="E233" s="1566"/>
      <c r="F233" s="1566"/>
      <c r="G233" s="1566"/>
      <c r="H233" s="1566"/>
      <c r="I233" s="1566"/>
      <c r="J233" s="1566"/>
      <c r="K233" s="1566"/>
    </row>
    <row r="234" spans="1:11">
      <c r="A234" s="1566"/>
      <c r="B234" s="1566"/>
      <c r="C234" s="1566"/>
      <c r="D234" s="1566"/>
      <c r="E234" s="1566"/>
      <c r="F234" s="1566"/>
      <c r="G234" s="1566"/>
      <c r="H234" s="1566"/>
      <c r="I234" s="1566"/>
      <c r="J234" s="1566"/>
      <c r="K234" s="1566"/>
    </row>
    <row r="235" spans="1:11">
      <c r="A235" s="1566"/>
      <c r="B235" s="1566"/>
      <c r="C235" s="1566"/>
      <c r="D235" s="1566"/>
      <c r="E235" s="1566"/>
      <c r="F235" s="1566"/>
      <c r="G235" s="1566"/>
      <c r="H235" s="1566"/>
      <c r="I235" s="1566"/>
      <c r="J235" s="1566"/>
      <c r="K235" s="1566"/>
    </row>
    <row r="236" spans="1:11">
      <c r="A236" s="1566"/>
      <c r="B236" s="1566"/>
      <c r="C236" s="1566"/>
      <c r="D236" s="1566"/>
      <c r="E236" s="1566"/>
      <c r="F236" s="1566"/>
      <c r="G236" s="1566"/>
      <c r="H236" s="1566"/>
      <c r="I236" s="1566"/>
      <c r="J236" s="1566"/>
      <c r="K236" s="1566"/>
    </row>
    <row r="237" spans="1:11">
      <c r="A237" s="1566"/>
      <c r="B237" s="1566"/>
      <c r="C237" s="1566"/>
      <c r="D237" s="1566"/>
      <c r="E237" s="1566"/>
      <c r="F237" s="1566"/>
      <c r="G237" s="1566"/>
      <c r="H237" s="1566"/>
      <c r="I237" s="1566"/>
      <c r="J237" s="1566"/>
      <c r="K237" s="1566"/>
    </row>
    <row r="238" spans="1:11">
      <c r="A238" s="1566"/>
      <c r="B238" s="1566"/>
      <c r="C238" s="1566"/>
      <c r="D238" s="1566"/>
      <c r="E238" s="1566"/>
      <c r="F238" s="1566"/>
      <c r="G238" s="1566"/>
      <c r="H238" s="1566"/>
      <c r="I238" s="1566"/>
      <c r="J238" s="1566"/>
      <c r="K238" s="1566"/>
    </row>
    <row r="239" spans="1:11">
      <c r="A239" s="1566"/>
      <c r="B239" s="1566"/>
      <c r="C239" s="1566"/>
      <c r="D239" s="1566"/>
      <c r="E239" s="1566"/>
      <c r="F239" s="1566"/>
      <c r="G239" s="1566"/>
      <c r="H239" s="1566"/>
      <c r="I239" s="1566"/>
      <c r="J239" s="1566"/>
      <c r="K239" s="1566"/>
    </row>
    <row r="240" spans="1:11">
      <c r="A240" s="1566"/>
      <c r="B240" s="1566"/>
      <c r="C240" s="1566"/>
      <c r="D240" s="1566"/>
      <c r="E240" s="1566"/>
      <c r="F240" s="1566"/>
      <c r="G240" s="1566"/>
      <c r="H240" s="1566"/>
      <c r="I240" s="1566"/>
      <c r="J240" s="1566"/>
      <c r="K240" s="1566"/>
    </row>
    <row r="241" spans="1:11">
      <c r="A241" s="1566"/>
      <c r="B241" s="1566"/>
      <c r="C241" s="1566"/>
      <c r="D241" s="1566"/>
      <c r="E241" s="1566"/>
      <c r="F241" s="1566"/>
      <c r="G241" s="1566"/>
      <c r="H241" s="1566"/>
      <c r="I241" s="1566"/>
      <c r="J241" s="1566"/>
      <c r="K241" s="1566"/>
    </row>
    <row r="242" spans="1:11">
      <c r="A242" s="1566"/>
      <c r="B242" s="1566"/>
      <c r="C242" s="1566"/>
      <c r="D242" s="1566"/>
      <c r="E242" s="1566"/>
      <c r="F242" s="1566"/>
      <c r="G242" s="1566"/>
      <c r="H242" s="1566"/>
      <c r="I242" s="1566"/>
      <c r="J242" s="1566"/>
      <c r="K242" s="1566"/>
    </row>
    <row r="243" spans="1:11">
      <c r="A243" s="1566"/>
      <c r="B243" s="1566"/>
      <c r="C243" s="1566"/>
      <c r="D243" s="1566"/>
      <c r="E243" s="1566"/>
      <c r="F243" s="1566"/>
      <c r="G243" s="1566"/>
      <c r="H243" s="1566"/>
      <c r="I243" s="1566"/>
      <c r="J243" s="1566"/>
      <c r="K243" s="1566"/>
    </row>
    <row r="244" spans="1:11">
      <c r="A244" s="1566"/>
      <c r="B244" s="1566"/>
      <c r="C244" s="1566"/>
      <c r="D244" s="1566"/>
      <c r="E244" s="1566"/>
      <c r="F244" s="1566"/>
      <c r="G244" s="1566"/>
      <c r="H244" s="1566"/>
      <c r="I244" s="1566"/>
      <c r="J244" s="1566"/>
      <c r="K244" s="1566"/>
    </row>
    <row r="245" spans="1:11">
      <c r="A245" s="1566"/>
      <c r="B245" s="1566"/>
      <c r="C245" s="1566"/>
      <c r="D245" s="1566"/>
      <c r="E245" s="1566"/>
      <c r="F245" s="1566"/>
      <c r="G245" s="1566"/>
      <c r="H245" s="1566"/>
      <c r="I245" s="1566"/>
      <c r="J245" s="1566"/>
      <c r="K245" s="1566"/>
    </row>
    <row r="246" spans="1:11">
      <c r="A246" s="1566"/>
      <c r="B246" s="1566"/>
      <c r="C246" s="1566"/>
      <c r="D246" s="1566"/>
      <c r="E246" s="1566"/>
      <c r="F246" s="1566"/>
      <c r="G246" s="1566"/>
      <c r="H246" s="1566"/>
      <c r="I246" s="1566"/>
      <c r="J246" s="1566"/>
      <c r="K246" s="1566"/>
    </row>
    <row r="247" spans="1:11">
      <c r="A247" s="1566"/>
      <c r="B247" s="1566"/>
      <c r="C247" s="1566"/>
      <c r="D247" s="1566"/>
      <c r="E247" s="1566"/>
      <c r="F247" s="1566"/>
      <c r="G247" s="1566"/>
      <c r="H247" s="1566"/>
      <c r="I247" s="1566"/>
      <c r="J247" s="1566"/>
      <c r="K247" s="1566"/>
    </row>
    <row r="248" spans="1:11">
      <c r="A248" s="1566"/>
      <c r="B248" s="1566"/>
      <c r="C248" s="1566"/>
      <c r="D248" s="1566"/>
      <c r="E248" s="1566"/>
      <c r="F248" s="1566"/>
      <c r="G248" s="1566"/>
      <c r="H248" s="1566"/>
      <c r="I248" s="1566"/>
      <c r="J248" s="1566"/>
      <c r="K248" s="1566"/>
    </row>
    <row r="249" spans="1:11">
      <c r="A249" s="1566"/>
      <c r="B249" s="1566"/>
      <c r="C249" s="1566"/>
      <c r="D249" s="1566"/>
      <c r="E249" s="1566"/>
      <c r="F249" s="1566"/>
      <c r="G249" s="1566"/>
      <c r="H249" s="1566"/>
      <c r="I249" s="1566"/>
      <c r="J249" s="1566"/>
      <c r="K249" s="1566"/>
    </row>
    <row r="250" spans="1:11">
      <c r="A250" s="1566"/>
      <c r="B250" s="1566"/>
      <c r="C250" s="1566"/>
      <c r="D250" s="1566"/>
      <c r="E250" s="1566"/>
      <c r="F250" s="1566"/>
      <c r="G250" s="1566"/>
      <c r="H250" s="1566"/>
      <c r="I250" s="1566"/>
      <c r="J250" s="1566"/>
      <c r="K250" s="1566"/>
    </row>
    <row r="251" spans="1:11">
      <c r="A251" s="1566"/>
      <c r="B251" s="1566"/>
      <c r="C251" s="1566"/>
      <c r="D251" s="1566"/>
      <c r="E251" s="1566"/>
      <c r="F251" s="1566"/>
      <c r="G251" s="1566"/>
      <c r="H251" s="1566"/>
      <c r="I251" s="1566"/>
      <c r="J251" s="1566"/>
      <c r="K251" s="1566"/>
    </row>
    <row r="252" spans="1:11">
      <c r="A252" s="1566"/>
      <c r="B252" s="1566"/>
      <c r="C252" s="1566"/>
      <c r="D252" s="1566"/>
      <c r="E252" s="1566"/>
      <c r="F252" s="1566"/>
      <c r="G252" s="1566"/>
      <c r="H252" s="1566"/>
      <c r="I252" s="1566"/>
      <c r="J252" s="1566"/>
      <c r="K252" s="1566"/>
    </row>
    <row r="253" spans="1:11">
      <c r="A253" s="1566"/>
      <c r="B253" s="1566"/>
      <c r="C253" s="1566"/>
      <c r="D253" s="1566"/>
      <c r="E253" s="1566"/>
      <c r="F253" s="1566"/>
      <c r="G253" s="1566"/>
      <c r="H253" s="1566"/>
      <c r="I253" s="1566"/>
      <c r="J253" s="1566"/>
      <c r="K253" s="1566"/>
    </row>
    <row r="254" spans="1:11">
      <c r="A254" s="1566"/>
      <c r="B254" s="1566"/>
      <c r="C254" s="1566"/>
      <c r="D254" s="1566"/>
      <c r="E254" s="1566"/>
      <c r="F254" s="1566"/>
      <c r="G254" s="1566"/>
      <c r="H254" s="1566"/>
      <c r="I254" s="1566"/>
      <c r="J254" s="1566"/>
      <c r="K254" s="1566"/>
    </row>
    <row r="255" spans="1:11">
      <c r="A255" s="1566"/>
      <c r="B255" s="1566"/>
      <c r="C255" s="1566"/>
      <c r="D255" s="1566"/>
      <c r="E255" s="1566"/>
      <c r="F255" s="1566"/>
      <c r="G255" s="1566"/>
      <c r="H255" s="1566"/>
      <c r="I255" s="1566"/>
      <c r="J255" s="1566"/>
      <c r="K255" s="1566"/>
    </row>
    <row r="256" spans="1:11">
      <c r="A256" s="1566"/>
      <c r="B256" s="1566"/>
      <c r="C256" s="1566"/>
      <c r="D256" s="1566"/>
      <c r="E256" s="1566"/>
      <c r="F256" s="1566"/>
      <c r="G256" s="1566"/>
      <c r="H256" s="1566"/>
      <c r="I256" s="1566"/>
      <c r="J256" s="1566"/>
      <c r="K256" s="1566"/>
    </row>
    <row r="257" spans="1:11">
      <c r="A257" s="1566"/>
      <c r="B257" s="1566"/>
      <c r="C257" s="1566"/>
      <c r="D257" s="1566"/>
      <c r="E257" s="1566"/>
      <c r="F257" s="1566"/>
      <c r="G257" s="1566"/>
      <c r="H257" s="1566"/>
      <c r="I257" s="1566"/>
      <c r="J257" s="1566"/>
      <c r="K257" s="1566"/>
    </row>
    <row r="258" spans="1:11">
      <c r="A258" s="1566"/>
      <c r="B258" s="1566"/>
      <c r="C258" s="1566"/>
      <c r="D258" s="1566"/>
      <c r="E258" s="1566"/>
      <c r="F258" s="1566"/>
      <c r="G258" s="1566"/>
      <c r="H258" s="1566"/>
      <c r="I258" s="1566"/>
      <c r="J258" s="1566"/>
      <c r="K258" s="1566"/>
    </row>
    <row r="259" spans="1:11">
      <c r="A259" s="1566"/>
      <c r="B259" s="1566"/>
      <c r="C259" s="1566"/>
      <c r="D259" s="1566"/>
      <c r="E259" s="1566"/>
      <c r="F259" s="1566"/>
      <c r="G259" s="1566"/>
      <c r="H259" s="1566"/>
      <c r="I259" s="1566"/>
      <c r="J259" s="1566"/>
      <c r="K259" s="1566"/>
    </row>
    <row r="260" spans="1:11">
      <c r="A260" s="1566"/>
      <c r="B260" s="1566"/>
      <c r="C260" s="1566"/>
      <c r="D260" s="1566"/>
      <c r="E260" s="1566"/>
      <c r="F260" s="1566"/>
      <c r="G260" s="1566"/>
      <c r="H260" s="1566"/>
      <c r="I260" s="1566"/>
      <c r="J260" s="1566"/>
      <c r="K260" s="1566"/>
    </row>
    <row r="261" spans="1:11">
      <c r="A261" s="1566"/>
      <c r="B261" s="1566"/>
      <c r="C261" s="1566"/>
      <c r="D261" s="1566"/>
      <c r="E261" s="1566"/>
      <c r="F261" s="1566"/>
      <c r="G261" s="1566"/>
      <c r="H261" s="1566"/>
      <c r="I261" s="1566"/>
      <c r="J261" s="1566"/>
      <c r="K261" s="1566"/>
    </row>
    <row r="262" spans="1:11">
      <c r="A262" s="1566"/>
      <c r="B262" s="1566"/>
      <c r="C262" s="1566"/>
      <c r="D262" s="1566"/>
      <c r="E262" s="1566"/>
      <c r="F262" s="1566"/>
      <c r="G262" s="1566"/>
      <c r="H262" s="1566"/>
      <c r="I262" s="1566"/>
      <c r="J262" s="1566"/>
      <c r="K262" s="1566"/>
    </row>
    <row r="263" spans="1:11">
      <c r="A263" s="1566"/>
      <c r="B263" s="1566"/>
      <c r="C263" s="1566"/>
      <c r="D263" s="1566"/>
      <c r="E263" s="1566"/>
      <c r="F263" s="1566"/>
      <c r="G263" s="1566"/>
      <c r="H263" s="1566"/>
      <c r="I263" s="1566"/>
      <c r="J263" s="1566"/>
      <c r="K263" s="1566"/>
    </row>
    <row r="264" spans="1:11">
      <c r="A264" s="1566"/>
      <c r="B264" s="1566"/>
      <c r="C264" s="1566"/>
      <c r="D264" s="1566"/>
      <c r="E264" s="1566"/>
      <c r="F264" s="1566"/>
      <c r="G264" s="1566"/>
      <c r="H264" s="1566"/>
      <c r="I264" s="1566"/>
      <c r="J264" s="1566"/>
      <c r="K264" s="1566"/>
    </row>
    <row r="265" spans="1:11">
      <c r="A265" s="1566"/>
      <c r="B265" s="1566"/>
      <c r="C265" s="1566"/>
      <c r="D265" s="1566"/>
      <c r="E265" s="1566"/>
      <c r="F265" s="1566"/>
      <c r="G265" s="1566"/>
      <c r="H265" s="1566"/>
      <c r="I265" s="1566"/>
      <c r="J265" s="1566"/>
      <c r="K265" s="1566"/>
    </row>
    <row r="266" spans="1:11">
      <c r="A266" s="1566"/>
      <c r="B266" s="1566"/>
      <c r="C266" s="1566"/>
      <c r="D266" s="1566"/>
      <c r="E266" s="1566"/>
      <c r="F266" s="1566"/>
      <c r="G266" s="1566"/>
      <c r="H266" s="1566"/>
      <c r="I266" s="1566"/>
      <c r="J266" s="1566"/>
      <c r="K266" s="1566"/>
    </row>
    <row r="267" spans="1:11">
      <c r="A267" s="1566"/>
      <c r="B267" s="1566"/>
      <c r="C267" s="1566"/>
      <c r="D267" s="1566"/>
      <c r="E267" s="1566"/>
      <c r="F267" s="1566"/>
      <c r="G267" s="1566"/>
      <c r="H267" s="1566"/>
      <c r="I267" s="1566"/>
      <c r="J267" s="1566"/>
      <c r="K267" s="1566"/>
    </row>
    <row r="268" spans="1:11">
      <c r="A268" s="1566"/>
      <c r="B268" s="1566"/>
      <c r="C268" s="1566"/>
      <c r="D268" s="1566"/>
      <c r="E268" s="1566"/>
      <c r="F268" s="1566"/>
      <c r="G268" s="1566"/>
      <c r="H268" s="1566"/>
      <c r="I268" s="1566"/>
      <c r="J268" s="1566"/>
      <c r="K268" s="1566"/>
    </row>
    <row r="269" spans="1:11">
      <c r="A269" s="1566"/>
      <c r="B269" s="1566"/>
      <c r="C269" s="1566"/>
      <c r="D269" s="1566"/>
      <c r="E269" s="1566"/>
      <c r="F269" s="1566"/>
      <c r="G269" s="1566"/>
      <c r="H269" s="1566"/>
      <c r="I269" s="1566"/>
      <c r="J269" s="1566"/>
      <c r="K269" s="1566"/>
    </row>
    <row r="270" spans="1:11">
      <c r="A270" s="1566"/>
      <c r="B270" s="1566"/>
      <c r="C270" s="1566"/>
      <c r="D270" s="1566"/>
      <c r="E270" s="1566"/>
      <c r="F270" s="1566"/>
      <c r="G270" s="1566"/>
      <c r="H270" s="1566"/>
      <c r="I270" s="1566"/>
      <c r="J270" s="1566"/>
      <c r="K270" s="1566"/>
    </row>
    <row r="271" spans="1:11">
      <c r="A271" s="1566"/>
      <c r="B271" s="1566"/>
      <c r="C271" s="1566"/>
      <c r="D271" s="1566"/>
      <c r="E271" s="1566"/>
      <c r="F271" s="1566"/>
      <c r="G271" s="1566"/>
      <c r="H271" s="1566"/>
      <c r="I271" s="1566"/>
      <c r="J271" s="1566"/>
      <c r="K271" s="1566"/>
    </row>
    <row r="272" spans="1:11">
      <c r="A272" s="1566"/>
      <c r="B272" s="1566"/>
      <c r="C272" s="1566"/>
      <c r="D272" s="1566"/>
      <c r="E272" s="1566"/>
      <c r="F272" s="1566"/>
      <c r="G272" s="1566"/>
      <c r="H272" s="1566"/>
      <c r="I272" s="1566"/>
      <c r="J272" s="1566"/>
      <c r="K272" s="1566"/>
    </row>
    <row r="273" spans="1:11">
      <c r="A273" s="1566"/>
      <c r="B273" s="1566"/>
      <c r="C273" s="1566"/>
      <c r="D273" s="1566"/>
      <c r="E273" s="1566"/>
      <c r="F273" s="1566"/>
      <c r="G273" s="1566"/>
      <c r="H273" s="1566"/>
      <c r="I273" s="1566"/>
      <c r="J273" s="1566"/>
      <c r="K273" s="1566"/>
    </row>
    <row r="274" spans="1:11">
      <c r="A274" s="1566"/>
      <c r="B274" s="1566"/>
      <c r="C274" s="1566"/>
      <c r="D274" s="1566"/>
      <c r="E274" s="1566"/>
      <c r="F274" s="1566"/>
      <c r="G274" s="1566"/>
      <c r="H274" s="1566"/>
      <c r="I274" s="1566"/>
      <c r="J274" s="1566"/>
      <c r="K274" s="1566"/>
    </row>
    <row r="275" spans="1:11">
      <c r="A275" s="1566"/>
      <c r="B275" s="1566"/>
      <c r="C275" s="1566"/>
      <c r="D275" s="1566"/>
      <c r="E275" s="1566"/>
      <c r="F275" s="1566"/>
      <c r="G275" s="1566"/>
      <c r="H275" s="1566"/>
      <c r="I275" s="1566"/>
      <c r="J275" s="1566"/>
      <c r="K275" s="1566"/>
    </row>
    <row r="276" spans="1:11">
      <c r="A276" s="1566"/>
      <c r="B276" s="1566"/>
      <c r="C276" s="1566"/>
      <c r="D276" s="1566"/>
      <c r="E276" s="1566"/>
      <c r="F276" s="1566"/>
      <c r="G276" s="1566"/>
      <c r="H276" s="1566"/>
      <c r="I276" s="1566"/>
      <c r="J276" s="1566"/>
      <c r="K276" s="1566"/>
    </row>
    <row r="277" spans="1:11">
      <c r="A277" s="1566"/>
      <c r="B277" s="1566"/>
      <c r="C277" s="1566"/>
      <c r="D277" s="1566"/>
      <c r="E277" s="1566"/>
      <c r="F277" s="1566"/>
      <c r="G277" s="1566"/>
      <c r="H277" s="1566"/>
      <c r="I277" s="1566"/>
      <c r="J277" s="1566"/>
      <c r="K277" s="1566"/>
    </row>
    <row r="278" spans="1:11">
      <c r="A278" s="1566"/>
      <c r="B278" s="1566"/>
      <c r="C278" s="1566"/>
      <c r="D278" s="1566"/>
      <c r="E278" s="1566"/>
      <c r="F278" s="1566"/>
      <c r="G278" s="1566"/>
      <c r="H278" s="1566"/>
      <c r="I278" s="1566"/>
      <c r="J278" s="1566"/>
      <c r="K278" s="1566"/>
    </row>
    <row r="279" spans="1:11">
      <c r="A279" s="1566"/>
      <c r="B279" s="1566"/>
      <c r="C279" s="1566"/>
      <c r="D279" s="1566"/>
      <c r="E279" s="1566"/>
      <c r="F279" s="1566"/>
      <c r="G279" s="1566"/>
      <c r="H279" s="1566"/>
      <c r="I279" s="1566"/>
      <c r="J279" s="1566"/>
      <c r="K279" s="1566"/>
    </row>
    <row r="280" spans="1:11">
      <c r="A280" s="1566"/>
      <c r="B280" s="1566"/>
      <c r="C280" s="1566"/>
      <c r="D280" s="1566"/>
      <c r="E280" s="1566"/>
      <c r="F280" s="1566"/>
      <c r="G280" s="1566"/>
      <c r="H280" s="1566"/>
      <c r="I280" s="1566"/>
      <c r="J280" s="1566"/>
      <c r="K280" s="1566"/>
    </row>
    <row r="281" spans="1:11">
      <c r="A281" s="1566"/>
      <c r="B281" s="1566"/>
      <c r="C281" s="1566"/>
      <c r="D281" s="1566"/>
      <c r="E281" s="1566"/>
      <c r="F281" s="1566"/>
      <c r="G281" s="1566"/>
      <c r="H281" s="1566"/>
      <c r="I281" s="1566"/>
      <c r="J281" s="1566"/>
      <c r="K281" s="1566"/>
    </row>
    <row r="282" spans="1:11">
      <c r="A282" s="1566"/>
      <c r="B282" s="1566"/>
      <c r="C282" s="1566"/>
      <c r="D282" s="1566"/>
      <c r="E282" s="1566"/>
      <c r="F282" s="1566"/>
      <c r="G282" s="1566"/>
      <c r="H282" s="1566"/>
      <c r="I282" s="1566"/>
      <c r="J282" s="1566"/>
      <c r="K282" s="1566"/>
    </row>
    <row r="283" spans="1:11">
      <c r="A283" s="1566"/>
      <c r="B283" s="1566"/>
      <c r="C283" s="1566"/>
      <c r="D283" s="1566"/>
      <c r="E283" s="1566"/>
      <c r="F283" s="1566"/>
      <c r="G283" s="1566"/>
      <c r="H283" s="1566"/>
      <c r="I283" s="1566"/>
      <c r="J283" s="1566"/>
      <c r="K283" s="1566"/>
    </row>
    <row r="284" spans="1:11">
      <c r="A284" s="1566"/>
      <c r="B284" s="1566"/>
      <c r="C284" s="1566"/>
      <c r="D284" s="1566"/>
      <c r="E284" s="1566"/>
      <c r="F284" s="1566"/>
      <c r="G284" s="1566"/>
      <c r="H284" s="1566"/>
      <c r="I284" s="1566"/>
      <c r="J284" s="1566"/>
      <c r="K284" s="1566"/>
    </row>
    <row r="285" spans="1:11">
      <c r="A285" s="1566"/>
      <c r="B285" s="1566"/>
      <c r="C285" s="1566"/>
      <c r="D285" s="1566"/>
      <c r="E285" s="1566"/>
      <c r="F285" s="1566"/>
      <c r="G285" s="1566"/>
      <c r="H285" s="1566"/>
      <c r="I285" s="1566"/>
      <c r="J285" s="1566"/>
      <c r="K285" s="1566"/>
    </row>
    <row r="286" spans="1:11">
      <c r="A286" s="1566"/>
      <c r="B286" s="1566"/>
      <c r="C286" s="1566"/>
      <c r="D286" s="1566"/>
      <c r="E286" s="1566"/>
      <c r="F286" s="1566"/>
      <c r="G286" s="1566"/>
      <c r="H286" s="1566"/>
      <c r="I286" s="1566"/>
      <c r="J286" s="1566"/>
      <c r="K286" s="1566"/>
    </row>
    <row r="287" spans="1:11">
      <c r="A287" s="1566"/>
      <c r="B287" s="1566"/>
      <c r="C287" s="1566"/>
      <c r="D287" s="1566"/>
      <c r="E287" s="1566"/>
      <c r="F287" s="1566"/>
      <c r="G287" s="1566"/>
      <c r="H287" s="1566"/>
      <c r="I287" s="1566"/>
      <c r="J287" s="1566"/>
      <c r="K287" s="1566"/>
    </row>
    <row r="288" spans="1:11">
      <c r="A288" s="1566"/>
      <c r="B288" s="1566"/>
      <c r="C288" s="1566"/>
      <c r="D288" s="1566"/>
      <c r="E288" s="1566"/>
      <c r="F288" s="1566"/>
      <c r="G288" s="1566"/>
      <c r="H288" s="1566"/>
      <c r="I288" s="1566"/>
      <c r="J288" s="1566"/>
      <c r="K288" s="1566"/>
    </row>
    <row r="289" spans="1:11">
      <c r="A289" s="1566"/>
      <c r="B289" s="1566"/>
      <c r="C289" s="1566"/>
      <c r="D289" s="1566"/>
      <c r="E289" s="1566"/>
      <c r="F289" s="1566"/>
      <c r="G289" s="1566"/>
      <c r="H289" s="1566"/>
      <c r="I289" s="1566"/>
      <c r="J289" s="1566"/>
      <c r="K289" s="1566"/>
    </row>
    <row r="290" spans="1:11">
      <c r="A290" s="1566"/>
      <c r="B290" s="1566"/>
      <c r="C290" s="1566"/>
      <c r="D290" s="1566"/>
      <c r="E290" s="1566"/>
      <c r="F290" s="1566"/>
      <c r="G290" s="1566"/>
      <c r="H290" s="1566"/>
      <c r="I290" s="1566"/>
      <c r="J290" s="1566"/>
      <c r="K290" s="1566"/>
    </row>
    <row r="291" spans="1:11">
      <c r="A291" s="1566"/>
      <c r="B291" s="1566"/>
      <c r="C291" s="1566"/>
      <c r="D291" s="1566"/>
      <c r="E291" s="1566"/>
      <c r="F291" s="1566"/>
      <c r="G291" s="1566"/>
      <c r="H291" s="1566"/>
      <c r="I291" s="1566"/>
      <c r="J291" s="1566"/>
      <c r="K291" s="1566"/>
    </row>
    <row r="292" spans="1:11">
      <c r="A292" s="1566"/>
      <c r="B292" s="1566"/>
      <c r="C292" s="1566"/>
      <c r="D292" s="1566"/>
      <c r="E292" s="1566"/>
      <c r="F292" s="1566"/>
      <c r="G292" s="1566"/>
      <c r="H292" s="1566"/>
      <c r="I292" s="1566"/>
      <c r="J292" s="1566"/>
      <c r="K292" s="1566"/>
    </row>
    <row r="293" spans="1:11">
      <c r="A293" s="1566"/>
      <c r="B293" s="1566"/>
      <c r="C293" s="1566"/>
      <c r="D293" s="1566"/>
      <c r="E293" s="1566"/>
      <c r="F293" s="1566"/>
      <c r="G293" s="1566"/>
      <c r="H293" s="1566"/>
      <c r="I293" s="1566"/>
      <c r="J293" s="1566"/>
      <c r="K293" s="1566"/>
    </row>
    <row r="294" spans="1:11">
      <c r="A294" s="1566"/>
      <c r="B294" s="1566"/>
      <c r="C294" s="1566"/>
      <c r="D294" s="1566"/>
      <c r="E294" s="1566"/>
      <c r="F294" s="1566"/>
      <c r="G294" s="1566"/>
      <c r="H294" s="1566"/>
      <c r="I294" s="1566"/>
      <c r="J294" s="1566"/>
      <c r="K294" s="1566"/>
    </row>
    <row r="295" spans="1:11">
      <c r="A295" s="1566"/>
      <c r="B295" s="1566"/>
      <c r="C295" s="1566"/>
      <c r="D295" s="1566"/>
      <c r="E295" s="1566"/>
      <c r="F295" s="1566"/>
      <c r="G295" s="1566"/>
      <c r="H295" s="1566"/>
      <c r="I295" s="1566"/>
      <c r="J295" s="1566"/>
      <c r="K295" s="1566"/>
    </row>
    <row r="296" spans="1:11">
      <c r="A296" s="1566"/>
      <c r="B296" s="1566"/>
      <c r="C296" s="1566"/>
      <c r="D296" s="1566"/>
      <c r="E296" s="1566"/>
      <c r="F296" s="1566"/>
      <c r="G296" s="1566"/>
      <c r="H296" s="1566"/>
      <c r="I296" s="1566"/>
      <c r="J296" s="1566"/>
      <c r="K296" s="1566"/>
    </row>
    <row r="297" spans="1:11">
      <c r="A297" s="1566"/>
      <c r="B297" s="1566"/>
      <c r="C297" s="1566"/>
      <c r="D297" s="1566"/>
      <c r="E297" s="1566"/>
      <c r="F297" s="1566"/>
      <c r="G297" s="1566"/>
      <c r="H297" s="1566"/>
      <c r="I297" s="1566"/>
      <c r="J297" s="1566"/>
      <c r="K297" s="1566"/>
    </row>
    <row r="298" spans="1:11">
      <c r="A298" s="1566"/>
      <c r="B298" s="1566"/>
      <c r="C298" s="1566"/>
      <c r="D298" s="1566"/>
      <c r="E298" s="1566"/>
      <c r="F298" s="1566"/>
      <c r="G298" s="1566"/>
      <c r="H298" s="1566"/>
      <c r="I298" s="1566"/>
      <c r="J298" s="1566"/>
      <c r="K298" s="1566"/>
    </row>
    <row r="299" spans="1:11">
      <c r="A299" s="1566"/>
      <c r="B299" s="1566"/>
      <c r="C299" s="1566"/>
      <c r="D299" s="1566"/>
      <c r="E299" s="1566"/>
      <c r="F299" s="1566"/>
      <c r="G299" s="1566"/>
      <c r="H299" s="1566"/>
      <c r="I299" s="1566"/>
      <c r="J299" s="1566"/>
      <c r="K299" s="1566"/>
    </row>
    <row r="300" spans="1:11">
      <c r="A300" s="1566"/>
      <c r="B300" s="1566"/>
      <c r="C300" s="1566"/>
      <c r="D300" s="1566"/>
      <c r="E300" s="1566"/>
      <c r="F300" s="1566"/>
      <c r="G300" s="1566"/>
      <c r="H300" s="1566"/>
      <c r="I300" s="1566"/>
      <c r="J300" s="1566"/>
      <c r="K300" s="1566"/>
    </row>
    <row r="301" spans="1:11">
      <c r="A301" s="1566"/>
      <c r="B301" s="1566"/>
      <c r="C301" s="1566"/>
      <c r="D301" s="1566"/>
      <c r="E301" s="1566"/>
      <c r="F301" s="1566"/>
      <c r="G301" s="1566"/>
      <c r="H301" s="1566"/>
      <c r="I301" s="1566"/>
      <c r="J301" s="1566"/>
      <c r="K301" s="1566"/>
    </row>
    <row r="302" spans="1:11">
      <c r="A302" s="1566"/>
      <c r="B302" s="1566"/>
      <c r="C302" s="1566"/>
      <c r="D302" s="1566"/>
      <c r="E302" s="1566"/>
      <c r="F302" s="1566"/>
      <c r="G302" s="1566"/>
      <c r="H302" s="1566"/>
      <c r="I302" s="1566"/>
      <c r="J302" s="1566"/>
      <c r="K302" s="1566"/>
    </row>
    <row r="303" spans="1:11">
      <c r="A303" s="1566"/>
      <c r="B303" s="1566"/>
      <c r="C303" s="1566"/>
      <c r="D303" s="1566"/>
      <c r="E303" s="1566"/>
      <c r="F303" s="1566"/>
      <c r="G303" s="1566"/>
      <c r="H303" s="1566"/>
      <c r="I303" s="1566"/>
      <c r="J303" s="1566"/>
      <c r="K303" s="1566"/>
    </row>
    <row r="304" spans="1:11">
      <c r="A304" s="1566"/>
      <c r="B304" s="1566"/>
      <c r="C304" s="1566"/>
      <c r="D304" s="1566"/>
      <c r="E304" s="1566"/>
      <c r="F304" s="1566"/>
      <c r="G304" s="1566"/>
      <c r="H304" s="1566"/>
      <c r="I304" s="1566"/>
      <c r="J304" s="1566"/>
      <c r="K304" s="1566"/>
    </row>
    <row r="305" spans="1:11">
      <c r="A305" s="1566"/>
      <c r="B305" s="1566"/>
      <c r="C305" s="1566"/>
      <c r="D305" s="1566"/>
      <c r="E305" s="1566"/>
      <c r="F305" s="1566"/>
      <c r="G305" s="1566"/>
      <c r="H305" s="1566"/>
      <c r="I305" s="1566"/>
      <c r="J305" s="1566"/>
      <c r="K305" s="1566"/>
    </row>
    <row r="306" spans="1:11">
      <c r="A306" s="1566"/>
      <c r="B306" s="1566"/>
      <c r="C306" s="1566"/>
      <c r="D306" s="1566"/>
      <c r="E306" s="1566"/>
      <c r="F306" s="1566"/>
      <c r="G306" s="1566"/>
      <c r="H306" s="1566"/>
      <c r="I306" s="1566"/>
      <c r="J306" s="1566"/>
      <c r="K306" s="1566"/>
    </row>
    <row r="307" spans="1:11">
      <c r="A307" s="1566"/>
      <c r="B307" s="1566"/>
      <c r="C307" s="1566"/>
      <c r="D307" s="1566"/>
      <c r="E307" s="1566"/>
      <c r="F307" s="1566"/>
      <c r="G307" s="1566"/>
      <c r="H307" s="1566"/>
      <c r="I307" s="1566"/>
      <c r="J307" s="1566"/>
      <c r="K307" s="1566"/>
    </row>
    <row r="308" spans="1:11">
      <c r="A308" s="1566"/>
      <c r="B308" s="1566"/>
      <c r="C308" s="1566"/>
      <c r="D308" s="1566"/>
      <c r="E308" s="1566"/>
      <c r="F308" s="1566"/>
      <c r="G308" s="1566"/>
      <c r="H308" s="1566"/>
      <c r="I308" s="1566"/>
      <c r="J308" s="1566"/>
      <c r="K308" s="1566"/>
    </row>
    <row r="309" spans="1:11">
      <c r="A309" s="1566"/>
      <c r="B309" s="1566"/>
      <c r="C309" s="1566"/>
      <c r="D309" s="1566"/>
      <c r="E309" s="1566"/>
      <c r="F309" s="1566"/>
      <c r="G309" s="1566"/>
      <c r="H309" s="1566"/>
      <c r="I309" s="1566"/>
      <c r="J309" s="1566"/>
      <c r="K309" s="1566"/>
    </row>
    <row r="310" spans="1:11">
      <c r="A310" s="1566"/>
      <c r="B310" s="1566"/>
      <c r="C310" s="1566"/>
      <c r="D310" s="1566"/>
      <c r="E310" s="1566"/>
      <c r="F310" s="1566"/>
      <c r="G310" s="1566"/>
      <c r="H310" s="1566"/>
      <c r="I310" s="1566"/>
      <c r="J310" s="1566"/>
      <c r="K310" s="1566"/>
    </row>
    <row r="311" spans="1:11">
      <c r="A311" s="1566"/>
      <c r="B311" s="1566"/>
      <c r="C311" s="1566"/>
      <c r="D311" s="1566"/>
      <c r="E311" s="1566"/>
      <c r="F311" s="1566"/>
      <c r="G311" s="1566"/>
      <c r="H311" s="1566"/>
      <c r="I311" s="1566"/>
      <c r="J311" s="1566"/>
      <c r="K311" s="1566"/>
    </row>
    <row r="312" spans="1:11">
      <c r="A312" s="1566"/>
      <c r="B312" s="1566"/>
      <c r="C312" s="1566"/>
      <c r="D312" s="1566"/>
      <c r="E312" s="1566"/>
      <c r="F312" s="1566"/>
      <c r="G312" s="1566"/>
      <c r="H312" s="1566"/>
      <c r="I312" s="1566"/>
      <c r="J312" s="1566"/>
      <c r="K312" s="1566"/>
    </row>
    <row r="313" spans="1:11">
      <c r="A313" s="1566"/>
      <c r="B313" s="1566"/>
      <c r="C313" s="1566"/>
      <c r="D313" s="1566"/>
      <c r="E313" s="1566"/>
      <c r="F313" s="1566"/>
      <c r="G313" s="1566"/>
      <c r="H313" s="1566"/>
      <c r="I313" s="1566"/>
      <c r="J313" s="1566"/>
      <c r="K313" s="1566"/>
    </row>
    <row r="314" spans="1:11">
      <c r="A314" s="1566"/>
      <c r="B314" s="1566"/>
      <c r="C314" s="1566"/>
      <c r="D314" s="1566"/>
      <c r="E314" s="1566"/>
      <c r="F314" s="1566"/>
      <c r="G314" s="1566"/>
      <c r="H314" s="1566"/>
      <c r="I314" s="1566"/>
      <c r="J314" s="1566"/>
      <c r="K314" s="1566"/>
    </row>
    <row r="315" spans="1:11">
      <c r="A315" s="1566"/>
      <c r="B315" s="1566"/>
      <c r="C315" s="1566"/>
      <c r="D315" s="1566"/>
      <c r="E315" s="1566"/>
      <c r="F315" s="1566"/>
      <c r="G315" s="1566"/>
      <c r="H315" s="1566"/>
      <c r="I315" s="1566"/>
      <c r="J315" s="1566"/>
      <c r="K315" s="1566"/>
    </row>
    <row r="316" spans="1:11">
      <c r="A316" s="1566"/>
      <c r="B316" s="1566"/>
      <c r="C316" s="1566"/>
      <c r="D316" s="1566"/>
      <c r="E316" s="1566"/>
      <c r="F316" s="1566"/>
      <c r="G316" s="1566"/>
      <c r="H316" s="1566"/>
      <c r="I316" s="1566"/>
      <c r="J316" s="1566"/>
      <c r="K316" s="1566"/>
    </row>
    <row r="317" spans="1:11">
      <c r="A317" s="1566"/>
      <c r="B317" s="1566"/>
      <c r="C317" s="1566"/>
      <c r="D317" s="1566"/>
      <c r="E317" s="1566"/>
      <c r="F317" s="1566"/>
      <c r="G317" s="1566"/>
      <c r="H317" s="1566"/>
      <c r="I317" s="1566"/>
      <c r="J317" s="1566"/>
      <c r="K317" s="1566"/>
    </row>
    <row r="318" spans="1:11">
      <c r="A318" s="1566"/>
      <c r="B318" s="1566"/>
      <c r="C318" s="1566"/>
      <c r="D318" s="1566"/>
      <c r="E318" s="1566"/>
      <c r="F318" s="1566"/>
      <c r="G318" s="1566"/>
      <c r="H318" s="1566"/>
      <c r="I318" s="1566"/>
      <c r="J318" s="1566"/>
      <c r="K318" s="1566"/>
    </row>
    <row r="319" spans="1:11">
      <c r="A319" s="1566"/>
      <c r="B319" s="1566"/>
      <c r="C319" s="1566"/>
      <c r="D319" s="1566"/>
      <c r="E319" s="1566"/>
      <c r="F319" s="1566"/>
      <c r="G319" s="1566"/>
      <c r="H319" s="1566"/>
      <c r="I319" s="1566"/>
      <c r="J319" s="1566"/>
      <c r="K319" s="1566"/>
    </row>
    <row r="320" spans="1:11">
      <c r="A320" s="1566"/>
      <c r="B320" s="1566"/>
      <c r="C320" s="1566"/>
      <c r="D320" s="1566"/>
      <c r="E320" s="1566"/>
      <c r="F320" s="1566"/>
      <c r="G320" s="1566"/>
      <c r="H320" s="1566"/>
      <c r="I320" s="1566"/>
      <c r="J320" s="1566"/>
      <c r="K320" s="1566"/>
    </row>
    <row r="321" spans="1:11">
      <c r="A321" s="1566"/>
      <c r="B321" s="1566"/>
      <c r="C321" s="1566"/>
      <c r="D321" s="1566"/>
      <c r="E321" s="1566"/>
      <c r="F321" s="1566"/>
      <c r="G321" s="1566"/>
      <c r="H321" s="1566"/>
      <c r="I321" s="1566"/>
      <c r="J321" s="1566"/>
      <c r="K321" s="1566"/>
    </row>
    <row r="322" spans="1:11">
      <c r="A322" s="1566"/>
      <c r="B322" s="1566"/>
      <c r="C322" s="1566"/>
      <c r="D322" s="1566"/>
      <c r="E322" s="1566"/>
      <c r="F322" s="1566"/>
      <c r="G322" s="1566"/>
      <c r="H322" s="1566"/>
      <c r="I322" s="1566"/>
      <c r="J322" s="1566"/>
      <c r="K322" s="1566"/>
    </row>
    <row r="323" spans="1:11">
      <c r="A323" s="1566"/>
      <c r="B323" s="1566"/>
      <c r="C323" s="1566"/>
      <c r="D323" s="1566"/>
      <c r="E323" s="1566"/>
      <c r="F323" s="1566"/>
      <c r="G323" s="1566"/>
      <c r="H323" s="1566"/>
      <c r="I323" s="1566"/>
      <c r="J323" s="1566"/>
      <c r="K323" s="1566"/>
    </row>
    <row r="324" spans="1:11">
      <c r="A324" s="1566"/>
      <c r="B324" s="1566"/>
      <c r="C324" s="1566"/>
      <c r="D324" s="1566"/>
      <c r="E324" s="1566"/>
      <c r="F324" s="1566"/>
      <c r="G324" s="1566"/>
      <c r="H324" s="1566"/>
      <c r="I324" s="1566"/>
      <c r="J324" s="1566"/>
      <c r="K324" s="1566"/>
    </row>
    <row r="325" spans="1:11">
      <c r="A325" s="1566"/>
      <c r="B325" s="1566"/>
      <c r="C325" s="1566"/>
      <c r="D325" s="1566"/>
      <c r="E325" s="1566"/>
      <c r="F325" s="1566"/>
      <c r="G325" s="1566"/>
      <c r="H325" s="1566"/>
      <c r="I325" s="1566"/>
      <c r="J325" s="1566"/>
      <c r="K325" s="1566"/>
    </row>
    <row r="326" spans="1:11">
      <c r="A326" s="1566"/>
      <c r="B326" s="1566"/>
      <c r="C326" s="1566"/>
      <c r="D326" s="1566"/>
      <c r="E326" s="1566"/>
      <c r="F326" s="1566"/>
      <c r="G326" s="1566"/>
      <c r="H326" s="1566"/>
      <c r="I326" s="1566"/>
      <c r="J326" s="1566"/>
      <c r="K326" s="1566"/>
    </row>
    <row r="327" spans="1:11">
      <c r="A327" s="1566"/>
      <c r="B327" s="1566"/>
      <c r="C327" s="1566"/>
      <c r="D327" s="1566"/>
      <c r="E327" s="1566"/>
      <c r="F327" s="1566"/>
      <c r="G327" s="1566"/>
      <c r="H327" s="1566"/>
      <c r="I327" s="1566"/>
      <c r="J327" s="1566"/>
      <c r="K327" s="1566"/>
    </row>
    <row r="328" spans="1:11">
      <c r="A328" s="1566"/>
      <c r="B328" s="1566"/>
      <c r="C328" s="1566"/>
      <c r="D328" s="1566"/>
      <c r="E328" s="1566"/>
      <c r="F328" s="1566"/>
      <c r="G328" s="1566"/>
      <c r="H328" s="1566"/>
      <c r="I328" s="1566"/>
      <c r="J328" s="1566"/>
      <c r="K328" s="1566"/>
    </row>
    <row r="329" spans="1:11">
      <c r="A329" s="1566"/>
      <c r="B329" s="1566"/>
      <c r="C329" s="1566"/>
      <c r="D329" s="1566"/>
      <c r="E329" s="1566"/>
      <c r="F329" s="1566"/>
      <c r="G329" s="1566"/>
      <c r="H329" s="1566"/>
      <c r="I329" s="1566"/>
      <c r="J329" s="1566"/>
      <c r="K329" s="1566"/>
    </row>
    <row r="330" spans="1:11">
      <c r="A330" s="1566"/>
      <c r="B330" s="1566"/>
      <c r="C330" s="1566"/>
      <c r="D330" s="1566"/>
      <c r="E330" s="1566"/>
      <c r="F330" s="1566"/>
      <c r="G330" s="1566"/>
      <c r="H330" s="1566"/>
      <c r="I330" s="1566"/>
      <c r="J330" s="1566"/>
      <c r="K330" s="1566"/>
    </row>
    <row r="331" spans="1:11">
      <c r="A331" s="1566"/>
      <c r="B331" s="1566"/>
      <c r="C331" s="1566"/>
      <c r="D331" s="1566"/>
      <c r="E331" s="1566"/>
      <c r="F331" s="1566"/>
      <c r="G331" s="1566"/>
      <c r="H331" s="1566"/>
      <c r="I331" s="1566"/>
      <c r="J331" s="1566"/>
      <c r="K331" s="1566"/>
    </row>
    <row r="332" spans="1:11">
      <c r="A332" s="1566"/>
      <c r="B332" s="1566"/>
      <c r="C332" s="1566"/>
      <c r="D332" s="1566"/>
      <c r="E332" s="1566"/>
      <c r="F332" s="1566"/>
      <c r="G332" s="1566"/>
      <c r="H332" s="1566"/>
      <c r="I332" s="1566"/>
      <c r="J332" s="1566"/>
      <c r="K332" s="1566"/>
    </row>
    <row r="333" spans="1:11">
      <c r="A333" s="1566"/>
      <c r="B333" s="1566"/>
      <c r="C333" s="1566"/>
      <c r="D333" s="1566"/>
      <c r="E333" s="1566"/>
      <c r="F333" s="1566"/>
      <c r="G333" s="1566"/>
      <c r="H333" s="1566"/>
      <c r="I333" s="1566"/>
      <c r="J333" s="1566"/>
      <c r="K333" s="1566"/>
    </row>
    <row r="334" spans="1:11">
      <c r="A334" s="1566"/>
      <c r="B334" s="1566"/>
      <c r="C334" s="1566"/>
      <c r="D334" s="1566"/>
      <c r="E334" s="1566"/>
      <c r="F334" s="1566"/>
      <c r="G334" s="1566"/>
      <c r="H334" s="1566"/>
      <c r="I334" s="1566"/>
      <c r="J334" s="1566"/>
      <c r="K334" s="1566"/>
    </row>
    <row r="335" spans="1:11">
      <c r="A335" s="1566"/>
      <c r="B335" s="1566"/>
      <c r="C335" s="1566"/>
      <c r="D335" s="1566"/>
      <c r="E335" s="1566"/>
      <c r="F335" s="1566"/>
      <c r="G335" s="1566"/>
      <c r="H335" s="1566"/>
      <c r="I335" s="1566"/>
      <c r="J335" s="1566"/>
      <c r="K335" s="1566"/>
    </row>
    <row r="336" spans="1:11">
      <c r="A336" s="1566"/>
      <c r="B336" s="1566"/>
      <c r="C336" s="1566"/>
      <c r="D336" s="1566"/>
      <c r="E336" s="1566"/>
      <c r="F336" s="1566"/>
      <c r="G336" s="1566"/>
      <c r="H336" s="1566"/>
      <c r="I336" s="1566"/>
      <c r="J336" s="1566"/>
      <c r="K336" s="1566"/>
    </row>
    <row r="337" spans="1:11">
      <c r="A337" s="1566"/>
      <c r="B337" s="1566"/>
      <c r="C337" s="1566"/>
      <c r="D337" s="1566"/>
      <c r="E337" s="1566"/>
      <c r="F337" s="1566"/>
      <c r="G337" s="1566"/>
      <c r="H337" s="1566"/>
      <c r="I337" s="1566"/>
      <c r="J337" s="1566"/>
      <c r="K337" s="1566"/>
    </row>
    <row r="338" spans="1:11">
      <c r="A338" s="1566"/>
      <c r="B338" s="1566"/>
      <c r="C338" s="1566"/>
      <c r="D338" s="1566"/>
      <c r="E338" s="1566"/>
      <c r="F338" s="1566"/>
      <c r="G338" s="1566"/>
      <c r="H338" s="1566"/>
      <c r="I338" s="1566"/>
      <c r="J338" s="1566"/>
      <c r="K338" s="1566"/>
    </row>
    <row r="339" spans="1:11">
      <c r="A339" s="1566"/>
      <c r="B339" s="1566"/>
      <c r="C339" s="1566"/>
      <c r="D339" s="1566"/>
      <c r="E339" s="1566"/>
      <c r="F339" s="1566"/>
      <c r="G339" s="1566"/>
      <c r="H339" s="1566"/>
      <c r="I339" s="1566"/>
      <c r="J339" s="1566"/>
      <c r="K339" s="1566"/>
    </row>
    <row r="340" spans="1:11">
      <c r="A340" s="1566"/>
      <c r="B340" s="1566"/>
      <c r="C340" s="1566"/>
      <c r="D340" s="1566"/>
      <c r="E340" s="1566"/>
      <c r="F340" s="1566"/>
      <c r="G340" s="1566"/>
      <c r="H340" s="1566"/>
      <c r="I340" s="1566"/>
      <c r="J340" s="1566"/>
      <c r="K340" s="1566"/>
    </row>
    <row r="341" spans="1:11">
      <c r="A341" s="1566"/>
      <c r="B341" s="1566"/>
      <c r="C341" s="1566"/>
      <c r="D341" s="1566"/>
      <c r="E341" s="1566"/>
      <c r="F341" s="1566"/>
      <c r="G341" s="1566"/>
      <c r="H341" s="1566"/>
      <c r="I341" s="1566"/>
      <c r="J341" s="1566"/>
      <c r="K341" s="1566"/>
    </row>
    <row r="342" spans="1:11">
      <c r="A342" s="1566"/>
      <c r="B342" s="1566"/>
      <c r="C342" s="1566"/>
      <c r="D342" s="1566"/>
      <c r="E342" s="1566"/>
      <c r="F342" s="1566"/>
      <c r="G342" s="1566"/>
      <c r="H342" s="1566"/>
      <c r="I342" s="1566"/>
      <c r="J342" s="1566"/>
      <c r="K342" s="1566"/>
    </row>
    <row r="343" spans="1:11">
      <c r="A343" s="1566"/>
      <c r="B343" s="1566"/>
      <c r="C343" s="1566"/>
      <c r="D343" s="1566"/>
      <c r="E343" s="1566"/>
      <c r="F343" s="1566"/>
      <c r="G343" s="1566"/>
      <c r="H343" s="1566"/>
      <c r="I343" s="1566"/>
      <c r="J343" s="1566"/>
      <c r="K343" s="1566"/>
    </row>
    <row r="344" spans="1:11">
      <c r="A344" s="1566"/>
      <c r="B344" s="1566"/>
      <c r="C344" s="1566"/>
      <c r="D344" s="1566"/>
      <c r="E344" s="1566"/>
      <c r="F344" s="1566"/>
      <c r="G344" s="1566"/>
      <c r="H344" s="1566"/>
      <c r="I344" s="1566"/>
      <c r="J344" s="1566"/>
      <c r="K344" s="1566"/>
    </row>
    <row r="345" spans="1:11">
      <c r="A345" s="1566"/>
      <c r="B345" s="1566"/>
      <c r="C345" s="1566"/>
      <c r="D345" s="1566"/>
      <c r="E345" s="1566"/>
      <c r="F345" s="1566"/>
      <c r="G345" s="1566"/>
      <c r="H345" s="1566"/>
      <c r="I345" s="1566"/>
      <c r="J345" s="1566"/>
      <c r="K345" s="1566"/>
    </row>
    <row r="346" spans="1:11">
      <c r="A346" s="1566"/>
      <c r="B346" s="1566"/>
      <c r="C346" s="1566"/>
      <c r="D346" s="1566"/>
      <c r="E346" s="1566"/>
      <c r="F346" s="1566"/>
      <c r="G346" s="1566"/>
      <c r="H346" s="1566"/>
      <c r="I346" s="1566"/>
      <c r="J346" s="1566"/>
      <c r="K346" s="1566"/>
    </row>
    <row r="347" spans="1:11">
      <c r="A347" s="1566"/>
      <c r="B347" s="1566"/>
      <c r="C347" s="1566"/>
      <c r="D347" s="1566"/>
      <c r="E347" s="1566"/>
      <c r="F347" s="1566"/>
      <c r="G347" s="1566"/>
      <c r="H347" s="1566"/>
      <c r="I347" s="1566"/>
      <c r="J347" s="1566"/>
      <c r="K347" s="1566"/>
    </row>
    <row r="348" spans="1:11">
      <c r="A348" s="1566"/>
      <c r="B348" s="1566"/>
      <c r="C348" s="1566"/>
      <c r="D348" s="1566"/>
      <c r="E348" s="1566"/>
      <c r="F348" s="1566"/>
      <c r="G348" s="1566"/>
      <c r="H348" s="1566"/>
      <c r="I348" s="1566"/>
      <c r="J348" s="1566"/>
      <c r="K348" s="1566"/>
    </row>
    <row r="349" spans="1:11">
      <c r="A349" s="1566"/>
      <c r="B349" s="1566"/>
      <c r="C349" s="1566"/>
      <c r="D349" s="1566"/>
      <c r="E349" s="1566"/>
      <c r="F349" s="1566"/>
      <c r="G349" s="1566"/>
      <c r="H349" s="1566"/>
      <c r="I349" s="1566"/>
      <c r="J349" s="1566"/>
      <c r="K349" s="1566"/>
    </row>
    <row r="350" spans="1:11">
      <c r="A350" s="1566"/>
      <c r="B350" s="1566"/>
      <c r="C350" s="1566"/>
      <c r="D350" s="1566"/>
      <c r="E350" s="1566"/>
      <c r="F350" s="1566"/>
      <c r="G350" s="1566"/>
      <c r="H350" s="1566"/>
      <c r="I350" s="1566"/>
      <c r="J350" s="1566"/>
      <c r="K350" s="1566"/>
    </row>
    <row r="351" spans="1:11">
      <c r="A351" s="1566"/>
      <c r="B351" s="1566"/>
      <c r="C351" s="1566"/>
      <c r="D351" s="1566"/>
      <c r="E351" s="1566"/>
      <c r="F351" s="1566"/>
      <c r="G351" s="1566"/>
      <c r="H351" s="1566"/>
      <c r="I351" s="1566"/>
      <c r="J351" s="1566"/>
      <c r="K351" s="1566"/>
    </row>
    <row r="352" spans="1:11">
      <c r="A352" s="1566"/>
      <c r="B352" s="1566"/>
      <c r="C352" s="1566"/>
      <c r="D352" s="1566"/>
      <c r="E352" s="1566"/>
      <c r="F352" s="1566"/>
      <c r="G352" s="1566"/>
      <c r="H352" s="1566"/>
      <c r="I352" s="1566"/>
      <c r="J352" s="1566"/>
      <c r="K352" s="1566"/>
    </row>
    <row r="353" spans="1:11">
      <c r="A353" s="1566"/>
      <c r="B353" s="1566"/>
      <c r="C353" s="1566"/>
      <c r="D353" s="1566"/>
      <c r="E353" s="1566"/>
      <c r="F353" s="1566"/>
      <c r="G353" s="1566"/>
      <c r="H353" s="1566"/>
      <c r="I353" s="1566"/>
      <c r="J353" s="1566"/>
      <c r="K353" s="1566"/>
    </row>
    <row r="354" spans="1:11">
      <c r="A354" s="1566"/>
      <c r="B354" s="1566"/>
      <c r="C354" s="1566"/>
      <c r="D354" s="1566"/>
      <c r="E354" s="1566"/>
      <c r="F354" s="1566"/>
      <c r="G354" s="1566"/>
      <c r="H354" s="1566"/>
      <c r="I354" s="1566"/>
      <c r="J354" s="1566"/>
      <c r="K354" s="1566"/>
    </row>
    <row r="355" spans="1:11">
      <c r="A355" s="1566"/>
      <c r="B355" s="1566"/>
      <c r="C355" s="1566"/>
      <c r="D355" s="1566"/>
      <c r="E355" s="1566"/>
      <c r="F355" s="1566"/>
      <c r="G355" s="1566"/>
      <c r="H355" s="1566"/>
      <c r="I355" s="1566"/>
      <c r="J355" s="1566"/>
      <c r="K355" s="1566"/>
    </row>
    <row r="356" spans="1:11">
      <c r="A356" s="1566"/>
      <c r="B356" s="1566"/>
      <c r="C356" s="1566"/>
      <c r="D356" s="1566"/>
      <c r="E356" s="1566"/>
      <c r="F356" s="1566"/>
      <c r="G356" s="1566"/>
      <c r="H356" s="1566"/>
      <c r="I356" s="1566"/>
      <c r="J356" s="1566"/>
      <c r="K356" s="1566"/>
    </row>
    <row r="357" spans="1:11">
      <c r="A357" s="1566"/>
      <c r="B357" s="1566"/>
      <c r="C357" s="1566"/>
      <c r="D357" s="1566"/>
      <c r="E357" s="1566"/>
      <c r="F357" s="1566"/>
      <c r="G357" s="1566"/>
      <c r="H357" s="1566"/>
      <c r="I357" s="1566"/>
      <c r="J357" s="1566"/>
      <c r="K357" s="1566"/>
    </row>
    <row r="358" spans="1:11">
      <c r="A358" s="1566"/>
      <c r="B358" s="1566"/>
      <c r="C358" s="1566"/>
      <c r="D358" s="1566"/>
      <c r="E358" s="1566"/>
      <c r="F358" s="1566"/>
      <c r="G358" s="1566"/>
      <c r="H358" s="1566"/>
      <c r="I358" s="1566"/>
      <c r="J358" s="1566"/>
      <c r="K358" s="1566"/>
    </row>
    <row r="359" spans="1:11">
      <c r="A359" s="1566"/>
      <c r="B359" s="1566"/>
      <c r="C359" s="1566"/>
      <c r="D359" s="1566"/>
      <c r="E359" s="1566"/>
      <c r="F359" s="1566"/>
      <c r="G359" s="1566"/>
      <c r="H359" s="1566"/>
      <c r="I359" s="1566"/>
      <c r="J359" s="1566"/>
      <c r="K359" s="1566"/>
    </row>
    <row r="360" spans="1:11">
      <c r="A360" s="1566"/>
      <c r="B360" s="1566"/>
      <c r="C360" s="1566"/>
      <c r="D360" s="1566"/>
      <c r="E360" s="1566"/>
      <c r="F360" s="1566"/>
      <c r="G360" s="1566"/>
      <c r="H360" s="1566"/>
      <c r="I360" s="1566"/>
      <c r="J360" s="1566"/>
      <c r="K360" s="1566"/>
    </row>
    <row r="361" spans="1:11">
      <c r="A361" s="1566"/>
      <c r="B361" s="1566"/>
      <c r="C361" s="1566"/>
      <c r="D361" s="1566"/>
      <c r="E361" s="1566"/>
      <c r="F361" s="1566"/>
      <c r="G361" s="1566"/>
      <c r="H361" s="1566"/>
      <c r="I361" s="1566"/>
      <c r="J361" s="1566"/>
      <c r="K361" s="1566"/>
    </row>
    <row r="362" spans="1:11">
      <c r="A362" s="1566"/>
      <c r="B362" s="1566"/>
      <c r="C362" s="1566"/>
      <c r="D362" s="1566"/>
      <c r="E362" s="1566"/>
      <c r="F362" s="1566"/>
      <c r="G362" s="1566"/>
      <c r="H362" s="1566"/>
      <c r="I362" s="1566"/>
      <c r="J362" s="1566"/>
      <c r="K362" s="1566"/>
    </row>
    <row r="363" spans="1:11">
      <c r="A363" s="1566"/>
      <c r="B363" s="1566"/>
      <c r="C363" s="1566"/>
      <c r="D363" s="1566"/>
      <c r="E363" s="1566"/>
      <c r="F363" s="1566"/>
      <c r="G363" s="1566"/>
      <c r="H363" s="1566"/>
      <c r="I363" s="1566"/>
      <c r="J363" s="1566"/>
      <c r="K363" s="1566"/>
    </row>
    <row r="364" spans="1:11">
      <c r="A364" s="1566"/>
      <c r="B364" s="1566"/>
      <c r="C364" s="1566"/>
      <c r="D364" s="1566"/>
      <c r="E364" s="1566"/>
      <c r="F364" s="1566"/>
      <c r="G364" s="1566"/>
      <c r="H364" s="1566"/>
      <c r="I364" s="1566"/>
      <c r="J364" s="1566"/>
      <c r="K364" s="1566"/>
    </row>
    <row r="365" spans="1:11">
      <c r="A365" s="1566"/>
      <c r="B365" s="1566"/>
      <c r="C365" s="1566"/>
      <c r="D365" s="1566"/>
      <c r="E365" s="1566"/>
      <c r="F365" s="1566"/>
      <c r="G365" s="1566"/>
      <c r="H365" s="1566"/>
      <c r="I365" s="1566"/>
      <c r="J365" s="1566"/>
      <c r="K365" s="1566"/>
    </row>
    <row r="366" spans="1:11">
      <c r="A366" s="1566"/>
      <c r="B366" s="1566"/>
      <c r="C366" s="1566"/>
      <c r="D366" s="1566"/>
      <c r="E366" s="1566"/>
      <c r="F366" s="1566"/>
      <c r="G366" s="1566"/>
      <c r="H366" s="1566"/>
      <c r="I366" s="1566"/>
      <c r="J366" s="1566"/>
      <c r="K366" s="1566"/>
    </row>
    <row r="367" spans="1:11">
      <c r="A367" s="1566"/>
      <c r="B367" s="1566"/>
      <c r="C367" s="1566"/>
      <c r="D367" s="1566"/>
      <c r="E367" s="1566"/>
      <c r="F367" s="1566"/>
      <c r="G367" s="1566"/>
      <c r="H367" s="1566"/>
      <c r="I367" s="1566"/>
      <c r="J367" s="1566"/>
      <c r="K367" s="1566"/>
    </row>
    <row r="368" spans="1:11">
      <c r="A368" s="1566"/>
      <c r="B368" s="1566"/>
      <c r="C368" s="1566"/>
      <c r="D368" s="1566"/>
      <c r="E368" s="1566"/>
      <c r="F368" s="1566"/>
      <c r="G368" s="1566"/>
      <c r="H368" s="1566"/>
      <c r="I368" s="1566"/>
      <c r="J368" s="1566"/>
      <c r="K368" s="1566"/>
    </row>
    <row r="369" spans="1:11">
      <c r="A369" s="1566"/>
      <c r="B369" s="1566"/>
      <c r="C369" s="1566"/>
      <c r="D369" s="1566"/>
      <c r="E369" s="1566"/>
      <c r="F369" s="1566"/>
      <c r="G369" s="1566"/>
      <c r="H369" s="1566"/>
      <c r="I369" s="1566"/>
      <c r="J369" s="1566"/>
      <c r="K369" s="1566"/>
    </row>
    <row r="370" spans="1:11">
      <c r="A370" s="1566"/>
      <c r="B370" s="1566"/>
      <c r="C370" s="1566"/>
      <c r="D370" s="1566"/>
      <c r="E370" s="1566"/>
      <c r="F370" s="1566"/>
      <c r="G370" s="1566"/>
      <c r="H370" s="1566"/>
      <c r="I370" s="1566"/>
      <c r="J370" s="1566"/>
      <c r="K370" s="1566"/>
    </row>
    <row r="371" spans="1:11">
      <c r="A371" s="1566"/>
      <c r="B371" s="1566"/>
      <c r="C371" s="1566"/>
      <c r="D371" s="1566"/>
      <c r="E371" s="1566"/>
      <c r="F371" s="1566"/>
      <c r="G371" s="1566"/>
      <c r="H371" s="1566"/>
      <c r="I371" s="1566"/>
      <c r="J371" s="1566"/>
      <c r="K371" s="1566"/>
    </row>
    <row r="372" spans="1:11">
      <c r="A372" s="1566"/>
      <c r="B372" s="1566"/>
      <c r="C372" s="1566"/>
      <c r="D372" s="1566"/>
      <c r="E372" s="1566"/>
      <c r="F372" s="1566"/>
      <c r="G372" s="1566"/>
      <c r="H372" s="1566"/>
      <c r="I372" s="1566"/>
      <c r="J372" s="1566"/>
      <c r="K372" s="1566"/>
    </row>
    <row r="373" spans="1:11">
      <c r="A373" s="1566"/>
      <c r="B373" s="1566"/>
      <c r="C373" s="1566"/>
      <c r="D373" s="1566"/>
      <c r="E373" s="1566"/>
      <c r="F373" s="1566"/>
      <c r="G373" s="1566"/>
      <c r="H373" s="1566"/>
      <c r="I373" s="1566"/>
      <c r="J373" s="1566"/>
      <c r="K373" s="1566"/>
    </row>
    <row r="374" spans="1:11">
      <c r="A374" s="1566"/>
      <c r="B374" s="1566"/>
      <c r="C374" s="1566"/>
      <c r="D374" s="1566"/>
      <c r="E374" s="1566"/>
      <c r="F374" s="1566"/>
      <c r="G374" s="1566"/>
      <c r="H374" s="1566"/>
      <c r="I374" s="1566"/>
      <c r="J374" s="1566"/>
      <c r="K374" s="1566"/>
    </row>
    <row r="375" spans="1:11">
      <c r="A375" s="1566"/>
      <c r="B375" s="1566"/>
      <c r="C375" s="1566"/>
      <c r="D375" s="1566"/>
      <c r="E375" s="1566"/>
      <c r="F375" s="1566"/>
      <c r="G375" s="1566"/>
      <c r="H375" s="1566"/>
      <c r="I375" s="1566"/>
      <c r="J375" s="1566"/>
      <c r="K375" s="1566"/>
    </row>
    <row r="376" spans="1:11">
      <c r="A376" s="1566"/>
      <c r="B376" s="1566"/>
      <c r="C376" s="1566"/>
      <c r="D376" s="1566"/>
      <c r="E376" s="1566"/>
      <c r="F376" s="1566"/>
      <c r="G376" s="1566"/>
      <c r="H376" s="1566"/>
      <c r="I376" s="1566"/>
      <c r="J376" s="1566"/>
      <c r="K376" s="1566"/>
    </row>
    <row r="377" spans="1:11">
      <c r="A377" s="1566"/>
      <c r="B377" s="1566"/>
      <c r="C377" s="1566"/>
      <c r="D377" s="1566"/>
      <c r="E377" s="1566"/>
      <c r="F377" s="1566"/>
      <c r="G377" s="1566"/>
      <c r="H377" s="1566"/>
      <c r="I377" s="1566"/>
      <c r="J377" s="1566"/>
      <c r="K377" s="1566"/>
    </row>
    <row r="378" spans="1:11">
      <c r="A378" s="1566"/>
      <c r="B378" s="1566"/>
      <c r="C378" s="1566"/>
      <c r="D378" s="1566"/>
      <c r="E378" s="1566"/>
      <c r="F378" s="1566"/>
      <c r="G378" s="1566"/>
      <c r="H378" s="1566"/>
      <c r="I378" s="1566"/>
      <c r="J378" s="1566"/>
      <c r="K378" s="1566"/>
    </row>
    <row r="379" spans="1:11">
      <c r="A379" s="1566"/>
      <c r="B379" s="1566"/>
      <c r="C379" s="1566"/>
      <c r="D379" s="1566"/>
      <c r="E379" s="1566"/>
      <c r="F379" s="1566"/>
      <c r="G379" s="1566"/>
      <c r="H379" s="1566"/>
      <c r="I379" s="1566"/>
      <c r="J379" s="1566"/>
      <c r="K379" s="1566"/>
    </row>
    <row r="380" spans="1:11">
      <c r="A380" s="1566"/>
      <c r="B380" s="1566"/>
      <c r="C380" s="1566"/>
      <c r="D380" s="1566"/>
      <c r="E380" s="1566"/>
      <c r="F380" s="1566"/>
      <c r="G380" s="1566"/>
      <c r="H380" s="1566"/>
      <c r="I380" s="1566"/>
      <c r="J380" s="1566"/>
      <c r="K380" s="1566"/>
    </row>
    <row r="381" spans="1:11">
      <c r="A381" s="1566"/>
      <c r="B381" s="1566"/>
      <c r="C381" s="1566"/>
      <c r="D381" s="1566"/>
      <c r="E381" s="1566"/>
      <c r="F381" s="1566"/>
      <c r="G381" s="1566"/>
      <c r="H381" s="1566"/>
      <c r="I381" s="1566"/>
      <c r="J381" s="1566"/>
      <c r="K381" s="1566"/>
    </row>
    <row r="382" spans="1:11">
      <c r="A382" s="1566"/>
      <c r="B382" s="1566"/>
      <c r="C382" s="1566"/>
      <c r="D382" s="1566"/>
      <c r="E382" s="1566"/>
      <c r="F382" s="1566"/>
      <c r="G382" s="1566"/>
      <c r="H382" s="1566"/>
      <c r="I382" s="1566"/>
      <c r="J382" s="1566"/>
      <c r="K382" s="1566"/>
    </row>
    <row r="383" spans="1:11">
      <c r="A383" s="1566"/>
      <c r="B383" s="1566"/>
      <c r="C383" s="1566"/>
      <c r="D383" s="1566"/>
      <c r="E383" s="1566"/>
      <c r="F383" s="1566"/>
      <c r="G383" s="1566"/>
      <c r="H383" s="1566"/>
      <c r="I383" s="1566"/>
      <c r="J383" s="1566"/>
      <c r="K383" s="1566"/>
    </row>
    <row r="384" spans="1:11">
      <c r="A384" s="1566"/>
      <c r="B384" s="1566"/>
      <c r="C384" s="1566"/>
      <c r="D384" s="1566"/>
      <c r="E384" s="1566"/>
      <c r="F384" s="1566"/>
      <c r="G384" s="1566"/>
      <c r="H384" s="1566"/>
      <c r="I384" s="1566"/>
      <c r="J384" s="1566"/>
      <c r="K384" s="1566"/>
    </row>
    <row r="385" spans="1:11">
      <c r="A385" s="1566"/>
      <c r="B385" s="1566"/>
      <c r="C385" s="1566"/>
      <c r="D385" s="1566"/>
      <c r="E385" s="1566"/>
      <c r="F385" s="1566"/>
      <c r="G385" s="1566"/>
      <c r="H385" s="1566"/>
      <c r="I385" s="1566"/>
      <c r="J385" s="1566"/>
      <c r="K385" s="1566"/>
    </row>
    <row r="386" spans="1:11">
      <c r="A386" s="1566"/>
      <c r="B386" s="1566"/>
      <c r="C386" s="1566"/>
      <c r="D386" s="1566"/>
      <c r="E386" s="1566"/>
      <c r="F386" s="1566"/>
      <c r="G386" s="1566"/>
      <c r="H386" s="1566"/>
      <c r="I386" s="1566"/>
      <c r="J386" s="1566"/>
      <c r="K386" s="1566"/>
    </row>
    <row r="387" spans="1:11">
      <c r="A387" s="1566"/>
      <c r="B387" s="1566"/>
      <c r="C387" s="1566"/>
      <c r="D387" s="1566"/>
      <c r="E387" s="1566"/>
      <c r="F387" s="1566"/>
      <c r="G387" s="1566"/>
      <c r="H387" s="1566"/>
      <c r="I387" s="1566"/>
      <c r="J387" s="1566"/>
      <c r="K387" s="1566"/>
    </row>
    <row r="388" spans="1:11">
      <c r="A388" s="1566"/>
      <c r="B388" s="1566"/>
      <c r="C388" s="1566"/>
      <c r="D388" s="1566"/>
      <c r="E388" s="1566"/>
      <c r="F388" s="1566"/>
      <c r="G388" s="1566"/>
      <c r="H388" s="1566"/>
      <c r="I388" s="1566"/>
      <c r="J388" s="1566"/>
      <c r="K388" s="1566"/>
    </row>
    <row r="389" spans="1:11">
      <c r="A389" s="1566"/>
      <c r="B389" s="1566"/>
      <c r="C389" s="1566"/>
      <c r="D389" s="1566"/>
      <c r="E389" s="1566"/>
      <c r="F389" s="1566"/>
      <c r="G389" s="1566"/>
      <c r="H389" s="1566"/>
      <c r="I389" s="1566"/>
      <c r="J389" s="1566"/>
      <c r="K389" s="1566"/>
    </row>
    <row r="390" spans="1:11">
      <c r="A390" s="1566"/>
      <c r="B390" s="1566"/>
      <c r="C390" s="1566"/>
      <c r="D390" s="1566"/>
      <c r="E390" s="1566"/>
      <c r="F390" s="1566"/>
      <c r="G390" s="1566"/>
      <c r="H390" s="1566"/>
      <c r="I390" s="1566"/>
      <c r="J390" s="1566"/>
      <c r="K390" s="1566"/>
    </row>
    <row r="391" spans="1:11">
      <c r="A391" s="1566"/>
      <c r="B391" s="1566"/>
      <c r="C391" s="1566"/>
      <c r="D391" s="1566"/>
      <c r="E391" s="1566"/>
      <c r="F391" s="1566"/>
      <c r="G391" s="1566"/>
      <c r="H391" s="1566"/>
      <c r="I391" s="1566"/>
      <c r="J391" s="1566"/>
      <c r="K391" s="1566"/>
    </row>
    <row r="392" spans="1:11">
      <c r="A392" s="1566"/>
      <c r="B392" s="1566"/>
      <c r="C392" s="1566"/>
      <c r="D392" s="1566"/>
      <c r="E392" s="1566"/>
      <c r="F392" s="1566"/>
      <c r="G392" s="1566"/>
      <c r="H392" s="1566"/>
      <c r="I392" s="1566"/>
      <c r="J392" s="1566"/>
      <c r="K392" s="1566"/>
    </row>
    <row r="393" spans="1:11">
      <c r="A393" s="1566"/>
      <c r="B393" s="1566"/>
      <c r="C393" s="1566"/>
      <c r="D393" s="1566"/>
      <c r="E393" s="1566"/>
      <c r="F393" s="1566"/>
      <c r="G393" s="1566"/>
      <c r="H393" s="1566"/>
      <c r="I393" s="1566"/>
      <c r="J393" s="1566"/>
      <c r="K393" s="1566"/>
    </row>
    <row r="394" spans="1:11">
      <c r="A394" s="1566"/>
      <c r="B394" s="1566"/>
      <c r="C394" s="1566"/>
      <c r="D394" s="1566"/>
      <c r="E394" s="1566"/>
      <c r="F394" s="1566"/>
      <c r="G394" s="1566"/>
      <c r="H394" s="1566"/>
      <c r="I394" s="1566"/>
      <c r="J394" s="1566"/>
      <c r="K394" s="1566"/>
    </row>
    <row r="395" spans="1:11">
      <c r="A395" s="1566"/>
      <c r="B395" s="1566"/>
      <c r="C395" s="1566"/>
      <c r="D395" s="1566"/>
      <c r="E395" s="1566"/>
      <c r="F395" s="1566"/>
      <c r="G395" s="1566"/>
      <c r="H395" s="1566"/>
      <c r="I395" s="1566"/>
      <c r="J395" s="1566"/>
      <c r="K395" s="1566"/>
    </row>
    <row r="396" spans="1:11">
      <c r="A396" s="1566"/>
      <c r="B396" s="1566"/>
      <c r="C396" s="1566"/>
      <c r="D396" s="1566"/>
      <c r="E396" s="1566"/>
      <c r="F396" s="1566"/>
      <c r="G396" s="1566"/>
      <c r="H396" s="1566"/>
      <c r="I396" s="1566"/>
      <c r="J396" s="1566"/>
      <c r="K396" s="1566"/>
    </row>
    <row r="397" spans="1:11">
      <c r="A397" s="1566"/>
      <c r="B397" s="1566"/>
      <c r="C397" s="1566"/>
      <c r="D397" s="1566"/>
      <c r="E397" s="1566"/>
      <c r="F397" s="1566"/>
      <c r="G397" s="1566"/>
      <c r="H397" s="1566"/>
      <c r="I397" s="1566"/>
      <c r="J397" s="1566"/>
      <c r="K397" s="1566"/>
    </row>
    <row r="398" spans="1:11">
      <c r="A398" s="1566"/>
      <c r="B398" s="1566"/>
      <c r="C398" s="1566"/>
      <c r="D398" s="1566"/>
      <c r="E398" s="1566"/>
      <c r="F398" s="1566"/>
      <c r="G398" s="1566"/>
      <c r="H398" s="1566"/>
      <c r="I398" s="1566"/>
      <c r="J398" s="1566"/>
      <c r="K398" s="1566"/>
    </row>
    <row r="399" spans="1:11">
      <c r="A399" s="1566"/>
      <c r="B399" s="1566"/>
      <c r="C399" s="1566"/>
      <c r="D399" s="1566"/>
      <c r="E399" s="1566"/>
      <c r="F399" s="1566"/>
      <c r="G399" s="1566"/>
      <c r="H399" s="1566"/>
      <c r="I399" s="1566"/>
      <c r="J399" s="1566"/>
      <c r="K399" s="1566"/>
    </row>
    <row r="400" spans="1:11">
      <c r="A400" s="1566"/>
      <c r="B400" s="1566"/>
      <c r="C400" s="1566"/>
      <c r="D400" s="1566"/>
      <c r="E400" s="1566"/>
      <c r="F400" s="1566"/>
      <c r="G400" s="1566"/>
      <c r="H400" s="1566"/>
      <c r="I400" s="1566"/>
      <c r="J400" s="1566"/>
      <c r="K400" s="1566"/>
    </row>
    <row r="401" spans="1:11">
      <c r="A401" s="1566"/>
      <c r="B401" s="1566"/>
      <c r="C401" s="1566"/>
      <c r="D401" s="1566"/>
      <c r="E401" s="1566"/>
      <c r="F401" s="1566"/>
      <c r="G401" s="1566"/>
      <c r="H401" s="1566"/>
      <c r="I401" s="1566"/>
      <c r="J401" s="1566"/>
      <c r="K401" s="1566"/>
    </row>
    <row r="402" spans="1:11">
      <c r="A402" s="1566"/>
      <c r="B402" s="1566"/>
      <c r="C402" s="1566"/>
      <c r="D402" s="1566"/>
      <c r="E402" s="1566"/>
      <c r="F402" s="1566"/>
      <c r="G402" s="1566"/>
      <c r="H402" s="1566"/>
      <c r="I402" s="1566"/>
      <c r="J402" s="1566"/>
      <c r="K402" s="1566"/>
    </row>
    <row r="403" spans="1:11">
      <c r="A403" s="1566"/>
      <c r="B403" s="1566"/>
      <c r="C403" s="1566"/>
      <c r="D403" s="1566"/>
      <c r="E403" s="1566"/>
      <c r="F403" s="1566"/>
      <c r="G403" s="1566"/>
      <c r="H403" s="1566"/>
      <c r="I403" s="1566"/>
      <c r="J403" s="1566"/>
      <c r="K403" s="1566"/>
    </row>
    <row r="404" spans="1:11">
      <c r="A404" s="1566"/>
      <c r="B404" s="1566"/>
      <c r="C404" s="1566"/>
      <c r="D404" s="1566"/>
      <c r="E404" s="1566"/>
      <c r="F404" s="1566"/>
      <c r="G404" s="1566"/>
      <c r="H404" s="1566"/>
      <c r="I404" s="1566"/>
      <c r="J404" s="1566"/>
      <c r="K404" s="1566"/>
    </row>
    <row r="405" spans="1:11">
      <c r="A405" s="1566"/>
      <c r="B405" s="1566"/>
      <c r="C405" s="1566"/>
      <c r="D405" s="1566"/>
      <c r="E405" s="1566"/>
      <c r="F405" s="1566"/>
      <c r="G405" s="1566"/>
      <c r="H405" s="1566"/>
      <c r="I405" s="1566"/>
      <c r="J405" s="1566"/>
      <c r="K405" s="1566"/>
    </row>
    <row r="406" spans="1:11">
      <c r="A406" s="1566"/>
      <c r="B406" s="1566"/>
      <c r="C406" s="1566"/>
      <c r="D406" s="1566"/>
      <c r="E406" s="1566"/>
      <c r="F406" s="1566"/>
      <c r="G406" s="1566"/>
      <c r="H406" s="1566"/>
      <c r="I406" s="1566"/>
      <c r="J406" s="1566"/>
      <c r="K406" s="1566"/>
    </row>
    <row r="407" spans="1:11">
      <c r="A407" s="1566"/>
      <c r="B407" s="1566"/>
      <c r="C407" s="1566"/>
      <c r="D407" s="1566"/>
      <c r="E407" s="1566"/>
      <c r="F407" s="1566"/>
      <c r="G407" s="1566"/>
      <c r="H407" s="1566"/>
      <c r="I407" s="1566"/>
      <c r="J407" s="1566"/>
      <c r="K407" s="1566"/>
    </row>
    <row r="408" spans="1:11">
      <c r="A408" s="1566"/>
      <c r="B408" s="1566"/>
      <c r="C408" s="1566"/>
      <c r="D408" s="1566"/>
      <c r="E408" s="1566"/>
      <c r="F408" s="1566"/>
      <c r="G408" s="1566"/>
      <c r="H408" s="1566"/>
      <c r="I408" s="1566"/>
      <c r="J408" s="1566"/>
      <c r="K408" s="1566"/>
    </row>
    <row r="409" spans="1:11">
      <c r="A409" s="1566"/>
      <c r="B409" s="1566"/>
      <c r="C409" s="1566"/>
      <c r="D409" s="1566"/>
      <c r="E409" s="1566"/>
      <c r="F409" s="1566"/>
      <c r="G409" s="1566"/>
      <c r="H409" s="1566"/>
      <c r="I409" s="1566"/>
      <c r="J409" s="1566"/>
      <c r="K409" s="1566"/>
    </row>
    <row r="410" spans="1:11">
      <c r="A410" s="1566"/>
      <c r="B410" s="1566"/>
      <c r="C410" s="1566"/>
      <c r="D410" s="1566"/>
      <c r="E410" s="1566"/>
      <c r="F410" s="1566"/>
      <c r="G410" s="1566"/>
      <c r="H410" s="1566"/>
      <c r="I410" s="1566"/>
      <c r="J410" s="1566"/>
      <c r="K410" s="1566"/>
    </row>
    <row r="411" spans="1:11">
      <c r="A411" s="1566"/>
      <c r="B411" s="1566"/>
      <c r="C411" s="1566"/>
      <c r="D411" s="1566"/>
      <c r="E411" s="1566"/>
      <c r="F411" s="1566"/>
      <c r="G411" s="1566"/>
      <c r="H411" s="1566"/>
      <c r="I411" s="1566"/>
      <c r="J411" s="1566"/>
      <c r="K411" s="1566"/>
    </row>
    <row r="412" spans="1:11">
      <c r="A412" s="1566"/>
      <c r="B412" s="1566"/>
      <c r="C412" s="1566"/>
      <c r="D412" s="1566"/>
      <c r="E412" s="1566"/>
      <c r="F412" s="1566"/>
      <c r="G412" s="1566"/>
      <c r="H412" s="1566"/>
      <c r="I412" s="1566"/>
      <c r="J412" s="1566"/>
      <c r="K412" s="1566"/>
    </row>
    <row r="413" spans="1:11">
      <c r="A413" s="1566"/>
      <c r="B413" s="1566"/>
      <c r="C413" s="1566"/>
      <c r="D413" s="1566"/>
      <c r="E413" s="1566"/>
      <c r="F413" s="1566"/>
      <c r="G413" s="1566"/>
      <c r="H413" s="1566"/>
      <c r="I413" s="1566"/>
      <c r="J413" s="1566"/>
      <c r="K413" s="1566"/>
    </row>
    <row r="414" spans="1:11">
      <c r="A414" s="1566"/>
      <c r="B414" s="1566"/>
      <c r="C414" s="1566"/>
      <c r="D414" s="1566"/>
      <c r="E414" s="1566"/>
      <c r="F414" s="1566"/>
      <c r="G414" s="1566"/>
      <c r="H414" s="1566"/>
      <c r="I414" s="1566"/>
      <c r="J414" s="1566"/>
      <c r="K414" s="1566"/>
    </row>
    <row r="415" spans="1:11">
      <c r="A415" s="1566"/>
      <c r="B415" s="1566"/>
      <c r="C415" s="1566"/>
      <c r="D415" s="1566"/>
      <c r="E415" s="1566"/>
      <c r="F415" s="1566"/>
      <c r="G415" s="1566"/>
      <c r="H415" s="1566"/>
      <c r="I415" s="1566"/>
      <c r="J415" s="1566"/>
      <c r="K415" s="1566"/>
    </row>
    <row r="416" spans="1:11">
      <c r="A416" s="1566"/>
      <c r="B416" s="1566"/>
      <c r="C416" s="1566"/>
      <c r="D416" s="1566"/>
      <c r="E416" s="1566"/>
      <c r="F416" s="1566"/>
      <c r="G416" s="1566"/>
      <c r="H416" s="1566"/>
      <c r="I416" s="1566"/>
      <c r="J416" s="1566"/>
      <c r="K416" s="1566"/>
    </row>
    <row r="417" spans="1:11">
      <c r="A417" s="1566"/>
      <c r="B417" s="1566"/>
      <c r="C417" s="1566"/>
      <c r="D417" s="1566"/>
      <c r="E417" s="1566"/>
      <c r="F417" s="1566"/>
      <c r="G417" s="1566"/>
      <c r="H417" s="1566"/>
      <c r="I417" s="1566"/>
      <c r="J417" s="1566"/>
      <c r="K417" s="1566"/>
    </row>
    <row r="418" spans="1:11">
      <c r="A418" s="1566"/>
      <c r="B418" s="1566"/>
      <c r="C418" s="1566"/>
      <c r="D418" s="1566"/>
      <c r="E418" s="1566"/>
      <c r="F418" s="1566"/>
      <c r="G418" s="1566"/>
      <c r="H418" s="1566"/>
      <c r="I418" s="1566"/>
      <c r="J418" s="1566"/>
      <c r="K418" s="1566"/>
    </row>
    <row r="419" spans="1:11">
      <c r="A419" s="1566"/>
      <c r="B419" s="1566"/>
      <c r="C419" s="1566"/>
      <c r="D419" s="1566"/>
      <c r="E419" s="1566"/>
      <c r="F419" s="1566"/>
      <c r="G419" s="1566"/>
      <c r="H419" s="1566"/>
      <c r="I419" s="1566"/>
      <c r="J419" s="1566"/>
      <c r="K419" s="1566"/>
    </row>
    <row r="420" spans="1:11">
      <c r="A420" s="1566"/>
      <c r="B420" s="1566"/>
      <c r="C420" s="1566"/>
      <c r="D420" s="1566"/>
      <c r="E420" s="1566"/>
      <c r="F420" s="1566"/>
      <c r="G420" s="1566"/>
      <c r="H420" s="1566"/>
      <c r="I420" s="1566"/>
      <c r="J420" s="1566"/>
      <c r="K420" s="1566"/>
    </row>
    <row r="421" spans="1:11">
      <c r="A421" s="1566"/>
      <c r="B421" s="1566"/>
      <c r="C421" s="1566"/>
      <c r="D421" s="1566"/>
      <c r="E421" s="1566"/>
      <c r="F421" s="1566"/>
      <c r="G421" s="1566"/>
      <c r="H421" s="1566"/>
      <c r="I421" s="1566"/>
      <c r="J421" s="1566"/>
      <c r="K421" s="1566"/>
    </row>
    <row r="422" spans="1:11">
      <c r="A422" s="1566"/>
      <c r="B422" s="1566"/>
      <c r="C422" s="1566"/>
      <c r="D422" s="1566"/>
      <c r="E422" s="1566"/>
      <c r="F422" s="1566"/>
      <c r="G422" s="1566"/>
      <c r="H422" s="1566"/>
      <c r="I422" s="1566"/>
      <c r="J422" s="1566"/>
      <c r="K422" s="1566"/>
    </row>
    <row r="423" spans="1:11">
      <c r="A423" s="1566"/>
      <c r="B423" s="1566"/>
      <c r="C423" s="1566"/>
      <c r="D423" s="1566"/>
      <c r="E423" s="1566"/>
      <c r="F423" s="1566"/>
      <c r="G423" s="1566"/>
      <c r="H423" s="1566"/>
      <c r="I423" s="1566"/>
      <c r="J423" s="1566"/>
      <c r="K423" s="1566"/>
    </row>
    <row r="424" spans="1:11">
      <c r="A424" s="1566"/>
      <c r="B424" s="1566"/>
      <c r="C424" s="1566"/>
      <c r="D424" s="1566"/>
      <c r="E424" s="1566"/>
      <c r="F424" s="1566"/>
      <c r="G424" s="1566"/>
      <c r="H424" s="1566"/>
      <c r="I424" s="1566"/>
      <c r="J424" s="1566"/>
      <c r="K424" s="1566"/>
    </row>
    <row r="425" spans="1:11">
      <c r="A425" s="1566"/>
      <c r="B425" s="1566"/>
      <c r="C425" s="1566"/>
      <c r="D425" s="1566"/>
      <c r="E425" s="1566"/>
      <c r="F425" s="1566"/>
      <c r="G425" s="1566"/>
      <c r="H425" s="1566"/>
      <c r="I425" s="1566"/>
      <c r="J425" s="1566"/>
      <c r="K425" s="1566"/>
    </row>
    <row r="426" spans="1:11">
      <c r="A426" s="1566"/>
      <c r="B426" s="1566"/>
      <c r="C426" s="1566"/>
      <c r="D426" s="1566"/>
      <c r="E426" s="1566"/>
      <c r="F426" s="1566"/>
      <c r="G426" s="1566"/>
      <c r="H426" s="1566"/>
      <c r="I426" s="1566"/>
      <c r="J426" s="1566"/>
      <c r="K426" s="1566"/>
    </row>
    <row r="427" spans="1:11">
      <c r="A427" s="1566"/>
      <c r="B427" s="1566"/>
      <c r="C427" s="1566"/>
      <c r="D427" s="1566"/>
      <c r="E427" s="1566"/>
      <c r="F427" s="1566"/>
      <c r="G427" s="1566"/>
      <c r="H427" s="1566"/>
      <c r="I427" s="1566"/>
      <c r="J427" s="1566"/>
      <c r="K427" s="1566"/>
    </row>
    <row r="428" spans="1:11">
      <c r="A428" s="1566"/>
      <c r="B428" s="1566"/>
      <c r="C428" s="1566"/>
      <c r="D428" s="1566"/>
      <c r="E428" s="1566"/>
      <c r="F428" s="1566"/>
      <c r="G428" s="1566"/>
      <c r="H428" s="1566"/>
      <c r="I428" s="1566"/>
      <c r="J428" s="1566"/>
      <c r="K428" s="1566"/>
    </row>
    <row r="429" spans="1:11">
      <c r="A429" s="1566"/>
      <c r="B429" s="1566"/>
      <c r="C429" s="1566"/>
      <c r="D429" s="1566"/>
      <c r="E429" s="1566"/>
      <c r="F429" s="1566"/>
      <c r="G429" s="1566"/>
      <c r="H429" s="1566"/>
      <c r="I429" s="1566"/>
      <c r="J429" s="1566"/>
      <c r="K429" s="1566"/>
    </row>
    <row r="430" spans="1:11">
      <c r="A430" s="1566"/>
      <c r="B430" s="1566"/>
      <c r="C430" s="1566"/>
      <c r="D430" s="1566"/>
      <c r="E430" s="1566"/>
      <c r="F430" s="1566"/>
      <c r="G430" s="1566"/>
      <c r="H430" s="1566"/>
      <c r="I430" s="1566"/>
      <c r="J430" s="1566"/>
      <c r="K430" s="1566"/>
    </row>
    <row r="431" spans="1:11">
      <c r="A431" s="1566"/>
      <c r="B431" s="1566"/>
      <c r="C431" s="1566"/>
      <c r="D431" s="1566"/>
      <c r="E431" s="1566"/>
      <c r="F431" s="1566"/>
      <c r="G431" s="1566"/>
      <c r="H431" s="1566"/>
      <c r="I431" s="1566"/>
      <c r="J431" s="1566"/>
      <c r="K431" s="1566"/>
    </row>
    <row r="432" spans="1:11">
      <c r="A432" s="1566"/>
      <c r="B432" s="1566"/>
      <c r="C432" s="1566"/>
      <c r="D432" s="1566"/>
      <c r="E432" s="1566"/>
      <c r="F432" s="1566"/>
      <c r="G432" s="1566"/>
      <c r="H432" s="1566"/>
      <c r="I432" s="1566"/>
      <c r="J432" s="1566"/>
      <c r="K432" s="1566"/>
    </row>
    <row r="433" spans="1:11">
      <c r="A433" s="1566"/>
      <c r="B433" s="1566"/>
      <c r="C433" s="1566"/>
      <c r="D433" s="1566"/>
      <c r="E433" s="1566"/>
      <c r="F433" s="1566"/>
      <c r="G433" s="1566"/>
      <c r="H433" s="1566"/>
      <c r="I433" s="1566"/>
      <c r="J433" s="1566"/>
      <c r="K433" s="1566"/>
    </row>
    <row r="434" spans="1:11">
      <c r="A434" s="1566"/>
      <c r="B434" s="1566"/>
      <c r="C434" s="1566"/>
      <c r="D434" s="1566"/>
      <c r="E434" s="1566"/>
      <c r="F434" s="1566"/>
      <c r="G434" s="1566"/>
      <c r="H434" s="1566"/>
      <c r="I434" s="1566"/>
      <c r="J434" s="1566"/>
      <c r="K434" s="1566"/>
    </row>
    <row r="435" spans="1:11">
      <c r="A435" s="1566"/>
      <c r="B435" s="1566"/>
      <c r="C435" s="1566"/>
      <c r="D435" s="1566"/>
      <c r="E435" s="1566"/>
      <c r="F435" s="1566"/>
      <c r="G435" s="1566"/>
      <c r="H435" s="1566"/>
      <c r="I435" s="1566"/>
      <c r="J435" s="1566"/>
      <c r="K435" s="1566"/>
    </row>
    <row r="436" spans="1:11">
      <c r="A436" s="1566"/>
      <c r="B436" s="1566"/>
      <c r="C436" s="1566"/>
      <c r="D436" s="1566"/>
      <c r="E436" s="1566"/>
      <c r="F436" s="1566"/>
      <c r="G436" s="1566"/>
      <c r="H436" s="1566"/>
      <c r="I436" s="1566"/>
      <c r="J436" s="1566"/>
      <c r="K436" s="1566"/>
    </row>
    <row r="437" spans="1:11">
      <c r="A437" s="1566"/>
      <c r="B437" s="1566"/>
      <c r="C437" s="1566"/>
      <c r="D437" s="1566"/>
      <c r="E437" s="1566"/>
      <c r="F437" s="1566"/>
      <c r="G437" s="1566"/>
      <c r="H437" s="1566"/>
      <c r="I437" s="1566"/>
      <c r="J437" s="1566"/>
      <c r="K437" s="1566"/>
    </row>
    <row r="438" spans="1:11">
      <c r="A438" s="1566"/>
      <c r="B438" s="1566"/>
      <c r="C438" s="1566"/>
      <c r="D438" s="1566"/>
      <c r="E438" s="1566"/>
      <c r="F438" s="1566"/>
      <c r="G438" s="1566"/>
      <c r="H438" s="1566"/>
      <c r="I438" s="1566"/>
      <c r="J438" s="1566"/>
      <c r="K438" s="1566"/>
    </row>
    <row r="439" spans="1:11">
      <c r="A439" s="1566"/>
      <c r="B439" s="1566"/>
      <c r="C439" s="1566"/>
      <c r="D439" s="1566"/>
      <c r="E439" s="1566"/>
      <c r="F439" s="1566"/>
      <c r="G439" s="1566"/>
      <c r="H439" s="1566"/>
      <c r="I439" s="1566"/>
      <c r="J439" s="1566"/>
      <c r="K439" s="1566"/>
    </row>
    <row r="440" spans="1:11">
      <c r="A440" s="1566"/>
      <c r="B440" s="1566"/>
      <c r="C440" s="1566"/>
      <c r="D440" s="1566"/>
      <c r="E440" s="1566"/>
      <c r="F440" s="1566"/>
      <c r="G440" s="1566"/>
      <c r="H440" s="1566"/>
      <c r="I440" s="1566"/>
      <c r="J440" s="1566"/>
      <c r="K440" s="1566"/>
    </row>
    <row r="441" spans="1:11">
      <c r="A441" s="1566"/>
      <c r="B441" s="1566"/>
      <c r="C441" s="1566"/>
      <c r="D441" s="1566"/>
      <c r="E441" s="1566"/>
      <c r="F441" s="1566"/>
      <c r="G441" s="1566"/>
      <c r="H441" s="1566"/>
      <c r="I441" s="1566"/>
      <c r="J441" s="1566"/>
      <c r="K441" s="1566"/>
    </row>
    <row r="442" spans="1:11">
      <c r="A442" s="1566"/>
      <c r="B442" s="1566"/>
      <c r="C442" s="1566"/>
      <c r="D442" s="1566"/>
      <c r="E442" s="1566"/>
      <c r="F442" s="1566"/>
      <c r="G442" s="1566"/>
      <c r="H442" s="1566"/>
      <c r="I442" s="1566"/>
      <c r="J442" s="1566"/>
      <c r="K442" s="1566"/>
    </row>
    <row r="443" spans="1:11">
      <c r="A443" s="1566"/>
      <c r="B443" s="1566"/>
      <c r="C443" s="1566"/>
      <c r="D443" s="1566"/>
      <c r="E443" s="1566"/>
      <c r="F443" s="1566"/>
      <c r="G443" s="1566"/>
      <c r="H443" s="1566"/>
      <c r="I443" s="1566"/>
      <c r="J443" s="1566"/>
      <c r="K443" s="1566"/>
    </row>
    <row r="444" spans="1:11">
      <c r="A444" s="1566"/>
      <c r="B444" s="1566"/>
      <c r="C444" s="1566"/>
      <c r="D444" s="1566"/>
      <c r="E444" s="1566"/>
      <c r="F444" s="1566"/>
      <c r="G444" s="1566"/>
      <c r="H444" s="1566"/>
      <c r="I444" s="1566"/>
      <c r="J444" s="1566"/>
      <c r="K444" s="1566"/>
    </row>
    <row r="445" spans="1:11">
      <c r="A445" s="1566"/>
      <c r="B445" s="1566"/>
      <c r="C445" s="1566"/>
      <c r="D445" s="1566"/>
      <c r="E445" s="1566"/>
      <c r="F445" s="1566"/>
      <c r="G445" s="1566"/>
      <c r="H445" s="1566"/>
      <c r="I445" s="1566"/>
      <c r="J445" s="1566"/>
      <c r="K445" s="1566"/>
    </row>
    <row r="446" spans="1:11">
      <c r="A446" s="1566"/>
      <c r="B446" s="1566"/>
      <c r="C446" s="1566"/>
      <c r="D446" s="1566"/>
      <c r="E446" s="1566"/>
      <c r="F446" s="1566"/>
      <c r="G446" s="1566"/>
      <c r="H446" s="1566"/>
      <c r="I446" s="1566"/>
      <c r="J446" s="1566"/>
      <c r="K446" s="1566"/>
    </row>
    <row r="447" spans="1:11">
      <c r="A447" s="1566"/>
      <c r="B447" s="1566"/>
      <c r="C447" s="1566"/>
      <c r="D447" s="1566"/>
      <c r="E447" s="1566"/>
      <c r="F447" s="1566"/>
      <c r="G447" s="1566"/>
      <c r="H447" s="1566"/>
      <c r="I447" s="1566"/>
      <c r="J447" s="1566"/>
      <c r="K447" s="1566"/>
    </row>
    <row r="448" spans="1:11">
      <c r="A448" s="1566"/>
      <c r="B448" s="1566"/>
      <c r="C448" s="1566"/>
      <c r="D448" s="1566"/>
      <c r="E448" s="1566"/>
      <c r="F448" s="1566"/>
      <c r="G448" s="1566"/>
      <c r="H448" s="1566"/>
      <c r="I448" s="1566"/>
      <c r="J448" s="1566"/>
      <c r="K448" s="1566"/>
    </row>
    <row r="449" spans="1:11">
      <c r="A449" s="1566"/>
      <c r="B449" s="1566"/>
      <c r="C449" s="1566"/>
      <c r="D449" s="1566"/>
      <c r="E449" s="1566"/>
      <c r="F449" s="1566"/>
      <c r="G449" s="1566"/>
      <c r="H449" s="1566"/>
      <c r="I449" s="1566"/>
      <c r="J449" s="1566"/>
      <c r="K449" s="1566"/>
    </row>
    <row r="450" spans="1:11">
      <c r="A450" s="1566"/>
      <c r="B450" s="1566"/>
      <c r="C450" s="1566"/>
      <c r="D450" s="1566"/>
      <c r="E450" s="1566"/>
      <c r="F450" s="1566"/>
      <c r="G450" s="1566"/>
      <c r="H450" s="1566"/>
      <c r="I450" s="1566"/>
      <c r="J450" s="1566"/>
      <c r="K450" s="1566"/>
    </row>
    <row r="451" spans="1:11">
      <c r="A451" s="1566"/>
      <c r="B451" s="1566"/>
      <c r="C451" s="1566"/>
      <c r="D451" s="1566"/>
      <c r="E451" s="1566"/>
      <c r="F451" s="1566"/>
      <c r="G451" s="1566"/>
      <c r="H451" s="1566"/>
      <c r="I451" s="1566"/>
      <c r="J451" s="1566"/>
      <c r="K451" s="1566"/>
    </row>
    <row r="452" spans="1:11">
      <c r="A452" s="1566"/>
      <c r="B452" s="1566"/>
      <c r="C452" s="1566"/>
      <c r="D452" s="1566"/>
      <c r="E452" s="1566"/>
      <c r="F452" s="1566"/>
      <c r="G452" s="1566"/>
      <c r="H452" s="1566"/>
      <c r="I452" s="1566"/>
      <c r="J452" s="1566"/>
      <c r="K452" s="1566"/>
    </row>
    <row r="453" spans="1:11">
      <c r="A453" s="1566"/>
      <c r="B453" s="1566"/>
      <c r="C453" s="1566"/>
      <c r="D453" s="1566"/>
      <c r="E453" s="1566"/>
      <c r="F453" s="1566"/>
      <c r="G453" s="1566"/>
      <c r="H453" s="1566"/>
      <c r="I453" s="1566"/>
      <c r="J453" s="1566"/>
      <c r="K453" s="1566"/>
    </row>
    <row r="454" spans="1:11">
      <c r="A454" s="1566"/>
      <c r="B454" s="1566"/>
      <c r="C454" s="1566"/>
      <c r="D454" s="1566"/>
      <c r="E454" s="1566"/>
      <c r="F454" s="1566"/>
      <c r="G454" s="1566"/>
      <c r="H454" s="1566"/>
      <c r="I454" s="1566"/>
      <c r="J454" s="1566"/>
      <c r="K454" s="1566"/>
    </row>
    <row r="455" spans="1:11">
      <c r="A455" s="1566"/>
      <c r="B455" s="1566"/>
      <c r="C455" s="1566"/>
      <c r="D455" s="1566"/>
      <c r="E455" s="1566"/>
      <c r="F455" s="1566"/>
      <c r="G455" s="1566"/>
      <c r="H455" s="1566"/>
      <c r="I455" s="1566"/>
      <c r="J455" s="1566"/>
      <c r="K455" s="1566"/>
    </row>
    <row r="456" spans="1:11">
      <c r="A456" s="1566"/>
      <c r="B456" s="1566"/>
      <c r="C456" s="1566"/>
      <c r="D456" s="1566"/>
      <c r="E456" s="1566"/>
      <c r="F456" s="1566"/>
      <c r="G456" s="1566"/>
      <c r="H456" s="1566"/>
      <c r="I456" s="1566"/>
      <c r="J456" s="1566"/>
      <c r="K456" s="1566"/>
    </row>
    <row r="457" spans="1:11">
      <c r="A457" s="1566"/>
      <c r="B457" s="1566"/>
      <c r="C457" s="1566"/>
      <c r="D457" s="1566"/>
      <c r="E457" s="1566"/>
      <c r="F457" s="1566"/>
      <c r="G457" s="1566"/>
      <c r="H457" s="1566"/>
      <c r="I457" s="1566"/>
      <c r="J457" s="1566"/>
      <c r="K457" s="1566"/>
    </row>
    <row r="458" spans="1:11">
      <c r="A458" s="1566"/>
      <c r="B458" s="1566"/>
      <c r="C458" s="1566"/>
      <c r="D458" s="1566"/>
      <c r="E458" s="1566"/>
      <c r="F458" s="1566"/>
      <c r="G458" s="1566"/>
      <c r="H458" s="1566"/>
      <c r="I458" s="1566"/>
      <c r="J458" s="1566"/>
      <c r="K458" s="1566"/>
    </row>
    <row r="459" spans="1:11">
      <c r="A459" s="1566"/>
      <c r="B459" s="1566"/>
      <c r="C459" s="1566"/>
      <c r="D459" s="1566"/>
      <c r="E459" s="1566"/>
      <c r="F459" s="1566"/>
      <c r="G459" s="1566"/>
      <c r="H459" s="1566"/>
      <c r="I459" s="1566"/>
      <c r="J459" s="1566"/>
      <c r="K459" s="1566"/>
    </row>
    <row r="460" spans="1:11">
      <c r="A460" s="1566"/>
      <c r="B460" s="1566"/>
      <c r="C460" s="1566"/>
      <c r="D460" s="1566"/>
      <c r="E460" s="1566"/>
      <c r="F460" s="1566"/>
      <c r="G460" s="1566"/>
      <c r="H460" s="1566"/>
      <c r="I460" s="1566"/>
      <c r="J460" s="1566"/>
      <c r="K460" s="1566"/>
    </row>
    <row r="461" spans="1:11">
      <c r="A461" s="1566"/>
      <c r="B461" s="1566"/>
      <c r="C461" s="1566"/>
      <c r="D461" s="1566"/>
      <c r="E461" s="1566"/>
      <c r="F461" s="1566"/>
      <c r="G461" s="1566"/>
      <c r="H461" s="1566"/>
      <c r="I461" s="1566"/>
      <c r="J461" s="1566"/>
      <c r="K461" s="1566"/>
    </row>
    <row r="462" spans="1:11">
      <c r="A462" s="1566"/>
      <c r="B462" s="1566"/>
      <c r="C462" s="1566"/>
      <c r="D462" s="1566"/>
      <c r="E462" s="1566"/>
      <c r="F462" s="1566"/>
      <c r="G462" s="1566"/>
      <c r="H462" s="1566"/>
      <c r="I462" s="1566"/>
      <c r="J462" s="1566"/>
      <c r="K462" s="1566"/>
    </row>
    <row r="463" spans="1:11">
      <c r="A463" s="1566"/>
      <c r="B463" s="1566"/>
      <c r="C463" s="1566"/>
      <c r="D463" s="1566"/>
      <c r="E463" s="1566"/>
      <c r="F463" s="1566"/>
      <c r="G463" s="1566"/>
      <c r="H463" s="1566"/>
      <c r="I463" s="1566"/>
      <c r="J463" s="1566"/>
      <c r="K463" s="1566"/>
    </row>
    <row r="464" spans="1:11">
      <c r="A464" s="1566"/>
      <c r="B464" s="1566"/>
      <c r="C464" s="1566"/>
      <c r="D464" s="1566"/>
      <c r="E464" s="1566"/>
      <c r="F464" s="1566"/>
      <c r="G464" s="1566"/>
      <c r="H464" s="1566"/>
      <c r="I464" s="1566"/>
      <c r="J464" s="1566"/>
      <c r="K464" s="1566"/>
    </row>
    <row r="465" spans="1:11">
      <c r="A465" s="1566"/>
      <c r="B465" s="1566"/>
      <c r="C465" s="1566"/>
      <c r="D465" s="1566"/>
      <c r="E465" s="1566"/>
      <c r="F465" s="1566"/>
      <c r="G465" s="1566"/>
      <c r="H465" s="1566"/>
      <c r="I465" s="1566"/>
      <c r="J465" s="1566"/>
      <c r="K465" s="1566"/>
    </row>
    <row r="466" spans="1:11">
      <c r="A466" s="1566"/>
      <c r="B466" s="1566"/>
      <c r="C466" s="1566"/>
      <c r="D466" s="1566"/>
      <c r="E466" s="1566"/>
      <c r="F466" s="1566"/>
      <c r="G466" s="1566"/>
      <c r="H466" s="1566"/>
      <c r="I466" s="1566"/>
      <c r="J466" s="1566"/>
      <c r="K466" s="1566"/>
    </row>
    <row r="467" spans="1:11">
      <c r="A467" s="1566"/>
      <c r="B467" s="1566"/>
      <c r="C467" s="1566"/>
      <c r="D467" s="1566"/>
      <c r="E467" s="1566"/>
      <c r="F467" s="1566"/>
      <c r="G467" s="1566"/>
      <c r="H467" s="1566"/>
      <c r="I467" s="1566"/>
      <c r="J467" s="1566"/>
      <c r="K467" s="1566"/>
    </row>
    <row r="468" spans="1:11">
      <c r="A468" s="1566"/>
      <c r="B468" s="1566"/>
      <c r="C468" s="1566"/>
      <c r="D468" s="1566"/>
      <c r="E468" s="1566"/>
      <c r="F468" s="1566"/>
      <c r="G468" s="1566"/>
      <c r="H468" s="1566"/>
      <c r="I468" s="1566"/>
      <c r="J468" s="1566"/>
      <c r="K468" s="1566"/>
    </row>
    <row r="469" spans="1:11">
      <c r="A469" s="1566"/>
      <c r="B469" s="1566"/>
      <c r="C469" s="1566"/>
      <c r="D469" s="1566"/>
      <c r="E469" s="1566"/>
      <c r="F469" s="1566"/>
      <c r="G469" s="1566"/>
      <c r="H469" s="1566"/>
      <c r="I469" s="1566"/>
      <c r="J469" s="1566"/>
      <c r="K469" s="1566"/>
    </row>
    <row r="470" spans="1:11">
      <c r="A470" s="1566"/>
      <c r="B470" s="1566"/>
      <c r="C470" s="1566"/>
      <c r="D470" s="1566"/>
      <c r="E470" s="1566"/>
      <c r="F470" s="1566"/>
      <c r="G470" s="1566"/>
      <c r="H470" s="1566"/>
      <c r="I470" s="1566"/>
      <c r="J470" s="1566"/>
      <c r="K470" s="1566"/>
    </row>
    <row r="471" spans="1:11">
      <c r="A471" s="1566"/>
      <c r="B471" s="1566"/>
      <c r="C471" s="1566"/>
      <c r="D471" s="1566"/>
      <c r="E471" s="1566"/>
      <c r="F471" s="1566"/>
      <c r="G471" s="1566"/>
      <c r="H471" s="1566"/>
      <c r="I471" s="1566"/>
      <c r="J471" s="1566"/>
      <c r="K471" s="1566"/>
    </row>
    <row r="472" spans="1:11">
      <c r="A472" s="1566"/>
      <c r="B472" s="1566"/>
      <c r="C472" s="1566"/>
      <c r="D472" s="1566"/>
      <c r="E472" s="1566"/>
      <c r="F472" s="1566"/>
      <c r="G472" s="1566"/>
      <c r="H472" s="1566"/>
      <c r="I472" s="1566"/>
      <c r="J472" s="1566"/>
      <c r="K472" s="1566"/>
    </row>
    <row r="473" spans="1:11">
      <c r="A473" s="1566"/>
      <c r="B473" s="1566"/>
      <c r="C473" s="1566"/>
      <c r="D473" s="1566"/>
      <c r="E473" s="1566"/>
      <c r="F473" s="1566"/>
      <c r="G473" s="1566"/>
      <c r="H473" s="1566"/>
      <c r="I473" s="1566"/>
      <c r="J473" s="1566"/>
      <c r="K473" s="1566"/>
    </row>
    <row r="474" spans="1:11">
      <c r="A474" s="1566"/>
      <c r="B474" s="1566"/>
      <c r="C474" s="1566"/>
      <c r="D474" s="1566"/>
      <c r="E474" s="1566"/>
      <c r="F474" s="1566"/>
      <c r="G474" s="1566"/>
      <c r="H474" s="1566"/>
      <c r="I474" s="1566"/>
      <c r="J474" s="1566"/>
      <c r="K474" s="1566"/>
    </row>
    <row r="475" spans="1:11">
      <c r="A475" s="1566"/>
      <c r="B475" s="1566"/>
      <c r="C475" s="1566"/>
      <c r="D475" s="1566"/>
      <c r="E475" s="1566"/>
      <c r="F475" s="1566"/>
      <c r="G475" s="1566"/>
      <c r="H475" s="1566"/>
      <c r="I475" s="1566"/>
      <c r="J475" s="1566"/>
      <c r="K475" s="1566"/>
    </row>
    <row r="476" spans="1:11">
      <c r="A476" s="1566"/>
      <c r="B476" s="1566"/>
      <c r="C476" s="1566"/>
      <c r="D476" s="1566"/>
      <c r="E476" s="1566"/>
      <c r="F476" s="1566"/>
      <c r="G476" s="1566"/>
      <c r="H476" s="1566"/>
      <c r="I476" s="1566"/>
      <c r="J476" s="1566"/>
      <c r="K476" s="1566"/>
    </row>
    <row r="477" spans="1:11">
      <c r="A477" s="1566"/>
      <c r="B477" s="1566"/>
      <c r="C477" s="1566"/>
      <c r="D477" s="1566"/>
      <c r="E477" s="1566"/>
      <c r="F477" s="1566"/>
      <c r="G477" s="1566"/>
      <c r="H477" s="1566"/>
      <c r="I477" s="1566"/>
      <c r="J477" s="1566"/>
      <c r="K477" s="1566"/>
    </row>
    <row r="478" spans="1:11">
      <c r="A478" s="1566"/>
      <c r="B478" s="1566"/>
      <c r="C478" s="1566"/>
      <c r="D478" s="1566"/>
      <c r="E478" s="1566"/>
      <c r="F478" s="1566"/>
      <c r="G478" s="1566"/>
      <c r="H478" s="1566"/>
      <c r="I478" s="1566"/>
      <c r="J478" s="1566"/>
      <c r="K478" s="1566"/>
    </row>
    <row r="479" spans="1:11">
      <c r="A479" s="1566"/>
      <c r="B479" s="1566"/>
      <c r="C479" s="1566"/>
      <c r="D479" s="1566"/>
      <c r="E479" s="1566"/>
      <c r="F479" s="1566"/>
      <c r="G479" s="1566"/>
      <c r="H479" s="1566"/>
      <c r="I479" s="1566"/>
      <c r="J479" s="1566"/>
      <c r="K479" s="1566"/>
    </row>
    <row r="480" spans="1:11">
      <c r="A480" s="1566"/>
      <c r="B480" s="1566"/>
      <c r="C480" s="1566"/>
      <c r="D480" s="1566"/>
      <c r="E480" s="1566"/>
      <c r="F480" s="1566"/>
      <c r="G480" s="1566"/>
      <c r="H480" s="1566"/>
      <c r="I480" s="1566"/>
      <c r="J480" s="1566"/>
      <c r="K480" s="1566"/>
    </row>
    <row r="481" spans="1:11">
      <c r="A481" s="1566"/>
      <c r="B481" s="1566"/>
      <c r="C481" s="1566"/>
      <c r="D481" s="1566"/>
      <c r="E481" s="1566"/>
      <c r="F481" s="1566"/>
      <c r="G481" s="1566"/>
      <c r="H481" s="1566"/>
      <c r="I481" s="1566"/>
      <c r="J481" s="1566"/>
      <c r="K481" s="1566"/>
    </row>
    <row r="482" spans="1:11">
      <c r="A482" s="1566"/>
      <c r="B482" s="1566"/>
      <c r="C482" s="1566"/>
      <c r="D482" s="1566"/>
      <c r="E482" s="1566"/>
      <c r="F482" s="1566"/>
      <c r="G482" s="1566"/>
      <c r="H482" s="1566"/>
      <c r="I482" s="1566"/>
      <c r="J482" s="1566"/>
      <c r="K482" s="1566"/>
    </row>
    <row r="483" spans="1:11">
      <c r="A483" s="1566"/>
      <c r="B483" s="1566"/>
      <c r="C483" s="1566"/>
      <c r="D483" s="1566"/>
      <c r="E483" s="1566"/>
      <c r="F483" s="1566"/>
      <c r="G483" s="1566"/>
      <c r="H483" s="1566"/>
      <c r="I483" s="1566"/>
      <c r="J483" s="1566"/>
      <c r="K483" s="1566"/>
    </row>
    <row r="484" spans="1:11">
      <c r="A484" s="1566"/>
      <c r="B484" s="1566"/>
      <c r="C484" s="1566"/>
      <c r="D484" s="1566"/>
      <c r="E484" s="1566"/>
      <c r="F484" s="1566"/>
      <c r="G484" s="1566"/>
      <c r="H484" s="1566"/>
      <c r="I484" s="1566"/>
      <c r="J484" s="1566"/>
      <c r="K484" s="1566"/>
    </row>
    <row r="485" spans="1:11">
      <c r="A485" s="1566"/>
      <c r="B485" s="1566"/>
      <c r="C485" s="1566"/>
      <c r="D485" s="1566"/>
      <c r="E485" s="1566"/>
      <c r="F485" s="1566"/>
      <c r="G485" s="1566"/>
      <c r="H485" s="1566"/>
      <c r="I485" s="1566"/>
      <c r="J485" s="1566"/>
      <c r="K485" s="1566"/>
    </row>
    <row r="486" spans="1:11">
      <c r="A486" s="1566"/>
      <c r="B486" s="1566"/>
      <c r="C486" s="1566"/>
      <c r="D486" s="1566"/>
      <c r="E486" s="1566"/>
      <c r="F486" s="1566"/>
      <c r="G486" s="1566"/>
      <c r="H486" s="1566"/>
      <c r="I486" s="1566"/>
      <c r="J486" s="1566"/>
      <c r="K486" s="1566"/>
    </row>
    <row r="487" spans="1:11">
      <c r="A487" s="1566"/>
      <c r="B487" s="1566"/>
      <c r="C487" s="1566"/>
      <c r="D487" s="1566"/>
      <c r="E487" s="1566"/>
      <c r="F487" s="1566"/>
      <c r="G487" s="1566"/>
      <c r="H487" s="1566"/>
      <c r="I487" s="1566"/>
      <c r="J487" s="1566"/>
      <c r="K487" s="1566"/>
    </row>
    <row r="488" spans="1:11">
      <c r="A488" s="1566"/>
      <c r="B488" s="1566"/>
      <c r="C488" s="1566"/>
      <c r="D488" s="1566"/>
      <c r="E488" s="1566"/>
      <c r="F488" s="1566"/>
      <c r="G488" s="1566"/>
      <c r="H488" s="1566"/>
      <c r="I488" s="1566"/>
      <c r="J488" s="1566"/>
      <c r="K488" s="1566"/>
    </row>
    <row r="489" spans="1:11">
      <c r="A489" s="1566"/>
      <c r="B489" s="1566"/>
      <c r="C489" s="1566"/>
      <c r="D489" s="1566"/>
      <c r="E489" s="1566"/>
      <c r="F489" s="1566"/>
      <c r="G489" s="1566"/>
      <c r="H489" s="1566"/>
      <c r="I489" s="1566"/>
      <c r="J489" s="1566"/>
      <c r="K489" s="1566"/>
    </row>
    <row r="490" spans="1:11">
      <c r="A490" s="1566"/>
      <c r="B490" s="1566"/>
      <c r="C490" s="1566"/>
      <c r="D490" s="1566"/>
      <c r="E490" s="1566"/>
      <c r="F490" s="1566"/>
      <c r="G490" s="1566"/>
      <c r="H490" s="1566"/>
      <c r="I490" s="1566"/>
      <c r="J490" s="1566"/>
      <c r="K490" s="1566"/>
    </row>
    <row r="491" spans="1:11">
      <c r="A491" s="1566"/>
      <c r="B491" s="1566"/>
      <c r="C491" s="1566"/>
      <c r="D491" s="1566"/>
      <c r="E491" s="1566"/>
      <c r="F491" s="1566"/>
      <c r="G491" s="1566"/>
      <c r="H491" s="1566"/>
      <c r="I491" s="1566"/>
      <c r="J491" s="1566"/>
      <c r="K491" s="1566"/>
    </row>
    <row r="492" spans="1:11">
      <c r="A492" s="1566"/>
      <c r="B492" s="1566"/>
      <c r="C492" s="1566"/>
      <c r="D492" s="1566"/>
      <c r="E492" s="1566"/>
      <c r="F492" s="1566"/>
      <c r="G492" s="1566"/>
      <c r="H492" s="1566"/>
      <c r="I492" s="1566"/>
      <c r="J492" s="1566"/>
      <c r="K492" s="1566"/>
    </row>
    <row r="493" spans="1:11">
      <c r="A493" s="1566"/>
      <c r="B493" s="1566"/>
      <c r="C493" s="1566"/>
      <c r="D493" s="1566"/>
      <c r="E493" s="1566"/>
      <c r="F493" s="1566"/>
      <c r="G493" s="1566"/>
      <c r="H493" s="1566"/>
      <c r="I493" s="1566"/>
      <c r="J493" s="1566"/>
      <c r="K493" s="1566"/>
    </row>
    <row r="494" spans="1:11">
      <c r="A494" s="1566"/>
      <c r="B494" s="1566"/>
      <c r="C494" s="1566"/>
      <c r="D494" s="1566"/>
      <c r="E494" s="1566"/>
      <c r="F494" s="1566"/>
      <c r="G494" s="1566"/>
      <c r="H494" s="1566"/>
      <c r="I494" s="1566"/>
      <c r="J494" s="1566"/>
      <c r="K494" s="1566"/>
    </row>
    <row r="495" spans="1:11">
      <c r="A495" s="1566"/>
      <c r="B495" s="1566"/>
      <c r="C495" s="1566"/>
      <c r="D495" s="1566"/>
      <c r="E495" s="1566"/>
      <c r="F495" s="1566"/>
      <c r="G495" s="1566"/>
      <c r="H495" s="1566"/>
      <c r="I495" s="1566"/>
      <c r="J495" s="1566"/>
      <c r="K495" s="1566"/>
    </row>
    <row r="496" spans="1:11">
      <c r="A496" s="1566"/>
      <c r="B496" s="1566"/>
      <c r="C496" s="1566"/>
      <c r="D496" s="1566"/>
      <c r="E496" s="1566"/>
      <c r="F496" s="1566"/>
      <c r="G496" s="1566"/>
      <c r="H496" s="1566"/>
      <c r="I496" s="1566"/>
      <c r="J496" s="1566"/>
      <c r="K496" s="1566"/>
    </row>
    <row r="497" spans="1:11">
      <c r="A497" s="1566"/>
      <c r="B497" s="1566"/>
      <c r="C497" s="1566"/>
      <c r="D497" s="1566"/>
      <c r="E497" s="1566"/>
      <c r="F497" s="1566"/>
      <c r="G497" s="1566"/>
      <c r="H497" s="1566"/>
      <c r="I497" s="1566"/>
      <c r="J497" s="1566"/>
      <c r="K497" s="1566"/>
    </row>
    <row r="498" spans="1:11">
      <c r="A498" s="1566"/>
      <c r="B498" s="1566"/>
      <c r="C498" s="1566"/>
      <c r="D498" s="1566"/>
      <c r="E498" s="1566"/>
      <c r="F498" s="1566"/>
      <c r="G498" s="1566"/>
      <c r="H498" s="1566"/>
      <c r="I498" s="1566"/>
      <c r="J498" s="1566"/>
      <c r="K498" s="1566"/>
    </row>
    <row r="499" spans="1:11">
      <c r="A499" s="1566"/>
      <c r="B499" s="1566"/>
      <c r="C499" s="1566"/>
      <c r="D499" s="1566"/>
      <c r="E499" s="1566"/>
      <c r="F499" s="1566"/>
      <c r="G499" s="1566"/>
      <c r="H499" s="1566"/>
      <c r="I499" s="1566"/>
      <c r="J499" s="1566"/>
      <c r="K499" s="1566"/>
    </row>
    <row r="500" spans="1:11">
      <c r="A500" s="1566"/>
      <c r="B500" s="1566"/>
      <c r="C500" s="1566"/>
      <c r="D500" s="1566"/>
      <c r="E500" s="1566"/>
      <c r="F500" s="1566"/>
      <c r="G500" s="1566"/>
      <c r="H500" s="1566"/>
      <c r="I500" s="1566"/>
      <c r="J500" s="1566"/>
      <c r="K500" s="1566"/>
    </row>
    <row r="501" spans="1:11">
      <c r="A501" s="1566"/>
      <c r="B501" s="1566"/>
      <c r="C501" s="1566"/>
      <c r="D501" s="1566"/>
      <c r="E501" s="1566"/>
      <c r="F501" s="1566"/>
      <c r="G501" s="1566"/>
      <c r="H501" s="1566"/>
      <c r="I501" s="1566"/>
      <c r="J501" s="1566"/>
      <c r="K501" s="1566"/>
    </row>
    <row r="502" spans="1:11">
      <c r="A502" s="1566"/>
      <c r="B502" s="1566"/>
      <c r="C502" s="1566"/>
      <c r="D502" s="1566"/>
      <c r="E502" s="1566"/>
      <c r="F502" s="1566"/>
      <c r="G502" s="1566"/>
      <c r="H502" s="1566"/>
      <c r="I502" s="1566"/>
      <c r="J502" s="1566"/>
      <c r="K502" s="1566"/>
    </row>
    <row r="503" spans="1:11">
      <c r="A503" s="1566"/>
      <c r="B503" s="1566"/>
      <c r="C503" s="1566"/>
      <c r="D503" s="1566"/>
      <c r="E503" s="1566"/>
      <c r="F503" s="1566"/>
      <c r="G503" s="1566"/>
      <c r="H503" s="1566"/>
      <c r="I503" s="1566"/>
      <c r="J503" s="1566"/>
      <c r="K503" s="1566"/>
    </row>
    <row r="504" spans="1:11">
      <c r="A504" s="1566"/>
      <c r="B504" s="1566"/>
      <c r="C504" s="1566"/>
      <c r="D504" s="1566"/>
      <c r="E504" s="1566"/>
      <c r="F504" s="1566"/>
      <c r="G504" s="1566"/>
      <c r="H504" s="1566"/>
      <c r="I504" s="1566"/>
      <c r="J504" s="1566"/>
      <c r="K504" s="1566"/>
    </row>
    <row r="505" spans="1:11">
      <c r="A505" s="1566"/>
      <c r="B505" s="1566"/>
      <c r="C505" s="1566"/>
      <c r="D505" s="1566"/>
      <c r="E505" s="1566"/>
      <c r="F505" s="1566"/>
      <c r="G505" s="1566"/>
      <c r="H505" s="1566"/>
      <c r="I505" s="1566"/>
      <c r="J505" s="1566"/>
      <c r="K505" s="1566"/>
    </row>
    <row r="506" spans="1:11">
      <c r="A506" s="1566"/>
      <c r="B506" s="1566"/>
      <c r="C506" s="1566"/>
      <c r="D506" s="1566"/>
      <c r="E506" s="1566"/>
      <c r="F506" s="1566"/>
      <c r="G506" s="1566"/>
      <c r="H506" s="1566"/>
      <c r="I506" s="1566"/>
      <c r="J506" s="1566"/>
      <c r="K506" s="1566"/>
    </row>
    <row r="507" spans="1:11">
      <c r="A507" s="1566"/>
      <c r="B507" s="1566"/>
      <c r="C507" s="1566"/>
      <c r="D507" s="1566"/>
      <c r="E507" s="1566"/>
      <c r="F507" s="1566"/>
      <c r="G507" s="1566"/>
      <c r="H507" s="1566"/>
      <c r="I507" s="1566"/>
      <c r="J507" s="1566"/>
      <c r="K507" s="1566"/>
    </row>
    <row r="508" spans="1:11">
      <c r="A508" s="1566"/>
      <c r="B508" s="1566"/>
      <c r="C508" s="1566"/>
      <c r="D508" s="1566"/>
      <c r="E508" s="1566"/>
      <c r="F508" s="1566"/>
      <c r="G508" s="1566"/>
      <c r="H508" s="1566"/>
      <c r="I508" s="1566"/>
      <c r="J508" s="1566"/>
      <c r="K508" s="1566"/>
    </row>
    <row r="509" spans="1:11">
      <c r="A509" s="1566"/>
      <c r="B509" s="1566"/>
      <c r="C509" s="1566"/>
      <c r="D509" s="1566"/>
      <c r="E509" s="1566"/>
      <c r="F509" s="1566"/>
      <c r="G509" s="1566"/>
      <c r="H509" s="1566"/>
      <c r="I509" s="1566"/>
      <c r="J509" s="1566"/>
      <c r="K509" s="1566"/>
    </row>
    <row r="510" spans="1:11">
      <c r="A510" s="1566"/>
      <c r="B510" s="1566"/>
      <c r="C510" s="1566"/>
      <c r="D510" s="1566"/>
      <c r="E510" s="1566"/>
      <c r="F510" s="1566"/>
      <c r="G510" s="1566"/>
      <c r="H510" s="1566"/>
      <c r="I510" s="1566"/>
      <c r="J510" s="1566"/>
      <c r="K510" s="1566"/>
    </row>
    <row r="511" spans="1:11">
      <c r="A511" s="1566"/>
      <c r="B511" s="1566"/>
      <c r="C511" s="1566"/>
      <c r="D511" s="1566"/>
      <c r="E511" s="1566"/>
      <c r="F511" s="1566"/>
      <c r="G511" s="1566"/>
      <c r="H511" s="1566"/>
      <c r="I511" s="1566"/>
      <c r="J511" s="1566"/>
      <c r="K511" s="1566"/>
    </row>
    <row r="512" spans="1:11">
      <c r="A512" s="1566"/>
      <c r="B512" s="1566"/>
      <c r="C512" s="1566"/>
      <c r="D512" s="1566"/>
      <c r="E512" s="1566"/>
      <c r="F512" s="1566"/>
      <c r="G512" s="1566"/>
      <c r="H512" s="1566"/>
      <c r="I512" s="1566"/>
      <c r="J512" s="1566"/>
      <c r="K512" s="1566"/>
    </row>
    <row r="513" spans="1:11">
      <c r="A513" s="1566"/>
      <c r="B513" s="1566"/>
      <c r="C513" s="1566"/>
      <c r="D513" s="1566"/>
      <c r="E513" s="1566"/>
      <c r="F513" s="1566"/>
      <c r="G513" s="1566"/>
      <c r="H513" s="1566"/>
      <c r="I513" s="1566"/>
      <c r="J513" s="1566"/>
      <c r="K513" s="1566"/>
    </row>
    <row r="514" spans="1:11">
      <c r="A514" s="1566"/>
      <c r="B514" s="1566"/>
      <c r="C514" s="1566"/>
      <c r="D514" s="1566"/>
      <c r="E514" s="1566"/>
      <c r="F514" s="1566"/>
      <c r="G514" s="1566"/>
      <c r="H514" s="1566"/>
      <c r="I514" s="1566"/>
      <c r="J514" s="1566"/>
      <c r="K514" s="1566"/>
    </row>
    <row r="515" spans="1:11">
      <c r="A515" s="1566"/>
      <c r="B515" s="1566"/>
      <c r="C515" s="1566"/>
      <c r="D515" s="1566"/>
      <c r="E515" s="1566"/>
      <c r="F515" s="1566"/>
      <c r="G515" s="1566"/>
      <c r="H515" s="1566"/>
      <c r="I515" s="1566"/>
      <c r="J515" s="1566"/>
      <c r="K515" s="1566"/>
    </row>
    <row r="516" spans="1:11">
      <c r="A516" s="1566"/>
      <c r="B516" s="1566"/>
      <c r="C516" s="1566"/>
      <c r="D516" s="1566"/>
      <c r="E516" s="1566"/>
      <c r="F516" s="1566"/>
      <c r="G516" s="1566"/>
      <c r="H516" s="1566"/>
      <c r="I516" s="1566"/>
      <c r="J516" s="1566"/>
      <c r="K516" s="1566"/>
    </row>
    <row r="517" spans="1:11">
      <c r="A517" s="1566"/>
      <c r="B517" s="1566"/>
      <c r="C517" s="1566"/>
      <c r="D517" s="1566"/>
      <c r="E517" s="1566"/>
      <c r="F517" s="1566"/>
      <c r="G517" s="1566"/>
      <c r="H517" s="1566"/>
      <c r="I517" s="1566"/>
      <c r="J517" s="1566"/>
      <c r="K517" s="1566"/>
    </row>
    <row r="518" spans="1:11">
      <c r="A518" s="1566"/>
      <c r="B518" s="1566"/>
      <c r="C518" s="1566"/>
      <c r="D518" s="1566"/>
      <c r="E518" s="1566"/>
      <c r="F518" s="1566"/>
      <c r="G518" s="1566"/>
      <c r="H518" s="1566"/>
      <c r="I518" s="1566"/>
      <c r="J518" s="1566"/>
      <c r="K518" s="1566"/>
    </row>
    <row r="519" spans="1:11">
      <c r="A519" s="1566"/>
      <c r="B519" s="1566"/>
      <c r="C519" s="1566"/>
      <c r="D519" s="1566"/>
      <c r="E519" s="1566"/>
      <c r="F519" s="1566"/>
      <c r="G519" s="1566"/>
      <c r="H519" s="1566"/>
      <c r="I519" s="1566"/>
      <c r="J519" s="1566"/>
      <c r="K519" s="1566"/>
    </row>
    <row r="520" spans="1:11">
      <c r="A520" s="1566"/>
      <c r="B520" s="1566"/>
      <c r="C520" s="1566"/>
      <c r="D520" s="1566"/>
      <c r="E520" s="1566"/>
      <c r="F520" s="1566"/>
      <c r="G520" s="1566"/>
      <c r="H520" s="1566"/>
      <c r="I520" s="1566"/>
      <c r="J520" s="1566"/>
      <c r="K520" s="1566"/>
    </row>
    <row r="521" spans="1:11">
      <c r="A521" s="1566"/>
      <c r="B521" s="1566"/>
      <c r="C521" s="1566"/>
      <c r="D521" s="1566"/>
      <c r="E521" s="1566"/>
      <c r="F521" s="1566"/>
      <c r="G521" s="1566"/>
      <c r="H521" s="1566"/>
      <c r="I521" s="1566"/>
      <c r="J521" s="1566"/>
      <c r="K521" s="1566"/>
    </row>
    <row r="522" spans="1:11">
      <c r="A522" s="1566"/>
      <c r="B522" s="1566"/>
      <c r="C522" s="1566"/>
      <c r="D522" s="1566"/>
      <c r="E522" s="1566"/>
      <c r="F522" s="1566"/>
      <c r="G522" s="1566"/>
      <c r="H522" s="1566"/>
      <c r="I522" s="1566"/>
      <c r="J522" s="1566"/>
      <c r="K522" s="1566"/>
    </row>
    <row r="523" spans="1:11">
      <c r="A523" s="1566"/>
      <c r="B523" s="1566"/>
      <c r="C523" s="1566"/>
      <c r="D523" s="1566"/>
      <c r="E523" s="1566"/>
      <c r="F523" s="1566"/>
      <c r="G523" s="1566"/>
      <c r="H523" s="1566"/>
      <c r="I523" s="1566"/>
      <c r="J523" s="1566"/>
      <c r="K523" s="1566"/>
    </row>
    <row r="524" spans="1:11">
      <c r="A524" s="1566"/>
      <c r="B524" s="1566"/>
      <c r="C524" s="1566"/>
      <c r="D524" s="1566"/>
      <c r="E524" s="1566"/>
      <c r="F524" s="1566"/>
      <c r="G524" s="1566"/>
      <c r="H524" s="1566"/>
      <c r="I524" s="1566"/>
      <c r="J524" s="1566"/>
      <c r="K524" s="1566"/>
    </row>
    <row r="525" spans="1:11">
      <c r="A525" s="1566"/>
      <c r="B525" s="1566"/>
      <c r="C525" s="1566"/>
      <c r="D525" s="1566"/>
      <c r="E525" s="1566"/>
      <c r="F525" s="1566"/>
      <c r="G525" s="1566"/>
      <c r="H525" s="1566"/>
      <c r="I525" s="1566"/>
      <c r="J525" s="1566"/>
      <c r="K525" s="1566"/>
    </row>
    <row r="526" spans="1:11">
      <c r="A526" s="1566"/>
      <c r="B526" s="1566"/>
      <c r="C526" s="1566"/>
      <c r="D526" s="1566"/>
      <c r="E526" s="1566"/>
      <c r="F526" s="1566"/>
      <c r="G526" s="1566"/>
      <c r="H526" s="1566"/>
      <c r="I526" s="1566"/>
      <c r="J526" s="1566"/>
      <c r="K526" s="1566"/>
    </row>
    <row r="527" spans="1:11">
      <c r="A527" s="1566"/>
      <c r="B527" s="1566"/>
      <c r="C527" s="1566"/>
      <c r="D527" s="1566"/>
      <c r="E527" s="1566"/>
      <c r="F527" s="1566"/>
      <c r="G527" s="1566"/>
      <c r="H527" s="1566"/>
      <c r="I527" s="1566"/>
      <c r="J527" s="1566"/>
      <c r="K527" s="1566"/>
    </row>
    <row r="528" spans="1:11">
      <c r="A528" s="1566"/>
      <c r="B528" s="1566"/>
      <c r="C528" s="1566"/>
      <c r="D528" s="1566"/>
      <c r="E528" s="1566"/>
      <c r="F528" s="1566"/>
      <c r="G528" s="1566"/>
      <c r="H528" s="1566"/>
      <c r="I528" s="1566"/>
      <c r="J528" s="1566"/>
      <c r="K528" s="1566"/>
    </row>
    <row r="529" spans="1:11">
      <c r="A529" s="1566"/>
      <c r="B529" s="1566"/>
      <c r="C529" s="1566"/>
      <c r="D529" s="1566"/>
      <c r="E529" s="1566"/>
      <c r="F529" s="1566"/>
      <c r="G529" s="1566"/>
      <c r="H529" s="1566"/>
      <c r="I529" s="1566"/>
      <c r="J529" s="1566"/>
      <c r="K529" s="1566"/>
    </row>
    <row r="530" spans="1:11">
      <c r="A530" s="1566"/>
      <c r="B530" s="1566"/>
      <c r="C530" s="1566"/>
      <c r="D530" s="1566"/>
      <c r="E530" s="1566"/>
      <c r="F530" s="1566"/>
      <c r="G530" s="1566"/>
      <c r="H530" s="1566"/>
      <c r="I530" s="1566"/>
      <c r="J530" s="1566"/>
      <c r="K530" s="1566"/>
    </row>
    <row r="531" spans="1:11">
      <c r="A531" s="1566"/>
      <c r="B531" s="1566"/>
      <c r="C531" s="1566"/>
      <c r="D531" s="1566"/>
      <c r="E531" s="1566"/>
      <c r="F531" s="1566"/>
      <c r="G531" s="1566"/>
      <c r="H531" s="1566"/>
      <c r="I531" s="1566"/>
      <c r="J531" s="1566"/>
      <c r="K531" s="1566"/>
    </row>
    <row r="532" spans="1:11">
      <c r="A532" s="1566"/>
      <c r="B532" s="1566"/>
      <c r="C532" s="1566"/>
      <c r="D532" s="1566"/>
      <c r="E532" s="1566"/>
      <c r="F532" s="1566"/>
      <c r="G532" s="1566"/>
      <c r="H532" s="1566"/>
      <c r="I532" s="1566"/>
      <c r="J532" s="1566"/>
      <c r="K532" s="1566"/>
    </row>
    <row r="533" spans="1:11">
      <c r="A533" s="1566"/>
      <c r="B533" s="1566"/>
      <c r="C533" s="1566"/>
      <c r="D533" s="1566"/>
      <c r="E533" s="1566"/>
      <c r="F533" s="1566"/>
      <c r="G533" s="1566"/>
      <c r="H533" s="1566"/>
      <c r="I533" s="1566"/>
      <c r="J533" s="1566"/>
      <c r="K533" s="1566"/>
    </row>
    <row r="534" spans="1:11">
      <c r="A534" s="1566"/>
      <c r="B534" s="1566"/>
      <c r="C534" s="1566"/>
      <c r="D534" s="1566"/>
      <c r="E534" s="1566"/>
      <c r="F534" s="1566"/>
      <c r="G534" s="1566"/>
      <c r="H534" s="1566"/>
      <c r="I534" s="1566"/>
      <c r="J534" s="1566"/>
      <c r="K534" s="1566"/>
    </row>
    <row r="535" spans="1:11">
      <c r="A535" s="1566"/>
      <c r="B535" s="1566"/>
      <c r="C535" s="1566"/>
      <c r="D535" s="1566"/>
      <c r="E535" s="1566"/>
      <c r="F535" s="1566"/>
      <c r="G535" s="1566"/>
      <c r="H535" s="1566"/>
      <c r="I535" s="1566"/>
      <c r="J535" s="1566"/>
      <c r="K535" s="1566"/>
    </row>
    <row r="536" spans="1:11">
      <c r="A536" s="1566"/>
      <c r="B536" s="1566"/>
      <c r="C536" s="1566"/>
      <c r="D536" s="1566"/>
      <c r="E536" s="1566"/>
      <c r="F536" s="1566"/>
      <c r="G536" s="1566"/>
      <c r="H536" s="1566"/>
      <c r="I536" s="1566"/>
      <c r="J536" s="1566"/>
      <c r="K536" s="1566"/>
    </row>
    <row r="537" spans="1:11">
      <c r="A537" s="1566"/>
      <c r="B537" s="1566"/>
      <c r="C537" s="1566"/>
      <c r="D537" s="1566"/>
      <c r="E537" s="1566"/>
      <c r="F537" s="1566"/>
      <c r="G537" s="1566"/>
      <c r="H537" s="1566"/>
      <c r="I537" s="1566"/>
      <c r="J537" s="1566"/>
      <c r="K537" s="1566"/>
    </row>
    <row r="538" spans="1:11">
      <c r="A538" s="1566"/>
      <c r="B538" s="1566"/>
      <c r="C538" s="1566"/>
      <c r="D538" s="1566"/>
      <c r="E538" s="1566"/>
      <c r="F538" s="1566"/>
      <c r="G538" s="1566"/>
      <c r="H538" s="1566"/>
      <c r="I538" s="1566"/>
      <c r="J538" s="1566"/>
      <c r="K538" s="1566"/>
    </row>
    <row r="539" spans="1:11">
      <c r="A539" s="1566"/>
      <c r="B539" s="1566"/>
      <c r="C539" s="1566"/>
      <c r="D539" s="1566"/>
      <c r="E539" s="1566"/>
      <c r="F539" s="1566"/>
      <c r="G539" s="1566"/>
      <c r="H539" s="1566"/>
      <c r="I539" s="1566"/>
      <c r="J539" s="1566"/>
      <c r="K539" s="1566"/>
    </row>
    <row r="540" spans="1:11">
      <c r="A540" s="1566"/>
      <c r="B540" s="1566"/>
      <c r="C540" s="1566"/>
      <c r="D540" s="1566"/>
      <c r="E540" s="1566"/>
      <c r="F540" s="1566"/>
      <c r="G540" s="1566"/>
      <c r="H540" s="1566"/>
      <c r="I540" s="1566"/>
      <c r="J540" s="1566"/>
      <c r="K540" s="1566"/>
    </row>
    <row r="541" spans="1:11">
      <c r="A541" s="1566"/>
      <c r="B541" s="1566"/>
      <c r="C541" s="1566"/>
      <c r="D541" s="1566"/>
      <c r="E541" s="1566"/>
      <c r="F541" s="1566"/>
      <c r="G541" s="1566"/>
      <c r="H541" s="1566"/>
      <c r="I541" s="1566"/>
      <c r="J541" s="1566"/>
      <c r="K541" s="1566"/>
    </row>
    <row r="542" spans="1:11">
      <c r="A542" s="1566"/>
      <c r="B542" s="1566"/>
      <c r="C542" s="1566"/>
      <c r="D542" s="1566"/>
      <c r="E542" s="1566"/>
      <c r="F542" s="1566"/>
      <c r="G542" s="1566"/>
      <c r="H542" s="1566"/>
      <c r="I542" s="1566"/>
      <c r="J542" s="1566"/>
      <c r="K542" s="1566"/>
    </row>
    <row r="543" spans="1:11">
      <c r="A543" s="1566"/>
      <c r="B543" s="1566"/>
      <c r="C543" s="1566"/>
      <c r="D543" s="1566"/>
      <c r="E543" s="1566"/>
      <c r="F543" s="1566"/>
      <c r="G543" s="1566"/>
      <c r="H543" s="1566"/>
      <c r="I543" s="1566"/>
      <c r="J543" s="1566"/>
      <c r="K543" s="1566"/>
    </row>
    <row r="544" spans="1:11">
      <c r="A544" s="1566"/>
      <c r="B544" s="1566"/>
      <c r="C544" s="1566"/>
      <c r="D544" s="1566"/>
      <c r="E544" s="1566"/>
      <c r="F544" s="1566"/>
      <c r="G544" s="1566"/>
      <c r="H544" s="1566"/>
      <c r="I544" s="1566"/>
      <c r="J544" s="1566"/>
      <c r="K544" s="1566"/>
    </row>
    <row r="545" spans="1:11">
      <c r="A545" s="1566"/>
      <c r="B545" s="1566"/>
      <c r="C545" s="1566"/>
      <c r="D545" s="1566"/>
      <c r="E545" s="1566"/>
      <c r="F545" s="1566"/>
      <c r="G545" s="1566"/>
      <c r="H545" s="1566"/>
      <c r="I545" s="1566"/>
      <c r="J545" s="1566"/>
      <c r="K545" s="1566"/>
    </row>
    <row r="546" spans="1:11">
      <c r="A546" s="1566"/>
      <c r="B546" s="1566"/>
      <c r="C546" s="1566"/>
      <c r="D546" s="1566"/>
      <c r="E546" s="1566"/>
      <c r="F546" s="1566"/>
      <c r="G546" s="1566"/>
      <c r="H546" s="1566"/>
      <c r="I546" s="1566"/>
      <c r="J546" s="1566"/>
      <c r="K546" s="1566"/>
    </row>
    <row r="547" spans="1:11">
      <c r="A547" s="1566"/>
      <c r="B547" s="1566"/>
      <c r="C547" s="1566"/>
      <c r="D547" s="1566"/>
      <c r="E547" s="1566"/>
      <c r="F547" s="1566"/>
      <c r="G547" s="1566"/>
      <c r="H547" s="1566"/>
      <c r="I547" s="1566"/>
      <c r="J547" s="1566"/>
      <c r="K547" s="1566"/>
    </row>
    <row r="548" spans="1:11">
      <c r="A548" s="1566"/>
      <c r="B548" s="1566"/>
      <c r="C548" s="1566"/>
      <c r="D548" s="1566"/>
      <c r="E548" s="1566"/>
      <c r="F548" s="1566"/>
      <c r="G548" s="1566"/>
      <c r="H548" s="1566"/>
      <c r="I548" s="1566"/>
      <c r="J548" s="1566"/>
      <c r="K548" s="1566"/>
    </row>
    <row r="549" spans="1:11">
      <c r="A549" s="1566"/>
      <c r="B549" s="1566"/>
      <c r="C549" s="1566"/>
      <c r="D549" s="1566"/>
      <c r="E549" s="1566"/>
      <c r="F549" s="1566"/>
      <c r="G549" s="1566"/>
      <c r="H549" s="1566"/>
      <c r="I549" s="1566"/>
      <c r="J549" s="1566"/>
      <c r="K549" s="1566"/>
    </row>
    <row r="550" spans="1:11">
      <c r="A550" s="1566"/>
      <c r="B550" s="1566"/>
      <c r="C550" s="1566"/>
      <c r="D550" s="1566"/>
      <c r="E550" s="1566"/>
      <c r="F550" s="1566"/>
      <c r="G550" s="1566"/>
      <c r="H550" s="1566"/>
      <c r="I550" s="1566"/>
      <c r="J550" s="1566"/>
      <c r="K550" s="1566"/>
    </row>
    <row r="551" spans="1:11">
      <c r="A551" s="1566"/>
      <c r="B551" s="1566"/>
      <c r="C551" s="1566"/>
      <c r="D551" s="1566"/>
      <c r="E551" s="1566"/>
      <c r="F551" s="1566"/>
      <c r="G551" s="1566"/>
      <c r="H551" s="1566"/>
      <c r="I551" s="1566"/>
      <c r="J551" s="1566"/>
      <c r="K551" s="1566"/>
    </row>
    <row r="552" spans="1:11">
      <c r="A552" s="1566"/>
      <c r="B552" s="1566"/>
      <c r="C552" s="1566"/>
      <c r="D552" s="1566"/>
      <c r="E552" s="1566"/>
      <c r="F552" s="1566"/>
      <c r="G552" s="1566"/>
      <c r="H552" s="1566"/>
      <c r="I552" s="1566"/>
      <c r="J552" s="1566"/>
      <c r="K552" s="1566"/>
    </row>
    <row r="553" spans="1:11">
      <c r="A553" s="1566"/>
      <c r="B553" s="1566"/>
      <c r="C553" s="1566"/>
      <c r="D553" s="1566"/>
      <c r="E553" s="1566"/>
      <c r="F553" s="1566"/>
      <c r="G553" s="1566"/>
      <c r="H553" s="1566"/>
      <c r="I553" s="1566"/>
      <c r="J553" s="1566"/>
      <c r="K553" s="1566"/>
    </row>
    <row r="554" spans="1:11">
      <c r="A554" s="1566"/>
      <c r="B554" s="1566"/>
      <c r="C554" s="1566"/>
      <c r="D554" s="1566"/>
      <c r="E554" s="1566"/>
      <c r="F554" s="1566"/>
      <c r="G554" s="1566"/>
      <c r="H554" s="1566"/>
      <c r="I554" s="1566"/>
      <c r="J554" s="1566"/>
      <c r="K554" s="1566"/>
    </row>
    <row r="555" spans="1:11">
      <c r="A555" s="1566"/>
      <c r="B555" s="1566"/>
      <c r="C555" s="1566"/>
      <c r="D555" s="1566"/>
      <c r="E555" s="1566"/>
      <c r="F555" s="1566"/>
      <c r="G555" s="1566"/>
      <c r="H555" s="1566"/>
      <c r="I555" s="1566"/>
      <c r="J555" s="1566"/>
      <c r="K555" s="1566"/>
    </row>
    <row r="556" spans="1:11">
      <c r="A556" s="1566"/>
      <c r="B556" s="1566"/>
      <c r="C556" s="1566"/>
      <c r="D556" s="1566"/>
      <c r="E556" s="1566"/>
      <c r="F556" s="1566"/>
      <c r="G556" s="1566"/>
      <c r="H556" s="1566"/>
      <c r="I556" s="1566"/>
      <c r="J556" s="1566"/>
      <c r="K556" s="1566"/>
    </row>
    <row r="557" spans="1:11">
      <c r="A557" s="1566"/>
      <c r="B557" s="1566"/>
      <c r="C557" s="1566"/>
      <c r="D557" s="1566"/>
      <c r="E557" s="1566"/>
      <c r="F557" s="1566"/>
      <c r="G557" s="1566"/>
      <c r="H557" s="1566"/>
      <c r="I557" s="1566"/>
      <c r="J557" s="1566"/>
      <c r="K557" s="1566"/>
    </row>
    <row r="558" spans="1:11">
      <c r="A558" s="1566"/>
      <c r="B558" s="1566"/>
      <c r="C558" s="1566"/>
      <c r="D558" s="1566"/>
      <c r="E558" s="1566"/>
      <c r="F558" s="1566"/>
      <c r="G558" s="1566"/>
      <c r="H558" s="1566"/>
      <c r="I558" s="1566"/>
      <c r="J558" s="1566"/>
      <c r="K558" s="1566"/>
    </row>
    <row r="559" spans="1:11">
      <c r="A559" s="1566"/>
      <c r="B559" s="1566"/>
      <c r="C559" s="1566"/>
      <c r="D559" s="1566"/>
      <c r="E559" s="1566"/>
      <c r="F559" s="1566"/>
      <c r="G559" s="1566"/>
      <c r="H559" s="1566"/>
      <c r="I559" s="1566"/>
      <c r="J559" s="1566"/>
      <c r="K559" s="1566"/>
    </row>
    <row r="560" spans="1:11">
      <c r="A560" s="1566"/>
      <c r="B560" s="1566"/>
      <c r="C560" s="1566"/>
      <c r="D560" s="1566"/>
      <c r="E560" s="1566"/>
      <c r="F560" s="1566"/>
      <c r="G560" s="1566"/>
      <c r="H560" s="1566"/>
      <c r="I560" s="1566"/>
      <c r="J560" s="1566"/>
      <c r="K560" s="1566"/>
    </row>
    <row r="561" spans="1:11">
      <c r="A561" s="1566"/>
      <c r="B561" s="1566"/>
      <c r="C561" s="1566"/>
      <c r="D561" s="1566"/>
      <c r="E561" s="1566"/>
      <c r="F561" s="1566"/>
      <c r="G561" s="1566"/>
      <c r="H561" s="1566"/>
      <c r="I561" s="1566"/>
      <c r="J561" s="1566"/>
      <c r="K561" s="1566"/>
    </row>
    <row r="562" spans="1:11">
      <c r="A562" s="1566"/>
      <c r="B562" s="1566"/>
      <c r="C562" s="1566"/>
      <c r="D562" s="1566"/>
      <c r="E562" s="1566"/>
      <c r="F562" s="1566"/>
      <c r="G562" s="1566"/>
      <c r="H562" s="1566"/>
      <c r="I562" s="1566"/>
      <c r="J562" s="1566"/>
      <c r="K562" s="1566"/>
    </row>
    <row r="563" spans="1:11">
      <c r="A563" s="1566"/>
      <c r="B563" s="1566"/>
      <c r="C563" s="1566"/>
      <c r="D563" s="1566"/>
      <c r="E563" s="1566"/>
      <c r="F563" s="1566"/>
      <c r="G563" s="1566"/>
      <c r="H563" s="1566"/>
      <c r="I563" s="1566"/>
      <c r="J563" s="1566"/>
      <c r="K563" s="1566"/>
    </row>
    <row r="564" spans="1:11">
      <c r="A564" s="1566"/>
      <c r="B564" s="1566"/>
      <c r="C564" s="1566"/>
      <c r="D564" s="1566"/>
      <c r="E564" s="1566"/>
      <c r="F564" s="1566"/>
      <c r="G564" s="1566"/>
      <c r="H564" s="1566"/>
      <c r="I564" s="1566"/>
      <c r="J564" s="1566"/>
      <c r="K564" s="1566"/>
    </row>
    <row r="565" spans="1:11">
      <c r="A565" s="1566"/>
      <c r="B565" s="1566"/>
      <c r="C565" s="1566"/>
      <c r="D565" s="1566"/>
      <c r="E565" s="1566"/>
      <c r="F565" s="1566"/>
      <c r="G565" s="1566"/>
      <c r="H565" s="1566"/>
      <c r="I565" s="1566"/>
      <c r="J565" s="1566"/>
      <c r="K565" s="1566"/>
    </row>
    <row r="566" spans="1:11">
      <c r="A566" s="1566"/>
      <c r="B566" s="1566"/>
      <c r="C566" s="1566"/>
      <c r="D566" s="1566"/>
      <c r="E566" s="1566"/>
      <c r="F566" s="1566"/>
      <c r="G566" s="1566"/>
      <c r="H566" s="1566"/>
      <c r="I566" s="1566"/>
      <c r="J566" s="1566"/>
      <c r="K566" s="1566"/>
    </row>
    <row r="567" spans="1:11">
      <c r="A567" s="1566"/>
      <c r="B567" s="1566"/>
      <c r="C567" s="1566"/>
      <c r="D567" s="1566"/>
      <c r="E567" s="1566"/>
      <c r="F567" s="1566"/>
      <c r="G567" s="1566"/>
      <c r="H567" s="1566"/>
      <c r="I567" s="1566"/>
      <c r="J567" s="1566"/>
      <c r="K567" s="1566"/>
    </row>
    <row r="568" spans="1:11">
      <c r="A568" s="1566"/>
      <c r="B568" s="1566"/>
      <c r="C568" s="1566"/>
      <c r="D568" s="1566"/>
      <c r="E568" s="1566"/>
      <c r="F568" s="1566"/>
      <c r="G568" s="1566"/>
      <c r="H568" s="1566"/>
      <c r="I568" s="1566"/>
      <c r="J568" s="1566"/>
      <c r="K568" s="1566"/>
    </row>
    <row r="569" spans="1:11">
      <c r="A569" s="1566"/>
      <c r="B569" s="1566"/>
      <c r="C569" s="1566"/>
      <c r="D569" s="1566"/>
      <c r="E569" s="1566"/>
      <c r="F569" s="1566"/>
      <c r="G569" s="1566"/>
      <c r="H569" s="1566"/>
      <c r="I569" s="1566"/>
      <c r="J569" s="1566"/>
      <c r="K569" s="1566"/>
    </row>
    <row r="570" spans="1:11">
      <c r="A570" s="1566"/>
      <c r="B570" s="1566"/>
      <c r="C570" s="1566"/>
      <c r="D570" s="1566"/>
      <c r="E570" s="1566"/>
      <c r="F570" s="1566"/>
      <c r="G570" s="1566"/>
      <c r="H570" s="1566"/>
      <c r="I570" s="1566"/>
      <c r="J570" s="1566"/>
      <c r="K570" s="1566"/>
    </row>
    <row r="571" spans="1:11">
      <c r="A571" s="1566"/>
      <c r="B571" s="1566"/>
      <c r="C571" s="1566"/>
      <c r="D571" s="1566"/>
      <c r="E571" s="1566"/>
      <c r="F571" s="1566"/>
      <c r="G571" s="1566"/>
      <c r="H571" s="1566"/>
      <c r="I571" s="1566"/>
      <c r="J571" s="1566"/>
      <c r="K571" s="1566"/>
    </row>
    <row r="572" spans="1:11">
      <c r="A572" s="1566"/>
      <c r="B572" s="1566"/>
      <c r="C572" s="1566"/>
      <c r="D572" s="1566"/>
      <c r="E572" s="1566"/>
      <c r="F572" s="1566"/>
      <c r="G572" s="1566"/>
      <c r="H572" s="1566"/>
      <c r="I572" s="1566"/>
      <c r="J572" s="1566"/>
      <c r="K572" s="1566"/>
    </row>
    <row r="573" spans="1:11">
      <c r="A573" s="1566"/>
      <c r="B573" s="1566"/>
      <c r="C573" s="1566"/>
      <c r="D573" s="1566"/>
      <c r="E573" s="1566"/>
      <c r="F573" s="1566"/>
      <c r="G573" s="1566"/>
      <c r="H573" s="1566"/>
      <c r="I573" s="1566"/>
      <c r="J573" s="1566"/>
      <c r="K573" s="1566"/>
    </row>
    <row r="574" spans="1:11">
      <c r="A574" s="1566"/>
      <c r="B574" s="1566"/>
      <c r="C574" s="1566"/>
      <c r="D574" s="1566"/>
      <c r="E574" s="1566"/>
      <c r="F574" s="1566"/>
      <c r="G574" s="1566"/>
      <c r="H574" s="1566"/>
      <c r="I574" s="1566"/>
      <c r="J574" s="1566"/>
      <c r="K574" s="1566"/>
    </row>
    <row r="575" spans="1:11">
      <c r="A575" s="1566"/>
      <c r="B575" s="1566"/>
      <c r="C575" s="1566"/>
      <c r="D575" s="1566"/>
      <c r="E575" s="1566"/>
      <c r="F575" s="1566"/>
      <c r="G575" s="1566"/>
      <c r="H575" s="1566"/>
      <c r="I575" s="1566"/>
      <c r="J575" s="1566"/>
      <c r="K575" s="1566"/>
    </row>
    <row r="576" spans="1:11">
      <c r="A576" s="1566"/>
      <c r="B576" s="1566"/>
      <c r="C576" s="1566"/>
      <c r="D576" s="1566"/>
      <c r="E576" s="1566"/>
      <c r="F576" s="1566"/>
      <c r="G576" s="1566"/>
      <c r="H576" s="1566"/>
      <c r="I576" s="1566"/>
      <c r="J576" s="1566"/>
      <c r="K576" s="1566"/>
    </row>
    <row r="577" spans="1:11">
      <c r="A577" s="1566"/>
      <c r="B577" s="1566"/>
      <c r="C577" s="1566"/>
      <c r="D577" s="1566"/>
      <c r="E577" s="1566"/>
      <c r="F577" s="1566"/>
      <c r="G577" s="1566"/>
      <c r="H577" s="1566"/>
      <c r="I577" s="1566"/>
      <c r="J577" s="1566"/>
      <c r="K577" s="1566"/>
    </row>
    <row r="578" spans="1:11">
      <c r="A578" s="1566"/>
      <c r="B578" s="1566"/>
      <c r="C578" s="1566"/>
      <c r="D578" s="1566"/>
      <c r="E578" s="1566"/>
      <c r="F578" s="1566"/>
      <c r="G578" s="1566"/>
      <c r="H578" s="1566"/>
      <c r="I578" s="1566"/>
      <c r="J578" s="1566"/>
      <c r="K578" s="1566"/>
    </row>
    <row r="579" spans="1:11">
      <c r="A579" s="1566"/>
      <c r="B579" s="1566"/>
      <c r="C579" s="1566"/>
      <c r="D579" s="1566"/>
      <c r="E579" s="1566"/>
      <c r="F579" s="1566"/>
      <c r="G579" s="1566"/>
      <c r="H579" s="1566"/>
      <c r="I579" s="1566"/>
      <c r="J579" s="1566"/>
      <c r="K579" s="1566"/>
    </row>
    <row r="580" spans="1:11">
      <c r="A580" s="1566"/>
      <c r="B580" s="1566"/>
      <c r="C580" s="1566"/>
      <c r="D580" s="1566"/>
      <c r="E580" s="1566"/>
      <c r="F580" s="1566"/>
      <c r="G580" s="1566"/>
      <c r="H580" s="1566"/>
      <c r="I580" s="1566"/>
      <c r="J580" s="1566"/>
      <c r="K580" s="1566"/>
    </row>
    <row r="581" spans="1:11">
      <c r="A581" s="1566"/>
      <c r="B581" s="1566"/>
      <c r="C581" s="1566"/>
      <c r="D581" s="1566"/>
      <c r="E581" s="1566"/>
      <c r="F581" s="1566"/>
      <c r="G581" s="1566"/>
      <c r="H581" s="1566"/>
      <c r="I581" s="1566"/>
      <c r="J581" s="1566"/>
      <c r="K581" s="1566"/>
    </row>
    <row r="582" spans="1:11">
      <c r="A582" s="1566"/>
      <c r="B582" s="1566"/>
      <c r="C582" s="1566"/>
      <c r="D582" s="1566"/>
      <c r="E582" s="1566"/>
      <c r="F582" s="1566"/>
      <c r="G582" s="1566"/>
      <c r="H582" s="1566"/>
      <c r="I582" s="1566"/>
      <c r="J582" s="1566"/>
      <c r="K582" s="1566"/>
    </row>
    <row r="583" spans="1:11">
      <c r="A583" s="1566"/>
      <c r="B583" s="1566"/>
      <c r="C583" s="1566"/>
      <c r="D583" s="1566"/>
      <c r="E583" s="1566"/>
      <c r="F583" s="1566"/>
      <c r="G583" s="1566"/>
      <c r="H583" s="1566"/>
      <c r="I583" s="1566"/>
      <c r="J583" s="1566"/>
      <c r="K583" s="1566"/>
    </row>
    <row r="584" spans="1:11">
      <c r="A584" s="1566"/>
      <c r="B584" s="1566"/>
      <c r="C584" s="1566"/>
      <c r="D584" s="1566"/>
      <c r="E584" s="1566"/>
      <c r="F584" s="1566"/>
      <c r="G584" s="1566"/>
      <c r="H584" s="1566"/>
      <c r="I584" s="1566"/>
      <c r="J584" s="1566"/>
      <c r="K584" s="1566"/>
    </row>
    <row r="585" spans="1:11">
      <c r="A585" s="1566"/>
      <c r="B585" s="1566"/>
      <c r="C585" s="1566"/>
      <c r="D585" s="1566"/>
      <c r="E585" s="1566"/>
      <c r="F585" s="1566"/>
      <c r="G585" s="1566"/>
      <c r="H585" s="1566"/>
      <c r="I585" s="1566"/>
      <c r="J585" s="1566"/>
      <c r="K585" s="1566"/>
    </row>
    <row r="586" spans="1:11">
      <c r="A586" s="1566"/>
      <c r="B586" s="1566"/>
      <c r="C586" s="1566"/>
      <c r="D586" s="1566"/>
      <c r="E586" s="1566"/>
      <c r="F586" s="1566"/>
      <c r="G586" s="1566"/>
      <c r="H586" s="1566"/>
      <c r="I586" s="1566"/>
      <c r="J586" s="1566"/>
      <c r="K586" s="1566"/>
    </row>
    <row r="587" spans="1:11">
      <c r="A587" s="1566"/>
      <c r="B587" s="1566"/>
      <c r="C587" s="1566"/>
      <c r="D587" s="1566"/>
      <c r="E587" s="1566"/>
      <c r="F587" s="1566"/>
      <c r="G587" s="1566"/>
      <c r="H587" s="1566"/>
      <c r="I587" s="1566"/>
      <c r="J587" s="1566"/>
      <c r="K587" s="1566"/>
    </row>
    <row r="588" spans="1:11">
      <c r="A588" s="1566"/>
      <c r="B588" s="1566"/>
      <c r="C588" s="1566"/>
      <c r="D588" s="1566"/>
      <c r="E588" s="1566"/>
      <c r="F588" s="1566"/>
      <c r="G588" s="1566"/>
      <c r="H588" s="1566"/>
      <c r="I588" s="1566"/>
      <c r="J588" s="1566"/>
      <c r="K588" s="1566"/>
    </row>
    <row r="589" spans="1:11">
      <c r="A589" s="1566"/>
      <c r="B589" s="1566"/>
      <c r="C589" s="1566"/>
      <c r="D589" s="1566"/>
      <c r="E589" s="1566"/>
      <c r="F589" s="1566"/>
      <c r="G589" s="1566"/>
      <c r="H589" s="1566"/>
      <c r="I589" s="1566"/>
      <c r="J589" s="1566"/>
      <c r="K589" s="1566"/>
    </row>
    <row r="590" spans="1:11">
      <c r="A590" s="1566"/>
      <c r="B590" s="1566"/>
      <c r="C590" s="1566"/>
      <c r="D590" s="1566"/>
      <c r="E590" s="1566"/>
      <c r="F590" s="1566"/>
      <c r="G590" s="1566"/>
      <c r="H590" s="1566"/>
      <c r="I590" s="1566"/>
      <c r="J590" s="1566"/>
      <c r="K590" s="1566"/>
    </row>
    <row r="591" spans="1:11">
      <c r="A591" s="1566"/>
      <c r="B591" s="1566"/>
      <c r="C591" s="1566"/>
      <c r="D591" s="1566"/>
      <c r="E591" s="1566"/>
      <c r="F591" s="1566"/>
      <c r="G591" s="1566"/>
      <c r="H591" s="1566"/>
      <c r="I591" s="1566"/>
      <c r="J591" s="1566"/>
      <c r="K591" s="1566"/>
    </row>
    <row r="592" spans="1:11">
      <c r="A592" s="1566"/>
      <c r="B592" s="1566"/>
      <c r="C592" s="1566"/>
      <c r="D592" s="1566"/>
      <c r="E592" s="1566"/>
      <c r="F592" s="1566"/>
      <c r="G592" s="1566"/>
      <c r="H592" s="1566"/>
      <c r="I592" s="1566"/>
      <c r="J592" s="1566"/>
      <c r="K592" s="1566"/>
    </row>
    <row r="593" spans="1:11">
      <c r="A593" s="1566"/>
      <c r="B593" s="1566"/>
      <c r="C593" s="1566"/>
      <c r="D593" s="1566"/>
      <c r="E593" s="1566"/>
      <c r="F593" s="1566"/>
      <c r="G593" s="1566"/>
      <c r="H593" s="1566"/>
      <c r="I593" s="1566"/>
      <c r="J593" s="1566"/>
      <c r="K593" s="1566"/>
    </row>
    <row r="594" spans="1:11">
      <c r="A594" s="1566"/>
      <c r="B594" s="1566"/>
      <c r="C594" s="1566"/>
      <c r="D594" s="1566"/>
      <c r="E594" s="1566"/>
      <c r="F594" s="1566"/>
      <c r="G594" s="1566"/>
      <c r="H594" s="1566"/>
      <c r="I594" s="1566"/>
      <c r="J594" s="1566"/>
      <c r="K594" s="1566"/>
    </row>
    <row r="595" spans="1:11">
      <c r="A595" s="1566"/>
      <c r="B595" s="1566"/>
      <c r="C595" s="1566"/>
      <c r="D595" s="1566"/>
      <c r="E595" s="1566"/>
      <c r="F595" s="1566"/>
      <c r="G595" s="1566"/>
      <c r="H595" s="1566"/>
      <c r="I595" s="1566"/>
      <c r="J595" s="1566"/>
      <c r="K595" s="1566"/>
    </row>
    <row r="596" spans="1:11">
      <c r="A596" s="1566"/>
      <c r="B596" s="1566"/>
      <c r="C596" s="1566"/>
      <c r="D596" s="1566"/>
      <c r="E596" s="1566"/>
      <c r="F596" s="1566"/>
      <c r="G596" s="1566"/>
      <c r="H596" s="1566"/>
      <c r="I596" s="1566"/>
      <c r="J596" s="1566"/>
      <c r="K596" s="1566"/>
    </row>
    <row r="597" spans="1:11">
      <c r="A597" s="1566"/>
      <c r="B597" s="1566"/>
      <c r="C597" s="1566"/>
      <c r="D597" s="1566"/>
      <c r="E597" s="1566"/>
      <c r="F597" s="1566"/>
      <c r="G597" s="1566"/>
      <c r="H597" s="1566"/>
      <c r="I597" s="1566"/>
      <c r="J597" s="1566"/>
      <c r="K597" s="1566"/>
    </row>
    <row r="598" spans="1:11">
      <c r="A598" s="1566"/>
      <c r="B598" s="1566"/>
      <c r="C598" s="1566"/>
      <c r="D598" s="1566"/>
      <c r="E598" s="1566"/>
      <c r="F598" s="1566"/>
      <c r="G598" s="1566"/>
      <c r="H598" s="1566"/>
      <c r="I598" s="1566"/>
      <c r="J598" s="1566"/>
      <c r="K598" s="1566"/>
    </row>
    <row r="599" spans="1:11">
      <c r="A599" s="1566"/>
      <c r="B599" s="1566"/>
      <c r="C599" s="1566"/>
      <c r="D599" s="1566"/>
      <c r="E599" s="1566"/>
      <c r="F599" s="1566"/>
      <c r="G599" s="1566"/>
      <c r="H599" s="1566"/>
      <c r="I599" s="1566"/>
      <c r="J599" s="1566"/>
      <c r="K599" s="1566"/>
    </row>
    <row r="600" spans="1:11">
      <c r="A600" s="1566"/>
      <c r="B600" s="1566"/>
      <c r="C600" s="1566"/>
      <c r="D600" s="1566"/>
      <c r="E600" s="1566"/>
      <c r="F600" s="1566"/>
      <c r="G600" s="1566"/>
      <c r="H600" s="1566"/>
      <c r="I600" s="1566"/>
      <c r="J600" s="1566"/>
      <c r="K600" s="1566"/>
    </row>
    <row r="601" spans="1:11">
      <c r="A601" s="1566"/>
      <c r="B601" s="1566"/>
      <c r="C601" s="1566"/>
      <c r="D601" s="1566"/>
      <c r="E601" s="1566"/>
      <c r="F601" s="1566"/>
      <c r="G601" s="1566"/>
      <c r="H601" s="1566"/>
      <c r="I601" s="1566"/>
      <c r="J601" s="1566"/>
      <c r="K601" s="1566"/>
    </row>
    <row r="602" spans="1:11">
      <c r="A602" s="1566"/>
      <c r="B602" s="1566"/>
      <c r="C602" s="1566"/>
      <c r="D602" s="1566"/>
      <c r="E602" s="1566"/>
      <c r="F602" s="1566"/>
      <c r="G602" s="1566"/>
      <c r="H602" s="1566"/>
      <c r="I602" s="1566"/>
      <c r="J602" s="1566"/>
      <c r="K602" s="1566"/>
    </row>
    <row r="603" spans="1:11">
      <c r="A603" s="1566"/>
      <c r="B603" s="1566"/>
      <c r="C603" s="1566"/>
      <c r="D603" s="1566"/>
      <c r="E603" s="1566"/>
      <c r="F603" s="1566"/>
      <c r="G603" s="1566"/>
      <c r="H603" s="1566"/>
      <c r="I603" s="1566"/>
      <c r="J603" s="1566"/>
      <c r="K603" s="1566"/>
    </row>
    <row r="604" spans="1:11">
      <c r="A604" s="1566"/>
      <c r="B604" s="1566"/>
      <c r="C604" s="1566"/>
      <c r="D604" s="1566"/>
      <c r="E604" s="1566"/>
      <c r="F604" s="1566"/>
      <c r="G604" s="1566"/>
      <c r="H604" s="1566"/>
      <c r="I604" s="1566"/>
      <c r="J604" s="1566"/>
      <c r="K604" s="1566"/>
    </row>
    <row r="605" spans="1:11">
      <c r="A605" s="1566"/>
      <c r="B605" s="1566"/>
      <c r="C605" s="1566"/>
      <c r="D605" s="1566"/>
      <c r="E605" s="1566"/>
      <c r="F605" s="1566"/>
      <c r="G605" s="1566"/>
      <c r="H605" s="1566"/>
      <c r="I605" s="1566"/>
      <c r="J605" s="1566"/>
      <c r="K605" s="1566"/>
    </row>
    <row r="606" spans="1:11">
      <c r="A606" s="1566"/>
      <c r="B606" s="1566"/>
      <c r="C606" s="1566"/>
      <c r="D606" s="1566"/>
      <c r="E606" s="1566"/>
      <c r="F606" s="1566"/>
      <c r="G606" s="1566"/>
      <c r="H606" s="1566"/>
      <c r="I606" s="1566"/>
      <c r="J606" s="1566"/>
      <c r="K606" s="1566"/>
    </row>
    <row r="607" spans="1:11">
      <c r="A607" s="1566"/>
      <c r="B607" s="1566"/>
      <c r="C607" s="1566"/>
      <c r="D607" s="1566"/>
      <c r="E607" s="1566"/>
      <c r="F607" s="1566"/>
      <c r="G607" s="1566"/>
      <c r="H607" s="1566"/>
      <c r="I607" s="1566"/>
      <c r="J607" s="1566"/>
      <c r="K607" s="1566"/>
    </row>
    <row r="608" spans="1:11">
      <c r="A608" s="1566"/>
      <c r="B608" s="1566"/>
      <c r="C608" s="1566"/>
      <c r="D608" s="1566"/>
      <c r="E608" s="1566"/>
      <c r="F608" s="1566"/>
      <c r="G608" s="1566"/>
      <c r="H608" s="1566"/>
      <c r="I608" s="1566"/>
      <c r="J608" s="1566"/>
      <c r="K608" s="1566"/>
    </row>
    <row r="609" spans="1:11">
      <c r="A609" s="1566"/>
      <c r="B609" s="1566"/>
      <c r="C609" s="1566"/>
      <c r="D609" s="1566"/>
      <c r="E609" s="1566"/>
      <c r="F609" s="1566"/>
      <c r="G609" s="1566"/>
      <c r="H609" s="1566"/>
      <c r="I609" s="1566"/>
      <c r="J609" s="1566"/>
      <c r="K609" s="1566"/>
    </row>
    <row r="610" spans="1:11">
      <c r="A610" s="1566"/>
      <c r="B610" s="1566"/>
      <c r="C610" s="1566"/>
      <c r="D610" s="1566"/>
      <c r="E610" s="1566"/>
      <c r="F610" s="1566"/>
      <c r="G610" s="1566"/>
      <c r="H610" s="1566"/>
      <c r="I610" s="1566"/>
      <c r="J610" s="1566"/>
      <c r="K610" s="1566"/>
    </row>
    <row r="611" spans="1:11">
      <c r="A611" s="1566"/>
      <c r="B611" s="1566"/>
      <c r="C611" s="1566"/>
      <c r="D611" s="1566"/>
      <c r="E611" s="1566"/>
      <c r="F611" s="1566"/>
      <c r="G611" s="1566"/>
      <c r="H611" s="1566"/>
      <c r="I611" s="1566"/>
      <c r="J611" s="1566"/>
      <c r="K611" s="1566"/>
    </row>
    <row r="612" spans="1:11">
      <c r="A612" s="1566"/>
      <c r="B612" s="1566"/>
      <c r="C612" s="1566"/>
      <c r="D612" s="1566"/>
      <c r="E612" s="1566"/>
      <c r="F612" s="1566"/>
      <c r="G612" s="1566"/>
      <c r="H612" s="1566"/>
      <c r="I612" s="1566"/>
      <c r="J612" s="1566"/>
      <c r="K612" s="1566"/>
    </row>
    <row r="613" spans="1:11">
      <c r="A613" s="1566"/>
      <c r="B613" s="1566"/>
      <c r="C613" s="1566"/>
      <c r="D613" s="1566"/>
      <c r="E613" s="1566"/>
      <c r="F613" s="1566"/>
      <c r="G613" s="1566"/>
      <c r="H613" s="1566"/>
      <c r="I613" s="1566"/>
      <c r="J613" s="1566"/>
      <c r="K613" s="1566"/>
    </row>
    <row r="614" spans="1:11">
      <c r="A614" s="1566"/>
      <c r="B614" s="1566"/>
      <c r="C614" s="1566"/>
      <c r="D614" s="1566"/>
      <c r="E614" s="1566"/>
      <c r="F614" s="1566"/>
      <c r="G614" s="1566"/>
      <c r="H614" s="1566"/>
      <c r="I614" s="1566"/>
      <c r="J614" s="1566"/>
      <c r="K614" s="1566"/>
    </row>
    <row r="615" spans="1:11">
      <c r="A615" s="1566"/>
      <c r="B615" s="1566"/>
      <c r="C615" s="1566"/>
      <c r="D615" s="1566"/>
      <c r="E615" s="1566"/>
      <c r="F615" s="1566"/>
      <c r="G615" s="1566"/>
      <c r="H615" s="1566"/>
      <c r="I615" s="1566"/>
      <c r="J615" s="1566"/>
      <c r="K615" s="1566"/>
    </row>
    <row r="616" spans="1:11">
      <c r="A616" s="1566"/>
      <c r="B616" s="1566"/>
      <c r="C616" s="1566"/>
      <c r="D616" s="1566"/>
      <c r="E616" s="1566"/>
      <c r="F616" s="1566"/>
      <c r="G616" s="1566"/>
      <c r="H616" s="1566"/>
      <c r="I616" s="1566"/>
      <c r="J616" s="1566"/>
      <c r="K616" s="1566"/>
    </row>
    <row r="617" spans="1:11">
      <c r="A617" s="1566"/>
      <c r="B617" s="1566"/>
      <c r="C617" s="1566"/>
      <c r="D617" s="1566"/>
      <c r="E617" s="1566"/>
      <c r="F617" s="1566"/>
      <c r="G617" s="1566"/>
      <c r="H617" s="1566"/>
      <c r="I617" s="1566"/>
      <c r="J617" s="1566"/>
      <c r="K617" s="1566"/>
    </row>
    <row r="618" spans="1:11">
      <c r="A618" s="1566"/>
      <c r="B618" s="1566"/>
      <c r="C618" s="1566"/>
      <c r="D618" s="1566"/>
      <c r="E618" s="1566"/>
      <c r="F618" s="1566"/>
      <c r="G618" s="1566"/>
      <c r="H618" s="1566"/>
      <c r="I618" s="1566"/>
      <c r="J618" s="1566"/>
      <c r="K618" s="1566"/>
    </row>
    <row r="619" spans="1:11">
      <c r="A619" s="1566"/>
      <c r="B619" s="1566"/>
      <c r="C619" s="1566"/>
      <c r="D619" s="1566"/>
      <c r="E619" s="1566"/>
      <c r="F619" s="1566"/>
      <c r="G619" s="1566"/>
      <c r="H619" s="1566"/>
      <c r="I619" s="1566"/>
      <c r="J619" s="1566"/>
      <c r="K619" s="1566"/>
    </row>
    <row r="620" spans="1:11">
      <c r="A620" s="1566"/>
      <c r="B620" s="1566"/>
      <c r="C620" s="1566"/>
      <c r="D620" s="1566"/>
      <c r="E620" s="1566"/>
      <c r="F620" s="1566"/>
      <c r="G620" s="1566"/>
      <c r="H620" s="1566"/>
      <c r="I620" s="1566"/>
      <c r="J620" s="1566"/>
      <c r="K620" s="1566"/>
    </row>
    <row r="621" spans="1:11">
      <c r="A621" s="1566"/>
      <c r="B621" s="1566"/>
      <c r="C621" s="1566"/>
      <c r="D621" s="1566"/>
      <c r="E621" s="1566"/>
      <c r="F621" s="1566"/>
      <c r="G621" s="1566"/>
      <c r="H621" s="1566"/>
      <c r="I621" s="1566"/>
      <c r="J621" s="1566"/>
      <c r="K621" s="1566"/>
    </row>
    <row r="622" spans="1:11">
      <c r="A622" s="1566"/>
      <c r="B622" s="1566"/>
      <c r="C622" s="1566"/>
      <c r="D622" s="1566"/>
      <c r="E622" s="1566"/>
      <c r="F622" s="1566"/>
      <c r="G622" s="1566"/>
      <c r="H622" s="1566"/>
      <c r="I622" s="1566"/>
      <c r="J622" s="1566"/>
      <c r="K622" s="1566"/>
    </row>
    <row r="623" spans="1:11">
      <c r="A623" s="1566"/>
      <c r="B623" s="1566"/>
      <c r="C623" s="1566"/>
      <c r="D623" s="1566"/>
      <c r="E623" s="1566"/>
      <c r="F623" s="1566"/>
      <c r="G623" s="1566"/>
      <c r="H623" s="1566"/>
      <c r="I623" s="1566"/>
      <c r="J623" s="1566"/>
      <c r="K623" s="1566"/>
    </row>
    <row r="624" spans="1:11">
      <c r="A624" s="1566"/>
      <c r="B624" s="1566"/>
      <c r="C624" s="1566"/>
      <c r="D624" s="1566"/>
      <c r="E624" s="1566"/>
      <c r="F624" s="1566"/>
      <c r="G624" s="1566"/>
      <c r="H624" s="1566"/>
      <c r="I624" s="1566"/>
      <c r="J624" s="1566"/>
      <c r="K624" s="1566"/>
    </row>
    <row r="625" spans="1:11">
      <c r="A625" s="1566"/>
      <c r="B625" s="1566"/>
      <c r="C625" s="1566"/>
      <c r="D625" s="1566"/>
      <c r="E625" s="1566"/>
      <c r="F625" s="1566"/>
      <c r="G625" s="1566"/>
      <c r="H625" s="1566"/>
      <c r="I625" s="1566"/>
      <c r="J625" s="1566"/>
      <c r="K625" s="1566"/>
    </row>
    <row r="626" spans="1:11">
      <c r="A626" s="1566"/>
      <c r="B626" s="1566"/>
      <c r="C626" s="1566"/>
      <c r="D626" s="1566"/>
      <c r="E626" s="1566"/>
      <c r="F626" s="1566"/>
      <c r="G626" s="1566"/>
      <c r="H626" s="1566"/>
      <c r="I626" s="1566"/>
      <c r="J626" s="1566"/>
      <c r="K626" s="1566"/>
    </row>
    <row r="627" spans="1:11">
      <c r="A627" s="1566"/>
      <c r="B627" s="1566"/>
      <c r="C627" s="1566"/>
      <c r="D627" s="1566"/>
      <c r="E627" s="1566"/>
      <c r="F627" s="1566"/>
      <c r="G627" s="1566"/>
      <c r="H627" s="1566"/>
      <c r="I627" s="1566"/>
      <c r="J627" s="1566"/>
      <c r="K627" s="1566"/>
    </row>
    <row r="628" spans="1:11">
      <c r="A628" s="1566"/>
      <c r="B628" s="1566"/>
      <c r="C628" s="1566"/>
      <c r="D628" s="1566"/>
      <c r="E628" s="1566"/>
      <c r="F628" s="1566"/>
      <c r="G628" s="1566"/>
      <c r="H628" s="1566"/>
      <c r="I628" s="1566"/>
      <c r="J628" s="1566"/>
      <c r="K628" s="1566"/>
    </row>
    <row r="629" spans="1:11">
      <c r="A629" s="1566"/>
      <c r="B629" s="1566"/>
      <c r="C629" s="1566"/>
      <c r="D629" s="1566"/>
      <c r="E629" s="1566"/>
      <c r="F629" s="1566"/>
      <c r="G629" s="1566"/>
      <c r="H629" s="1566"/>
      <c r="I629" s="1566"/>
      <c r="J629" s="1566"/>
      <c r="K629" s="1566"/>
    </row>
    <row r="630" spans="1:11">
      <c r="A630" s="1566"/>
      <c r="B630" s="1566"/>
      <c r="C630" s="1566"/>
      <c r="D630" s="1566"/>
      <c r="E630" s="1566"/>
      <c r="F630" s="1566"/>
      <c r="G630" s="1566"/>
      <c r="H630" s="1566"/>
      <c r="I630" s="1566"/>
      <c r="J630" s="1566"/>
      <c r="K630" s="1566"/>
    </row>
    <row r="631" spans="1:11">
      <c r="A631" s="1566"/>
      <c r="B631" s="1566"/>
      <c r="C631" s="1566"/>
      <c r="D631" s="1566"/>
      <c r="E631" s="1566"/>
      <c r="F631" s="1566"/>
      <c r="G631" s="1566"/>
      <c r="H631" s="1566"/>
      <c r="I631" s="1566"/>
      <c r="J631" s="1566"/>
      <c r="K631" s="1566"/>
    </row>
    <row r="632" spans="1:11">
      <c r="A632" s="1566"/>
      <c r="B632" s="1566"/>
      <c r="C632" s="1566"/>
      <c r="D632" s="1566"/>
      <c r="E632" s="1566"/>
      <c r="F632" s="1566"/>
      <c r="G632" s="1566"/>
      <c r="H632" s="1566"/>
      <c r="I632" s="1566"/>
      <c r="J632" s="1566"/>
      <c r="K632" s="1566"/>
    </row>
    <row r="633" spans="1:11">
      <c r="A633" s="1566"/>
      <c r="B633" s="1566"/>
      <c r="C633" s="1566"/>
      <c r="D633" s="1566"/>
      <c r="E633" s="1566"/>
      <c r="F633" s="1566"/>
      <c r="G633" s="1566"/>
      <c r="H633" s="1566"/>
      <c r="I633" s="1566"/>
      <c r="J633" s="1566"/>
      <c r="K633" s="1566"/>
    </row>
    <row r="634" spans="1:11">
      <c r="A634" s="1566"/>
      <c r="B634" s="1566"/>
      <c r="C634" s="1566"/>
      <c r="D634" s="1566"/>
      <c r="E634" s="1566"/>
      <c r="F634" s="1566"/>
      <c r="G634" s="1566"/>
      <c r="H634" s="1566"/>
      <c r="I634" s="1566"/>
      <c r="J634" s="1566"/>
      <c r="K634" s="1566"/>
    </row>
    <row r="635" spans="1:11">
      <c r="A635" s="1566"/>
      <c r="B635" s="1566"/>
      <c r="C635" s="1566"/>
      <c r="D635" s="1566"/>
      <c r="E635" s="1566"/>
      <c r="F635" s="1566"/>
      <c r="G635" s="1566"/>
      <c r="H635" s="1566"/>
      <c r="I635" s="1566"/>
      <c r="J635" s="1566"/>
      <c r="K635" s="1566"/>
    </row>
    <row r="636" spans="1:11">
      <c r="A636" s="1566"/>
      <c r="B636" s="1566"/>
      <c r="C636" s="1566"/>
      <c r="D636" s="1566"/>
      <c r="E636" s="1566"/>
      <c r="F636" s="1566"/>
      <c r="G636" s="1566"/>
      <c r="H636" s="1566"/>
      <c r="I636" s="1566"/>
      <c r="J636" s="1566"/>
      <c r="K636" s="1566"/>
    </row>
    <row r="637" spans="1:11">
      <c r="A637" s="1566"/>
      <c r="B637" s="1566"/>
      <c r="C637" s="1566"/>
      <c r="D637" s="1566"/>
      <c r="E637" s="1566"/>
      <c r="F637" s="1566"/>
      <c r="G637" s="1566"/>
      <c r="H637" s="1566"/>
      <c r="I637" s="1566"/>
      <c r="J637" s="1566"/>
      <c r="K637" s="1566"/>
    </row>
    <row r="638" spans="1:11">
      <c r="A638" s="1566"/>
      <c r="B638" s="1566"/>
      <c r="C638" s="1566"/>
      <c r="D638" s="1566"/>
      <c r="E638" s="1566"/>
      <c r="F638" s="1566"/>
      <c r="G638" s="1566"/>
      <c r="H638" s="1566"/>
      <c r="I638" s="1566"/>
      <c r="J638" s="1566"/>
      <c r="K638" s="1566"/>
    </row>
    <row r="639" spans="1:11">
      <c r="A639" s="1566"/>
      <c r="B639" s="1566"/>
      <c r="C639" s="1566"/>
      <c r="D639" s="1566"/>
      <c r="E639" s="1566"/>
      <c r="F639" s="1566"/>
      <c r="G639" s="1566"/>
      <c r="H639" s="1566"/>
      <c r="I639" s="1566"/>
      <c r="J639" s="1566"/>
      <c r="K639" s="1566"/>
    </row>
    <row r="640" spans="1:11">
      <c r="A640" s="1566"/>
      <c r="B640" s="1566"/>
      <c r="C640" s="1566"/>
      <c r="D640" s="1566"/>
      <c r="E640" s="1566"/>
      <c r="F640" s="1566"/>
      <c r="G640" s="1566"/>
      <c r="H640" s="1566"/>
      <c r="I640" s="1566"/>
      <c r="J640" s="1566"/>
      <c r="K640" s="1566"/>
    </row>
    <row r="641" spans="1:11">
      <c r="A641" s="1566"/>
      <c r="B641" s="1566"/>
      <c r="C641" s="1566"/>
      <c r="D641" s="1566"/>
      <c r="E641" s="1566"/>
      <c r="F641" s="1566"/>
      <c r="G641" s="1566"/>
      <c r="H641" s="1566"/>
      <c r="I641" s="1566"/>
      <c r="J641" s="1566"/>
      <c r="K641" s="1566"/>
    </row>
    <row r="642" spans="1:11">
      <c r="A642" s="1566"/>
      <c r="B642" s="1566"/>
      <c r="C642" s="1566"/>
      <c r="D642" s="1566"/>
      <c r="E642" s="1566"/>
      <c r="F642" s="1566"/>
      <c r="G642" s="1566"/>
      <c r="H642" s="1566"/>
      <c r="I642" s="1566"/>
      <c r="J642" s="1566"/>
      <c r="K642" s="1566"/>
    </row>
    <row r="643" spans="1:11">
      <c r="A643" s="1566"/>
      <c r="B643" s="1566"/>
      <c r="C643" s="1566"/>
      <c r="D643" s="1566"/>
      <c r="E643" s="1566"/>
      <c r="F643" s="1566"/>
      <c r="G643" s="1566"/>
      <c r="H643" s="1566"/>
      <c r="I643" s="1566"/>
      <c r="J643" s="1566"/>
      <c r="K643" s="1566"/>
    </row>
    <row r="644" spans="1:11">
      <c r="A644" s="1566"/>
      <c r="B644" s="1566"/>
      <c r="C644" s="1566"/>
      <c r="D644" s="1566"/>
      <c r="E644" s="1566"/>
      <c r="F644" s="1566"/>
      <c r="G644" s="1566"/>
      <c r="H644" s="1566"/>
      <c r="I644" s="1566"/>
      <c r="J644" s="1566"/>
      <c r="K644" s="1566"/>
    </row>
    <row r="645" spans="1:11">
      <c r="A645" s="1566"/>
      <c r="B645" s="1566"/>
      <c r="C645" s="1566"/>
      <c r="D645" s="1566"/>
      <c r="E645" s="1566"/>
      <c r="F645" s="1566"/>
      <c r="G645" s="1566"/>
      <c r="H645" s="1566"/>
      <c r="I645" s="1566"/>
      <c r="J645" s="1566"/>
      <c r="K645" s="1566"/>
    </row>
    <row r="646" spans="1:11">
      <c r="A646" s="1566"/>
      <c r="B646" s="1566"/>
      <c r="C646" s="1566"/>
      <c r="D646" s="1566"/>
      <c r="E646" s="1566"/>
      <c r="F646" s="1566"/>
      <c r="G646" s="1566"/>
      <c r="H646" s="1566"/>
      <c r="I646" s="1566"/>
      <c r="J646" s="1566"/>
      <c r="K646" s="1566"/>
    </row>
    <row r="647" spans="1:11">
      <c r="A647" s="1566"/>
      <c r="B647" s="1566"/>
      <c r="C647" s="1566"/>
      <c r="D647" s="1566"/>
      <c r="E647" s="1566"/>
      <c r="F647" s="1566"/>
      <c r="G647" s="1566"/>
      <c r="H647" s="1566"/>
      <c r="I647" s="1566"/>
      <c r="J647" s="1566"/>
      <c r="K647" s="1566"/>
    </row>
    <row r="648" spans="1:11">
      <c r="A648" s="1566"/>
      <c r="B648" s="1566"/>
      <c r="C648" s="1566"/>
      <c r="D648" s="1566"/>
      <c r="E648" s="1566"/>
      <c r="F648" s="1566"/>
      <c r="G648" s="1566"/>
      <c r="H648" s="1566"/>
      <c r="I648" s="1566"/>
      <c r="J648" s="1566"/>
      <c r="K648" s="1566"/>
    </row>
    <row r="649" spans="1:11">
      <c r="A649" s="1566"/>
      <c r="B649" s="1566"/>
      <c r="C649" s="1566"/>
      <c r="D649" s="1566"/>
      <c r="E649" s="1566"/>
      <c r="F649" s="1566"/>
      <c r="G649" s="1566"/>
      <c r="H649" s="1566"/>
      <c r="I649" s="1566"/>
      <c r="J649" s="1566"/>
      <c r="K649" s="1566"/>
    </row>
    <row r="650" spans="1:11">
      <c r="A650" s="1566"/>
      <c r="B650" s="1566"/>
      <c r="C650" s="1566"/>
      <c r="D650" s="1566"/>
      <c r="E650" s="1566"/>
      <c r="F650" s="1566"/>
      <c r="G650" s="1566"/>
      <c r="H650" s="1566"/>
      <c r="I650" s="1566"/>
      <c r="J650" s="1566"/>
      <c r="K650" s="1566"/>
    </row>
    <row r="651" spans="1:11">
      <c r="A651" s="1566"/>
      <c r="B651" s="1566"/>
      <c r="C651" s="1566"/>
      <c r="D651" s="1566"/>
      <c r="E651" s="1566"/>
      <c r="F651" s="1566"/>
      <c r="G651" s="1566"/>
      <c r="H651" s="1566"/>
      <c r="I651" s="1566"/>
      <c r="J651" s="1566"/>
      <c r="K651" s="1566"/>
    </row>
    <row r="652" spans="1:11">
      <c r="A652" s="1566"/>
      <c r="B652" s="1566"/>
      <c r="C652" s="1566"/>
      <c r="D652" s="1566"/>
      <c r="E652" s="1566"/>
      <c r="F652" s="1566"/>
      <c r="G652" s="1566"/>
      <c r="H652" s="1566"/>
      <c r="I652" s="1566"/>
      <c r="J652" s="1566"/>
      <c r="K652" s="1566"/>
    </row>
    <row r="653" spans="1:11">
      <c r="A653" s="1566"/>
      <c r="B653" s="1566"/>
      <c r="C653" s="1566"/>
      <c r="D653" s="1566"/>
      <c r="E653" s="1566"/>
      <c r="F653" s="1566"/>
      <c r="G653" s="1566"/>
      <c r="H653" s="1566"/>
      <c r="I653" s="1566"/>
      <c r="J653" s="1566"/>
      <c r="K653" s="1566"/>
    </row>
    <row r="654" spans="1:11">
      <c r="A654" s="1566"/>
      <c r="B654" s="1566"/>
      <c r="C654" s="1566"/>
      <c r="D654" s="1566"/>
      <c r="E654" s="1566"/>
      <c r="F654" s="1566"/>
      <c r="G654" s="1566"/>
      <c r="H654" s="1566"/>
      <c r="I654" s="1566"/>
      <c r="J654" s="1566"/>
      <c r="K654" s="1566"/>
    </row>
    <row r="655" spans="1:11">
      <c r="A655" s="1566"/>
      <c r="B655" s="1566"/>
      <c r="C655" s="1566"/>
      <c r="D655" s="1566"/>
      <c r="E655" s="1566"/>
      <c r="F655" s="1566"/>
      <c r="G655" s="1566"/>
      <c r="H655" s="1566"/>
      <c r="I655" s="1566"/>
      <c r="J655" s="1566"/>
      <c r="K655" s="1566"/>
    </row>
    <row r="656" spans="1:11">
      <c r="A656" s="1566"/>
      <c r="B656" s="1566"/>
      <c r="C656" s="1566"/>
      <c r="D656" s="1566"/>
      <c r="E656" s="1566"/>
      <c r="F656" s="1566"/>
      <c r="G656" s="1566"/>
      <c r="H656" s="1566"/>
      <c r="I656" s="1566"/>
      <c r="J656" s="1566"/>
      <c r="K656" s="1566"/>
    </row>
    <row r="657" spans="1:11">
      <c r="A657" s="1566"/>
      <c r="B657" s="1566"/>
      <c r="C657" s="1566"/>
      <c r="D657" s="1566"/>
      <c r="E657" s="1566"/>
      <c r="F657" s="1566"/>
      <c r="G657" s="1566"/>
      <c r="H657" s="1566"/>
      <c r="I657" s="1566"/>
      <c r="J657" s="1566"/>
      <c r="K657" s="1566"/>
    </row>
    <row r="658" spans="1:11">
      <c r="A658" s="1566"/>
      <c r="B658" s="1566"/>
      <c r="C658" s="1566"/>
      <c r="D658" s="1566"/>
      <c r="E658" s="1566"/>
      <c r="F658" s="1566"/>
      <c r="G658" s="1566"/>
      <c r="H658" s="1566"/>
      <c r="I658" s="1566"/>
      <c r="J658" s="1566"/>
      <c r="K658" s="1566"/>
    </row>
    <row r="659" spans="1:11">
      <c r="A659" s="1566"/>
      <c r="B659" s="1566"/>
      <c r="C659" s="1566"/>
      <c r="D659" s="1566"/>
      <c r="E659" s="1566"/>
      <c r="F659" s="1566"/>
      <c r="G659" s="1566"/>
      <c r="H659" s="1566"/>
      <c r="I659" s="1566"/>
      <c r="J659" s="1566"/>
      <c r="K659" s="1566"/>
    </row>
    <row r="660" spans="1:11">
      <c r="A660" s="1566"/>
      <c r="B660" s="1566"/>
      <c r="C660" s="1566"/>
      <c r="D660" s="1566"/>
      <c r="E660" s="1566"/>
      <c r="F660" s="1566"/>
      <c r="G660" s="1566"/>
      <c r="H660" s="1566"/>
      <c r="I660" s="1566"/>
      <c r="J660" s="1566"/>
      <c r="K660" s="1566"/>
    </row>
    <row r="661" spans="1:11">
      <c r="A661" s="1566"/>
      <c r="B661" s="1566"/>
      <c r="C661" s="1566"/>
      <c r="D661" s="1566"/>
      <c r="E661" s="1566"/>
      <c r="F661" s="1566"/>
      <c r="G661" s="1566"/>
      <c r="H661" s="1566"/>
      <c r="I661" s="1566"/>
      <c r="J661" s="1566"/>
      <c r="K661" s="1566"/>
    </row>
    <row r="662" spans="1:11">
      <c r="A662" s="1566"/>
      <c r="B662" s="1566"/>
      <c r="C662" s="1566"/>
      <c r="D662" s="1566"/>
      <c r="E662" s="1566"/>
      <c r="F662" s="1566"/>
      <c r="G662" s="1566"/>
      <c r="H662" s="1566"/>
      <c r="I662" s="1566"/>
      <c r="J662" s="1566"/>
      <c r="K662" s="1566"/>
    </row>
    <row r="663" spans="1:11">
      <c r="A663" s="1566"/>
      <c r="B663" s="1566"/>
      <c r="C663" s="1566"/>
      <c r="D663" s="1566"/>
      <c r="E663" s="1566"/>
      <c r="F663" s="1566"/>
      <c r="G663" s="1566"/>
      <c r="H663" s="1566"/>
      <c r="I663" s="1566"/>
      <c r="J663" s="1566"/>
      <c r="K663" s="1566"/>
    </row>
    <row r="664" spans="1:11">
      <c r="A664" s="1566"/>
      <c r="B664" s="1566"/>
      <c r="C664" s="1566"/>
      <c r="D664" s="1566"/>
      <c r="E664" s="1566"/>
      <c r="F664" s="1566"/>
      <c r="G664" s="1566"/>
      <c r="H664" s="1566"/>
      <c r="I664" s="1566"/>
      <c r="J664" s="1566"/>
      <c r="K664" s="1566"/>
    </row>
    <row r="665" spans="1:11">
      <c r="A665" s="1566"/>
      <c r="B665" s="1566"/>
      <c r="C665" s="1566"/>
      <c r="D665" s="1566"/>
      <c r="E665" s="1566"/>
      <c r="F665" s="1566"/>
      <c r="G665" s="1566"/>
      <c r="H665" s="1566"/>
      <c r="I665" s="1566"/>
      <c r="J665" s="1566"/>
      <c r="K665" s="1566"/>
    </row>
    <row r="666" spans="1:11">
      <c r="A666" s="1566"/>
      <c r="B666" s="1566"/>
      <c r="C666" s="1566"/>
      <c r="D666" s="1566"/>
      <c r="E666" s="1566"/>
      <c r="F666" s="1566"/>
      <c r="G666" s="1566"/>
      <c r="H666" s="1566"/>
      <c r="I666" s="1566"/>
      <c r="J666" s="1566"/>
      <c r="K666" s="1566"/>
    </row>
    <row r="667" spans="1:11">
      <c r="A667" s="1566"/>
      <c r="B667" s="1566"/>
      <c r="C667" s="1566"/>
      <c r="D667" s="1566"/>
      <c r="E667" s="1566"/>
      <c r="F667" s="1566"/>
      <c r="G667" s="1566"/>
      <c r="H667" s="1566"/>
      <c r="I667" s="1566"/>
      <c r="J667" s="1566"/>
      <c r="K667" s="1566"/>
    </row>
    <row r="668" spans="1:11">
      <c r="A668" s="1566"/>
      <c r="B668" s="1566"/>
      <c r="C668" s="1566"/>
      <c r="D668" s="1566"/>
      <c r="E668" s="1566"/>
      <c r="F668" s="1566"/>
      <c r="G668" s="1566"/>
      <c r="H668" s="1566"/>
      <c r="I668" s="1566"/>
      <c r="J668" s="1566"/>
      <c r="K668" s="1566"/>
    </row>
    <row r="669" spans="1:11">
      <c r="A669" s="1566"/>
      <c r="B669" s="1566"/>
      <c r="C669" s="1566"/>
      <c r="D669" s="1566"/>
      <c r="E669" s="1566"/>
      <c r="F669" s="1566"/>
      <c r="G669" s="1566"/>
      <c r="H669" s="1566"/>
      <c r="I669" s="1566"/>
      <c r="J669" s="1566"/>
      <c r="K669" s="1566"/>
    </row>
    <row r="670" spans="1:11">
      <c r="A670" s="1566"/>
      <c r="B670" s="1566"/>
      <c r="C670" s="1566"/>
      <c r="D670" s="1566"/>
      <c r="E670" s="1566"/>
      <c r="F670" s="1566"/>
      <c r="G670" s="1566"/>
      <c r="H670" s="1566"/>
      <c r="I670" s="1566"/>
      <c r="J670" s="1566"/>
      <c r="K670" s="1566"/>
    </row>
    <row r="671" spans="1:11">
      <c r="A671" s="1566"/>
      <c r="B671" s="1566"/>
      <c r="C671" s="1566"/>
      <c r="D671" s="1566"/>
      <c r="E671" s="1566"/>
      <c r="F671" s="1566"/>
      <c r="G671" s="1566"/>
      <c r="H671" s="1566"/>
      <c r="I671" s="1566"/>
      <c r="J671" s="1566"/>
      <c r="K671" s="1566"/>
    </row>
    <row r="672" spans="1:11">
      <c r="A672" s="1566"/>
      <c r="B672" s="1566"/>
      <c r="C672" s="1566"/>
      <c r="D672" s="1566"/>
      <c r="E672" s="1566"/>
      <c r="F672" s="1566"/>
      <c r="G672" s="1566"/>
      <c r="H672" s="1566"/>
      <c r="I672" s="1566"/>
      <c r="J672" s="1566"/>
      <c r="K672" s="1566"/>
    </row>
    <row r="673" spans="1:11">
      <c r="A673" s="1566"/>
      <c r="B673" s="1566"/>
      <c r="C673" s="1566"/>
      <c r="D673" s="1566"/>
      <c r="E673" s="1566"/>
      <c r="F673" s="1566"/>
      <c r="G673" s="1566"/>
      <c r="H673" s="1566"/>
      <c r="I673" s="1566"/>
      <c r="J673" s="1566"/>
      <c r="K673" s="1566"/>
    </row>
    <row r="674" spans="1:11">
      <c r="A674" s="1566"/>
      <c r="B674" s="1566"/>
      <c r="C674" s="1566"/>
      <c r="D674" s="1566"/>
      <c r="E674" s="1566"/>
      <c r="F674" s="1566"/>
      <c r="G674" s="1566"/>
      <c r="H674" s="1566"/>
      <c r="I674" s="1566"/>
      <c r="J674" s="1566"/>
      <c r="K674" s="1566"/>
    </row>
    <row r="675" spans="1:11">
      <c r="A675" s="1566"/>
      <c r="B675" s="1566"/>
      <c r="C675" s="1566"/>
      <c r="D675" s="1566"/>
      <c r="E675" s="1566"/>
      <c r="F675" s="1566"/>
      <c r="G675" s="1566"/>
      <c r="H675" s="1566"/>
      <c r="I675" s="1566"/>
      <c r="J675" s="1566"/>
      <c r="K675" s="1566"/>
    </row>
    <row r="676" spans="1:11">
      <c r="A676" s="1566"/>
      <c r="B676" s="1566"/>
      <c r="C676" s="1566"/>
      <c r="D676" s="1566"/>
      <c r="E676" s="1566"/>
      <c r="F676" s="1566"/>
      <c r="G676" s="1566"/>
      <c r="H676" s="1566"/>
      <c r="I676" s="1566"/>
      <c r="J676" s="1566"/>
      <c r="K676" s="1566"/>
    </row>
    <row r="677" spans="1:11">
      <c r="A677" s="1566"/>
      <c r="B677" s="1566"/>
      <c r="C677" s="1566"/>
      <c r="D677" s="1566"/>
      <c r="E677" s="1566"/>
      <c r="F677" s="1566"/>
      <c r="G677" s="1566"/>
      <c r="H677" s="1566"/>
      <c r="I677" s="1566"/>
      <c r="J677" s="1566"/>
      <c r="K677" s="1566"/>
    </row>
    <row r="678" spans="1:11">
      <c r="A678" s="1566"/>
      <c r="B678" s="1566"/>
      <c r="C678" s="1566"/>
      <c r="D678" s="1566"/>
      <c r="E678" s="1566"/>
      <c r="F678" s="1566"/>
      <c r="G678" s="1566"/>
      <c r="H678" s="1566"/>
      <c r="I678" s="1566"/>
      <c r="J678" s="1566"/>
      <c r="K678" s="1566"/>
    </row>
    <row r="679" spans="1:11">
      <c r="A679" s="1566"/>
      <c r="B679" s="1566"/>
      <c r="C679" s="1566"/>
      <c r="D679" s="1566"/>
      <c r="E679" s="1566"/>
      <c r="F679" s="1566"/>
      <c r="G679" s="1566"/>
      <c r="H679" s="1566"/>
      <c r="I679" s="1566"/>
      <c r="J679" s="1566"/>
      <c r="K679" s="1566"/>
    </row>
    <row r="680" spans="1:11">
      <c r="A680" s="1566"/>
      <c r="B680" s="1566"/>
      <c r="C680" s="1566"/>
      <c r="D680" s="1566"/>
      <c r="E680" s="1566"/>
      <c r="F680" s="1566"/>
      <c r="G680" s="1566"/>
      <c r="H680" s="1566"/>
      <c r="I680" s="1566"/>
      <c r="J680" s="1566"/>
      <c r="K680" s="1566"/>
    </row>
    <row r="681" spans="1:11">
      <c r="A681" s="1566"/>
      <c r="B681" s="1566"/>
      <c r="C681" s="1566"/>
      <c r="D681" s="1566"/>
      <c r="E681" s="1566"/>
      <c r="F681" s="1566"/>
      <c r="G681" s="1566"/>
      <c r="H681" s="1566"/>
      <c r="I681" s="1566"/>
      <c r="J681" s="1566"/>
      <c r="K681" s="1566"/>
    </row>
    <row r="682" spans="1:11">
      <c r="A682" s="1566"/>
      <c r="B682" s="1566"/>
      <c r="C682" s="1566"/>
      <c r="D682" s="1566"/>
      <c r="E682" s="1566"/>
      <c r="F682" s="1566"/>
      <c r="G682" s="1566"/>
      <c r="H682" s="1566"/>
      <c r="I682" s="1566"/>
      <c r="J682" s="1566"/>
      <c r="K682" s="1566"/>
    </row>
    <row r="683" spans="1:11">
      <c r="A683" s="1566"/>
      <c r="B683" s="1566"/>
      <c r="C683" s="1566"/>
      <c r="D683" s="1566"/>
      <c r="E683" s="1566"/>
      <c r="F683" s="1566"/>
      <c r="G683" s="1566"/>
      <c r="H683" s="1566"/>
      <c r="I683" s="1566"/>
      <c r="J683" s="1566"/>
      <c r="K683" s="1566"/>
    </row>
    <row r="684" spans="1:11">
      <c r="A684" s="1566"/>
      <c r="B684" s="1566"/>
      <c r="C684" s="1566"/>
      <c r="D684" s="1566"/>
      <c r="E684" s="1566"/>
      <c r="F684" s="1566"/>
      <c r="G684" s="1566"/>
      <c r="H684" s="1566"/>
      <c r="I684" s="1566"/>
      <c r="J684" s="1566"/>
      <c r="K684" s="1566"/>
    </row>
    <row r="685" spans="1:11">
      <c r="A685" s="1566"/>
      <c r="B685" s="1566"/>
      <c r="C685" s="1566"/>
      <c r="D685" s="1566"/>
      <c r="E685" s="1566"/>
      <c r="F685" s="1566"/>
      <c r="G685" s="1566"/>
      <c r="H685" s="1566"/>
      <c r="I685" s="1566"/>
      <c r="J685" s="1566"/>
      <c r="K685" s="1566"/>
    </row>
    <row r="686" spans="1:11">
      <c r="A686" s="1566"/>
      <c r="B686" s="1566"/>
      <c r="C686" s="1566"/>
      <c r="D686" s="1566"/>
      <c r="E686" s="1566"/>
      <c r="F686" s="1566"/>
      <c r="G686" s="1566"/>
      <c r="H686" s="1566"/>
      <c r="I686" s="1566"/>
      <c r="J686" s="1566"/>
      <c r="K686" s="1566"/>
    </row>
    <row r="687" spans="1:11">
      <c r="A687" s="1566"/>
      <c r="B687" s="1566"/>
      <c r="C687" s="1566"/>
      <c r="D687" s="1566"/>
      <c r="E687" s="1566"/>
      <c r="F687" s="1566"/>
      <c r="G687" s="1566"/>
      <c r="H687" s="1566"/>
      <c r="I687" s="1566"/>
      <c r="J687" s="1566"/>
      <c r="K687" s="1566"/>
    </row>
    <row r="688" spans="1:11">
      <c r="A688" s="1566"/>
      <c r="B688" s="1566"/>
      <c r="C688" s="1566"/>
      <c r="D688" s="1566"/>
      <c r="E688" s="1566"/>
      <c r="F688" s="1566"/>
      <c r="G688" s="1566"/>
      <c r="H688" s="1566"/>
      <c r="I688" s="1566"/>
      <c r="J688" s="1566"/>
      <c r="K688" s="1566"/>
    </row>
    <row r="689" spans="1:11">
      <c r="A689" s="1566"/>
      <c r="B689" s="1566"/>
      <c r="C689" s="1566"/>
      <c r="D689" s="1566"/>
      <c r="E689" s="1566"/>
      <c r="F689" s="1566"/>
      <c r="G689" s="1566"/>
      <c r="H689" s="1566"/>
      <c r="I689" s="1566"/>
      <c r="J689" s="1566"/>
      <c r="K689" s="1566"/>
    </row>
    <row r="690" spans="1:11">
      <c r="A690" s="1566"/>
      <c r="B690" s="1566"/>
      <c r="C690" s="1566"/>
      <c r="D690" s="1566"/>
      <c r="E690" s="1566"/>
      <c r="F690" s="1566"/>
      <c r="G690" s="1566"/>
      <c r="H690" s="1566"/>
      <c r="I690" s="1566"/>
      <c r="J690" s="1566"/>
      <c r="K690" s="1566"/>
    </row>
    <row r="691" spans="1:11">
      <c r="A691" s="1566"/>
      <c r="B691" s="1566"/>
      <c r="C691" s="1566"/>
      <c r="D691" s="1566"/>
      <c r="E691" s="1566"/>
      <c r="F691" s="1566"/>
      <c r="G691" s="1566"/>
      <c r="H691" s="1566"/>
      <c r="I691" s="1566"/>
      <c r="J691" s="1566"/>
      <c r="K691" s="1566"/>
    </row>
    <row r="692" spans="1:11">
      <c r="A692" s="1566"/>
      <c r="B692" s="1566"/>
      <c r="C692" s="1566"/>
      <c r="D692" s="1566"/>
      <c r="E692" s="1566"/>
      <c r="F692" s="1566"/>
      <c r="G692" s="1566"/>
      <c r="H692" s="1566"/>
      <c r="I692" s="1566"/>
      <c r="J692" s="1566"/>
      <c r="K692" s="1566"/>
    </row>
    <row r="693" spans="1:11">
      <c r="A693" s="1566"/>
      <c r="B693" s="1566"/>
      <c r="C693" s="1566"/>
      <c r="D693" s="1566"/>
      <c r="E693" s="1566"/>
      <c r="F693" s="1566"/>
      <c r="G693" s="1566"/>
      <c r="H693" s="1566"/>
      <c r="I693" s="1566"/>
      <c r="J693" s="1566"/>
      <c r="K693" s="1566"/>
    </row>
    <row r="694" spans="1:11">
      <c r="A694" s="1566"/>
      <c r="B694" s="1566"/>
      <c r="C694" s="1566"/>
      <c r="D694" s="1566"/>
      <c r="E694" s="1566"/>
      <c r="F694" s="1566"/>
      <c r="G694" s="1566"/>
      <c r="H694" s="1566"/>
      <c r="I694" s="1566"/>
      <c r="J694" s="1566"/>
      <c r="K694" s="1566"/>
    </row>
    <row r="695" spans="1:11">
      <c r="A695" s="1566"/>
      <c r="B695" s="1566"/>
      <c r="C695" s="1566"/>
      <c r="D695" s="1566"/>
      <c r="E695" s="1566"/>
      <c r="F695" s="1566"/>
      <c r="G695" s="1566"/>
      <c r="H695" s="1566"/>
      <c r="I695" s="1566"/>
      <c r="J695" s="1566"/>
      <c r="K695" s="1566"/>
    </row>
    <row r="696" spans="1:11">
      <c r="A696" s="1566"/>
      <c r="B696" s="1566"/>
      <c r="C696" s="1566"/>
      <c r="D696" s="1566"/>
      <c r="E696" s="1566"/>
      <c r="F696" s="1566"/>
      <c r="G696" s="1566"/>
      <c r="H696" s="1566"/>
      <c r="I696" s="1566"/>
      <c r="J696" s="1566"/>
      <c r="K696" s="1566"/>
    </row>
    <row r="697" spans="1:11">
      <c r="A697" s="1566"/>
      <c r="B697" s="1566"/>
      <c r="C697" s="1566"/>
      <c r="D697" s="1566"/>
      <c r="E697" s="1566"/>
      <c r="F697" s="1566"/>
      <c r="G697" s="1566"/>
      <c r="H697" s="1566"/>
      <c r="I697" s="1566"/>
      <c r="J697" s="1566"/>
      <c r="K697" s="1566"/>
    </row>
    <row r="698" spans="1:11">
      <c r="A698" s="1566"/>
      <c r="B698" s="1566"/>
      <c r="C698" s="1566"/>
      <c r="D698" s="1566"/>
      <c r="E698" s="1566"/>
      <c r="F698" s="1566"/>
      <c r="G698" s="1566"/>
      <c r="H698" s="1566"/>
      <c r="I698" s="1566"/>
      <c r="J698" s="1566"/>
      <c r="K698" s="1566"/>
    </row>
    <row r="699" spans="1:11">
      <c r="A699" s="1566"/>
      <c r="B699" s="1566"/>
      <c r="C699" s="1566"/>
      <c r="D699" s="1566"/>
      <c r="E699" s="1566"/>
      <c r="F699" s="1566"/>
      <c r="G699" s="1566"/>
      <c r="H699" s="1566"/>
      <c r="I699" s="1566"/>
      <c r="J699" s="1566"/>
      <c r="K699" s="1566"/>
    </row>
    <row r="700" spans="1:11">
      <c r="A700" s="1566"/>
      <c r="B700" s="1566"/>
      <c r="C700" s="1566"/>
      <c r="D700" s="1566"/>
      <c r="E700" s="1566"/>
      <c r="F700" s="1566"/>
      <c r="G700" s="1566"/>
      <c r="H700" s="1566"/>
      <c r="I700" s="1566"/>
      <c r="J700" s="1566"/>
      <c r="K700" s="1566"/>
    </row>
    <row r="701" spans="1:11">
      <c r="A701" s="1566"/>
      <c r="B701" s="1566"/>
      <c r="C701" s="1566"/>
      <c r="D701" s="1566"/>
      <c r="E701" s="1566"/>
      <c r="F701" s="1566"/>
      <c r="G701" s="1566"/>
      <c r="H701" s="1566"/>
      <c r="I701" s="1566"/>
      <c r="J701" s="1566"/>
      <c r="K701" s="1566"/>
    </row>
    <row r="702" spans="1:11">
      <c r="A702" s="1566"/>
      <c r="B702" s="1566"/>
      <c r="C702" s="1566"/>
      <c r="D702" s="1566"/>
      <c r="E702" s="1566"/>
      <c r="F702" s="1566"/>
      <c r="G702" s="1566"/>
      <c r="H702" s="1566"/>
      <c r="I702" s="1566"/>
      <c r="J702" s="1566"/>
      <c r="K702" s="1566"/>
    </row>
    <row r="703" spans="1:11">
      <c r="A703" s="1566"/>
      <c r="B703" s="1566"/>
      <c r="C703" s="1566"/>
      <c r="D703" s="1566"/>
      <c r="E703" s="1566"/>
      <c r="F703" s="1566"/>
      <c r="G703" s="1566"/>
      <c r="H703" s="1566"/>
      <c r="I703" s="1566"/>
      <c r="J703" s="1566"/>
      <c r="K703" s="1566"/>
    </row>
    <row r="704" spans="1:11">
      <c r="A704" s="1566"/>
      <c r="B704" s="1566"/>
      <c r="C704" s="1566"/>
      <c r="D704" s="1566"/>
      <c r="E704" s="1566"/>
      <c r="F704" s="1566"/>
      <c r="G704" s="1566"/>
      <c r="H704" s="1566"/>
      <c r="I704" s="1566"/>
      <c r="J704" s="1566"/>
      <c r="K704" s="1566"/>
    </row>
    <row r="705" spans="1:11">
      <c r="A705" s="1566"/>
      <c r="B705" s="1566"/>
      <c r="C705" s="1566"/>
      <c r="D705" s="1566"/>
      <c r="E705" s="1566"/>
      <c r="F705" s="1566"/>
      <c r="G705" s="1566"/>
      <c r="H705" s="1566"/>
      <c r="I705" s="1566"/>
      <c r="J705" s="1566"/>
      <c r="K705" s="1566"/>
    </row>
    <row r="706" spans="1:11">
      <c r="A706" s="1566"/>
      <c r="B706" s="1566"/>
      <c r="C706" s="1566"/>
      <c r="D706" s="1566"/>
      <c r="E706" s="1566"/>
      <c r="F706" s="1566"/>
      <c r="G706" s="1566"/>
      <c r="H706" s="1566"/>
      <c r="I706" s="1566"/>
      <c r="J706" s="1566"/>
      <c r="K706" s="1566"/>
    </row>
    <row r="707" spans="1:11">
      <c r="A707" s="1566"/>
      <c r="B707" s="1566"/>
      <c r="C707" s="1566"/>
      <c r="D707" s="1566"/>
      <c r="E707" s="1566"/>
      <c r="F707" s="1566"/>
      <c r="G707" s="1566"/>
      <c r="H707" s="1566"/>
      <c r="I707" s="1566"/>
      <c r="J707" s="1566"/>
      <c r="K707" s="1566"/>
    </row>
    <row r="708" spans="1:11">
      <c r="A708" s="1566"/>
      <c r="B708" s="1566"/>
      <c r="C708" s="1566"/>
      <c r="D708" s="1566"/>
      <c r="E708" s="1566"/>
      <c r="F708" s="1566"/>
      <c r="G708" s="1566"/>
      <c r="H708" s="1566"/>
      <c r="I708" s="1566"/>
      <c r="J708" s="1566"/>
      <c r="K708" s="1566"/>
    </row>
    <row r="709" spans="1:11">
      <c r="A709" s="1566"/>
      <c r="B709" s="1566"/>
      <c r="C709" s="1566"/>
      <c r="D709" s="1566"/>
      <c r="E709" s="1566"/>
      <c r="F709" s="1566"/>
      <c r="G709" s="1566"/>
      <c r="H709" s="1566"/>
      <c r="I709" s="1566"/>
      <c r="J709" s="1566"/>
      <c r="K709" s="1566"/>
    </row>
    <row r="710" spans="1:11">
      <c r="A710" s="1566"/>
      <c r="B710" s="1566"/>
      <c r="C710" s="1566"/>
      <c r="D710" s="1566"/>
      <c r="E710" s="1566"/>
      <c r="F710" s="1566"/>
      <c r="G710" s="1566"/>
      <c r="H710" s="1566"/>
      <c r="I710" s="1566"/>
      <c r="J710" s="1566"/>
      <c r="K710" s="1566"/>
    </row>
    <row r="711" spans="1:11">
      <c r="A711" s="1566"/>
      <c r="B711" s="1566"/>
      <c r="C711" s="1566"/>
      <c r="D711" s="1566"/>
      <c r="E711" s="1566"/>
      <c r="F711" s="1566"/>
      <c r="G711" s="1566"/>
      <c r="H711" s="1566"/>
      <c r="I711" s="1566"/>
      <c r="J711" s="1566"/>
      <c r="K711" s="1566"/>
    </row>
    <row r="712" spans="1:11">
      <c r="A712" s="1566"/>
      <c r="B712" s="1566"/>
      <c r="C712" s="1566"/>
      <c r="D712" s="1566"/>
      <c r="E712" s="1566"/>
      <c r="F712" s="1566"/>
      <c r="G712" s="1566"/>
      <c r="H712" s="1566"/>
      <c r="I712" s="1566"/>
      <c r="J712" s="1566"/>
      <c r="K712" s="1566"/>
    </row>
    <row r="713" spans="1:11">
      <c r="A713" s="1566"/>
      <c r="B713" s="1566"/>
      <c r="C713" s="1566"/>
      <c r="D713" s="1566"/>
      <c r="E713" s="1566"/>
      <c r="F713" s="1566"/>
      <c r="G713" s="1566"/>
      <c r="H713" s="1566"/>
      <c r="I713" s="1566"/>
      <c r="J713" s="1566"/>
      <c r="K713" s="1566"/>
    </row>
    <row r="714" spans="1:11">
      <c r="A714" s="1566"/>
      <c r="B714" s="1566"/>
      <c r="C714" s="1566"/>
      <c r="D714" s="1566"/>
      <c r="E714" s="1566"/>
      <c r="F714" s="1566"/>
      <c r="G714" s="1566"/>
      <c r="H714" s="1566"/>
      <c r="I714" s="1566"/>
      <c r="J714" s="1566"/>
      <c r="K714" s="1566"/>
    </row>
    <row r="715" spans="1:11">
      <c r="A715" s="1566"/>
      <c r="B715" s="1566"/>
      <c r="C715" s="1566"/>
      <c r="D715" s="1566"/>
      <c r="E715" s="1566"/>
      <c r="F715" s="1566"/>
      <c r="G715" s="1566"/>
      <c r="H715" s="1566"/>
      <c r="I715" s="1566"/>
      <c r="J715" s="1566"/>
      <c r="K715" s="1566"/>
    </row>
    <row r="716" spans="1:11">
      <c r="A716" s="1566"/>
      <c r="B716" s="1566"/>
      <c r="C716" s="1566"/>
      <c r="D716" s="1566"/>
      <c r="E716" s="1566"/>
      <c r="F716" s="1566"/>
      <c r="G716" s="1566"/>
      <c r="H716" s="1566"/>
      <c r="I716" s="1566"/>
      <c r="J716" s="1566"/>
      <c r="K716" s="1566"/>
    </row>
    <row r="717" spans="1:11">
      <c r="A717" s="1566"/>
      <c r="B717" s="1566"/>
      <c r="C717" s="1566"/>
      <c r="D717" s="1566"/>
      <c r="E717" s="1566"/>
      <c r="F717" s="1566"/>
      <c r="G717" s="1566"/>
      <c r="H717" s="1566"/>
      <c r="I717" s="1566"/>
      <c r="J717" s="1566"/>
      <c r="K717" s="1566"/>
    </row>
    <row r="718" spans="1:11">
      <c r="A718" s="1566"/>
      <c r="B718" s="1566"/>
      <c r="C718" s="1566"/>
      <c r="D718" s="1566"/>
      <c r="E718" s="1566"/>
      <c r="F718" s="1566"/>
      <c r="G718" s="1566"/>
      <c r="H718" s="1566"/>
      <c r="I718" s="1566"/>
      <c r="J718" s="1566"/>
      <c r="K718" s="1566"/>
    </row>
    <row r="719" spans="1:11">
      <c r="A719" s="1566"/>
      <c r="B719" s="1566"/>
      <c r="C719" s="1566"/>
      <c r="D719" s="1566"/>
      <c r="E719" s="1566"/>
      <c r="F719" s="1566"/>
      <c r="G719" s="1566"/>
      <c r="H719" s="1566"/>
      <c r="I719" s="1566"/>
      <c r="J719" s="1566"/>
      <c r="K719" s="1566"/>
    </row>
    <row r="720" spans="1:11">
      <c r="A720" s="1566"/>
      <c r="B720" s="1566"/>
      <c r="C720" s="1566"/>
      <c r="D720" s="1566"/>
      <c r="E720" s="1566"/>
      <c r="F720" s="1566"/>
      <c r="G720" s="1566"/>
      <c r="H720" s="1566"/>
      <c r="I720" s="1566"/>
      <c r="J720" s="1566"/>
      <c r="K720" s="1566"/>
    </row>
    <row r="721" spans="1:11">
      <c r="A721" s="1566"/>
      <c r="B721" s="1566"/>
      <c r="C721" s="1566"/>
      <c r="D721" s="1566"/>
      <c r="E721" s="1566"/>
      <c r="F721" s="1566"/>
      <c r="G721" s="1566"/>
      <c r="H721" s="1566"/>
      <c r="I721" s="1566"/>
      <c r="J721" s="1566"/>
      <c r="K721" s="1566"/>
    </row>
    <row r="722" spans="1:11">
      <c r="A722" s="1566"/>
      <c r="B722" s="1566"/>
      <c r="C722" s="1566"/>
      <c r="D722" s="1566"/>
      <c r="E722" s="1566"/>
      <c r="F722" s="1566"/>
      <c r="G722" s="1566"/>
      <c r="H722" s="1566"/>
      <c r="I722" s="1566"/>
      <c r="J722" s="1566"/>
      <c r="K722" s="1566"/>
    </row>
    <row r="723" spans="1:11">
      <c r="A723" s="1566"/>
      <c r="B723" s="1566"/>
      <c r="C723" s="1566"/>
      <c r="D723" s="1566"/>
      <c r="E723" s="1566"/>
      <c r="F723" s="1566"/>
      <c r="G723" s="1566"/>
      <c r="H723" s="1566"/>
      <c r="I723" s="1566"/>
      <c r="J723" s="1566"/>
      <c r="K723" s="1566"/>
    </row>
    <row r="724" spans="1:11">
      <c r="A724" s="1566"/>
      <c r="B724" s="1566"/>
      <c r="C724" s="1566"/>
      <c r="D724" s="1566"/>
      <c r="E724" s="1566"/>
      <c r="F724" s="1566"/>
      <c r="G724" s="1566"/>
      <c r="H724" s="1566"/>
      <c r="I724" s="1566"/>
      <c r="J724" s="1566"/>
      <c r="K724" s="1566"/>
    </row>
    <row r="725" spans="1:11">
      <c r="A725" s="1566"/>
      <c r="B725" s="1566"/>
      <c r="C725" s="1566"/>
      <c r="D725" s="1566"/>
      <c r="E725" s="1566"/>
      <c r="F725" s="1566"/>
      <c r="G725" s="1566"/>
      <c r="H725" s="1566"/>
      <c r="I725" s="1566"/>
      <c r="J725" s="1566"/>
      <c r="K725" s="1566"/>
    </row>
    <row r="726" spans="1:11">
      <c r="A726" s="1566"/>
      <c r="B726" s="1566"/>
      <c r="C726" s="1566"/>
      <c r="D726" s="1566"/>
      <c r="E726" s="1566"/>
      <c r="F726" s="1566"/>
      <c r="G726" s="1566"/>
      <c r="H726" s="1566"/>
      <c r="I726" s="1566"/>
      <c r="J726" s="1566"/>
      <c r="K726" s="1566"/>
    </row>
    <row r="727" spans="1:11">
      <c r="A727" s="1566"/>
      <c r="B727" s="1566"/>
      <c r="C727" s="1566"/>
      <c r="D727" s="1566"/>
      <c r="E727" s="1566"/>
      <c r="F727" s="1566"/>
      <c r="G727" s="1566"/>
      <c r="H727" s="1566"/>
      <c r="I727" s="1566"/>
      <c r="J727" s="1566"/>
      <c r="K727" s="1566"/>
    </row>
    <row r="728" spans="1:11">
      <c r="A728" s="1566"/>
      <c r="B728" s="1566"/>
      <c r="C728" s="1566"/>
      <c r="D728" s="1566"/>
      <c r="E728" s="1566"/>
      <c r="F728" s="1566"/>
      <c r="G728" s="1566"/>
      <c r="H728" s="1566"/>
      <c r="I728" s="1566"/>
      <c r="J728" s="1566"/>
      <c r="K728" s="1566"/>
    </row>
    <row r="729" spans="1:11">
      <c r="A729" s="1566"/>
      <c r="B729" s="1566"/>
      <c r="C729" s="1566"/>
      <c r="D729" s="1566"/>
      <c r="E729" s="1566"/>
      <c r="F729" s="1566"/>
      <c r="G729" s="1566"/>
      <c r="H729" s="1566"/>
      <c r="I729" s="1566"/>
      <c r="J729" s="1566"/>
      <c r="K729" s="1566"/>
    </row>
    <row r="730" spans="1:11">
      <c r="A730" s="1566"/>
      <c r="B730" s="1566"/>
      <c r="C730" s="1566"/>
      <c r="D730" s="1566"/>
      <c r="E730" s="1566"/>
      <c r="F730" s="1566"/>
      <c r="G730" s="1566"/>
      <c r="H730" s="1566"/>
      <c r="I730" s="1566"/>
      <c r="J730" s="1566"/>
      <c r="K730" s="1566"/>
    </row>
    <row r="731" spans="1:11">
      <c r="A731" s="1566"/>
      <c r="B731" s="1566"/>
      <c r="C731" s="1566"/>
      <c r="D731" s="1566"/>
      <c r="E731" s="1566"/>
      <c r="F731" s="1566"/>
      <c r="G731" s="1566"/>
      <c r="H731" s="1566"/>
      <c r="I731" s="1566"/>
      <c r="J731" s="1566"/>
      <c r="K731" s="1566"/>
    </row>
    <row r="732" spans="1:11">
      <c r="A732" s="1566"/>
      <c r="B732" s="1566"/>
      <c r="C732" s="1566"/>
      <c r="D732" s="1566"/>
      <c r="E732" s="1566"/>
      <c r="F732" s="1566"/>
      <c r="G732" s="1566"/>
      <c r="H732" s="1566"/>
      <c r="I732" s="1566"/>
      <c r="J732" s="1566"/>
      <c r="K732" s="1566"/>
    </row>
    <row r="733" spans="1:11">
      <c r="A733" s="1566"/>
      <c r="B733" s="1566"/>
      <c r="C733" s="1566"/>
      <c r="D733" s="1566"/>
      <c r="E733" s="1566"/>
      <c r="F733" s="1566"/>
      <c r="G733" s="1566"/>
      <c r="H733" s="1566"/>
      <c r="I733" s="1566"/>
      <c r="J733" s="1566"/>
      <c r="K733" s="1566"/>
    </row>
    <row r="734" spans="1:11">
      <c r="A734" s="1566"/>
      <c r="B734" s="1566"/>
      <c r="C734" s="1566"/>
      <c r="D734" s="1566"/>
      <c r="E734" s="1566"/>
      <c r="F734" s="1566"/>
      <c r="G734" s="1566"/>
      <c r="H734" s="1566"/>
      <c r="I734" s="1566"/>
      <c r="J734" s="1566"/>
      <c r="K734" s="1566"/>
    </row>
    <row r="735" spans="1:11">
      <c r="A735" s="1566"/>
      <c r="B735" s="1566"/>
      <c r="C735" s="1566"/>
      <c r="D735" s="1566"/>
      <c r="E735" s="1566"/>
      <c r="F735" s="1566"/>
      <c r="G735" s="1566"/>
      <c r="H735" s="1566"/>
      <c r="I735" s="1566"/>
      <c r="J735" s="1566"/>
      <c r="K735" s="1566"/>
    </row>
    <row r="736" spans="1:11">
      <c r="A736" s="1566"/>
      <c r="B736" s="1566"/>
      <c r="C736" s="1566"/>
      <c r="D736" s="1566"/>
      <c r="E736" s="1566"/>
      <c r="F736" s="1566"/>
      <c r="G736" s="1566"/>
      <c r="H736" s="1566"/>
      <c r="I736" s="1566"/>
      <c r="J736" s="1566"/>
      <c r="K736" s="1566"/>
    </row>
    <row r="737" spans="1:11">
      <c r="A737" s="1566"/>
      <c r="B737" s="1566"/>
      <c r="C737" s="1566"/>
      <c r="D737" s="1566"/>
      <c r="E737" s="1566"/>
      <c r="F737" s="1566"/>
      <c r="G737" s="1566"/>
      <c r="H737" s="1566"/>
      <c r="I737" s="1566"/>
      <c r="J737" s="1566"/>
      <c r="K737" s="1566"/>
    </row>
    <row r="738" spans="1:11">
      <c r="A738" s="1566"/>
      <c r="B738" s="1566"/>
      <c r="C738" s="1566"/>
      <c r="D738" s="1566"/>
      <c r="E738" s="1566"/>
      <c r="F738" s="1566"/>
      <c r="G738" s="1566"/>
      <c r="H738" s="1566"/>
      <c r="I738" s="1566"/>
      <c r="J738" s="1566"/>
      <c r="K738" s="1566"/>
    </row>
    <row r="739" spans="1:11">
      <c r="A739" s="1566"/>
      <c r="B739" s="1566"/>
      <c r="C739" s="1566"/>
      <c r="D739" s="1566"/>
      <c r="E739" s="1566"/>
      <c r="F739" s="1566"/>
      <c r="G739" s="1566"/>
      <c r="H739" s="1566"/>
      <c r="I739" s="1566"/>
      <c r="J739" s="1566"/>
      <c r="K739" s="1566"/>
    </row>
    <row r="740" spans="1:11">
      <c r="A740" s="1566"/>
      <c r="B740" s="1566"/>
      <c r="C740" s="1566"/>
      <c r="D740" s="1566"/>
      <c r="E740" s="1566"/>
      <c r="F740" s="1566"/>
      <c r="G740" s="1566"/>
      <c r="H740" s="1566"/>
      <c r="I740" s="1566"/>
      <c r="J740" s="1566"/>
      <c r="K740" s="1566"/>
    </row>
    <row r="741" spans="1:11">
      <c r="A741" s="1566"/>
      <c r="B741" s="1566"/>
      <c r="C741" s="1566"/>
      <c r="D741" s="1566"/>
      <c r="E741" s="1566"/>
      <c r="F741" s="1566"/>
      <c r="G741" s="1566"/>
      <c r="H741" s="1566"/>
      <c r="I741" s="1566"/>
      <c r="J741" s="1566"/>
      <c r="K741" s="1566"/>
    </row>
    <row r="742" spans="1:11">
      <c r="A742" s="1566"/>
      <c r="B742" s="1566"/>
      <c r="C742" s="1566"/>
      <c r="D742" s="1566"/>
      <c r="E742" s="1566"/>
      <c r="F742" s="1566"/>
      <c r="G742" s="1566"/>
      <c r="H742" s="1566"/>
      <c r="I742" s="1566"/>
      <c r="J742" s="1566"/>
      <c r="K742" s="1566"/>
    </row>
    <row r="743" spans="1:11">
      <c r="A743" s="1566"/>
      <c r="B743" s="1566"/>
      <c r="C743" s="1566"/>
      <c r="D743" s="1566"/>
      <c r="E743" s="1566"/>
      <c r="F743" s="1566"/>
      <c r="G743" s="1566"/>
      <c r="H743" s="1566"/>
      <c r="I743" s="1566"/>
      <c r="J743" s="1566"/>
      <c r="K743" s="1566"/>
    </row>
    <row r="744" spans="1:11">
      <c r="A744" s="1566"/>
      <c r="B744" s="1566"/>
      <c r="C744" s="1566"/>
      <c r="D744" s="1566"/>
      <c r="E744" s="1566"/>
      <c r="F744" s="1566"/>
      <c r="G744" s="1566"/>
      <c r="H744" s="1566"/>
      <c r="I744" s="1566"/>
      <c r="J744" s="1566"/>
      <c r="K744" s="1566"/>
    </row>
    <row r="745" spans="1:11">
      <c r="A745" s="1566"/>
      <c r="B745" s="1566"/>
      <c r="C745" s="1566"/>
      <c r="D745" s="1566"/>
      <c r="E745" s="1566"/>
      <c r="F745" s="1566"/>
      <c r="G745" s="1566"/>
      <c r="H745" s="1566"/>
      <c r="I745" s="1566"/>
      <c r="J745" s="1566"/>
      <c r="K745" s="1566"/>
    </row>
    <row r="746" spans="1:11">
      <c r="A746" s="1566"/>
      <c r="B746" s="1566"/>
      <c r="C746" s="1566"/>
      <c r="D746" s="1566"/>
      <c r="E746" s="1566"/>
      <c r="F746" s="1566"/>
      <c r="G746" s="1566"/>
      <c r="H746" s="1566"/>
      <c r="I746" s="1566"/>
      <c r="J746" s="1566"/>
      <c r="K746" s="1566"/>
    </row>
    <row r="747" spans="1:11">
      <c r="A747" s="1566"/>
      <c r="B747" s="1566"/>
      <c r="C747" s="1566"/>
      <c r="D747" s="1566"/>
      <c r="E747" s="1566"/>
      <c r="F747" s="1566"/>
      <c r="G747" s="1566"/>
      <c r="H747" s="1566"/>
      <c r="I747" s="1566"/>
      <c r="J747" s="1566"/>
      <c r="K747" s="1566"/>
    </row>
    <row r="748" spans="1:11">
      <c r="A748" s="1566"/>
      <c r="B748" s="1566"/>
      <c r="C748" s="1566"/>
      <c r="D748" s="1566"/>
      <c r="E748" s="1566"/>
      <c r="F748" s="1566"/>
      <c r="G748" s="1566"/>
      <c r="H748" s="1566"/>
      <c r="I748" s="1566"/>
      <c r="J748" s="1566"/>
      <c r="K748" s="1566"/>
    </row>
    <row r="749" spans="1:11">
      <c r="A749" s="1566"/>
      <c r="B749" s="1566"/>
      <c r="C749" s="1566"/>
      <c r="D749" s="1566"/>
      <c r="E749" s="1566"/>
      <c r="F749" s="1566"/>
      <c r="G749" s="1566"/>
      <c r="H749" s="1566"/>
      <c r="I749" s="1566"/>
      <c r="J749" s="1566"/>
      <c r="K749" s="1566"/>
    </row>
    <row r="750" spans="1:11">
      <c r="A750" s="1566"/>
      <c r="B750" s="1566"/>
      <c r="C750" s="1566"/>
      <c r="D750" s="1566"/>
      <c r="E750" s="1566"/>
      <c r="F750" s="1566"/>
      <c r="G750" s="1566"/>
      <c r="H750" s="1566"/>
      <c r="I750" s="1566"/>
      <c r="J750" s="1566"/>
      <c r="K750" s="1566"/>
    </row>
    <row r="751" spans="1:11">
      <c r="A751" s="1566"/>
      <c r="B751" s="1566"/>
      <c r="C751" s="1566"/>
      <c r="D751" s="1566"/>
      <c r="E751" s="1566"/>
      <c r="F751" s="1566"/>
      <c r="G751" s="1566"/>
      <c r="H751" s="1566"/>
      <c r="I751" s="1566"/>
      <c r="J751" s="1566"/>
      <c r="K751" s="1566"/>
    </row>
    <row r="752" spans="1:11">
      <c r="A752" s="1566"/>
      <c r="B752" s="1566"/>
      <c r="C752" s="1566"/>
      <c r="D752" s="1566"/>
      <c r="E752" s="1566"/>
      <c r="F752" s="1566"/>
      <c r="G752" s="1566"/>
      <c r="H752" s="1566"/>
      <c r="I752" s="1566"/>
      <c r="J752" s="1566"/>
      <c r="K752" s="1566"/>
    </row>
    <row r="753" spans="1:11">
      <c r="A753" s="1566"/>
      <c r="B753" s="1566"/>
      <c r="C753" s="1566"/>
      <c r="D753" s="1566"/>
      <c r="E753" s="1566"/>
      <c r="F753" s="1566"/>
      <c r="G753" s="1566"/>
      <c r="H753" s="1566"/>
      <c r="I753" s="1566"/>
      <c r="J753" s="1566"/>
      <c r="K753" s="1566"/>
    </row>
    <row r="754" spans="1:11">
      <c r="A754" s="1566"/>
      <c r="B754" s="1566"/>
      <c r="C754" s="1566"/>
      <c r="D754" s="1566"/>
      <c r="E754" s="1566"/>
      <c r="F754" s="1566"/>
      <c r="G754" s="1566"/>
      <c r="H754" s="1566"/>
      <c r="I754" s="1566"/>
      <c r="J754" s="1566"/>
      <c r="K754" s="1566"/>
    </row>
    <row r="755" spans="1:11">
      <c r="A755" s="1566"/>
      <c r="B755" s="1566"/>
      <c r="C755" s="1566"/>
      <c r="D755" s="1566"/>
      <c r="E755" s="1566"/>
      <c r="F755" s="1566"/>
      <c r="G755" s="1566"/>
      <c r="H755" s="1566"/>
      <c r="I755" s="1566"/>
      <c r="J755" s="1566"/>
      <c r="K755" s="1566"/>
    </row>
    <row r="756" spans="1:11">
      <c r="A756" s="1566"/>
      <c r="B756" s="1566"/>
      <c r="C756" s="1566"/>
      <c r="D756" s="1566"/>
      <c r="E756" s="1566"/>
      <c r="F756" s="1566"/>
      <c r="G756" s="1566"/>
      <c r="H756" s="1566"/>
      <c r="I756" s="1566"/>
      <c r="J756" s="1566"/>
      <c r="K756" s="1566"/>
    </row>
    <row r="757" spans="1:11">
      <c r="A757" s="1566"/>
      <c r="B757" s="1566"/>
      <c r="C757" s="1566"/>
      <c r="D757" s="1566"/>
      <c r="E757" s="1566"/>
      <c r="F757" s="1566"/>
      <c r="G757" s="1566"/>
      <c r="H757" s="1566"/>
      <c r="I757" s="1566"/>
      <c r="J757" s="1566"/>
      <c r="K757" s="1566"/>
    </row>
    <row r="758" spans="1:11">
      <c r="A758" s="1566"/>
      <c r="B758" s="1566"/>
      <c r="C758" s="1566"/>
      <c r="D758" s="1566"/>
      <c r="E758" s="1566"/>
      <c r="F758" s="1566"/>
      <c r="G758" s="1566"/>
      <c r="H758" s="1566"/>
      <c r="I758" s="1566"/>
      <c r="J758" s="1566"/>
      <c r="K758" s="1566"/>
    </row>
    <row r="759" spans="1:11">
      <c r="A759" s="1566"/>
      <c r="B759" s="1566"/>
      <c r="C759" s="1566"/>
      <c r="D759" s="1566"/>
      <c r="E759" s="1566"/>
      <c r="F759" s="1566"/>
      <c r="G759" s="1566"/>
      <c r="H759" s="1566"/>
      <c r="I759" s="1566"/>
      <c r="J759" s="1566"/>
      <c r="K759" s="1566"/>
    </row>
    <row r="760" spans="1:11">
      <c r="A760" s="1566"/>
      <c r="B760" s="1566"/>
      <c r="C760" s="1566"/>
      <c r="D760" s="1566"/>
      <c r="E760" s="1566"/>
      <c r="F760" s="1566"/>
      <c r="G760" s="1566"/>
      <c r="H760" s="1566"/>
      <c r="I760" s="1566"/>
      <c r="J760" s="1566"/>
      <c r="K760" s="1566"/>
    </row>
    <row r="761" spans="1:11">
      <c r="A761" s="1566"/>
      <c r="B761" s="1566"/>
      <c r="C761" s="1566"/>
      <c r="D761" s="1566"/>
      <c r="E761" s="1566"/>
      <c r="F761" s="1566"/>
      <c r="G761" s="1566"/>
      <c r="H761" s="1566"/>
      <c r="I761" s="1566"/>
      <c r="J761" s="1566"/>
      <c r="K761" s="1566"/>
    </row>
    <row r="762" spans="1:11">
      <c r="A762" s="1566"/>
      <c r="B762" s="1566"/>
      <c r="C762" s="1566"/>
      <c r="D762" s="1566"/>
      <c r="E762" s="1566"/>
      <c r="F762" s="1566"/>
      <c r="G762" s="1566"/>
      <c r="H762" s="1566"/>
      <c r="I762" s="1566"/>
      <c r="J762" s="1566"/>
      <c r="K762" s="1566"/>
    </row>
    <row r="763" spans="1:11">
      <c r="A763" s="1566"/>
      <c r="B763" s="1566"/>
      <c r="C763" s="1566"/>
      <c r="D763" s="1566"/>
      <c r="E763" s="1566"/>
      <c r="F763" s="1566"/>
      <c r="G763" s="1566"/>
      <c r="H763" s="1566"/>
      <c r="I763" s="1566"/>
      <c r="J763" s="1566"/>
      <c r="K763" s="1566"/>
    </row>
    <row r="764" spans="1:11">
      <c r="A764" s="1566"/>
      <c r="B764" s="1566"/>
      <c r="C764" s="1566"/>
      <c r="D764" s="1566"/>
      <c r="E764" s="1566"/>
      <c r="F764" s="1566"/>
      <c r="G764" s="1566"/>
      <c r="H764" s="1566"/>
      <c r="I764" s="1566"/>
      <c r="J764" s="1566"/>
      <c r="K764" s="1566"/>
    </row>
    <row r="765" spans="1:11">
      <c r="A765" s="1566"/>
      <c r="B765" s="1566"/>
      <c r="C765" s="1566"/>
      <c r="D765" s="1566"/>
      <c r="E765" s="1566"/>
      <c r="F765" s="1566"/>
      <c r="G765" s="1566"/>
      <c r="H765" s="1566"/>
      <c r="I765" s="1566"/>
      <c r="J765" s="1566"/>
      <c r="K765" s="1566"/>
    </row>
    <row r="766" spans="1:11">
      <c r="A766" s="1566"/>
      <c r="B766" s="1566"/>
      <c r="C766" s="1566"/>
      <c r="D766" s="1566"/>
      <c r="E766" s="1566"/>
      <c r="F766" s="1566"/>
      <c r="G766" s="1566"/>
      <c r="H766" s="1566"/>
      <c r="I766" s="1566"/>
      <c r="J766" s="1566"/>
      <c r="K766" s="1566"/>
    </row>
    <row r="767" spans="1:11">
      <c r="A767" s="1566"/>
      <c r="B767" s="1566"/>
      <c r="C767" s="1566"/>
      <c r="D767" s="1566"/>
      <c r="E767" s="1566"/>
      <c r="F767" s="1566"/>
      <c r="G767" s="1566"/>
      <c r="H767" s="1566"/>
      <c r="I767" s="1566"/>
      <c r="J767" s="1566"/>
      <c r="K767" s="1566"/>
    </row>
    <row r="768" spans="1:11">
      <c r="A768" s="1566"/>
      <c r="B768" s="1566"/>
      <c r="C768" s="1566"/>
      <c r="D768" s="1566"/>
      <c r="E768" s="1566"/>
      <c r="F768" s="1566"/>
      <c r="G768" s="1566"/>
      <c r="H768" s="1566"/>
      <c r="I768" s="1566"/>
      <c r="J768" s="1566"/>
      <c r="K768" s="1566"/>
    </row>
    <row r="769" spans="1:11">
      <c r="A769" s="1566"/>
      <c r="B769" s="1566"/>
      <c r="C769" s="1566"/>
      <c r="D769" s="1566"/>
      <c r="E769" s="1566"/>
      <c r="F769" s="1566"/>
      <c r="G769" s="1566"/>
      <c r="H769" s="1566"/>
      <c r="I769" s="1566"/>
      <c r="J769" s="1566"/>
      <c r="K769" s="1566"/>
    </row>
    <row r="770" spans="1:11">
      <c r="A770" s="1566"/>
      <c r="B770" s="1566"/>
      <c r="C770" s="1566"/>
      <c r="D770" s="1566"/>
      <c r="E770" s="1566"/>
      <c r="F770" s="1566"/>
      <c r="G770" s="1566"/>
      <c r="H770" s="1566"/>
      <c r="I770" s="1566"/>
      <c r="J770" s="1566"/>
      <c r="K770" s="1566"/>
    </row>
    <row r="771" spans="1:11">
      <c r="A771" s="1566"/>
      <c r="B771" s="1566"/>
      <c r="C771" s="1566"/>
      <c r="D771" s="1566"/>
      <c r="E771" s="1566"/>
      <c r="F771" s="1566"/>
      <c r="G771" s="1566"/>
      <c r="H771" s="1566"/>
      <c r="I771" s="1566"/>
      <c r="J771" s="1566"/>
      <c r="K771" s="1566"/>
    </row>
    <row r="772" spans="1:11">
      <c r="A772" s="1566"/>
      <c r="B772" s="1566"/>
      <c r="C772" s="1566"/>
      <c r="D772" s="1566"/>
      <c r="E772" s="1566"/>
      <c r="F772" s="1566"/>
      <c r="G772" s="1566"/>
      <c r="H772" s="1566"/>
      <c r="I772" s="1566"/>
      <c r="J772" s="1566"/>
      <c r="K772" s="1566"/>
    </row>
    <row r="773" spans="1:11">
      <c r="A773" s="1566"/>
      <c r="B773" s="1566"/>
      <c r="C773" s="1566"/>
      <c r="D773" s="1566"/>
      <c r="E773" s="1566"/>
      <c r="F773" s="1566"/>
      <c r="G773" s="1566"/>
      <c r="H773" s="1566"/>
      <c r="I773" s="1566"/>
      <c r="J773" s="1566"/>
      <c r="K773" s="1566"/>
    </row>
    <row r="774" spans="1:11">
      <c r="A774" s="1566"/>
      <c r="B774" s="1566"/>
      <c r="C774" s="1566"/>
      <c r="D774" s="1566"/>
      <c r="E774" s="1566"/>
      <c r="F774" s="1566"/>
      <c r="G774" s="1566"/>
      <c r="H774" s="1566"/>
      <c r="I774" s="1566"/>
      <c r="J774" s="1566"/>
      <c r="K774" s="1566"/>
    </row>
    <row r="775" spans="1:11">
      <c r="A775" s="1566"/>
      <c r="B775" s="1566"/>
      <c r="C775" s="1566"/>
      <c r="D775" s="1566"/>
      <c r="E775" s="1566"/>
      <c r="F775" s="1566"/>
      <c r="G775" s="1566"/>
      <c r="H775" s="1566"/>
      <c r="I775" s="1566"/>
      <c r="J775" s="1566"/>
      <c r="K775" s="1566"/>
    </row>
    <row r="776" spans="1:11">
      <c r="A776" s="1566"/>
      <c r="B776" s="1566"/>
      <c r="C776" s="1566"/>
      <c r="D776" s="1566"/>
      <c r="E776" s="1566"/>
      <c r="F776" s="1566"/>
      <c r="G776" s="1566"/>
      <c r="H776" s="1566"/>
      <c r="I776" s="1566"/>
      <c r="J776" s="1566"/>
      <c r="K776" s="1566"/>
    </row>
    <row r="777" spans="1:11">
      <c r="A777" s="1566"/>
      <c r="B777" s="1566"/>
      <c r="C777" s="1566"/>
      <c r="D777" s="1566"/>
      <c r="E777" s="1566"/>
      <c r="F777" s="1566"/>
      <c r="G777" s="1566"/>
      <c r="H777" s="1566"/>
      <c r="I777" s="1566"/>
      <c r="J777" s="1566"/>
      <c r="K777" s="1566"/>
    </row>
    <row r="778" spans="1:11">
      <c r="A778" s="1566"/>
      <c r="B778" s="1566"/>
      <c r="C778" s="1566"/>
      <c r="D778" s="1566"/>
      <c r="E778" s="1566"/>
      <c r="F778" s="1566"/>
      <c r="G778" s="1566"/>
      <c r="H778" s="1566"/>
      <c r="I778" s="1566"/>
      <c r="J778" s="1566"/>
      <c r="K778" s="1566"/>
    </row>
    <row r="779" spans="1:11">
      <c r="A779" s="1566"/>
      <c r="B779" s="1566"/>
      <c r="C779" s="1566"/>
      <c r="D779" s="1566"/>
      <c r="E779" s="1566"/>
      <c r="F779" s="1566"/>
      <c r="G779" s="1566"/>
      <c r="H779" s="1566"/>
      <c r="I779" s="1566"/>
      <c r="J779" s="1566"/>
      <c r="K779" s="1566"/>
    </row>
    <row r="780" spans="1:11">
      <c r="A780" s="1566"/>
      <c r="B780" s="1566"/>
      <c r="C780" s="1566"/>
      <c r="D780" s="1566"/>
      <c r="E780" s="1566"/>
      <c r="F780" s="1566"/>
      <c r="G780" s="1566"/>
      <c r="H780" s="1566"/>
      <c r="I780" s="1566"/>
      <c r="J780" s="1566"/>
      <c r="K780" s="1566"/>
    </row>
    <row r="781" spans="1:11">
      <c r="A781" s="1566"/>
      <c r="B781" s="1566"/>
      <c r="C781" s="1566"/>
      <c r="D781" s="1566"/>
      <c r="E781" s="1566"/>
      <c r="F781" s="1566"/>
      <c r="G781" s="1566"/>
      <c r="H781" s="1566"/>
      <c r="I781" s="1566"/>
      <c r="J781" s="1566"/>
      <c r="K781" s="1566"/>
    </row>
    <row r="782" spans="1:11">
      <c r="A782" s="1566"/>
      <c r="B782" s="1566"/>
      <c r="C782" s="1566"/>
      <c r="D782" s="1566"/>
      <c r="E782" s="1566"/>
      <c r="F782" s="1566"/>
      <c r="G782" s="1566"/>
      <c r="H782" s="1566"/>
      <c r="I782" s="1566"/>
      <c r="J782" s="1566"/>
      <c r="K782" s="1566"/>
    </row>
    <row r="783" spans="1:11">
      <c r="A783" s="1566"/>
      <c r="B783" s="1566"/>
      <c r="C783" s="1566"/>
      <c r="D783" s="1566"/>
      <c r="E783" s="1566"/>
      <c r="F783" s="1566"/>
      <c r="G783" s="1566"/>
      <c r="H783" s="1566"/>
      <c r="I783" s="1566"/>
      <c r="J783" s="1566"/>
      <c r="K783" s="1566"/>
    </row>
    <row r="784" spans="1:11">
      <c r="A784" s="1566"/>
      <c r="B784" s="1566"/>
      <c r="C784" s="1566"/>
      <c r="D784" s="1566"/>
      <c r="E784" s="1566"/>
      <c r="F784" s="1566"/>
      <c r="G784" s="1566"/>
      <c r="H784" s="1566"/>
      <c r="I784" s="1566"/>
      <c r="J784" s="1566"/>
      <c r="K784" s="1566"/>
    </row>
    <row r="785" spans="1:11">
      <c r="A785" s="1566"/>
      <c r="B785" s="1566"/>
      <c r="C785" s="1566"/>
      <c r="D785" s="1566"/>
      <c r="E785" s="1566"/>
      <c r="F785" s="1566"/>
      <c r="G785" s="1566"/>
      <c r="H785" s="1566"/>
      <c r="I785" s="1566"/>
      <c r="J785" s="1566"/>
      <c r="K785" s="1566"/>
    </row>
    <row r="786" spans="1:11">
      <c r="A786" s="1566"/>
      <c r="B786" s="1566"/>
      <c r="C786" s="1566"/>
      <c r="D786" s="1566"/>
      <c r="E786" s="1566"/>
      <c r="F786" s="1566"/>
      <c r="G786" s="1566"/>
      <c r="H786" s="1566"/>
      <c r="I786" s="1566"/>
      <c r="J786" s="1566"/>
      <c r="K786" s="1566"/>
    </row>
    <row r="787" spans="1:11">
      <c r="A787" s="1566"/>
      <c r="B787" s="1566"/>
      <c r="C787" s="1566"/>
      <c r="D787" s="1566"/>
      <c r="E787" s="1566"/>
      <c r="F787" s="1566"/>
      <c r="G787" s="1566"/>
      <c r="H787" s="1566"/>
      <c r="I787" s="1566"/>
      <c r="J787" s="1566"/>
      <c r="K787" s="1566"/>
    </row>
    <row r="788" spans="1:11">
      <c r="A788" s="1566"/>
      <c r="B788" s="1566"/>
      <c r="C788" s="1566"/>
      <c r="D788" s="1566"/>
      <c r="E788" s="1566"/>
      <c r="F788" s="1566"/>
      <c r="G788" s="1566"/>
      <c r="H788" s="1566"/>
      <c r="I788" s="1566"/>
      <c r="J788" s="1566"/>
      <c r="K788" s="1566"/>
    </row>
    <row r="789" spans="1:11">
      <c r="A789" s="1566"/>
      <c r="B789" s="1566"/>
      <c r="C789" s="1566"/>
      <c r="D789" s="1566"/>
      <c r="E789" s="1566"/>
      <c r="F789" s="1566"/>
      <c r="G789" s="1566"/>
      <c r="H789" s="1566"/>
      <c r="I789" s="1566"/>
      <c r="J789" s="1566"/>
      <c r="K789" s="1566"/>
    </row>
    <row r="790" spans="1:11">
      <c r="A790" s="1566"/>
      <c r="B790" s="1566"/>
      <c r="C790" s="1566"/>
      <c r="D790" s="1566"/>
      <c r="E790" s="1566"/>
      <c r="F790" s="1566"/>
      <c r="G790" s="1566"/>
      <c r="H790" s="1566"/>
      <c r="I790" s="1566"/>
      <c r="J790" s="1566"/>
      <c r="K790" s="1566"/>
    </row>
    <row r="791" spans="1:11">
      <c r="A791" s="1566"/>
      <c r="B791" s="1566"/>
      <c r="C791" s="1566"/>
      <c r="D791" s="1566"/>
      <c r="E791" s="1566"/>
      <c r="F791" s="1566"/>
      <c r="G791" s="1566"/>
      <c r="H791" s="1566"/>
      <c r="I791" s="1566"/>
      <c r="J791" s="1566"/>
      <c r="K791" s="1566"/>
    </row>
    <row r="792" spans="1:11">
      <c r="A792" s="1566"/>
      <c r="B792" s="1566"/>
      <c r="C792" s="1566"/>
      <c r="D792" s="1566"/>
      <c r="E792" s="1566"/>
      <c r="F792" s="1566"/>
      <c r="G792" s="1566"/>
      <c r="H792" s="1566"/>
      <c r="I792" s="1566"/>
      <c r="J792" s="1566"/>
      <c r="K792" s="1566"/>
    </row>
    <row r="793" spans="1:11">
      <c r="A793" s="1566"/>
      <c r="B793" s="1566"/>
      <c r="C793" s="1566"/>
      <c r="D793" s="1566"/>
      <c r="E793" s="1566"/>
      <c r="F793" s="1566"/>
      <c r="G793" s="1566"/>
      <c r="H793" s="1566"/>
      <c r="I793" s="1566"/>
      <c r="J793" s="1566"/>
      <c r="K793" s="1566"/>
    </row>
    <row r="794" spans="1:11">
      <c r="A794" s="1566"/>
      <c r="B794" s="1566"/>
      <c r="C794" s="1566"/>
      <c r="D794" s="1566"/>
      <c r="E794" s="1566"/>
      <c r="F794" s="1566"/>
      <c r="G794" s="1566"/>
      <c r="H794" s="1566"/>
      <c r="I794" s="1566"/>
      <c r="J794" s="1566"/>
      <c r="K794" s="1566"/>
    </row>
    <row r="795" spans="1:11">
      <c r="A795" s="1566"/>
      <c r="B795" s="1566"/>
      <c r="C795" s="1566"/>
      <c r="D795" s="1566"/>
      <c r="E795" s="1566"/>
      <c r="F795" s="1566"/>
      <c r="G795" s="1566"/>
      <c r="H795" s="1566"/>
      <c r="I795" s="1566"/>
      <c r="J795" s="1566"/>
      <c r="K795" s="1566"/>
    </row>
    <row r="796" spans="1:11">
      <c r="A796" s="1566"/>
      <c r="B796" s="1566"/>
      <c r="C796" s="1566"/>
      <c r="D796" s="1566"/>
      <c r="E796" s="1566"/>
      <c r="F796" s="1566"/>
      <c r="G796" s="1566"/>
      <c r="H796" s="1566"/>
      <c r="I796" s="1566"/>
      <c r="J796" s="1566"/>
      <c r="K796" s="1566"/>
    </row>
    <row r="797" spans="1:11">
      <c r="A797" s="1566"/>
      <c r="B797" s="1566"/>
      <c r="C797" s="1566"/>
      <c r="D797" s="1566"/>
      <c r="E797" s="1566"/>
      <c r="F797" s="1566"/>
      <c r="G797" s="1566"/>
      <c r="H797" s="1566"/>
      <c r="I797" s="1566"/>
      <c r="J797" s="1566"/>
      <c r="K797" s="1566"/>
    </row>
    <row r="798" spans="1:11">
      <c r="A798" s="1566"/>
      <c r="B798" s="1566"/>
      <c r="C798" s="1566"/>
      <c r="D798" s="1566"/>
      <c r="E798" s="1566"/>
      <c r="F798" s="1566"/>
      <c r="G798" s="1566"/>
      <c r="H798" s="1566"/>
      <c r="I798" s="1566"/>
      <c r="J798" s="1566"/>
      <c r="K798" s="1566"/>
    </row>
    <row r="799" spans="1:11">
      <c r="A799" s="1566"/>
      <c r="B799" s="1566"/>
      <c r="C799" s="1566"/>
      <c r="D799" s="1566"/>
      <c r="E799" s="1566"/>
      <c r="F799" s="1566"/>
      <c r="G799" s="1566"/>
      <c r="H799" s="1566"/>
      <c r="I799" s="1566"/>
      <c r="J799" s="1566"/>
      <c r="K799" s="1566"/>
    </row>
    <row r="800" spans="1:11">
      <c r="A800" s="1566"/>
      <c r="B800" s="1566"/>
      <c r="C800" s="1566"/>
      <c r="D800" s="1566"/>
      <c r="E800" s="1566"/>
      <c r="F800" s="1566"/>
      <c r="G800" s="1566"/>
      <c r="H800" s="1566"/>
      <c r="I800" s="1566"/>
      <c r="J800" s="1566"/>
      <c r="K800" s="1566"/>
    </row>
    <row r="801" spans="1:11">
      <c r="A801" s="1566"/>
      <c r="B801" s="1566"/>
      <c r="C801" s="1566"/>
      <c r="D801" s="1566"/>
      <c r="E801" s="1566"/>
      <c r="F801" s="1566"/>
      <c r="G801" s="1566"/>
      <c r="H801" s="1566"/>
      <c r="I801" s="1566"/>
      <c r="J801" s="1566"/>
      <c r="K801" s="1566"/>
    </row>
    <row r="802" spans="1:11">
      <c r="A802" s="1566"/>
      <c r="B802" s="1566"/>
      <c r="C802" s="1566"/>
      <c r="D802" s="1566"/>
      <c r="E802" s="1566"/>
      <c r="F802" s="1566"/>
      <c r="G802" s="1566"/>
      <c r="H802" s="1566"/>
      <c r="I802" s="1566"/>
      <c r="J802" s="1566"/>
      <c r="K802" s="1566"/>
    </row>
    <row r="803" spans="1:11">
      <c r="A803" s="1566"/>
      <c r="B803" s="1566"/>
      <c r="C803" s="1566"/>
      <c r="D803" s="1566"/>
      <c r="E803" s="1566"/>
      <c r="F803" s="1566"/>
      <c r="G803" s="1566"/>
      <c r="H803" s="1566"/>
      <c r="I803" s="1566"/>
      <c r="J803" s="1566"/>
      <c r="K803" s="1566"/>
    </row>
    <row r="804" spans="1:11">
      <c r="A804" s="1566"/>
      <c r="B804" s="1566"/>
      <c r="C804" s="1566"/>
      <c r="D804" s="1566"/>
      <c r="E804" s="1566"/>
      <c r="F804" s="1566"/>
      <c r="G804" s="1566"/>
      <c r="H804" s="1566"/>
      <c r="I804" s="1566"/>
      <c r="J804" s="1566"/>
      <c r="K804" s="1566"/>
    </row>
    <row r="805" spans="1:11">
      <c r="A805" s="1566"/>
      <c r="B805" s="1566"/>
      <c r="C805" s="1566"/>
      <c r="D805" s="1566"/>
      <c r="E805" s="1566"/>
      <c r="F805" s="1566"/>
      <c r="G805" s="1566"/>
      <c r="H805" s="1566"/>
      <c r="I805" s="1566"/>
      <c r="J805" s="1566"/>
      <c r="K805" s="1566"/>
    </row>
    <row r="806" spans="1:11">
      <c r="A806" s="1566"/>
      <c r="B806" s="1566"/>
      <c r="C806" s="1566"/>
      <c r="D806" s="1566"/>
      <c r="E806" s="1566"/>
      <c r="F806" s="1566"/>
      <c r="G806" s="1566"/>
      <c r="H806" s="1566"/>
      <c r="I806" s="1566"/>
      <c r="J806" s="1566"/>
      <c r="K806" s="1566"/>
    </row>
    <row r="807" spans="1:11">
      <c r="A807" s="1566"/>
      <c r="B807" s="1566"/>
      <c r="C807" s="1566"/>
      <c r="D807" s="1566"/>
      <c r="E807" s="1566"/>
      <c r="F807" s="1566"/>
      <c r="G807" s="1566"/>
      <c r="H807" s="1566"/>
      <c r="I807" s="1566"/>
      <c r="J807" s="1566"/>
      <c r="K807" s="1566"/>
    </row>
    <row r="808" spans="1:11">
      <c r="A808" s="1566"/>
      <c r="B808" s="1566"/>
      <c r="C808" s="1566"/>
      <c r="D808" s="1566"/>
      <c r="E808" s="1566"/>
      <c r="F808" s="1566"/>
      <c r="G808" s="1566"/>
      <c r="H808" s="1566"/>
      <c r="I808" s="1566"/>
      <c r="J808" s="1566"/>
      <c r="K808" s="1566"/>
    </row>
    <row r="809" spans="1:11">
      <c r="A809" s="1566"/>
      <c r="B809" s="1566"/>
      <c r="C809" s="1566"/>
      <c r="D809" s="1566"/>
      <c r="E809" s="1566"/>
      <c r="F809" s="1566"/>
      <c r="G809" s="1566"/>
      <c r="H809" s="1566"/>
      <c r="I809" s="1566"/>
      <c r="J809" s="1566"/>
      <c r="K809" s="1566"/>
    </row>
    <row r="810" spans="1:11">
      <c r="A810" s="1566"/>
      <c r="B810" s="1566"/>
      <c r="C810" s="1566"/>
      <c r="D810" s="1566"/>
      <c r="E810" s="1566"/>
      <c r="F810" s="1566"/>
      <c r="G810" s="1566"/>
      <c r="H810" s="1566"/>
      <c r="I810" s="1566"/>
      <c r="J810" s="1566"/>
      <c r="K810" s="1566"/>
    </row>
    <row r="811" spans="1:11">
      <c r="A811" s="1566"/>
      <c r="B811" s="1566"/>
      <c r="C811" s="1566"/>
      <c r="D811" s="1566"/>
      <c r="E811" s="1566"/>
      <c r="F811" s="1566"/>
      <c r="G811" s="1566"/>
      <c r="H811" s="1566"/>
      <c r="I811" s="1566"/>
      <c r="J811" s="1566"/>
      <c r="K811" s="1566"/>
    </row>
    <row r="812" spans="1:11">
      <c r="A812" s="1566"/>
      <c r="B812" s="1566"/>
      <c r="C812" s="1566"/>
      <c r="D812" s="1566"/>
      <c r="E812" s="1566"/>
      <c r="F812" s="1566"/>
      <c r="G812" s="1566"/>
      <c r="H812" s="1566"/>
      <c r="I812" s="1566"/>
      <c r="J812" s="1566"/>
      <c r="K812" s="1566"/>
    </row>
    <row r="813" spans="1:11">
      <c r="A813" s="1566"/>
      <c r="B813" s="1566"/>
      <c r="C813" s="1566"/>
      <c r="D813" s="1566"/>
      <c r="E813" s="1566"/>
      <c r="F813" s="1566"/>
      <c r="G813" s="1566"/>
      <c r="H813" s="1566"/>
      <c r="I813" s="1566"/>
      <c r="J813" s="1566"/>
      <c r="K813" s="1566"/>
    </row>
    <row r="814" spans="1:11">
      <c r="A814" s="1566"/>
      <c r="B814" s="1566"/>
      <c r="C814" s="1566"/>
      <c r="D814" s="1566"/>
      <c r="E814" s="1566"/>
      <c r="F814" s="1566"/>
      <c r="G814" s="1566"/>
      <c r="H814" s="1566"/>
      <c r="I814" s="1566"/>
      <c r="J814" s="1566"/>
      <c r="K814" s="1566"/>
    </row>
    <row r="815" spans="1:11">
      <c r="A815" s="1566"/>
      <c r="B815" s="1566"/>
      <c r="C815" s="1566"/>
      <c r="D815" s="1566"/>
      <c r="E815" s="1566"/>
      <c r="F815" s="1566"/>
      <c r="G815" s="1566"/>
      <c r="H815" s="1566"/>
      <c r="I815" s="1566"/>
      <c r="J815" s="1566"/>
      <c r="K815" s="1566"/>
    </row>
    <row r="816" spans="1:11">
      <c r="A816" s="1566"/>
      <c r="B816" s="1566"/>
      <c r="C816" s="1566"/>
      <c r="D816" s="1566"/>
      <c r="E816" s="1566"/>
      <c r="F816" s="1566"/>
      <c r="G816" s="1566"/>
      <c r="H816" s="1566"/>
      <c r="I816" s="1566"/>
      <c r="J816" s="1566"/>
      <c r="K816" s="1566"/>
    </row>
    <row r="817" spans="1:11">
      <c r="A817" s="1566"/>
      <c r="B817" s="1566"/>
      <c r="C817" s="1566"/>
      <c r="D817" s="1566"/>
      <c r="E817" s="1566"/>
      <c r="F817" s="1566"/>
      <c r="G817" s="1566"/>
      <c r="H817" s="1566"/>
      <c r="I817" s="1566"/>
      <c r="J817" s="1566"/>
      <c r="K817" s="1566"/>
    </row>
    <row r="818" spans="1:11">
      <c r="A818" s="1566"/>
      <c r="B818" s="1566"/>
      <c r="C818" s="1566"/>
      <c r="D818" s="1566"/>
      <c r="E818" s="1566"/>
      <c r="F818" s="1566"/>
      <c r="G818" s="1566"/>
      <c r="H818" s="1566"/>
      <c r="I818" s="1566"/>
      <c r="J818" s="1566"/>
      <c r="K818" s="1566"/>
    </row>
    <row r="819" spans="1:11">
      <c r="A819" s="1566"/>
      <c r="B819" s="1566"/>
      <c r="C819" s="1566"/>
      <c r="D819" s="1566"/>
      <c r="E819" s="1566"/>
      <c r="F819" s="1566"/>
      <c r="G819" s="1566"/>
      <c r="H819" s="1566"/>
      <c r="I819" s="1566"/>
      <c r="J819" s="1566"/>
      <c r="K819" s="1566"/>
    </row>
    <row r="820" spans="1:11">
      <c r="A820" s="1566"/>
      <c r="B820" s="1566"/>
      <c r="C820" s="1566"/>
      <c r="D820" s="1566"/>
      <c r="E820" s="1566"/>
      <c r="F820" s="1566"/>
      <c r="G820" s="1566"/>
      <c r="H820" s="1566"/>
      <c r="I820" s="1566"/>
      <c r="J820" s="1566"/>
      <c r="K820" s="1566"/>
    </row>
    <row r="821" spans="1:11">
      <c r="A821" s="1566"/>
      <c r="B821" s="1566"/>
      <c r="C821" s="1566"/>
      <c r="D821" s="1566"/>
      <c r="E821" s="1566"/>
      <c r="F821" s="1566"/>
      <c r="G821" s="1566"/>
      <c r="H821" s="1566"/>
      <c r="I821" s="1566"/>
      <c r="J821" s="1566"/>
      <c r="K821" s="1566"/>
    </row>
    <row r="822" spans="1:11">
      <c r="A822" s="1566"/>
      <c r="B822" s="1566"/>
      <c r="C822" s="1566"/>
      <c r="D822" s="1566"/>
      <c r="E822" s="1566"/>
      <c r="F822" s="1566"/>
      <c r="G822" s="1566"/>
      <c r="H822" s="1566"/>
      <c r="I822" s="1566"/>
      <c r="J822" s="1566"/>
      <c r="K822" s="1566"/>
    </row>
    <row r="823" spans="1:11">
      <c r="A823" s="1566"/>
      <c r="B823" s="1566"/>
      <c r="C823" s="1566"/>
      <c r="D823" s="1566"/>
      <c r="E823" s="1566"/>
      <c r="F823" s="1566"/>
      <c r="G823" s="1566"/>
      <c r="H823" s="1566"/>
      <c r="I823" s="1566"/>
      <c r="J823" s="1566"/>
      <c r="K823" s="1566"/>
    </row>
    <row r="824" spans="1:11">
      <c r="A824" s="1566"/>
      <c r="B824" s="1566"/>
      <c r="C824" s="1566"/>
      <c r="D824" s="1566"/>
      <c r="E824" s="1566"/>
      <c r="F824" s="1566"/>
      <c r="G824" s="1566"/>
      <c r="H824" s="1566"/>
      <c r="I824" s="1566"/>
      <c r="J824" s="1566"/>
      <c r="K824" s="1566"/>
    </row>
    <row r="825" spans="1:11">
      <c r="A825" s="1566"/>
      <c r="B825" s="1566"/>
      <c r="C825" s="1566"/>
      <c r="D825" s="1566"/>
      <c r="E825" s="1566"/>
      <c r="F825" s="1566"/>
      <c r="G825" s="1566"/>
      <c r="H825" s="1566"/>
      <c r="I825" s="1566"/>
      <c r="J825" s="1566"/>
      <c r="K825" s="1566"/>
    </row>
    <row r="826" spans="1:11">
      <c r="A826" s="1566"/>
      <c r="B826" s="1566"/>
      <c r="C826" s="1566"/>
      <c r="D826" s="1566"/>
      <c r="E826" s="1566"/>
      <c r="F826" s="1566"/>
      <c r="G826" s="1566"/>
      <c r="H826" s="1566"/>
      <c r="I826" s="1566"/>
      <c r="J826" s="1566"/>
      <c r="K826" s="1566"/>
    </row>
    <row r="827" spans="1:11">
      <c r="A827" s="1566"/>
      <c r="B827" s="1566"/>
      <c r="C827" s="1566"/>
      <c r="D827" s="1566"/>
      <c r="E827" s="1566"/>
      <c r="F827" s="1566"/>
      <c r="G827" s="1566"/>
      <c r="H827" s="1566"/>
      <c r="I827" s="1566"/>
      <c r="J827" s="1566"/>
      <c r="K827" s="1566"/>
    </row>
    <row r="828" spans="1:11">
      <c r="A828" s="1566"/>
      <c r="B828" s="1566"/>
      <c r="C828" s="1566"/>
      <c r="D828" s="1566"/>
      <c r="E828" s="1566"/>
      <c r="F828" s="1566"/>
      <c r="G828" s="1566"/>
      <c r="H828" s="1566"/>
      <c r="I828" s="1566"/>
      <c r="J828" s="1566"/>
      <c r="K828" s="1566"/>
    </row>
    <row r="829" spans="1:11">
      <c r="A829" s="1566"/>
      <c r="B829" s="1566"/>
      <c r="C829" s="1566"/>
      <c r="D829" s="1566"/>
      <c r="E829" s="1566"/>
      <c r="F829" s="1566"/>
      <c r="G829" s="1566"/>
      <c r="H829" s="1566"/>
      <c r="I829" s="1566"/>
      <c r="J829" s="1566"/>
      <c r="K829" s="1566"/>
    </row>
    <row r="830" spans="1:11">
      <c r="A830" s="1566"/>
      <c r="B830" s="1566"/>
      <c r="C830" s="1566"/>
      <c r="D830" s="1566"/>
      <c r="E830" s="1566"/>
      <c r="F830" s="1566"/>
      <c r="G830" s="1566"/>
      <c r="H830" s="1566"/>
      <c r="I830" s="1566"/>
      <c r="J830" s="1566"/>
      <c r="K830" s="1566"/>
    </row>
    <row r="831" spans="1:11">
      <c r="A831" s="1566"/>
      <c r="B831" s="1566"/>
      <c r="C831" s="1566"/>
      <c r="D831" s="1566"/>
      <c r="E831" s="1566"/>
      <c r="F831" s="1566"/>
      <c r="G831" s="1566"/>
      <c r="H831" s="1566"/>
      <c r="I831" s="1566"/>
      <c r="J831" s="1566"/>
      <c r="K831" s="1566"/>
    </row>
    <row r="832" spans="1:11">
      <c r="A832" s="1566"/>
      <c r="B832" s="1566"/>
      <c r="C832" s="1566"/>
      <c r="D832" s="1566"/>
      <c r="E832" s="1566"/>
      <c r="F832" s="1566"/>
      <c r="G832" s="1566"/>
      <c r="H832" s="1566"/>
      <c r="I832" s="1566"/>
      <c r="J832" s="1566"/>
      <c r="K832" s="1566"/>
    </row>
    <row r="833" spans="1:11">
      <c r="A833" s="1566"/>
      <c r="B833" s="1566"/>
      <c r="C833" s="1566"/>
      <c r="D833" s="1566"/>
      <c r="E833" s="1566"/>
      <c r="F833" s="1566"/>
      <c r="G833" s="1566"/>
      <c r="H833" s="1566"/>
      <c r="I833" s="1566"/>
      <c r="J833" s="1566"/>
      <c r="K833" s="1566"/>
    </row>
    <row r="834" spans="1:11">
      <c r="A834" s="1566"/>
      <c r="B834" s="1566"/>
      <c r="C834" s="1566"/>
      <c r="D834" s="1566"/>
      <c r="E834" s="1566"/>
      <c r="F834" s="1566"/>
      <c r="G834" s="1566"/>
      <c r="H834" s="1566"/>
      <c r="I834" s="1566"/>
      <c r="J834" s="1566"/>
      <c r="K834" s="1566"/>
    </row>
    <row r="835" spans="1:11">
      <c r="A835" s="1566"/>
      <c r="B835" s="1566"/>
      <c r="C835" s="1566"/>
      <c r="D835" s="1566"/>
      <c r="E835" s="1566"/>
      <c r="F835" s="1566"/>
      <c r="G835" s="1566"/>
      <c r="H835" s="1566"/>
      <c r="I835" s="1566"/>
      <c r="J835" s="1566"/>
      <c r="K835" s="1566"/>
    </row>
    <row r="836" spans="1:11">
      <c r="A836" s="1566"/>
      <c r="B836" s="1566"/>
      <c r="C836" s="1566"/>
      <c r="D836" s="1566"/>
      <c r="E836" s="1566"/>
      <c r="F836" s="1566"/>
      <c r="G836" s="1566"/>
      <c r="H836" s="1566"/>
      <c r="I836" s="1566"/>
      <c r="J836" s="1566"/>
      <c r="K836" s="1566"/>
    </row>
    <row r="837" spans="1:11">
      <c r="A837" s="1566"/>
      <c r="B837" s="1566"/>
      <c r="C837" s="1566"/>
      <c r="D837" s="1566"/>
      <c r="E837" s="1566"/>
      <c r="F837" s="1566"/>
      <c r="G837" s="1566"/>
      <c r="H837" s="1566"/>
      <c r="I837" s="1566"/>
      <c r="J837" s="1566"/>
      <c r="K837" s="1566"/>
    </row>
    <row r="838" spans="1:11">
      <c r="A838" s="1566"/>
      <c r="B838" s="1566"/>
      <c r="C838" s="1566"/>
      <c r="D838" s="1566"/>
      <c r="E838" s="1566"/>
      <c r="F838" s="1566"/>
      <c r="G838" s="1566"/>
      <c r="H838" s="1566"/>
      <c r="I838" s="1566"/>
      <c r="J838" s="1566"/>
      <c r="K838" s="1566"/>
    </row>
    <row r="839" spans="1:11">
      <c r="A839" s="1566"/>
      <c r="B839" s="1566"/>
      <c r="C839" s="1566"/>
      <c r="D839" s="1566"/>
      <c r="E839" s="1566"/>
      <c r="F839" s="1566"/>
      <c r="G839" s="1566"/>
      <c r="H839" s="1566"/>
      <c r="I839" s="1566"/>
      <c r="J839" s="1566"/>
      <c r="K839" s="1566"/>
    </row>
    <row r="840" spans="1:11">
      <c r="A840" s="1566"/>
      <c r="B840" s="1566"/>
      <c r="C840" s="1566"/>
      <c r="D840" s="1566"/>
      <c r="E840" s="1566"/>
      <c r="F840" s="1566"/>
      <c r="G840" s="1566"/>
      <c r="H840" s="1566"/>
      <c r="I840" s="1566"/>
      <c r="J840" s="1566"/>
      <c r="K840" s="1566"/>
    </row>
    <row r="841" spans="1:11">
      <c r="A841" s="1566"/>
      <c r="B841" s="1566"/>
      <c r="C841" s="1566"/>
      <c r="D841" s="1566"/>
      <c r="E841" s="1566"/>
      <c r="F841" s="1566"/>
      <c r="G841" s="1566"/>
      <c r="H841" s="1566"/>
      <c r="I841" s="1566"/>
      <c r="J841" s="1566"/>
      <c r="K841" s="1566"/>
    </row>
    <row r="842" spans="1:11">
      <c r="A842" s="1566"/>
      <c r="B842" s="1566"/>
      <c r="C842" s="1566"/>
      <c r="D842" s="1566"/>
      <c r="E842" s="1566"/>
      <c r="F842" s="1566"/>
      <c r="G842" s="1566"/>
      <c r="H842" s="1566"/>
      <c r="I842" s="1566"/>
      <c r="J842" s="1566"/>
      <c r="K842" s="1566"/>
    </row>
    <row r="843" spans="1:11">
      <c r="A843" s="1566"/>
      <c r="B843" s="1566"/>
      <c r="C843" s="1566"/>
      <c r="D843" s="1566"/>
      <c r="E843" s="1566"/>
      <c r="F843" s="1566"/>
      <c r="G843" s="1566"/>
      <c r="H843" s="1566"/>
      <c r="I843" s="1566"/>
      <c r="J843" s="1566"/>
      <c r="K843" s="1566"/>
    </row>
    <row r="844" spans="1:11">
      <c r="A844" s="1566"/>
      <c r="B844" s="1566"/>
      <c r="C844" s="1566"/>
      <c r="D844" s="1566"/>
      <c r="E844" s="1566"/>
      <c r="F844" s="1566"/>
      <c r="G844" s="1566"/>
      <c r="H844" s="1566"/>
      <c r="I844" s="1566"/>
      <c r="J844" s="1566"/>
      <c r="K844" s="1566"/>
    </row>
    <row r="845" spans="1:11">
      <c r="A845" s="1566"/>
      <c r="B845" s="1566"/>
      <c r="C845" s="1566"/>
      <c r="D845" s="1566"/>
      <c r="E845" s="1566"/>
      <c r="F845" s="1566"/>
      <c r="G845" s="1566"/>
      <c r="H845" s="1566"/>
      <c r="I845" s="1566"/>
      <c r="J845" s="1566"/>
      <c r="K845" s="1566"/>
    </row>
    <row r="846" spans="1:11">
      <c r="A846" s="1566"/>
      <c r="B846" s="1566"/>
      <c r="C846" s="1566"/>
      <c r="D846" s="1566"/>
      <c r="E846" s="1566"/>
      <c r="F846" s="1566"/>
      <c r="G846" s="1566"/>
      <c r="H846" s="1566"/>
      <c r="I846" s="1566"/>
      <c r="J846" s="1566"/>
      <c r="K846" s="1566"/>
    </row>
    <row r="847" spans="1:11">
      <c r="A847" s="1566"/>
      <c r="B847" s="1566"/>
      <c r="C847" s="1566"/>
      <c r="D847" s="1566"/>
      <c r="E847" s="1566"/>
      <c r="F847" s="1566"/>
      <c r="G847" s="1566"/>
      <c r="H847" s="1566"/>
      <c r="I847" s="1566"/>
      <c r="J847" s="1566"/>
      <c r="K847" s="1566"/>
    </row>
    <row r="848" spans="1:11">
      <c r="A848" s="1566"/>
      <c r="B848" s="1566"/>
      <c r="C848" s="1566"/>
      <c r="D848" s="1566"/>
      <c r="E848" s="1566"/>
      <c r="F848" s="1566"/>
      <c r="G848" s="1566"/>
      <c r="H848" s="1566"/>
      <c r="I848" s="1566"/>
      <c r="J848" s="1566"/>
      <c r="K848" s="1566"/>
    </row>
    <row r="849" spans="1:11">
      <c r="A849" s="1566"/>
      <c r="B849" s="1566"/>
      <c r="C849" s="1566"/>
      <c r="D849" s="1566"/>
      <c r="E849" s="1566"/>
      <c r="F849" s="1566"/>
      <c r="G849" s="1566"/>
      <c r="H849" s="1566"/>
      <c r="I849" s="1566"/>
      <c r="J849" s="1566"/>
      <c r="K849" s="1566"/>
    </row>
    <row r="850" spans="1:11">
      <c r="A850" s="1566"/>
      <c r="B850" s="1566"/>
      <c r="C850" s="1566"/>
      <c r="D850" s="1566"/>
      <c r="E850" s="1566"/>
      <c r="F850" s="1566"/>
      <c r="G850" s="1566"/>
      <c r="H850" s="1566"/>
      <c r="I850" s="1566"/>
      <c r="J850" s="1566"/>
      <c r="K850" s="1566"/>
    </row>
    <row r="851" spans="1:11">
      <c r="A851" s="1566"/>
      <c r="B851" s="1566"/>
      <c r="C851" s="1566"/>
      <c r="D851" s="1566"/>
      <c r="E851" s="1566"/>
      <c r="F851" s="1566"/>
      <c r="G851" s="1566"/>
      <c r="H851" s="1566"/>
      <c r="I851" s="1566"/>
      <c r="J851" s="1566"/>
      <c r="K851" s="1566"/>
    </row>
    <row r="852" spans="1:11">
      <c r="A852" s="1566"/>
      <c r="B852" s="1566"/>
      <c r="C852" s="1566"/>
      <c r="D852" s="1566"/>
      <c r="E852" s="1566"/>
      <c r="F852" s="1566"/>
      <c r="G852" s="1566"/>
      <c r="H852" s="1566"/>
      <c r="I852" s="1566"/>
      <c r="J852" s="1566"/>
      <c r="K852" s="1566"/>
    </row>
    <row r="853" spans="1:11">
      <c r="A853" s="1566"/>
      <c r="B853" s="1566"/>
      <c r="C853" s="1566"/>
      <c r="D853" s="1566"/>
      <c r="E853" s="1566"/>
      <c r="F853" s="1566"/>
      <c r="G853" s="1566"/>
      <c r="H853" s="1566"/>
      <c r="I853" s="1566"/>
      <c r="J853" s="1566"/>
      <c r="K853" s="1566"/>
    </row>
    <row r="854" spans="1:11">
      <c r="A854" s="1566"/>
      <c r="B854" s="1566"/>
      <c r="C854" s="1566"/>
      <c r="D854" s="1566"/>
      <c r="E854" s="1566"/>
      <c r="F854" s="1566"/>
      <c r="G854" s="1566"/>
      <c r="H854" s="1566"/>
      <c r="I854" s="1566"/>
      <c r="J854" s="1566"/>
      <c r="K854" s="1566"/>
    </row>
    <row r="855" spans="1:11">
      <c r="A855" s="1566"/>
      <c r="B855" s="1566"/>
      <c r="C855" s="1566"/>
      <c r="D855" s="1566"/>
      <c r="E855" s="1566"/>
      <c r="F855" s="1566"/>
      <c r="G855" s="1566"/>
      <c r="H855" s="1566"/>
      <c r="I855" s="1566"/>
      <c r="J855" s="1566"/>
      <c r="K855" s="1566"/>
    </row>
    <row r="856" spans="1:11">
      <c r="A856" s="1566"/>
      <c r="B856" s="1566"/>
      <c r="C856" s="1566"/>
      <c r="D856" s="1566"/>
      <c r="E856" s="1566"/>
      <c r="F856" s="1566"/>
      <c r="G856" s="1566"/>
      <c r="H856" s="1566"/>
      <c r="I856" s="1566"/>
      <c r="J856" s="1566"/>
      <c r="K856" s="1566"/>
    </row>
    <row r="857" spans="1:11">
      <c r="A857" s="1566"/>
      <c r="B857" s="1566"/>
      <c r="C857" s="1566"/>
      <c r="D857" s="1566"/>
      <c r="E857" s="1566"/>
      <c r="F857" s="1566"/>
      <c r="G857" s="1566"/>
      <c r="H857" s="1566"/>
      <c r="I857" s="1566"/>
      <c r="J857" s="1566"/>
      <c r="K857" s="1566"/>
    </row>
    <row r="858" spans="1:11">
      <c r="A858" s="1566"/>
      <c r="B858" s="1566"/>
      <c r="C858" s="1566"/>
      <c r="D858" s="1566"/>
      <c r="E858" s="1566"/>
      <c r="F858" s="1566"/>
      <c r="G858" s="1566"/>
      <c r="H858" s="1566"/>
      <c r="I858" s="1566"/>
      <c r="J858" s="1566"/>
      <c r="K858" s="1566"/>
    </row>
    <row r="859" spans="1:11">
      <c r="A859" s="1566"/>
      <c r="B859" s="1566"/>
      <c r="C859" s="1566"/>
      <c r="D859" s="1566"/>
      <c r="E859" s="1566"/>
      <c r="F859" s="1566"/>
      <c r="G859" s="1566"/>
      <c r="H859" s="1566"/>
      <c r="I859" s="1566"/>
      <c r="J859" s="1566"/>
      <c r="K859" s="1566"/>
    </row>
    <row r="860" spans="1:11">
      <c r="A860" s="1566"/>
      <c r="B860" s="1566"/>
      <c r="C860" s="1566"/>
      <c r="D860" s="1566"/>
      <c r="E860" s="1566"/>
      <c r="F860" s="1566"/>
      <c r="G860" s="1566"/>
      <c r="H860" s="1566"/>
      <c r="I860" s="1566"/>
      <c r="J860" s="1566"/>
      <c r="K860" s="1566"/>
    </row>
    <row r="861" spans="1:11">
      <c r="A861" s="1566"/>
      <c r="B861" s="1566"/>
      <c r="C861" s="1566"/>
      <c r="D861" s="1566"/>
      <c r="E861" s="1566"/>
      <c r="F861" s="1566"/>
      <c r="G861" s="1566"/>
      <c r="H861" s="1566"/>
      <c r="I861" s="1566"/>
      <c r="J861" s="1566"/>
      <c r="K861" s="1566"/>
    </row>
    <row r="862" spans="1:11">
      <c r="A862" s="1566"/>
      <c r="B862" s="1566"/>
      <c r="C862" s="1566"/>
      <c r="D862" s="1566"/>
      <c r="E862" s="1566"/>
      <c r="F862" s="1566"/>
      <c r="G862" s="1566"/>
      <c r="H862" s="1566"/>
      <c r="I862" s="1566"/>
      <c r="J862" s="1566"/>
      <c r="K862" s="1566"/>
    </row>
    <row r="863" spans="1:11">
      <c r="A863" s="1566"/>
      <c r="B863" s="1566"/>
      <c r="C863" s="1566"/>
      <c r="D863" s="1566"/>
      <c r="E863" s="1566"/>
      <c r="F863" s="1566"/>
      <c r="G863" s="1566"/>
      <c r="H863" s="1566"/>
      <c r="I863" s="1566"/>
      <c r="J863" s="1566"/>
      <c r="K863" s="1566"/>
    </row>
    <row r="864" spans="1:11">
      <c r="A864" s="1566"/>
      <c r="B864" s="1566"/>
      <c r="C864" s="1566"/>
      <c r="D864" s="1566"/>
      <c r="E864" s="1566"/>
      <c r="F864" s="1566"/>
      <c r="G864" s="1566"/>
      <c r="H864" s="1566"/>
      <c r="I864" s="1566"/>
      <c r="J864" s="1566"/>
      <c r="K864" s="1566"/>
    </row>
    <row r="865" spans="1:11">
      <c r="A865" s="1566"/>
      <c r="B865" s="1566"/>
      <c r="C865" s="1566"/>
      <c r="D865" s="1566"/>
      <c r="E865" s="1566"/>
      <c r="F865" s="1566"/>
      <c r="G865" s="1566"/>
      <c r="H865" s="1566"/>
      <c r="I865" s="1566"/>
      <c r="J865" s="1566"/>
      <c r="K865" s="1566"/>
    </row>
    <row r="866" spans="1:11">
      <c r="A866" s="1566"/>
      <c r="B866" s="1566"/>
      <c r="C866" s="1566"/>
      <c r="D866" s="1566"/>
      <c r="E866" s="1566"/>
      <c r="F866" s="1566"/>
      <c r="G866" s="1566"/>
      <c r="H866" s="1566"/>
      <c r="I866" s="1566"/>
      <c r="J866" s="1566"/>
      <c r="K866" s="1566"/>
    </row>
    <row r="867" spans="1:11">
      <c r="A867" s="1566"/>
      <c r="B867" s="1566"/>
      <c r="C867" s="1566"/>
      <c r="D867" s="1566"/>
      <c r="E867" s="1566"/>
      <c r="F867" s="1566"/>
      <c r="G867" s="1566"/>
      <c r="H867" s="1566"/>
      <c r="I867" s="1566"/>
      <c r="J867" s="1566"/>
      <c r="K867" s="1566"/>
    </row>
    <row r="868" spans="1:11">
      <c r="A868" s="1566"/>
      <c r="B868" s="1566"/>
      <c r="C868" s="1566"/>
      <c r="D868" s="1566"/>
      <c r="E868" s="1566"/>
      <c r="F868" s="1566"/>
      <c r="G868" s="1566"/>
      <c r="H868" s="1566"/>
      <c r="I868" s="1566"/>
      <c r="J868" s="1566"/>
      <c r="K868" s="1566"/>
    </row>
    <row r="869" spans="1:11">
      <c r="A869" s="1566"/>
      <c r="B869" s="1566"/>
      <c r="C869" s="1566"/>
      <c r="D869" s="1566"/>
      <c r="E869" s="1566"/>
      <c r="F869" s="1566"/>
      <c r="G869" s="1566"/>
      <c r="H869" s="1566"/>
      <c r="I869" s="1566"/>
      <c r="J869" s="1566"/>
      <c r="K869" s="1566"/>
    </row>
    <row r="870" spans="1:11">
      <c r="A870" s="1566"/>
      <c r="B870" s="1566"/>
      <c r="C870" s="1566"/>
      <c r="D870" s="1566"/>
      <c r="E870" s="1566"/>
      <c r="F870" s="1566"/>
      <c r="G870" s="1566"/>
      <c r="H870" s="1566"/>
      <c r="I870" s="1566"/>
      <c r="J870" s="1566"/>
      <c r="K870" s="1566"/>
    </row>
    <row r="871" spans="1:11">
      <c r="A871" s="1566"/>
      <c r="B871" s="1566"/>
      <c r="C871" s="1566"/>
      <c r="D871" s="1566"/>
      <c r="E871" s="1566"/>
      <c r="F871" s="1566"/>
      <c r="G871" s="1566"/>
      <c r="H871" s="1566"/>
      <c r="I871" s="1566"/>
      <c r="J871" s="1566"/>
      <c r="K871" s="1566"/>
    </row>
    <row r="872" spans="1:11">
      <c r="A872" s="1566"/>
      <c r="B872" s="1566"/>
      <c r="C872" s="1566"/>
      <c r="D872" s="1566"/>
      <c r="E872" s="1566"/>
      <c r="F872" s="1566"/>
      <c r="G872" s="1566"/>
      <c r="H872" s="1566"/>
      <c r="I872" s="1566"/>
      <c r="J872" s="1566"/>
      <c r="K872" s="1566"/>
    </row>
    <row r="873" spans="1:11">
      <c r="A873" s="1566"/>
      <c r="B873" s="1566"/>
      <c r="C873" s="1566"/>
      <c r="D873" s="1566"/>
      <c r="E873" s="1566"/>
      <c r="F873" s="1566"/>
      <c r="G873" s="1566"/>
      <c r="H873" s="1566"/>
      <c r="I873" s="1566"/>
      <c r="J873" s="1566"/>
      <c r="K873" s="1566"/>
    </row>
    <row r="874" spans="1:11">
      <c r="A874" s="1566"/>
      <c r="B874" s="1566"/>
      <c r="C874" s="1566"/>
      <c r="D874" s="1566"/>
      <c r="E874" s="1566"/>
      <c r="F874" s="1566"/>
      <c r="G874" s="1566"/>
      <c r="H874" s="1566"/>
      <c r="I874" s="1566"/>
      <c r="J874" s="1566"/>
      <c r="K874" s="1566"/>
    </row>
    <row r="875" spans="1:11">
      <c r="A875" s="1566"/>
      <c r="B875" s="1566"/>
      <c r="C875" s="1566"/>
      <c r="D875" s="1566"/>
      <c r="E875" s="1566"/>
      <c r="F875" s="1566"/>
      <c r="G875" s="1566"/>
      <c r="H875" s="1566"/>
      <c r="I875" s="1566"/>
      <c r="J875" s="1566"/>
      <c r="K875" s="1566"/>
    </row>
    <row r="876" spans="1:11">
      <c r="A876" s="1566"/>
      <c r="B876" s="1566"/>
      <c r="C876" s="1566"/>
      <c r="D876" s="1566"/>
      <c r="E876" s="1566"/>
      <c r="F876" s="1566"/>
      <c r="G876" s="1566"/>
      <c r="H876" s="1566"/>
      <c r="I876" s="1566"/>
      <c r="J876" s="1566"/>
      <c r="K876" s="1566"/>
    </row>
    <row r="877" spans="1:11">
      <c r="A877" s="1566"/>
      <c r="B877" s="1566"/>
      <c r="C877" s="1566"/>
      <c r="D877" s="1566"/>
      <c r="E877" s="1566"/>
      <c r="F877" s="1566"/>
      <c r="G877" s="1566"/>
      <c r="H877" s="1566"/>
      <c r="I877" s="1566"/>
      <c r="J877" s="1566"/>
      <c r="K877" s="1566"/>
    </row>
    <row r="878" spans="1:11">
      <c r="A878" s="1566"/>
      <c r="B878" s="1566"/>
      <c r="C878" s="1566"/>
      <c r="D878" s="1566"/>
      <c r="E878" s="1566"/>
      <c r="F878" s="1566"/>
      <c r="G878" s="1566"/>
      <c r="H878" s="1566"/>
      <c r="I878" s="1566"/>
      <c r="J878" s="1566"/>
      <c r="K878" s="1566"/>
    </row>
    <row r="879" spans="1:11">
      <c r="A879" s="1566"/>
      <c r="B879" s="1566"/>
      <c r="C879" s="1566"/>
      <c r="D879" s="1566"/>
      <c r="E879" s="1566"/>
      <c r="F879" s="1566"/>
      <c r="G879" s="1566"/>
      <c r="H879" s="1566"/>
      <c r="I879" s="1566"/>
      <c r="J879" s="1566"/>
      <c r="K879" s="1566"/>
    </row>
    <row r="880" spans="1:11">
      <c r="A880" s="1566"/>
      <c r="B880" s="1566"/>
      <c r="C880" s="1566"/>
      <c r="D880" s="1566"/>
      <c r="E880" s="1566"/>
      <c r="F880" s="1566"/>
      <c r="G880" s="1566"/>
      <c r="H880" s="1566"/>
      <c r="I880" s="1566"/>
      <c r="J880" s="1566"/>
      <c r="K880" s="1566"/>
    </row>
    <row r="881" spans="1:11">
      <c r="A881" s="1566"/>
      <c r="B881" s="1566"/>
      <c r="C881" s="1566"/>
      <c r="D881" s="1566"/>
      <c r="E881" s="1566"/>
      <c r="F881" s="1566"/>
      <c r="G881" s="1566"/>
      <c r="H881" s="1566"/>
      <c r="I881" s="1566"/>
      <c r="J881" s="1566"/>
      <c r="K881" s="1566"/>
    </row>
    <row r="882" spans="1:11">
      <c r="A882" s="1566"/>
      <c r="B882" s="1566"/>
      <c r="C882" s="1566"/>
      <c r="D882" s="1566"/>
      <c r="E882" s="1566"/>
      <c r="F882" s="1566"/>
      <c r="G882" s="1566"/>
      <c r="H882" s="1566"/>
      <c r="I882" s="1566"/>
      <c r="J882" s="1566"/>
      <c r="K882" s="1566"/>
    </row>
    <row r="883" spans="1:11">
      <c r="A883" s="1566"/>
      <c r="B883" s="1566"/>
      <c r="C883" s="1566"/>
      <c r="D883" s="1566"/>
      <c r="E883" s="1566"/>
      <c r="F883" s="1566"/>
      <c r="G883" s="1566"/>
      <c r="H883" s="1566"/>
      <c r="I883" s="1566"/>
      <c r="J883" s="1566"/>
      <c r="K883" s="1566"/>
    </row>
    <row r="884" spans="1:11">
      <c r="A884" s="1566"/>
      <c r="B884" s="1566"/>
      <c r="C884" s="1566"/>
      <c r="D884" s="1566"/>
      <c r="E884" s="1566"/>
      <c r="F884" s="1566"/>
      <c r="G884" s="1566"/>
      <c r="H884" s="1566"/>
      <c r="I884" s="1566"/>
      <c r="J884" s="1566"/>
      <c r="K884" s="1566"/>
    </row>
    <row r="885" spans="1:11">
      <c r="A885" s="1566"/>
      <c r="B885" s="1566"/>
      <c r="C885" s="1566"/>
      <c r="D885" s="1566"/>
      <c r="E885" s="1566"/>
      <c r="F885" s="1566"/>
      <c r="G885" s="1566"/>
      <c r="H885" s="1566"/>
      <c r="I885" s="1566"/>
      <c r="J885" s="1566"/>
      <c r="K885" s="1566"/>
    </row>
    <row r="886" spans="1:11">
      <c r="A886" s="1566"/>
      <c r="B886" s="1566"/>
      <c r="C886" s="1566"/>
      <c r="D886" s="1566"/>
      <c r="E886" s="1566"/>
      <c r="F886" s="1566"/>
      <c r="G886" s="1566"/>
      <c r="H886" s="1566"/>
      <c r="I886" s="1566"/>
      <c r="J886" s="1566"/>
      <c r="K886" s="1566"/>
    </row>
    <row r="887" spans="1:11">
      <c r="A887" s="1566"/>
      <c r="B887" s="1566"/>
      <c r="C887" s="1566"/>
      <c r="D887" s="1566"/>
      <c r="E887" s="1566"/>
      <c r="F887" s="1566"/>
      <c r="G887" s="1566"/>
      <c r="H887" s="1566"/>
      <c r="I887" s="1566"/>
      <c r="J887" s="1566"/>
      <c r="K887" s="1566"/>
    </row>
    <row r="888" spans="1:11">
      <c r="A888" s="1566"/>
      <c r="B888" s="1566"/>
      <c r="C888" s="1566"/>
      <c r="D888" s="1566"/>
      <c r="E888" s="1566"/>
      <c r="F888" s="1566"/>
      <c r="G888" s="1566"/>
      <c r="H888" s="1566"/>
      <c r="I888" s="1566"/>
      <c r="J888" s="1566"/>
      <c r="K888" s="1566"/>
    </row>
    <row r="889" spans="1:11">
      <c r="A889" s="1566"/>
      <c r="B889" s="1566"/>
      <c r="C889" s="1566"/>
      <c r="D889" s="1566"/>
      <c r="E889" s="1566"/>
      <c r="F889" s="1566"/>
      <c r="G889" s="1566"/>
      <c r="H889" s="1566"/>
      <c r="I889" s="1566"/>
      <c r="J889" s="1566"/>
      <c r="K889" s="1566"/>
    </row>
    <row r="890" spans="1:11">
      <c r="A890" s="1566"/>
      <c r="B890" s="1566"/>
      <c r="C890" s="1566"/>
      <c r="D890" s="1566"/>
      <c r="E890" s="1566"/>
      <c r="F890" s="1566"/>
      <c r="G890" s="1566"/>
      <c r="H890" s="1566"/>
      <c r="I890" s="1566"/>
      <c r="J890" s="1566"/>
      <c r="K890" s="1566"/>
    </row>
    <row r="891" spans="1:11">
      <c r="A891" s="1566"/>
      <c r="B891" s="1566"/>
      <c r="C891" s="1566"/>
      <c r="D891" s="1566"/>
      <c r="E891" s="1566"/>
      <c r="F891" s="1566"/>
      <c r="G891" s="1566"/>
      <c r="H891" s="1566"/>
      <c r="I891" s="1566"/>
      <c r="J891" s="1566"/>
      <c r="K891" s="1566"/>
    </row>
    <row r="892" spans="1:11">
      <c r="A892" s="1566"/>
      <c r="B892" s="1566"/>
      <c r="C892" s="1566"/>
      <c r="D892" s="1566"/>
      <c r="E892" s="1566"/>
      <c r="F892" s="1566"/>
      <c r="G892" s="1566"/>
      <c r="H892" s="1566"/>
      <c r="I892" s="1566"/>
      <c r="J892" s="1566"/>
      <c r="K892" s="1566"/>
    </row>
    <row r="893" spans="1:11">
      <c r="A893" s="1566"/>
      <c r="B893" s="1566"/>
      <c r="C893" s="1566"/>
      <c r="D893" s="1566"/>
      <c r="E893" s="1566"/>
      <c r="F893" s="1566"/>
      <c r="G893" s="1566"/>
      <c r="H893" s="1566"/>
      <c r="I893" s="1566"/>
      <c r="J893" s="1566"/>
      <c r="K893" s="1566"/>
    </row>
    <row r="894" spans="1:11">
      <c r="A894" s="1566"/>
      <c r="B894" s="1566"/>
      <c r="C894" s="1566"/>
      <c r="D894" s="1566"/>
      <c r="E894" s="1566"/>
      <c r="F894" s="1566"/>
      <c r="G894" s="1566"/>
      <c r="H894" s="1566"/>
      <c r="I894" s="1566"/>
      <c r="J894" s="1566"/>
      <c r="K894" s="1566"/>
    </row>
    <row r="895" spans="1:11">
      <c r="A895" s="1566"/>
      <c r="B895" s="1566"/>
      <c r="C895" s="1566"/>
      <c r="D895" s="1566"/>
      <c r="E895" s="1566"/>
      <c r="F895" s="1566"/>
      <c r="G895" s="1566"/>
      <c r="H895" s="1566"/>
      <c r="I895" s="1566"/>
      <c r="J895" s="1566"/>
      <c r="K895" s="1566"/>
    </row>
    <row r="896" spans="1:11">
      <c r="A896" s="1566"/>
      <c r="B896" s="1566"/>
      <c r="C896" s="1566"/>
      <c r="D896" s="1566"/>
      <c r="E896" s="1566"/>
      <c r="F896" s="1566"/>
      <c r="G896" s="1566"/>
      <c r="H896" s="1566"/>
      <c r="I896" s="1566"/>
      <c r="J896" s="1566"/>
      <c r="K896" s="1566"/>
    </row>
    <row r="897" spans="1:11">
      <c r="A897" s="1566"/>
      <c r="B897" s="1566"/>
      <c r="C897" s="1566"/>
      <c r="D897" s="1566"/>
      <c r="E897" s="1566"/>
      <c r="F897" s="1566"/>
      <c r="G897" s="1566"/>
      <c r="H897" s="1566"/>
      <c r="I897" s="1566"/>
      <c r="J897" s="1566"/>
      <c r="K897" s="1566"/>
    </row>
    <row r="898" spans="1:11">
      <c r="A898" s="1566"/>
      <c r="B898" s="1566"/>
      <c r="C898" s="1566"/>
      <c r="D898" s="1566"/>
      <c r="E898" s="1566"/>
      <c r="F898" s="1566"/>
      <c r="G898" s="1566"/>
      <c r="H898" s="1566"/>
      <c r="I898" s="1566"/>
      <c r="J898" s="1566"/>
      <c r="K898" s="1566"/>
    </row>
    <row r="899" spans="1:11">
      <c r="A899" s="1566"/>
      <c r="B899" s="1566"/>
      <c r="C899" s="1566"/>
      <c r="D899" s="1566"/>
      <c r="E899" s="1566"/>
      <c r="F899" s="1566"/>
      <c r="G899" s="1566"/>
      <c r="H899" s="1566"/>
      <c r="I899" s="1566"/>
      <c r="J899" s="1566"/>
      <c r="K899" s="1566"/>
    </row>
    <row r="900" spans="1:11">
      <c r="A900" s="1566"/>
      <c r="B900" s="1566"/>
      <c r="C900" s="1566"/>
      <c r="D900" s="1566"/>
      <c r="E900" s="1566"/>
      <c r="F900" s="1566"/>
      <c r="G900" s="1566"/>
      <c r="H900" s="1566"/>
      <c r="I900" s="1566"/>
      <c r="J900" s="1566"/>
      <c r="K900" s="1566"/>
    </row>
    <row r="901" spans="1:11">
      <c r="A901" s="1566"/>
      <c r="B901" s="1566"/>
      <c r="C901" s="1566"/>
      <c r="D901" s="1566"/>
      <c r="E901" s="1566"/>
      <c r="F901" s="1566"/>
      <c r="G901" s="1566"/>
      <c r="H901" s="1566"/>
      <c r="I901" s="1566"/>
      <c r="J901" s="1566"/>
      <c r="K901" s="1566"/>
    </row>
    <row r="902" spans="1:11">
      <c r="A902" s="1566"/>
      <c r="B902" s="1566"/>
      <c r="C902" s="1566"/>
      <c r="D902" s="1566"/>
      <c r="E902" s="1566"/>
      <c r="F902" s="1566"/>
      <c r="G902" s="1566"/>
      <c r="H902" s="1566"/>
      <c r="I902" s="1566"/>
      <c r="J902" s="1566"/>
      <c r="K902" s="1566"/>
    </row>
    <row r="903" spans="1:11">
      <c r="A903" s="1566"/>
      <c r="B903" s="1566"/>
      <c r="C903" s="1566"/>
      <c r="D903" s="1566"/>
      <c r="E903" s="1566"/>
      <c r="F903" s="1566"/>
      <c r="G903" s="1566"/>
      <c r="H903" s="1566"/>
      <c r="I903" s="1566"/>
      <c r="J903" s="1566"/>
      <c r="K903" s="1566"/>
    </row>
    <row r="904" spans="1:11">
      <c r="A904" s="1566"/>
      <c r="B904" s="1566"/>
      <c r="C904" s="1566"/>
      <c r="D904" s="1566"/>
      <c r="E904" s="1566"/>
      <c r="F904" s="1566"/>
      <c r="G904" s="1566"/>
      <c r="H904" s="1566"/>
      <c r="I904" s="1566"/>
      <c r="J904" s="1566"/>
      <c r="K904" s="1566"/>
    </row>
    <row r="905" spans="1:11">
      <c r="A905" s="1566"/>
      <c r="B905" s="1566"/>
      <c r="C905" s="1566"/>
      <c r="D905" s="1566"/>
      <c r="E905" s="1566"/>
      <c r="F905" s="1566"/>
      <c r="G905" s="1566"/>
      <c r="H905" s="1566"/>
      <c r="I905" s="1566"/>
      <c r="J905" s="1566"/>
      <c r="K905" s="1566"/>
    </row>
    <row r="906" spans="1:11">
      <c r="A906" s="1566"/>
      <c r="B906" s="1566"/>
      <c r="C906" s="1566"/>
      <c r="D906" s="1566"/>
      <c r="E906" s="1566"/>
      <c r="F906" s="1566"/>
      <c r="G906" s="1566"/>
      <c r="H906" s="1566"/>
      <c r="I906" s="1566"/>
      <c r="J906" s="1566"/>
      <c r="K906" s="1566"/>
    </row>
    <row r="907" spans="1:11">
      <c r="A907" s="1566"/>
      <c r="B907" s="1566"/>
      <c r="C907" s="1566"/>
      <c r="D907" s="1566"/>
      <c r="E907" s="1566"/>
      <c r="F907" s="1566"/>
      <c r="G907" s="1566"/>
      <c r="H907" s="1566"/>
      <c r="I907" s="1566"/>
      <c r="J907" s="1566"/>
      <c r="K907" s="1566"/>
    </row>
    <row r="908" spans="1:11">
      <c r="A908" s="1566"/>
      <c r="B908" s="1566"/>
      <c r="C908" s="1566"/>
      <c r="D908" s="1566"/>
      <c r="E908" s="1566"/>
      <c r="F908" s="1566"/>
      <c r="G908" s="1566"/>
      <c r="H908" s="1566"/>
      <c r="I908" s="1566"/>
      <c r="J908" s="1566"/>
      <c r="K908" s="1566"/>
    </row>
    <row r="909" spans="1:11">
      <c r="A909" s="1566"/>
      <c r="B909" s="1566"/>
      <c r="C909" s="1566"/>
      <c r="D909" s="1566"/>
      <c r="E909" s="1566"/>
      <c r="F909" s="1566"/>
      <c r="G909" s="1566"/>
      <c r="H909" s="1566"/>
      <c r="I909" s="1566"/>
      <c r="J909" s="1566"/>
      <c r="K909" s="1566"/>
    </row>
    <row r="910" spans="1:11">
      <c r="A910" s="1566"/>
      <c r="B910" s="1566"/>
      <c r="C910" s="1566"/>
      <c r="D910" s="1566"/>
      <c r="E910" s="1566"/>
      <c r="F910" s="1566"/>
      <c r="G910" s="1566"/>
      <c r="H910" s="1566"/>
      <c r="I910" s="1566"/>
      <c r="J910" s="1566"/>
      <c r="K910" s="1566"/>
    </row>
    <row r="911" spans="1:11">
      <c r="A911" s="1566"/>
      <c r="B911" s="1566"/>
      <c r="C911" s="1566"/>
      <c r="D911" s="1566"/>
      <c r="E911" s="1566"/>
      <c r="F911" s="1566"/>
      <c r="G911" s="1566"/>
      <c r="H911" s="1566"/>
      <c r="I911" s="1566"/>
      <c r="J911" s="1566"/>
      <c r="K911" s="1566"/>
    </row>
    <row r="912" spans="1:11">
      <c r="A912" s="1566"/>
      <c r="B912" s="1566"/>
      <c r="C912" s="1566"/>
      <c r="D912" s="1566"/>
      <c r="E912" s="1566"/>
      <c r="F912" s="1566"/>
      <c r="G912" s="1566"/>
      <c r="H912" s="1566"/>
      <c r="I912" s="1566"/>
      <c r="J912" s="1566"/>
      <c r="K912" s="1566"/>
    </row>
    <row r="913" spans="1:11">
      <c r="A913" s="1566"/>
      <c r="B913" s="1566"/>
      <c r="C913" s="1566"/>
      <c r="D913" s="1566"/>
      <c r="E913" s="1566"/>
      <c r="F913" s="1566"/>
      <c r="G913" s="1566"/>
      <c r="H913" s="1566"/>
      <c r="I913" s="1566"/>
      <c r="J913" s="1566"/>
      <c r="K913" s="1566"/>
    </row>
    <row r="914" spans="1:11">
      <c r="A914" s="1566"/>
      <c r="B914" s="1566"/>
      <c r="C914" s="1566"/>
      <c r="D914" s="1566"/>
      <c r="E914" s="1566"/>
      <c r="F914" s="1566"/>
      <c r="G914" s="1566"/>
      <c r="H914" s="1566"/>
      <c r="I914" s="1566"/>
      <c r="J914" s="1566"/>
      <c r="K914" s="1566"/>
    </row>
    <row r="915" spans="1:11">
      <c r="A915" s="1566"/>
      <c r="B915" s="1566"/>
      <c r="C915" s="1566"/>
      <c r="D915" s="1566"/>
      <c r="E915" s="1566"/>
      <c r="F915" s="1566"/>
      <c r="G915" s="1566"/>
      <c r="H915" s="1566"/>
      <c r="I915" s="1566"/>
      <c r="J915" s="1566"/>
      <c r="K915" s="1566"/>
    </row>
    <row r="916" spans="1:11">
      <c r="A916" s="1566"/>
      <c r="B916" s="1566"/>
      <c r="C916" s="1566"/>
      <c r="D916" s="1566"/>
      <c r="E916" s="1566"/>
      <c r="F916" s="1566"/>
      <c r="G916" s="1566"/>
      <c r="H916" s="1566"/>
      <c r="I916" s="1566"/>
      <c r="J916" s="1566"/>
      <c r="K916" s="1566"/>
    </row>
    <row r="917" spans="1:11">
      <c r="A917" s="1566"/>
      <c r="B917" s="1566"/>
      <c r="C917" s="1566"/>
      <c r="D917" s="1566"/>
      <c r="E917" s="1566"/>
      <c r="F917" s="1566"/>
      <c r="G917" s="1566"/>
      <c r="H917" s="1566"/>
      <c r="I917" s="1566"/>
      <c r="J917" s="1566"/>
      <c r="K917" s="1566"/>
    </row>
    <row r="918" spans="1:11">
      <c r="A918" s="1566"/>
      <c r="B918" s="1566"/>
      <c r="C918" s="1566"/>
      <c r="D918" s="1566"/>
      <c r="E918" s="1566"/>
      <c r="F918" s="1566"/>
      <c r="G918" s="1566"/>
      <c r="H918" s="1566"/>
      <c r="I918" s="1566"/>
      <c r="J918" s="1566"/>
      <c r="K918" s="1566"/>
    </row>
    <row r="919" spans="1:11">
      <c r="A919" s="1566"/>
      <c r="B919" s="1566"/>
      <c r="C919" s="1566"/>
      <c r="D919" s="1566"/>
      <c r="E919" s="1566"/>
      <c r="F919" s="1566"/>
      <c r="G919" s="1566"/>
      <c r="H919" s="1566"/>
      <c r="I919" s="1566"/>
      <c r="J919" s="1566"/>
      <c r="K919" s="1566"/>
    </row>
    <row r="920" spans="1:11">
      <c r="A920" s="1566"/>
      <c r="B920" s="1566"/>
      <c r="C920" s="1566"/>
      <c r="D920" s="1566"/>
      <c r="E920" s="1566"/>
      <c r="F920" s="1566"/>
      <c r="G920" s="1566"/>
      <c r="H920" s="1566"/>
      <c r="I920" s="1566"/>
      <c r="J920" s="1566"/>
      <c r="K920" s="1566"/>
    </row>
    <row r="921" spans="1:11">
      <c r="A921" s="1566"/>
      <c r="B921" s="1566"/>
      <c r="C921" s="1566"/>
      <c r="D921" s="1566"/>
      <c r="E921" s="1566"/>
      <c r="F921" s="1566"/>
      <c r="G921" s="1566"/>
      <c r="H921" s="1566"/>
      <c r="I921" s="1566"/>
      <c r="J921" s="1566"/>
      <c r="K921" s="1566"/>
    </row>
    <row r="922" spans="1:11">
      <c r="A922" s="1566"/>
      <c r="B922" s="1566"/>
      <c r="C922" s="1566"/>
      <c r="D922" s="1566"/>
      <c r="E922" s="1566"/>
      <c r="F922" s="1566"/>
      <c r="G922" s="1566"/>
      <c r="H922" s="1566"/>
      <c r="I922" s="1566"/>
      <c r="J922" s="1566"/>
      <c r="K922" s="1566"/>
    </row>
    <row r="923" spans="1:11">
      <c r="A923" s="1566"/>
      <c r="B923" s="1566"/>
      <c r="C923" s="1566"/>
      <c r="D923" s="1566"/>
      <c r="E923" s="1566"/>
      <c r="F923" s="1566"/>
      <c r="G923" s="1566"/>
      <c r="H923" s="1566"/>
      <c r="I923" s="1566"/>
      <c r="J923" s="1566"/>
      <c r="K923" s="1566"/>
    </row>
    <row r="924" spans="1:11">
      <c r="A924" s="1566"/>
      <c r="B924" s="1566"/>
      <c r="C924" s="1566"/>
      <c r="D924" s="1566"/>
      <c r="E924" s="1566"/>
      <c r="F924" s="1566"/>
      <c r="G924" s="1566"/>
      <c r="H924" s="1566"/>
      <c r="I924" s="1566"/>
      <c r="J924" s="1566"/>
      <c r="K924" s="1566"/>
    </row>
    <row r="925" spans="1:11">
      <c r="A925" s="1566"/>
      <c r="B925" s="1566"/>
      <c r="C925" s="1566"/>
      <c r="D925" s="1566"/>
      <c r="E925" s="1566"/>
      <c r="F925" s="1566"/>
      <c r="G925" s="1566"/>
      <c r="H925" s="1566"/>
      <c r="I925" s="1566"/>
      <c r="J925" s="1566"/>
      <c r="K925" s="1566"/>
    </row>
    <row r="926" spans="1:11">
      <c r="A926" s="1566"/>
      <c r="B926" s="1566"/>
      <c r="C926" s="1566"/>
      <c r="D926" s="1566"/>
      <c r="E926" s="1566"/>
      <c r="F926" s="1566"/>
      <c r="G926" s="1566"/>
      <c r="H926" s="1566"/>
      <c r="I926" s="1566"/>
      <c r="J926" s="1566"/>
      <c r="K926" s="1566"/>
    </row>
    <row r="927" spans="1:11">
      <c r="A927" s="1566"/>
      <c r="B927" s="1566"/>
      <c r="C927" s="1566"/>
      <c r="D927" s="1566"/>
      <c r="E927" s="1566"/>
      <c r="F927" s="1566"/>
      <c r="G927" s="1566"/>
      <c r="H927" s="1566"/>
      <c r="I927" s="1566"/>
      <c r="J927" s="1566"/>
      <c r="K927" s="1566"/>
    </row>
    <row r="928" spans="1:11">
      <c r="A928" s="1566"/>
      <c r="B928" s="1566"/>
      <c r="C928" s="1566"/>
      <c r="D928" s="1566"/>
      <c r="E928" s="1566"/>
      <c r="F928" s="1566"/>
      <c r="G928" s="1566"/>
      <c r="H928" s="1566"/>
      <c r="I928" s="1566"/>
      <c r="J928" s="1566"/>
      <c r="K928" s="1566"/>
    </row>
    <row r="929" spans="1:11">
      <c r="A929" s="1566"/>
      <c r="B929" s="1566"/>
      <c r="C929" s="1566"/>
      <c r="D929" s="1566"/>
      <c r="E929" s="1566"/>
      <c r="F929" s="1566"/>
      <c r="G929" s="1566"/>
      <c r="H929" s="1566"/>
      <c r="I929" s="1566"/>
      <c r="J929" s="1566"/>
      <c r="K929" s="1566"/>
    </row>
    <row r="930" spans="1:11">
      <c r="A930" s="1566"/>
      <c r="B930" s="1566"/>
      <c r="C930" s="1566"/>
      <c r="D930" s="1566"/>
      <c r="E930" s="1566"/>
      <c r="F930" s="1566"/>
      <c r="G930" s="1566"/>
      <c r="H930" s="1566"/>
      <c r="I930" s="1566"/>
      <c r="J930" s="1566"/>
      <c r="K930" s="1566"/>
    </row>
    <row r="931" spans="1:11">
      <c r="A931" s="1566"/>
      <c r="B931" s="1566"/>
      <c r="C931" s="1566"/>
      <c r="D931" s="1566"/>
      <c r="E931" s="1566"/>
      <c r="F931" s="1566"/>
      <c r="G931" s="1566"/>
      <c r="H931" s="1566"/>
      <c r="I931" s="1566"/>
      <c r="J931" s="1566"/>
      <c r="K931" s="1566"/>
    </row>
    <row r="932" spans="1:11">
      <c r="A932" s="1566"/>
      <c r="B932" s="1566"/>
      <c r="C932" s="1566"/>
      <c r="D932" s="1566"/>
      <c r="E932" s="1566"/>
      <c r="F932" s="1566"/>
      <c r="G932" s="1566"/>
      <c r="H932" s="1566"/>
      <c r="I932" s="1566"/>
      <c r="J932" s="1566"/>
      <c r="K932" s="1566"/>
    </row>
    <row r="933" spans="1:11">
      <c r="A933" s="1566"/>
      <c r="B933" s="1566"/>
      <c r="C933" s="1566"/>
      <c r="D933" s="1566"/>
      <c r="E933" s="1566"/>
      <c r="F933" s="1566"/>
      <c r="G933" s="1566"/>
      <c r="H933" s="1566"/>
      <c r="I933" s="1566"/>
      <c r="J933" s="1566"/>
      <c r="K933" s="1566"/>
    </row>
    <row r="934" spans="1:11">
      <c r="A934" s="1566"/>
      <c r="B934" s="1566"/>
      <c r="C934" s="1566"/>
      <c r="D934" s="1566"/>
      <c r="E934" s="1566"/>
      <c r="F934" s="1566"/>
      <c r="G934" s="1566"/>
      <c r="H934" s="1566"/>
      <c r="I934" s="1566"/>
      <c r="J934" s="1566"/>
      <c r="K934" s="1566"/>
    </row>
    <row r="935" spans="1:11">
      <c r="A935" s="1566"/>
      <c r="B935" s="1566"/>
      <c r="C935" s="1566"/>
      <c r="D935" s="1566"/>
      <c r="E935" s="1566"/>
      <c r="F935" s="1566"/>
      <c r="G935" s="1566"/>
      <c r="H935" s="1566"/>
      <c r="I935" s="1566"/>
      <c r="J935" s="1566"/>
      <c r="K935" s="1566"/>
    </row>
    <row r="936" spans="1:11">
      <c r="A936" s="1566"/>
      <c r="B936" s="1566"/>
      <c r="C936" s="1566"/>
      <c r="D936" s="1566"/>
      <c r="E936" s="1566"/>
      <c r="F936" s="1566"/>
      <c r="G936" s="1566"/>
      <c r="H936" s="1566"/>
      <c r="I936" s="1566"/>
      <c r="J936" s="1566"/>
      <c r="K936" s="1566"/>
    </row>
    <row r="937" spans="1:11">
      <c r="A937" s="1566"/>
      <c r="B937" s="1566"/>
      <c r="C937" s="1566"/>
      <c r="D937" s="1566"/>
      <c r="E937" s="1566"/>
      <c r="F937" s="1566"/>
      <c r="G937" s="1566"/>
      <c r="H937" s="1566"/>
      <c r="I937" s="1566"/>
      <c r="J937" s="1566"/>
      <c r="K937" s="1566"/>
    </row>
    <row r="938" spans="1:11">
      <c r="A938" s="1566"/>
      <c r="B938" s="1566"/>
      <c r="C938" s="1566"/>
      <c r="D938" s="1566"/>
      <c r="E938" s="1566"/>
      <c r="F938" s="1566"/>
      <c r="G938" s="1566"/>
      <c r="H938" s="1566"/>
      <c r="I938" s="1566"/>
      <c r="J938" s="1566"/>
      <c r="K938" s="1566"/>
    </row>
    <row r="939" spans="1:11">
      <c r="A939" s="1566"/>
      <c r="B939" s="1566"/>
      <c r="C939" s="1566"/>
      <c r="D939" s="1566"/>
      <c r="E939" s="1566"/>
      <c r="F939" s="1566"/>
      <c r="G939" s="1566"/>
      <c r="H939" s="1566"/>
      <c r="I939" s="1566"/>
      <c r="J939" s="1566"/>
      <c r="K939" s="1566"/>
    </row>
    <row r="940" spans="1:11">
      <c r="A940" s="1566"/>
      <c r="B940" s="1566"/>
      <c r="C940" s="1566"/>
      <c r="D940" s="1566"/>
      <c r="E940" s="1566"/>
      <c r="F940" s="1566"/>
      <c r="G940" s="1566"/>
      <c r="H940" s="1566"/>
      <c r="I940" s="1566"/>
      <c r="J940" s="1566"/>
      <c r="K940" s="1566"/>
    </row>
    <row r="941" spans="1:11">
      <c r="A941" s="1566"/>
      <c r="B941" s="1566"/>
      <c r="C941" s="1566"/>
      <c r="D941" s="1566"/>
      <c r="E941" s="1566"/>
      <c r="F941" s="1566"/>
      <c r="G941" s="1566"/>
      <c r="H941" s="1566"/>
      <c r="I941" s="1566"/>
      <c r="J941" s="1566"/>
      <c r="K941" s="1566"/>
    </row>
    <row r="942" spans="1:11">
      <c r="A942" s="1566"/>
      <c r="B942" s="1566"/>
      <c r="C942" s="1566"/>
      <c r="D942" s="1566"/>
      <c r="E942" s="1566"/>
      <c r="F942" s="1566"/>
      <c r="G942" s="1566"/>
      <c r="H942" s="1566"/>
      <c r="I942" s="1566"/>
      <c r="J942" s="1566"/>
      <c r="K942" s="1566"/>
    </row>
    <row r="943" spans="1:11">
      <c r="A943" s="1566"/>
      <c r="B943" s="1566"/>
      <c r="C943" s="1566"/>
      <c r="D943" s="1566"/>
      <c r="E943" s="1566"/>
      <c r="F943" s="1566"/>
      <c r="G943" s="1566"/>
      <c r="H943" s="1566"/>
      <c r="I943" s="1566"/>
      <c r="J943" s="1566"/>
      <c r="K943" s="1566"/>
    </row>
    <row r="944" spans="1:11">
      <c r="A944" s="1566"/>
      <c r="B944" s="1566"/>
      <c r="C944" s="1566"/>
      <c r="D944" s="1566"/>
      <c r="E944" s="1566"/>
      <c r="F944" s="1566"/>
      <c r="G944" s="1566"/>
      <c r="H944" s="1566"/>
      <c r="I944" s="1566"/>
      <c r="J944" s="1566"/>
      <c r="K944" s="1566"/>
    </row>
    <row r="945" spans="1:11">
      <c r="A945" s="1566"/>
      <c r="B945" s="1566"/>
      <c r="C945" s="1566"/>
      <c r="D945" s="1566"/>
      <c r="E945" s="1566"/>
      <c r="F945" s="1566"/>
      <c r="G945" s="1566"/>
      <c r="H945" s="1566"/>
      <c r="I945" s="1566"/>
      <c r="J945" s="1566"/>
      <c r="K945" s="1566"/>
    </row>
    <row r="946" spans="1:11">
      <c r="A946" s="1566"/>
      <c r="B946" s="1566"/>
      <c r="C946" s="1566"/>
      <c r="D946" s="1566"/>
      <c r="E946" s="1566"/>
      <c r="F946" s="1566"/>
      <c r="G946" s="1566"/>
      <c r="H946" s="1566"/>
      <c r="I946" s="1566"/>
      <c r="J946" s="1566"/>
      <c r="K946" s="1566"/>
    </row>
    <row r="947" spans="1:11">
      <c r="A947" s="1566"/>
      <c r="B947" s="1566"/>
      <c r="C947" s="1566"/>
      <c r="D947" s="1566"/>
      <c r="E947" s="1566"/>
      <c r="F947" s="1566"/>
      <c r="G947" s="1566"/>
      <c r="H947" s="1566"/>
      <c r="I947" s="1566"/>
      <c r="J947" s="1566"/>
      <c r="K947" s="1566"/>
    </row>
    <row r="948" spans="1:11">
      <c r="A948" s="1566"/>
      <c r="B948" s="1566"/>
      <c r="C948" s="1566"/>
      <c r="D948" s="1566"/>
      <c r="E948" s="1566"/>
      <c r="F948" s="1566"/>
      <c r="G948" s="1566"/>
      <c r="H948" s="1566"/>
      <c r="I948" s="1566"/>
      <c r="J948" s="1566"/>
      <c r="K948" s="1566"/>
    </row>
    <row r="949" spans="1:11">
      <c r="A949" s="1566"/>
      <c r="B949" s="1566"/>
      <c r="C949" s="1566"/>
      <c r="D949" s="1566"/>
      <c r="E949" s="1566"/>
      <c r="F949" s="1566"/>
      <c r="G949" s="1566"/>
      <c r="H949" s="1566"/>
      <c r="I949" s="1566"/>
      <c r="J949" s="1566"/>
      <c r="K949" s="1566"/>
    </row>
    <row r="950" spans="1:11">
      <c r="A950" s="1566"/>
      <c r="B950" s="1566"/>
      <c r="C950" s="1566"/>
      <c r="D950" s="1566"/>
      <c r="E950" s="1566"/>
      <c r="F950" s="1566"/>
      <c r="G950" s="1566"/>
      <c r="H950" s="1566"/>
      <c r="I950" s="1566"/>
      <c r="J950" s="1566"/>
      <c r="K950" s="1566"/>
    </row>
    <row r="951" spans="1:11">
      <c r="A951" s="1566"/>
      <c r="B951" s="1566"/>
      <c r="C951" s="1566"/>
      <c r="D951" s="1566"/>
      <c r="E951" s="1566"/>
      <c r="F951" s="1566"/>
      <c r="G951" s="1566"/>
      <c r="H951" s="1566"/>
      <c r="I951" s="1566"/>
      <c r="J951" s="1566"/>
      <c r="K951" s="1566"/>
    </row>
    <row r="952" spans="1:11">
      <c r="A952" s="1566"/>
      <c r="B952" s="1566"/>
      <c r="C952" s="1566"/>
      <c r="D952" s="1566"/>
      <c r="E952" s="1566"/>
      <c r="F952" s="1566"/>
      <c r="G952" s="1566"/>
      <c r="H952" s="1566"/>
      <c r="I952" s="1566"/>
      <c r="J952" s="1566"/>
      <c r="K952" s="1566"/>
    </row>
    <row r="953" spans="1:11">
      <c r="A953" s="1566"/>
      <c r="B953" s="1566"/>
      <c r="C953" s="1566"/>
      <c r="D953" s="1566"/>
      <c r="E953" s="1566"/>
      <c r="F953" s="1566"/>
      <c r="G953" s="1566"/>
      <c r="H953" s="1566"/>
      <c r="I953" s="1566"/>
      <c r="J953" s="1566"/>
      <c r="K953" s="1566"/>
    </row>
    <row r="954" spans="1:11">
      <c r="A954" s="1566"/>
      <c r="B954" s="1566"/>
      <c r="C954" s="1566"/>
      <c r="D954" s="1566"/>
      <c r="E954" s="1566"/>
      <c r="F954" s="1566"/>
      <c r="G954" s="1566"/>
      <c r="H954" s="1566"/>
      <c r="I954" s="1566"/>
      <c r="J954" s="1566"/>
      <c r="K954" s="1566"/>
    </row>
    <row r="955" spans="1:11">
      <c r="A955" s="1566"/>
      <c r="B955" s="1566"/>
      <c r="C955" s="1566"/>
      <c r="D955" s="1566"/>
      <c r="E955" s="1566"/>
      <c r="F955" s="1566"/>
      <c r="G955" s="1566"/>
      <c r="H955" s="1566"/>
      <c r="I955" s="1566"/>
      <c r="J955" s="1566"/>
      <c r="K955" s="1566"/>
    </row>
    <row r="956" spans="1:11">
      <c r="A956" s="1566"/>
      <c r="B956" s="1566"/>
      <c r="C956" s="1566"/>
      <c r="D956" s="1566"/>
      <c r="E956" s="1566"/>
      <c r="F956" s="1566"/>
      <c r="G956" s="1566"/>
      <c r="H956" s="1566"/>
      <c r="I956" s="1566"/>
      <c r="J956" s="1566"/>
      <c r="K956" s="1566"/>
    </row>
    <row r="957" spans="1:11">
      <c r="A957" s="1566"/>
      <c r="B957" s="1566"/>
      <c r="C957" s="1566"/>
      <c r="D957" s="1566"/>
      <c r="E957" s="1566"/>
      <c r="F957" s="1566"/>
      <c r="G957" s="1566"/>
      <c r="H957" s="1566"/>
      <c r="I957" s="1566"/>
      <c r="J957" s="1566"/>
      <c r="K957" s="1566"/>
    </row>
    <row r="958" spans="1:11">
      <c r="A958" s="1566"/>
      <c r="B958" s="1566"/>
      <c r="C958" s="1566"/>
      <c r="D958" s="1566"/>
      <c r="E958" s="1566"/>
      <c r="F958" s="1566"/>
      <c r="G958" s="1566"/>
      <c r="H958" s="1566"/>
      <c r="I958" s="1566"/>
      <c r="J958" s="1566"/>
      <c r="K958" s="1566"/>
    </row>
    <row r="959" spans="1:11">
      <c r="A959" s="1566"/>
      <c r="B959" s="1566"/>
      <c r="C959" s="1566"/>
      <c r="D959" s="1566"/>
      <c r="E959" s="1566"/>
      <c r="F959" s="1566"/>
      <c r="G959" s="1566"/>
      <c r="H959" s="1566"/>
      <c r="I959" s="1566"/>
      <c r="J959" s="1566"/>
      <c r="K959" s="1566"/>
    </row>
    <row r="960" spans="1:11">
      <c r="A960" s="1566"/>
      <c r="B960" s="1566"/>
      <c r="C960" s="1566"/>
      <c r="D960" s="1566"/>
      <c r="E960" s="1566"/>
      <c r="F960" s="1566"/>
      <c r="G960" s="1566"/>
      <c r="H960" s="1566"/>
      <c r="I960" s="1566"/>
      <c r="J960" s="1566"/>
      <c r="K960" s="1566"/>
    </row>
    <row r="961" spans="1:11">
      <c r="A961" s="1566"/>
      <c r="B961" s="1566"/>
      <c r="C961" s="1566"/>
      <c r="D961" s="1566"/>
      <c r="E961" s="1566"/>
      <c r="F961" s="1566"/>
      <c r="G961" s="1566"/>
      <c r="H961" s="1566"/>
      <c r="I961" s="1566"/>
      <c r="J961" s="1566"/>
      <c r="K961" s="1566"/>
    </row>
    <row r="962" spans="1:11">
      <c r="A962" s="1566"/>
      <c r="B962" s="1566"/>
      <c r="C962" s="1566"/>
      <c r="D962" s="1566"/>
      <c r="E962" s="1566"/>
      <c r="F962" s="1566"/>
      <c r="G962" s="1566"/>
      <c r="H962" s="1566"/>
      <c r="I962" s="1566"/>
      <c r="J962" s="1566"/>
      <c r="K962" s="1566"/>
    </row>
    <row r="963" spans="1:11">
      <c r="A963" s="1566"/>
      <c r="B963" s="1566"/>
      <c r="C963" s="1566"/>
      <c r="D963" s="1566"/>
      <c r="E963" s="1566"/>
      <c r="F963" s="1566"/>
      <c r="G963" s="1566"/>
      <c r="H963" s="1566"/>
      <c r="I963" s="1566"/>
      <c r="J963" s="1566"/>
      <c r="K963" s="1566"/>
    </row>
    <row r="964" spans="1:11">
      <c r="A964" s="1566"/>
      <c r="B964" s="1566"/>
      <c r="C964" s="1566"/>
      <c r="D964" s="1566"/>
      <c r="E964" s="1566"/>
      <c r="F964" s="1566"/>
      <c r="G964" s="1566"/>
      <c r="H964" s="1566"/>
      <c r="I964" s="1566"/>
      <c r="J964" s="1566"/>
      <c r="K964" s="1566"/>
    </row>
    <row r="965" spans="1:11">
      <c r="A965" s="1566"/>
      <c r="B965" s="1566"/>
      <c r="C965" s="1566"/>
      <c r="D965" s="1566"/>
      <c r="E965" s="1566"/>
      <c r="F965" s="1566"/>
      <c r="G965" s="1566"/>
      <c r="H965" s="1566"/>
      <c r="I965" s="1566"/>
      <c r="J965" s="1566"/>
      <c r="K965" s="1566"/>
    </row>
    <row r="966" spans="1:11">
      <c r="A966" s="1566"/>
      <c r="B966" s="1566"/>
      <c r="C966" s="1566"/>
      <c r="D966" s="1566"/>
      <c r="E966" s="1566"/>
      <c r="F966" s="1566"/>
      <c r="G966" s="1566"/>
      <c r="H966" s="1566"/>
      <c r="I966" s="1566"/>
      <c r="J966" s="1566"/>
      <c r="K966" s="1566"/>
    </row>
    <row r="967" spans="1:11">
      <c r="A967" s="1566"/>
      <c r="B967" s="1566"/>
      <c r="C967" s="1566"/>
      <c r="D967" s="1566"/>
      <c r="E967" s="1566"/>
      <c r="F967" s="1566"/>
      <c r="G967" s="1566"/>
      <c r="H967" s="1566"/>
      <c r="I967" s="1566"/>
      <c r="J967" s="1566"/>
      <c r="K967" s="1566"/>
    </row>
    <row r="968" spans="1:11">
      <c r="A968" s="1566"/>
      <c r="B968" s="1566"/>
      <c r="C968" s="1566"/>
      <c r="D968" s="1566"/>
      <c r="E968" s="1566"/>
      <c r="F968" s="1566"/>
      <c r="G968" s="1566"/>
      <c r="H968" s="1566"/>
      <c r="I968" s="1566"/>
      <c r="J968" s="1566"/>
      <c r="K968" s="1566"/>
    </row>
    <row r="969" spans="1:11">
      <c r="A969" s="1566"/>
      <c r="B969" s="1566"/>
      <c r="C969" s="1566"/>
      <c r="D969" s="1566"/>
      <c r="E969" s="1566"/>
      <c r="F969" s="1566"/>
      <c r="G969" s="1566"/>
      <c r="H969" s="1566"/>
      <c r="I969" s="1566"/>
      <c r="J969" s="1566"/>
      <c r="K969" s="1566"/>
    </row>
    <row r="970" spans="1:11">
      <c r="A970" s="1566"/>
      <c r="B970" s="1566"/>
      <c r="C970" s="1566"/>
      <c r="D970" s="1566"/>
      <c r="E970" s="1566"/>
      <c r="F970" s="1566"/>
      <c r="G970" s="1566"/>
      <c r="H970" s="1566"/>
      <c r="I970" s="1566"/>
      <c r="J970" s="1566"/>
      <c r="K970" s="1566"/>
    </row>
    <row r="971" spans="1:11">
      <c r="A971" s="1566"/>
      <c r="B971" s="1566"/>
      <c r="C971" s="1566"/>
      <c r="D971" s="1566"/>
      <c r="E971" s="1566"/>
      <c r="F971" s="1566"/>
      <c r="G971" s="1566"/>
      <c r="H971" s="1566"/>
      <c r="I971" s="1566"/>
      <c r="J971" s="1566"/>
      <c r="K971" s="1566"/>
    </row>
    <row r="972" spans="1:11">
      <c r="A972" s="1566"/>
      <c r="B972" s="1566"/>
      <c r="C972" s="1566"/>
      <c r="D972" s="1566"/>
      <c r="E972" s="1566"/>
      <c r="F972" s="1566"/>
      <c r="G972" s="1566"/>
      <c r="H972" s="1566"/>
      <c r="I972" s="1566"/>
      <c r="J972" s="1566"/>
      <c r="K972" s="1566"/>
    </row>
    <row r="973" spans="1:11">
      <c r="A973" s="1566"/>
      <c r="B973" s="1566"/>
      <c r="C973" s="1566"/>
      <c r="D973" s="1566"/>
      <c r="E973" s="1566"/>
      <c r="F973" s="1566"/>
      <c r="G973" s="1566"/>
      <c r="H973" s="1566"/>
      <c r="I973" s="1566"/>
      <c r="J973" s="1566"/>
      <c r="K973" s="1566"/>
    </row>
    <row r="974" spans="1:11">
      <c r="A974" s="1566"/>
      <c r="B974" s="1566"/>
      <c r="C974" s="1566"/>
      <c r="D974" s="1566"/>
      <c r="E974" s="1566"/>
      <c r="F974" s="1566"/>
      <c r="G974" s="1566"/>
      <c r="H974" s="1566"/>
      <c r="I974" s="1566"/>
      <c r="J974" s="1566"/>
      <c r="K974" s="1566"/>
    </row>
    <row r="975" spans="1:11">
      <c r="A975" s="1566"/>
      <c r="B975" s="1566"/>
      <c r="C975" s="1566"/>
      <c r="D975" s="1566"/>
      <c r="E975" s="1566"/>
      <c r="F975" s="1566"/>
      <c r="G975" s="1566"/>
      <c r="H975" s="1566"/>
      <c r="I975" s="1566"/>
      <c r="J975" s="1566"/>
      <c r="K975" s="1566"/>
    </row>
    <row r="976" spans="1:11">
      <c r="A976" s="1566"/>
      <c r="B976" s="1566"/>
      <c r="C976" s="1566"/>
      <c r="D976" s="1566"/>
      <c r="E976" s="1566"/>
      <c r="F976" s="1566"/>
      <c r="G976" s="1566"/>
      <c r="H976" s="1566"/>
      <c r="I976" s="1566"/>
      <c r="J976" s="1566"/>
      <c r="K976" s="1566"/>
    </row>
    <row r="977" spans="1:11">
      <c r="A977" s="1566"/>
      <c r="B977" s="1566"/>
      <c r="C977" s="1566"/>
      <c r="D977" s="1566"/>
      <c r="E977" s="1566"/>
      <c r="F977" s="1566"/>
      <c r="G977" s="1566"/>
      <c r="H977" s="1566"/>
      <c r="I977" s="1566"/>
      <c r="J977" s="1566"/>
      <c r="K977" s="1566"/>
    </row>
    <row r="978" spans="1:11">
      <c r="A978" s="1566"/>
      <c r="B978" s="1566"/>
      <c r="C978" s="1566"/>
      <c r="D978" s="1566"/>
      <c r="E978" s="1566"/>
      <c r="F978" s="1566"/>
      <c r="G978" s="1566"/>
      <c r="H978" s="1566"/>
      <c r="I978" s="1566"/>
      <c r="J978" s="1566"/>
      <c r="K978" s="1566"/>
    </row>
    <row r="979" spans="1:11">
      <c r="A979" s="1566"/>
      <c r="B979" s="1566"/>
      <c r="C979" s="1566"/>
      <c r="D979" s="1566"/>
      <c r="E979" s="1566"/>
      <c r="F979" s="1566"/>
      <c r="G979" s="1566"/>
      <c r="H979" s="1566"/>
      <c r="I979" s="1566"/>
      <c r="J979" s="1566"/>
      <c r="K979" s="1566"/>
    </row>
    <row r="980" spans="1:11">
      <c r="A980" s="1566"/>
      <c r="B980" s="1566"/>
      <c r="C980" s="1566"/>
      <c r="D980" s="1566"/>
      <c r="E980" s="1566"/>
      <c r="F980" s="1566"/>
      <c r="G980" s="1566"/>
      <c r="H980" s="1566"/>
      <c r="I980" s="1566"/>
      <c r="J980" s="1566"/>
      <c r="K980" s="1566"/>
    </row>
    <row r="981" spans="1:11">
      <c r="A981" s="1566"/>
      <c r="B981" s="1566"/>
      <c r="C981" s="1566"/>
      <c r="D981" s="1566"/>
      <c r="E981" s="1566"/>
      <c r="F981" s="1566"/>
      <c r="G981" s="1566"/>
      <c r="H981" s="1566"/>
      <c r="I981" s="1566"/>
      <c r="J981" s="1566"/>
      <c r="K981" s="1566"/>
    </row>
    <row r="982" spans="1:11">
      <c r="A982" s="1566"/>
      <c r="B982" s="1566"/>
      <c r="C982" s="1566"/>
      <c r="D982" s="1566"/>
      <c r="E982" s="1566"/>
      <c r="F982" s="1566"/>
      <c r="G982" s="1566"/>
      <c r="H982" s="1566"/>
      <c r="I982" s="1566"/>
      <c r="J982" s="1566"/>
      <c r="K982" s="1566"/>
    </row>
    <row r="983" spans="1:11">
      <c r="A983" s="1566"/>
      <c r="B983" s="1566"/>
      <c r="C983" s="1566"/>
      <c r="D983" s="1566"/>
      <c r="E983" s="1566"/>
      <c r="F983" s="1566"/>
      <c r="G983" s="1566"/>
      <c r="H983" s="1566"/>
      <c r="I983" s="1566"/>
      <c r="J983" s="1566"/>
      <c r="K983" s="1566"/>
    </row>
    <row r="984" spans="1:11">
      <c r="A984" s="1566"/>
      <c r="B984" s="1566"/>
      <c r="C984" s="1566"/>
      <c r="D984" s="1566"/>
      <c r="E984" s="1566"/>
      <c r="F984" s="1566"/>
      <c r="G984" s="1566"/>
      <c r="H984" s="1566"/>
      <c r="I984" s="1566"/>
      <c r="J984" s="1566"/>
      <c r="K984" s="1566"/>
    </row>
    <row r="985" spans="1:11">
      <c r="A985" s="1566"/>
      <c r="B985" s="1566"/>
      <c r="C985" s="1566"/>
      <c r="D985" s="1566"/>
      <c r="E985" s="1566"/>
      <c r="F985" s="1566"/>
      <c r="G985" s="1566"/>
      <c r="H985" s="1566"/>
      <c r="I985" s="1566"/>
      <c r="J985" s="1566"/>
      <c r="K985" s="1566"/>
    </row>
    <row r="986" spans="1:11">
      <c r="A986" s="1566"/>
      <c r="B986" s="1566"/>
      <c r="C986" s="1566"/>
      <c r="D986" s="1566"/>
      <c r="E986" s="1566"/>
      <c r="F986" s="1566"/>
      <c r="G986" s="1566"/>
      <c r="H986" s="1566"/>
      <c r="I986" s="1566"/>
      <c r="J986" s="1566"/>
      <c r="K986" s="1566"/>
    </row>
    <row r="987" spans="1:11">
      <c r="A987" s="1566"/>
      <c r="B987" s="1566"/>
      <c r="C987" s="1566"/>
      <c r="D987" s="1566"/>
      <c r="E987" s="1566"/>
      <c r="F987" s="1566"/>
      <c r="G987" s="1566"/>
      <c r="H987" s="1566"/>
      <c r="I987" s="1566"/>
      <c r="J987" s="1566"/>
      <c r="K987" s="1566"/>
    </row>
    <row r="988" spans="1:11">
      <c r="A988" s="1566"/>
      <c r="B988" s="1566"/>
      <c r="C988" s="1566"/>
      <c r="D988" s="1566"/>
      <c r="E988" s="1566"/>
      <c r="F988" s="1566"/>
      <c r="G988" s="1566"/>
      <c r="H988" s="1566"/>
      <c r="I988" s="1566"/>
      <c r="J988" s="1566"/>
      <c r="K988" s="1566"/>
    </row>
    <row r="989" spans="1:11">
      <c r="A989" s="1566"/>
      <c r="B989" s="1566"/>
      <c r="C989" s="1566"/>
      <c r="D989" s="1566"/>
      <c r="E989" s="1566"/>
      <c r="F989" s="1566"/>
      <c r="G989" s="1566"/>
      <c r="H989" s="1566"/>
      <c r="I989" s="1566"/>
      <c r="J989" s="1566"/>
      <c r="K989" s="1566"/>
    </row>
    <row r="990" spans="1:11">
      <c r="A990" s="1566"/>
      <c r="B990" s="1566"/>
      <c r="C990" s="1566"/>
      <c r="D990" s="1566"/>
      <c r="E990" s="1566"/>
      <c r="F990" s="1566"/>
      <c r="G990" s="1566"/>
      <c r="H990" s="1566"/>
      <c r="I990" s="1566"/>
      <c r="J990" s="1566"/>
      <c r="K990" s="1566"/>
    </row>
    <row r="991" spans="1:11">
      <c r="A991" s="1566"/>
      <c r="B991" s="1566"/>
      <c r="C991" s="1566"/>
      <c r="D991" s="1566"/>
      <c r="E991" s="1566"/>
      <c r="F991" s="1566"/>
      <c r="G991" s="1566"/>
      <c r="H991" s="1566"/>
      <c r="I991" s="1566"/>
      <c r="J991" s="1566"/>
      <c r="K991" s="1566"/>
    </row>
    <row r="992" spans="1:11">
      <c r="A992" s="1566"/>
      <c r="B992" s="1566"/>
      <c r="C992" s="1566"/>
      <c r="D992" s="1566"/>
      <c r="E992" s="1566"/>
      <c r="F992" s="1566"/>
      <c r="G992" s="1566"/>
      <c r="H992" s="1566"/>
      <c r="I992" s="1566"/>
      <c r="J992" s="1566"/>
      <c r="K992" s="1566"/>
    </row>
    <row r="993" spans="1:11">
      <c r="A993" s="1566"/>
      <c r="B993" s="1566"/>
      <c r="C993" s="1566"/>
      <c r="D993" s="1566"/>
      <c r="E993" s="1566"/>
      <c r="F993" s="1566"/>
      <c r="G993" s="1566"/>
      <c r="H993" s="1566"/>
      <c r="I993" s="1566"/>
      <c r="J993" s="1566"/>
      <c r="K993" s="1566"/>
    </row>
    <row r="994" spans="1:11">
      <c r="A994" s="1566"/>
      <c r="B994" s="1566"/>
      <c r="C994" s="1566"/>
      <c r="D994" s="1566"/>
      <c r="E994" s="1566"/>
      <c r="F994" s="1566"/>
      <c r="G994" s="1566"/>
      <c r="H994" s="1566"/>
      <c r="I994" s="1566"/>
      <c r="J994" s="1566"/>
      <c r="K994" s="1566"/>
    </row>
    <row r="995" spans="1:11">
      <c r="A995" s="1566"/>
      <c r="B995" s="1566"/>
      <c r="C995" s="1566"/>
      <c r="D995" s="1566"/>
      <c r="E995" s="1566"/>
      <c r="F995" s="1566"/>
      <c r="G995" s="1566"/>
      <c r="H995" s="1566"/>
      <c r="I995" s="1566"/>
      <c r="J995" s="1566"/>
      <c r="K995" s="1566"/>
    </row>
    <row r="996" spans="1:11">
      <c r="A996" s="1566"/>
      <c r="B996" s="1566"/>
      <c r="C996" s="1566"/>
      <c r="D996" s="1566"/>
      <c r="E996" s="1566"/>
      <c r="F996" s="1566"/>
      <c r="G996" s="1566"/>
      <c r="H996" s="1566"/>
      <c r="I996" s="1566"/>
      <c r="J996" s="1566"/>
      <c r="K996" s="1566"/>
    </row>
    <row r="997" spans="1:11">
      <c r="A997" s="1566"/>
      <c r="B997" s="1566"/>
      <c r="C997" s="1566"/>
      <c r="D997" s="1566"/>
      <c r="E997" s="1566"/>
      <c r="F997" s="1566"/>
      <c r="G997" s="1566"/>
      <c r="H997" s="1566"/>
      <c r="I997" s="1566"/>
      <c r="J997" s="1566"/>
      <c r="K997" s="1566"/>
    </row>
    <row r="998" spans="1:11">
      <c r="A998" s="1566"/>
      <c r="B998" s="1566"/>
      <c r="C998" s="1566"/>
      <c r="D998" s="1566"/>
      <c r="E998" s="1566"/>
      <c r="F998" s="1566"/>
      <c r="G998" s="1566"/>
      <c r="H998" s="1566"/>
      <c r="I998" s="1566"/>
      <c r="J998" s="1566"/>
      <c r="K998" s="1566"/>
    </row>
    <row r="999" spans="1:11">
      <c r="A999" s="1566"/>
      <c r="B999" s="1566"/>
      <c r="C999" s="1566"/>
      <c r="D999" s="1566"/>
      <c r="E999" s="1566"/>
      <c r="F999" s="1566"/>
      <c r="G999" s="1566"/>
      <c r="H999" s="1566"/>
      <c r="I999" s="1566"/>
      <c r="J999" s="1566"/>
      <c r="K999" s="1566"/>
    </row>
    <row r="1000" spans="1:11">
      <c r="A1000" s="1566"/>
      <c r="B1000" s="1566"/>
      <c r="C1000" s="1566"/>
      <c r="D1000" s="1566"/>
      <c r="E1000" s="1566"/>
      <c r="F1000" s="1566"/>
      <c r="G1000" s="1566"/>
      <c r="H1000" s="1566"/>
      <c r="I1000" s="1566"/>
      <c r="J1000" s="1566"/>
      <c r="K1000" s="1566"/>
    </row>
    <row r="1001" spans="1:11">
      <c r="A1001" s="1566"/>
      <c r="B1001" s="1566"/>
      <c r="C1001" s="1566"/>
      <c r="D1001" s="1566"/>
      <c r="E1001" s="1566"/>
      <c r="F1001" s="1566"/>
      <c r="G1001" s="1566"/>
      <c r="H1001" s="1566"/>
      <c r="I1001" s="1566"/>
      <c r="J1001" s="1566"/>
      <c r="K1001" s="1566"/>
    </row>
    <row r="1002" spans="1:11">
      <c r="A1002" s="1566"/>
      <c r="B1002" s="1566"/>
      <c r="C1002" s="1566"/>
      <c r="D1002" s="1566"/>
      <c r="E1002" s="1566"/>
      <c r="F1002" s="1566"/>
      <c r="G1002" s="1566"/>
      <c r="H1002" s="1566"/>
      <c r="I1002" s="1566"/>
      <c r="J1002" s="1566"/>
      <c r="K1002" s="1566"/>
    </row>
    <row r="1003" spans="1:11">
      <c r="A1003" s="1566"/>
      <c r="B1003" s="1566"/>
      <c r="C1003" s="1566"/>
      <c r="D1003" s="1566"/>
      <c r="E1003" s="1566"/>
      <c r="F1003" s="1566"/>
      <c r="G1003" s="1566"/>
      <c r="H1003" s="1566"/>
      <c r="I1003" s="1566"/>
      <c r="J1003" s="1566"/>
      <c r="K1003" s="1566"/>
    </row>
    <row r="1004" spans="1:11">
      <c r="A1004" s="1566"/>
      <c r="B1004" s="1566"/>
      <c r="C1004" s="1566"/>
      <c r="D1004" s="1566"/>
      <c r="E1004" s="1566"/>
      <c r="F1004" s="1566"/>
      <c r="G1004" s="1566"/>
      <c r="H1004" s="1566"/>
      <c r="I1004" s="1566"/>
      <c r="J1004" s="1566"/>
      <c r="K1004" s="1566"/>
    </row>
    <row r="1005" spans="1:11">
      <c r="A1005" s="1566"/>
      <c r="B1005" s="1566"/>
      <c r="C1005" s="1566"/>
      <c r="D1005" s="1566"/>
      <c r="E1005" s="1566"/>
      <c r="F1005" s="1566"/>
      <c r="G1005" s="1566"/>
      <c r="H1005" s="1566"/>
      <c r="I1005" s="1566"/>
      <c r="J1005" s="1566"/>
      <c r="K1005" s="1566"/>
    </row>
    <row r="1006" spans="1:11">
      <c r="A1006" s="1566"/>
      <c r="B1006" s="1566"/>
      <c r="C1006" s="1566"/>
      <c r="D1006" s="1566"/>
      <c r="E1006" s="1566"/>
      <c r="F1006" s="1566"/>
      <c r="G1006" s="1566"/>
      <c r="H1006" s="1566"/>
      <c r="I1006" s="1566"/>
      <c r="J1006" s="1566"/>
      <c r="K1006" s="1566"/>
    </row>
    <row r="1007" spans="1:11">
      <c r="A1007" s="1566"/>
      <c r="B1007" s="1566"/>
      <c r="C1007" s="1566"/>
      <c r="D1007" s="1566"/>
      <c r="E1007" s="1566"/>
      <c r="F1007" s="1566"/>
      <c r="G1007" s="1566"/>
      <c r="H1007" s="1566"/>
      <c r="I1007" s="1566"/>
      <c r="J1007" s="1566"/>
      <c r="K1007" s="1566"/>
    </row>
    <row r="1008" spans="1:11">
      <c r="A1008" s="1566"/>
      <c r="B1008" s="1566"/>
      <c r="C1008" s="1566"/>
      <c r="D1008" s="1566"/>
      <c r="E1008" s="1566"/>
      <c r="F1008" s="1566"/>
      <c r="G1008" s="1566"/>
      <c r="H1008" s="1566"/>
      <c r="I1008" s="1566"/>
      <c r="J1008" s="1566"/>
      <c r="K1008" s="1566"/>
    </row>
    <row r="1009" spans="1:11">
      <c r="A1009" s="1566"/>
      <c r="B1009" s="1566"/>
      <c r="C1009" s="1566"/>
      <c r="D1009" s="1566"/>
      <c r="E1009" s="1566"/>
      <c r="F1009" s="1566"/>
      <c r="G1009" s="1566"/>
      <c r="H1009" s="1566"/>
      <c r="I1009" s="1566"/>
      <c r="J1009" s="1566"/>
      <c r="K1009" s="1566"/>
    </row>
    <row r="1010" spans="1:11">
      <c r="A1010" s="1566"/>
      <c r="B1010" s="1566"/>
      <c r="C1010" s="1566"/>
      <c r="D1010" s="1566"/>
      <c r="E1010" s="1566"/>
      <c r="F1010" s="1566"/>
      <c r="G1010" s="1566"/>
      <c r="H1010" s="1566"/>
      <c r="I1010" s="1566"/>
      <c r="J1010" s="1566"/>
      <c r="K1010" s="1566"/>
    </row>
    <row r="1011" spans="1:11">
      <c r="A1011" s="1566"/>
      <c r="B1011" s="1566"/>
      <c r="C1011" s="1566"/>
      <c r="D1011" s="1566"/>
      <c r="E1011" s="1566"/>
      <c r="F1011" s="1566"/>
      <c r="G1011" s="1566"/>
      <c r="H1011" s="1566"/>
      <c r="I1011" s="1566"/>
      <c r="J1011" s="1566"/>
      <c r="K1011" s="1566"/>
    </row>
    <row r="1012" spans="1:11">
      <c r="A1012" s="1566"/>
      <c r="B1012" s="1566"/>
      <c r="C1012" s="1566"/>
      <c r="D1012" s="1566"/>
      <c r="E1012" s="1566"/>
      <c r="F1012" s="1566"/>
      <c r="G1012" s="1566"/>
      <c r="H1012" s="1566"/>
      <c r="I1012" s="1566"/>
      <c r="J1012" s="1566"/>
      <c r="K1012" s="1566"/>
    </row>
    <row r="1013" spans="1:11">
      <c r="A1013" s="1566"/>
      <c r="B1013" s="1566"/>
      <c r="C1013" s="1566"/>
      <c r="D1013" s="1566"/>
      <c r="E1013" s="1566"/>
      <c r="F1013" s="1566"/>
      <c r="G1013" s="1566"/>
      <c r="H1013" s="1566"/>
      <c r="I1013" s="1566"/>
      <c r="J1013" s="1566"/>
      <c r="K1013" s="1566"/>
    </row>
    <row r="1014" spans="1:11">
      <c r="A1014" s="1566"/>
      <c r="B1014" s="1566"/>
      <c r="C1014" s="1566"/>
      <c r="D1014" s="1566"/>
      <c r="E1014" s="1566"/>
      <c r="F1014" s="1566"/>
      <c r="G1014" s="1566"/>
      <c r="H1014" s="1566"/>
      <c r="I1014" s="1566"/>
      <c r="J1014" s="1566"/>
      <c r="K1014" s="1566"/>
    </row>
    <row r="1015" spans="1:11">
      <c r="A1015" s="1566"/>
      <c r="B1015" s="1566"/>
      <c r="C1015" s="1566"/>
      <c r="D1015" s="1566"/>
      <c r="E1015" s="1566"/>
      <c r="F1015" s="1566"/>
      <c r="G1015" s="1566"/>
      <c r="H1015" s="1566"/>
      <c r="I1015" s="1566"/>
      <c r="J1015" s="1566"/>
      <c r="K1015" s="1566"/>
    </row>
    <row r="1016" spans="1:11">
      <c r="A1016" s="1566"/>
      <c r="B1016" s="1566"/>
      <c r="C1016" s="1566"/>
      <c r="D1016" s="1566"/>
      <c r="E1016" s="1566"/>
      <c r="F1016" s="1566"/>
      <c r="G1016" s="1566"/>
      <c r="H1016" s="1566"/>
      <c r="I1016" s="1566"/>
      <c r="J1016" s="1566"/>
      <c r="K1016" s="1566"/>
    </row>
    <row r="1017" spans="1:11">
      <c r="A1017" s="1566"/>
      <c r="B1017" s="1566"/>
      <c r="C1017" s="1566"/>
      <c r="D1017" s="1566"/>
      <c r="E1017" s="1566"/>
      <c r="F1017" s="1566"/>
      <c r="G1017" s="1566"/>
      <c r="H1017" s="1566"/>
      <c r="I1017" s="1566"/>
      <c r="J1017" s="1566"/>
      <c r="K1017" s="1566"/>
    </row>
    <row r="1018" spans="1:11">
      <c r="A1018" s="1566"/>
      <c r="B1018" s="1566"/>
      <c r="C1018" s="1566"/>
      <c r="D1018" s="1566"/>
      <c r="E1018" s="1566"/>
      <c r="F1018" s="1566"/>
      <c r="G1018" s="1566"/>
      <c r="H1018" s="1566"/>
      <c r="I1018" s="1566"/>
      <c r="J1018" s="1566"/>
      <c r="K1018" s="1566"/>
    </row>
    <row r="1019" spans="1:11">
      <c r="A1019" s="1566"/>
      <c r="B1019" s="1566"/>
      <c r="C1019" s="1566"/>
      <c r="D1019" s="1566"/>
      <c r="E1019" s="1566"/>
      <c r="F1019" s="1566"/>
      <c r="G1019" s="1566"/>
      <c r="H1019" s="1566"/>
      <c r="I1019" s="1566"/>
      <c r="J1019" s="1566"/>
      <c r="K1019" s="1566"/>
    </row>
    <row r="1020" spans="1:11">
      <c r="A1020" s="1566"/>
      <c r="B1020" s="1566"/>
      <c r="C1020" s="1566"/>
      <c r="D1020" s="1566"/>
      <c r="E1020" s="1566"/>
      <c r="F1020" s="1566"/>
      <c r="G1020" s="1566"/>
      <c r="H1020" s="1566"/>
      <c r="I1020" s="1566"/>
      <c r="J1020" s="1566"/>
      <c r="K1020" s="1566"/>
    </row>
    <row r="1021" spans="1:11">
      <c r="A1021" s="1566"/>
      <c r="B1021" s="1566"/>
      <c r="C1021" s="1566"/>
      <c r="D1021" s="1566"/>
      <c r="E1021" s="1566"/>
      <c r="F1021" s="1566"/>
      <c r="G1021" s="1566"/>
      <c r="H1021" s="1566"/>
      <c r="I1021" s="1566"/>
      <c r="J1021" s="1566"/>
      <c r="K1021" s="1566"/>
    </row>
    <row r="1022" spans="1:11">
      <c r="A1022" s="1566"/>
      <c r="B1022" s="1566"/>
      <c r="C1022" s="1566"/>
      <c r="D1022" s="1566"/>
      <c r="E1022" s="1566"/>
      <c r="F1022" s="1566"/>
      <c r="G1022" s="1566"/>
      <c r="H1022" s="1566"/>
      <c r="I1022" s="1566"/>
      <c r="J1022" s="1566"/>
      <c r="K1022" s="1566"/>
    </row>
    <row r="1023" spans="1:11">
      <c r="A1023" s="1566"/>
      <c r="B1023" s="1566"/>
      <c r="C1023" s="1566"/>
      <c r="D1023" s="1566"/>
      <c r="E1023" s="1566"/>
      <c r="F1023" s="1566"/>
      <c r="G1023" s="1566"/>
      <c r="H1023" s="1566"/>
      <c r="I1023" s="1566"/>
      <c r="J1023" s="1566"/>
      <c r="K1023" s="1566"/>
    </row>
    <row r="1024" spans="1:11">
      <c r="A1024" s="1566"/>
      <c r="B1024" s="1566"/>
      <c r="C1024" s="1566"/>
      <c r="D1024" s="1566"/>
      <c r="E1024" s="1566"/>
      <c r="F1024" s="1566"/>
      <c r="G1024" s="1566"/>
      <c r="H1024" s="1566"/>
      <c r="I1024" s="1566"/>
      <c r="J1024" s="1566"/>
      <c r="K1024" s="1566"/>
    </row>
    <row r="1025" spans="1:11">
      <c r="A1025" s="1566"/>
      <c r="B1025" s="1566"/>
      <c r="C1025" s="1566"/>
      <c r="D1025" s="1566"/>
      <c r="E1025" s="1566"/>
      <c r="F1025" s="1566"/>
      <c r="G1025" s="1566"/>
      <c r="H1025" s="1566"/>
      <c r="I1025" s="1566"/>
      <c r="J1025" s="1566"/>
      <c r="K1025" s="1566"/>
    </row>
    <row r="1026" spans="1:11">
      <c r="A1026" s="1566"/>
      <c r="B1026" s="1566"/>
      <c r="C1026" s="1566"/>
      <c r="D1026" s="1566"/>
      <c r="E1026" s="1566"/>
      <c r="F1026" s="1566"/>
      <c r="G1026" s="1566"/>
      <c r="H1026" s="1566"/>
      <c r="I1026" s="1566"/>
      <c r="J1026" s="1566"/>
      <c r="K1026" s="1566"/>
    </row>
    <row r="1027" spans="1:11">
      <c r="A1027" s="1566"/>
      <c r="B1027" s="1566"/>
      <c r="C1027" s="1566"/>
      <c r="D1027" s="1566"/>
      <c r="E1027" s="1566"/>
      <c r="F1027" s="1566"/>
      <c r="G1027" s="1566"/>
      <c r="H1027" s="1566"/>
      <c r="I1027" s="1566"/>
      <c r="J1027" s="1566"/>
      <c r="K1027" s="1566"/>
    </row>
    <row r="1028" spans="1:11">
      <c r="A1028" s="1566"/>
      <c r="B1028" s="1566"/>
      <c r="C1028" s="1566"/>
      <c r="D1028" s="1566"/>
      <c r="E1028" s="1566"/>
      <c r="F1028" s="1566"/>
      <c r="G1028" s="1566"/>
      <c r="H1028" s="1566"/>
      <c r="I1028" s="1566"/>
      <c r="J1028" s="1566"/>
      <c r="K1028" s="1566"/>
    </row>
    <row r="1029" spans="1:11">
      <c r="A1029" s="1566"/>
      <c r="B1029" s="1566"/>
      <c r="C1029" s="1566"/>
      <c r="D1029" s="1566"/>
      <c r="E1029" s="1566"/>
      <c r="F1029" s="1566"/>
      <c r="G1029" s="1566"/>
      <c r="H1029" s="1566"/>
      <c r="I1029" s="1566"/>
      <c r="J1029" s="1566"/>
      <c r="K1029" s="1566"/>
    </row>
    <row r="1030" spans="1:11">
      <c r="A1030" s="1566"/>
      <c r="B1030" s="1566"/>
      <c r="C1030" s="1566"/>
      <c r="D1030" s="1566"/>
      <c r="E1030" s="1566"/>
      <c r="F1030" s="1566"/>
      <c r="G1030" s="1566"/>
      <c r="H1030" s="1566"/>
      <c r="I1030" s="1566"/>
      <c r="J1030" s="1566"/>
      <c r="K1030" s="1566"/>
    </row>
    <row r="1031" spans="1:11">
      <c r="A1031" s="1566"/>
      <c r="B1031" s="1566"/>
      <c r="C1031" s="1566"/>
      <c r="D1031" s="1566"/>
      <c r="E1031" s="1566"/>
      <c r="F1031" s="1566"/>
      <c r="G1031" s="1566"/>
      <c r="H1031" s="1566"/>
      <c r="I1031" s="1566"/>
      <c r="J1031" s="1566"/>
      <c r="K1031" s="1566"/>
    </row>
    <row r="1032" spans="1:11">
      <c r="A1032" s="1566"/>
      <c r="B1032" s="1566"/>
      <c r="C1032" s="1566"/>
      <c r="D1032" s="1566"/>
      <c r="E1032" s="1566"/>
      <c r="F1032" s="1566"/>
      <c r="G1032" s="1566"/>
      <c r="H1032" s="1566"/>
      <c r="I1032" s="1566"/>
      <c r="J1032" s="1566"/>
      <c r="K1032" s="1566"/>
    </row>
    <row r="1033" spans="1:11">
      <c r="A1033" s="1566"/>
      <c r="B1033" s="1566"/>
      <c r="C1033" s="1566"/>
      <c r="D1033" s="1566"/>
      <c r="E1033" s="1566"/>
      <c r="F1033" s="1566"/>
      <c r="G1033" s="1566"/>
      <c r="H1033" s="1566"/>
      <c r="I1033" s="1566"/>
      <c r="J1033" s="1566"/>
      <c r="K1033" s="1566"/>
    </row>
    <row r="1034" spans="1:11">
      <c r="A1034" s="1566"/>
      <c r="B1034" s="1566"/>
      <c r="C1034" s="1566"/>
      <c r="D1034" s="1566"/>
      <c r="E1034" s="1566"/>
      <c r="F1034" s="1566"/>
      <c r="G1034" s="1566"/>
      <c r="H1034" s="1566"/>
      <c r="I1034" s="1566"/>
      <c r="J1034" s="1566"/>
      <c r="K1034" s="1566"/>
    </row>
    <row r="1035" spans="1:11">
      <c r="A1035" s="1566"/>
      <c r="B1035" s="1566"/>
      <c r="C1035" s="1566"/>
      <c r="D1035" s="1566"/>
      <c r="E1035" s="1566"/>
      <c r="F1035" s="1566"/>
      <c r="G1035" s="1566"/>
      <c r="H1035" s="1566"/>
      <c r="I1035" s="1566"/>
      <c r="J1035" s="1566"/>
      <c r="K1035" s="1566"/>
    </row>
    <row r="1036" spans="1:11">
      <c r="A1036" s="1566"/>
      <c r="B1036" s="1566"/>
      <c r="C1036" s="1566"/>
      <c r="D1036" s="1566"/>
      <c r="E1036" s="1566"/>
      <c r="F1036" s="1566"/>
      <c r="G1036" s="1566"/>
      <c r="H1036" s="1566"/>
      <c r="I1036" s="1566"/>
      <c r="J1036" s="1566"/>
      <c r="K1036" s="1566"/>
    </row>
    <row r="1037" spans="1:11">
      <c r="A1037" s="1566"/>
      <c r="B1037" s="1566"/>
      <c r="C1037" s="1566"/>
      <c r="D1037" s="1566"/>
      <c r="E1037" s="1566"/>
      <c r="F1037" s="1566"/>
      <c r="G1037" s="1566"/>
      <c r="H1037" s="1566"/>
      <c r="I1037" s="1566"/>
      <c r="J1037" s="1566"/>
      <c r="K1037" s="1566"/>
    </row>
    <row r="1038" spans="1:11">
      <c r="A1038" s="1566"/>
      <c r="B1038" s="1566"/>
      <c r="C1038" s="1566"/>
      <c r="D1038" s="1566"/>
      <c r="E1038" s="1566"/>
      <c r="F1038" s="1566"/>
      <c r="G1038" s="1566"/>
      <c r="H1038" s="1566"/>
      <c r="I1038" s="1566"/>
      <c r="J1038" s="1566"/>
      <c r="K1038" s="1566"/>
    </row>
    <row r="1039" spans="1:11">
      <c r="A1039" s="1566"/>
      <c r="B1039" s="1566"/>
      <c r="C1039" s="1566"/>
      <c r="D1039" s="1566"/>
      <c r="E1039" s="1566"/>
      <c r="F1039" s="1566"/>
      <c r="G1039" s="1566"/>
      <c r="H1039" s="1566"/>
      <c r="I1039" s="1566"/>
      <c r="J1039" s="1566"/>
      <c r="K1039" s="1566"/>
    </row>
    <row r="1040" spans="1:11">
      <c r="A1040" s="1566"/>
      <c r="B1040" s="1566"/>
      <c r="C1040" s="1566"/>
      <c r="D1040" s="1566"/>
      <c r="E1040" s="1566"/>
      <c r="F1040" s="1566"/>
      <c r="G1040" s="1566"/>
      <c r="H1040" s="1566"/>
      <c r="I1040" s="1566"/>
      <c r="J1040" s="1566"/>
      <c r="K1040" s="1566"/>
    </row>
    <row r="1041" spans="1:11">
      <c r="A1041" s="1566"/>
      <c r="B1041" s="1566"/>
      <c r="C1041" s="1566"/>
      <c r="D1041" s="1566"/>
      <c r="E1041" s="1566"/>
      <c r="F1041" s="1566"/>
      <c r="G1041" s="1566"/>
      <c r="H1041" s="1566"/>
      <c r="I1041" s="1566"/>
      <c r="J1041" s="1566"/>
      <c r="K1041" s="1566"/>
    </row>
    <row r="1042" spans="1:11">
      <c r="A1042" s="1566"/>
      <c r="B1042" s="1566"/>
      <c r="C1042" s="1566"/>
      <c r="D1042" s="1566"/>
      <c r="E1042" s="1566"/>
      <c r="F1042" s="1566"/>
      <c r="G1042" s="1566"/>
      <c r="H1042" s="1566"/>
      <c r="I1042" s="1566"/>
      <c r="J1042" s="1566"/>
      <c r="K1042" s="1566"/>
    </row>
    <row r="1043" spans="1:11">
      <c r="A1043" s="1566"/>
      <c r="B1043" s="1566"/>
      <c r="C1043" s="1566"/>
      <c r="D1043" s="1566"/>
      <c r="E1043" s="1566"/>
      <c r="F1043" s="1566"/>
      <c r="G1043" s="1566"/>
      <c r="H1043" s="1566"/>
      <c r="I1043" s="1566"/>
      <c r="J1043" s="1566"/>
      <c r="K1043" s="1566"/>
    </row>
    <row r="1044" spans="1:11">
      <c r="A1044" s="1566"/>
      <c r="B1044" s="1566"/>
      <c r="C1044" s="1566"/>
      <c r="D1044" s="1566"/>
      <c r="E1044" s="1566"/>
      <c r="F1044" s="1566"/>
      <c r="G1044" s="1566"/>
      <c r="H1044" s="1566"/>
      <c r="I1044" s="1566"/>
      <c r="J1044" s="1566"/>
      <c r="K1044" s="1566"/>
    </row>
    <row r="1045" spans="1:11">
      <c r="A1045" s="1566"/>
      <c r="B1045" s="1566"/>
      <c r="C1045" s="1566"/>
      <c r="D1045" s="1566"/>
      <c r="E1045" s="1566"/>
      <c r="F1045" s="1566"/>
      <c r="G1045" s="1566"/>
      <c r="H1045" s="1566"/>
      <c r="I1045" s="1566"/>
      <c r="J1045" s="1566"/>
      <c r="K1045" s="1566"/>
    </row>
    <row r="1046" spans="1:11">
      <c r="A1046" s="1566"/>
      <c r="B1046" s="1566"/>
      <c r="C1046" s="1566"/>
      <c r="D1046" s="1566"/>
      <c r="E1046" s="1566"/>
      <c r="F1046" s="1566"/>
      <c r="G1046" s="1566"/>
      <c r="H1046" s="1566"/>
      <c r="I1046" s="1566"/>
      <c r="J1046" s="1566"/>
      <c r="K1046" s="1566"/>
    </row>
    <row r="1047" spans="1:11">
      <c r="A1047" s="1566"/>
      <c r="B1047" s="1566"/>
      <c r="C1047" s="1566"/>
      <c r="D1047" s="1566"/>
      <c r="E1047" s="1566"/>
      <c r="F1047" s="1566"/>
      <c r="G1047" s="1566"/>
      <c r="H1047" s="1566"/>
      <c r="I1047" s="1566"/>
      <c r="J1047" s="1566"/>
      <c r="K1047" s="1566"/>
    </row>
    <row r="1048" spans="1:11">
      <c r="A1048" s="1566"/>
      <c r="B1048" s="1566"/>
      <c r="C1048" s="1566"/>
      <c r="D1048" s="1566"/>
      <c r="E1048" s="1566"/>
      <c r="F1048" s="1566"/>
      <c r="G1048" s="1566"/>
      <c r="H1048" s="1566"/>
      <c r="I1048" s="1566"/>
      <c r="J1048" s="1566"/>
      <c r="K1048" s="1566"/>
    </row>
    <row r="1049" spans="1:11">
      <c r="A1049" s="1566"/>
      <c r="B1049" s="1566"/>
      <c r="C1049" s="1566"/>
      <c r="D1049" s="1566"/>
      <c r="E1049" s="1566"/>
      <c r="F1049" s="1566"/>
      <c r="G1049" s="1566"/>
      <c r="H1049" s="1566"/>
      <c r="I1049" s="1566"/>
      <c r="J1049" s="1566"/>
      <c r="K1049" s="1566"/>
    </row>
    <row r="1050" spans="1:11">
      <c r="A1050" s="1566"/>
      <c r="B1050" s="1566"/>
      <c r="C1050" s="1566"/>
      <c r="D1050" s="1566"/>
      <c r="E1050" s="1566"/>
      <c r="F1050" s="1566"/>
      <c r="G1050" s="1566"/>
      <c r="H1050" s="1566"/>
      <c r="I1050" s="1566"/>
      <c r="J1050" s="1566"/>
      <c r="K1050" s="1566"/>
    </row>
    <row r="1051" spans="1:11">
      <c r="A1051" s="1566"/>
      <c r="B1051" s="1566"/>
      <c r="C1051" s="1566"/>
      <c r="D1051" s="1566"/>
      <c r="E1051" s="1566"/>
      <c r="F1051" s="1566"/>
      <c r="G1051" s="1566"/>
      <c r="H1051" s="1566"/>
      <c r="I1051" s="1566"/>
      <c r="J1051" s="1566"/>
      <c r="K1051" s="1566"/>
    </row>
    <row r="1052" spans="1:11">
      <c r="A1052" s="1566"/>
      <c r="B1052" s="1566"/>
      <c r="C1052" s="1566"/>
      <c r="D1052" s="1566"/>
      <c r="E1052" s="1566"/>
      <c r="F1052" s="1566"/>
      <c r="G1052" s="1566"/>
      <c r="H1052" s="1566"/>
      <c r="I1052" s="1566"/>
      <c r="J1052" s="1566"/>
      <c r="K1052" s="1566"/>
    </row>
    <row r="1053" spans="1:11">
      <c r="A1053" s="1566"/>
      <c r="B1053" s="1566"/>
      <c r="C1053" s="1566"/>
      <c r="D1053" s="1566"/>
      <c r="E1053" s="1566"/>
      <c r="F1053" s="1566"/>
      <c r="G1053" s="1566"/>
      <c r="H1053" s="1566"/>
      <c r="I1053" s="1566"/>
      <c r="J1053" s="1566"/>
      <c r="K1053" s="1566"/>
    </row>
    <row r="1054" spans="1:11">
      <c r="A1054" s="1566"/>
      <c r="B1054" s="1566"/>
      <c r="C1054" s="1566"/>
      <c r="D1054" s="1566"/>
      <c r="E1054" s="1566"/>
      <c r="F1054" s="1566"/>
      <c r="G1054" s="1566"/>
      <c r="H1054" s="1566"/>
      <c r="I1054" s="1566"/>
      <c r="J1054" s="1566"/>
      <c r="K1054" s="1566"/>
    </row>
    <row r="1055" spans="1:11">
      <c r="A1055" s="1566"/>
      <c r="B1055" s="1566"/>
      <c r="C1055" s="1566"/>
      <c r="D1055" s="1566"/>
      <c r="E1055" s="1566"/>
      <c r="F1055" s="1566"/>
      <c r="G1055" s="1566"/>
      <c r="H1055" s="1566"/>
      <c r="I1055" s="1566"/>
      <c r="J1055" s="1566"/>
      <c r="K1055" s="1566"/>
    </row>
    <row r="1056" spans="1:11">
      <c r="A1056" s="1566"/>
      <c r="B1056" s="1566"/>
      <c r="C1056" s="1566"/>
      <c r="D1056" s="1566"/>
      <c r="E1056" s="1566"/>
      <c r="F1056" s="1566"/>
      <c r="G1056" s="1566"/>
      <c r="H1056" s="1566"/>
      <c r="I1056" s="1566"/>
      <c r="J1056" s="1566"/>
      <c r="K1056" s="1566"/>
    </row>
    <row r="1057" spans="1:11">
      <c r="A1057" s="1566"/>
      <c r="B1057" s="1566"/>
      <c r="C1057" s="1566"/>
      <c r="D1057" s="1566"/>
      <c r="E1057" s="1566"/>
      <c r="F1057" s="1566"/>
      <c r="G1057" s="1566"/>
      <c r="H1057" s="1566"/>
      <c r="I1057" s="1566"/>
      <c r="J1057" s="1566"/>
      <c r="K1057" s="1566"/>
    </row>
    <row r="1058" spans="1:11">
      <c r="A1058" s="1566"/>
      <c r="B1058" s="1566"/>
      <c r="C1058" s="1566"/>
      <c r="D1058" s="1566"/>
      <c r="E1058" s="1566"/>
      <c r="F1058" s="1566"/>
      <c r="G1058" s="1566"/>
      <c r="H1058" s="1566"/>
      <c r="I1058" s="1566"/>
      <c r="J1058" s="1566"/>
      <c r="K1058" s="1566"/>
    </row>
    <row r="1059" spans="1:11">
      <c r="A1059" s="1566"/>
      <c r="B1059" s="1566"/>
      <c r="C1059" s="1566"/>
      <c r="D1059" s="1566"/>
      <c r="E1059" s="1566"/>
      <c r="F1059" s="1566"/>
      <c r="G1059" s="1566"/>
      <c r="H1059" s="1566"/>
      <c r="I1059" s="1566"/>
      <c r="J1059" s="1566"/>
      <c r="K1059" s="1566"/>
    </row>
    <row r="1060" spans="1:11">
      <c r="A1060" s="1566"/>
      <c r="B1060" s="1566"/>
      <c r="C1060" s="1566"/>
      <c r="D1060" s="1566"/>
      <c r="E1060" s="1566"/>
      <c r="F1060" s="1566"/>
      <c r="G1060" s="1566"/>
      <c r="H1060" s="1566"/>
      <c r="I1060" s="1566"/>
      <c r="J1060" s="1566"/>
      <c r="K1060" s="1566"/>
    </row>
    <row r="1061" spans="1:11">
      <c r="A1061" s="1566"/>
      <c r="B1061" s="1566"/>
      <c r="C1061" s="1566"/>
      <c r="D1061" s="1566"/>
      <c r="E1061" s="1566"/>
      <c r="F1061" s="1566"/>
      <c r="G1061" s="1566"/>
      <c r="H1061" s="1566"/>
      <c r="I1061" s="1566"/>
      <c r="J1061" s="1566"/>
      <c r="K1061" s="1566"/>
    </row>
    <row r="1062" spans="1:11">
      <c r="A1062" s="1566"/>
      <c r="B1062" s="1566"/>
      <c r="C1062" s="1566"/>
      <c r="D1062" s="1566"/>
      <c r="E1062" s="1566"/>
      <c r="F1062" s="1566"/>
      <c r="G1062" s="1566"/>
      <c r="H1062" s="1566"/>
      <c r="I1062" s="1566"/>
      <c r="J1062" s="1566"/>
      <c r="K1062" s="1566"/>
    </row>
    <row r="1063" spans="1:11">
      <c r="A1063" s="1566"/>
      <c r="B1063" s="1566"/>
      <c r="C1063" s="1566"/>
      <c r="D1063" s="1566"/>
      <c r="E1063" s="1566"/>
      <c r="F1063" s="1566"/>
      <c r="G1063" s="1566"/>
      <c r="H1063" s="1566"/>
      <c r="I1063" s="1566"/>
      <c r="J1063" s="1566"/>
      <c r="K1063" s="1566"/>
    </row>
    <row r="1064" spans="1:11">
      <c r="A1064" s="1566"/>
      <c r="B1064" s="1566"/>
      <c r="C1064" s="1566"/>
      <c r="D1064" s="1566"/>
      <c r="E1064" s="1566"/>
      <c r="F1064" s="1566"/>
      <c r="G1064" s="1566"/>
      <c r="H1064" s="1566"/>
      <c r="I1064" s="1566"/>
      <c r="J1064" s="1566"/>
      <c r="K1064" s="1566"/>
    </row>
    <row r="1065" spans="1:11">
      <c r="A1065" s="1566"/>
      <c r="B1065" s="1566"/>
      <c r="C1065" s="1566"/>
      <c r="D1065" s="1566"/>
      <c r="E1065" s="1566"/>
      <c r="F1065" s="1566"/>
      <c r="G1065" s="1566"/>
      <c r="H1065" s="1566"/>
      <c r="I1065" s="1566"/>
      <c r="J1065" s="1566"/>
      <c r="K1065" s="1566"/>
    </row>
    <row r="1066" spans="1:11">
      <c r="A1066" s="1566"/>
      <c r="B1066" s="1566"/>
      <c r="C1066" s="1566"/>
      <c r="D1066" s="1566"/>
      <c r="E1066" s="1566"/>
      <c r="F1066" s="1566"/>
      <c r="G1066" s="1566"/>
      <c r="H1066" s="1566"/>
      <c r="I1066" s="1566"/>
      <c r="J1066" s="1566"/>
      <c r="K1066" s="1566"/>
    </row>
    <row r="1067" spans="1:11">
      <c r="A1067" s="1566"/>
      <c r="B1067" s="1566"/>
      <c r="C1067" s="1566"/>
      <c r="D1067" s="1566"/>
      <c r="E1067" s="1566"/>
      <c r="F1067" s="1566"/>
      <c r="G1067" s="1566"/>
      <c r="H1067" s="1566"/>
      <c r="I1067" s="1566"/>
      <c r="J1067" s="1566"/>
      <c r="K1067" s="1566"/>
    </row>
    <row r="1068" spans="1:11">
      <c r="A1068" s="1566"/>
      <c r="B1068" s="1566"/>
      <c r="C1068" s="1566"/>
      <c r="D1068" s="1566"/>
      <c r="E1068" s="1566"/>
      <c r="F1068" s="1566"/>
      <c r="G1068" s="1566"/>
      <c r="H1068" s="1566"/>
      <c r="I1068" s="1566"/>
      <c r="J1068" s="1566"/>
      <c r="K1068" s="1566"/>
    </row>
    <row r="1069" spans="1:11">
      <c r="A1069" s="1566"/>
      <c r="B1069" s="1566"/>
      <c r="C1069" s="1566"/>
      <c r="D1069" s="1566"/>
      <c r="E1069" s="1566"/>
      <c r="F1069" s="1566"/>
      <c r="G1069" s="1566"/>
      <c r="H1069" s="1566"/>
      <c r="I1069" s="1566"/>
      <c r="J1069" s="1566"/>
      <c r="K1069" s="1566"/>
    </row>
    <row r="1070" spans="1:11">
      <c r="A1070" s="1566"/>
      <c r="B1070" s="1566"/>
      <c r="C1070" s="1566"/>
      <c r="D1070" s="1566"/>
      <c r="E1070" s="1566"/>
      <c r="F1070" s="1566"/>
      <c r="G1070" s="1566"/>
      <c r="H1070" s="1566"/>
      <c r="I1070" s="1566"/>
      <c r="J1070" s="1566"/>
      <c r="K1070" s="1566"/>
    </row>
    <row r="1071" spans="1:11">
      <c r="A1071" s="1566"/>
      <c r="B1071" s="1566"/>
      <c r="C1071" s="1566"/>
      <c r="D1071" s="1566"/>
      <c r="E1071" s="1566"/>
      <c r="F1071" s="1566"/>
      <c r="G1071" s="1566"/>
      <c r="H1071" s="1566"/>
      <c r="I1071" s="1566"/>
      <c r="J1071" s="1566"/>
      <c r="K1071" s="1566"/>
    </row>
    <row r="1072" spans="1:11">
      <c r="A1072" s="1566"/>
      <c r="B1072" s="1566"/>
      <c r="C1072" s="1566"/>
      <c r="D1072" s="1566"/>
      <c r="E1072" s="1566"/>
      <c r="F1072" s="1566"/>
      <c r="G1072" s="1566"/>
      <c r="H1072" s="1566"/>
      <c r="I1072" s="1566"/>
      <c r="J1072" s="1566"/>
      <c r="K1072" s="1566"/>
    </row>
    <row r="1073" spans="1:11">
      <c r="A1073" s="1566"/>
      <c r="B1073" s="1566"/>
      <c r="C1073" s="1566"/>
      <c r="D1073" s="1566"/>
      <c r="E1073" s="1566"/>
      <c r="F1073" s="1566"/>
      <c r="G1073" s="1566"/>
      <c r="H1073" s="1566"/>
      <c r="I1073" s="1566"/>
      <c r="J1073" s="1566"/>
      <c r="K1073" s="1566"/>
    </row>
    <row r="1074" spans="1:11">
      <c r="A1074" s="1566"/>
      <c r="B1074" s="1566"/>
      <c r="C1074" s="1566"/>
      <c r="D1074" s="1566"/>
      <c r="E1074" s="1566"/>
      <c r="F1074" s="1566"/>
      <c r="G1074" s="1566"/>
      <c r="H1074" s="1566"/>
      <c r="I1074" s="1566"/>
      <c r="J1074" s="1566"/>
      <c r="K1074" s="1566"/>
    </row>
    <row r="1075" spans="1:11">
      <c r="A1075" s="1566"/>
      <c r="B1075" s="1566"/>
      <c r="C1075" s="1566"/>
      <c r="D1075" s="1566"/>
      <c r="E1075" s="1566"/>
      <c r="F1075" s="1566"/>
      <c r="G1075" s="1566"/>
      <c r="H1075" s="1566"/>
      <c r="I1075" s="1566"/>
      <c r="J1075" s="1566"/>
      <c r="K1075" s="1566"/>
    </row>
    <row r="1076" spans="1:11">
      <c r="A1076" s="1566"/>
      <c r="B1076" s="1566"/>
      <c r="C1076" s="1566"/>
      <c r="D1076" s="1566"/>
      <c r="E1076" s="1566"/>
      <c r="F1076" s="1566"/>
      <c r="G1076" s="1566"/>
      <c r="H1076" s="1566"/>
      <c r="I1076" s="1566"/>
      <c r="J1076" s="1566"/>
      <c r="K1076" s="1566"/>
    </row>
    <row r="1077" spans="1:11">
      <c r="A1077" s="1566"/>
      <c r="B1077" s="1566"/>
      <c r="C1077" s="1566"/>
      <c r="D1077" s="1566"/>
      <c r="E1077" s="1566"/>
      <c r="F1077" s="1566"/>
      <c r="G1077" s="1566"/>
      <c r="H1077" s="1566"/>
      <c r="I1077" s="1566"/>
      <c r="J1077" s="1566"/>
      <c r="K1077" s="1566"/>
    </row>
    <row r="1078" spans="1:11">
      <c r="A1078" s="1566"/>
      <c r="B1078" s="1566"/>
      <c r="C1078" s="1566"/>
      <c r="D1078" s="1566"/>
      <c r="E1078" s="1566"/>
      <c r="F1078" s="1566"/>
      <c r="G1078" s="1566"/>
      <c r="H1078" s="1566"/>
      <c r="I1078" s="1566"/>
      <c r="J1078" s="1566"/>
      <c r="K1078" s="1566"/>
    </row>
    <row r="1079" spans="1:11">
      <c r="A1079" s="1566"/>
      <c r="B1079" s="1566"/>
      <c r="C1079" s="1566"/>
      <c r="D1079" s="1566"/>
      <c r="E1079" s="1566"/>
      <c r="F1079" s="1566"/>
      <c r="G1079" s="1566"/>
      <c r="H1079" s="1566"/>
      <c r="I1079" s="1566"/>
      <c r="J1079" s="1566"/>
      <c r="K1079" s="1566"/>
    </row>
    <row r="1080" spans="1:11">
      <c r="A1080" s="1566"/>
      <c r="B1080" s="1566"/>
      <c r="C1080" s="1566"/>
      <c r="D1080" s="1566"/>
      <c r="E1080" s="1566"/>
      <c r="F1080" s="1566"/>
      <c r="G1080" s="1566"/>
      <c r="H1080" s="1566"/>
      <c r="I1080" s="1566"/>
      <c r="J1080" s="1566"/>
      <c r="K1080" s="1566"/>
    </row>
    <row r="1081" spans="1:11">
      <c r="A1081" s="1566"/>
      <c r="B1081" s="1566"/>
      <c r="C1081" s="1566"/>
      <c r="D1081" s="1566"/>
      <c r="E1081" s="1566"/>
      <c r="F1081" s="1566"/>
      <c r="G1081" s="1566"/>
      <c r="H1081" s="1566"/>
      <c r="I1081" s="1566"/>
      <c r="J1081" s="1566"/>
      <c r="K1081" s="1566"/>
    </row>
    <row r="1082" spans="1:11">
      <c r="A1082" s="1566"/>
      <c r="B1082" s="1566"/>
      <c r="C1082" s="1566"/>
      <c r="D1082" s="1566"/>
      <c r="E1082" s="1566"/>
      <c r="F1082" s="1566"/>
      <c r="G1082" s="1566"/>
      <c r="H1082" s="1566"/>
      <c r="I1082" s="1566"/>
      <c r="J1082" s="1566"/>
      <c r="K1082" s="1566"/>
    </row>
    <row r="1083" spans="1:11">
      <c r="A1083" s="1566"/>
      <c r="B1083" s="1566"/>
      <c r="C1083" s="1566"/>
      <c r="D1083" s="1566"/>
      <c r="E1083" s="1566"/>
      <c r="F1083" s="1566"/>
      <c r="G1083" s="1566"/>
      <c r="H1083" s="1566"/>
      <c r="I1083" s="1566"/>
      <c r="J1083" s="1566"/>
      <c r="K1083" s="1566"/>
    </row>
    <row r="1084" spans="1:11">
      <c r="A1084" s="1566"/>
      <c r="B1084" s="1566"/>
      <c r="C1084" s="1566"/>
      <c r="D1084" s="1566"/>
      <c r="E1084" s="1566"/>
      <c r="F1084" s="1566"/>
      <c r="G1084" s="1566"/>
      <c r="H1084" s="1566"/>
      <c r="I1084" s="1566"/>
      <c r="J1084" s="1566"/>
      <c r="K1084" s="1566"/>
    </row>
    <row r="1085" spans="1:11">
      <c r="A1085" s="1566"/>
      <c r="B1085" s="1566"/>
      <c r="C1085" s="1566"/>
      <c r="D1085" s="1566"/>
      <c r="E1085" s="1566"/>
      <c r="F1085" s="1566"/>
      <c r="G1085" s="1566"/>
      <c r="H1085" s="1566"/>
      <c r="I1085" s="1566"/>
      <c r="J1085" s="1566"/>
      <c r="K1085" s="1566"/>
    </row>
    <row r="1086" spans="1:11">
      <c r="A1086" s="1566"/>
      <c r="B1086" s="1566"/>
      <c r="C1086" s="1566"/>
      <c r="D1086" s="1566"/>
      <c r="E1086" s="1566"/>
      <c r="F1086" s="1566"/>
      <c r="G1086" s="1566"/>
      <c r="H1086" s="1566"/>
      <c r="I1086" s="1566"/>
      <c r="J1086" s="1566"/>
      <c r="K1086" s="1566"/>
    </row>
    <row r="1087" spans="1:11">
      <c r="A1087" s="1566"/>
      <c r="B1087" s="1566"/>
      <c r="C1087" s="1566"/>
      <c r="D1087" s="1566"/>
      <c r="E1087" s="1566"/>
      <c r="F1087" s="1566"/>
      <c r="G1087" s="1566"/>
      <c r="H1087" s="1566"/>
      <c r="I1087" s="1566"/>
      <c r="J1087" s="1566"/>
      <c r="K1087" s="1566"/>
    </row>
    <row r="1088" spans="1:11">
      <c r="A1088" s="1566"/>
      <c r="B1088" s="1566"/>
      <c r="C1088" s="1566"/>
      <c r="D1088" s="1566"/>
      <c r="E1088" s="1566"/>
      <c r="F1088" s="1566"/>
      <c r="G1088" s="1566"/>
      <c r="H1088" s="1566"/>
      <c r="I1088" s="1566"/>
      <c r="J1088" s="1566"/>
      <c r="K1088" s="1566"/>
    </row>
    <row r="1089" spans="1:11">
      <c r="A1089" s="1566"/>
      <c r="B1089" s="1566"/>
      <c r="C1089" s="1566"/>
      <c r="D1089" s="1566"/>
      <c r="E1089" s="1566"/>
      <c r="F1089" s="1566"/>
      <c r="G1089" s="1566"/>
      <c r="H1089" s="1566"/>
      <c r="I1089" s="1566"/>
      <c r="J1089" s="1566"/>
      <c r="K1089" s="1566"/>
    </row>
    <row r="1090" spans="1:11">
      <c r="A1090" s="1566"/>
      <c r="B1090" s="1566"/>
      <c r="C1090" s="1566"/>
      <c r="D1090" s="1566"/>
      <c r="E1090" s="1566"/>
      <c r="F1090" s="1566"/>
      <c r="G1090" s="1566"/>
      <c r="H1090" s="1566"/>
      <c r="I1090" s="1566"/>
      <c r="J1090" s="1566"/>
      <c r="K1090" s="1566"/>
    </row>
    <row r="1091" spans="1:11">
      <c r="A1091" s="1566"/>
      <c r="B1091" s="1566"/>
      <c r="C1091" s="1566"/>
      <c r="D1091" s="1566"/>
      <c r="E1091" s="1566"/>
      <c r="F1091" s="1566"/>
      <c r="G1091" s="1566"/>
      <c r="H1091" s="1566"/>
      <c r="I1091" s="1566"/>
      <c r="J1091" s="1566"/>
      <c r="K1091" s="1566"/>
    </row>
    <row r="1092" spans="1:11">
      <c r="A1092" s="1566"/>
      <c r="B1092" s="1566"/>
      <c r="C1092" s="1566"/>
      <c r="D1092" s="1566"/>
      <c r="E1092" s="1566"/>
      <c r="F1092" s="1566"/>
      <c r="G1092" s="1566"/>
      <c r="H1092" s="1566"/>
      <c r="I1092" s="1566"/>
      <c r="J1092" s="1566"/>
      <c r="K1092" s="1566"/>
    </row>
    <row r="1093" spans="1:11">
      <c r="A1093" s="1566"/>
      <c r="B1093" s="1566"/>
      <c r="C1093" s="1566"/>
      <c r="D1093" s="1566"/>
      <c r="E1093" s="1566"/>
      <c r="F1093" s="1566"/>
      <c r="G1093" s="1566"/>
      <c r="H1093" s="1566"/>
      <c r="I1093" s="1566"/>
      <c r="J1093" s="1566"/>
      <c r="K1093" s="1566"/>
    </row>
    <row r="1094" spans="1:11">
      <c r="A1094" s="1566"/>
      <c r="B1094" s="1566"/>
      <c r="C1094" s="1566"/>
      <c r="D1094" s="1566"/>
      <c r="E1094" s="1566"/>
      <c r="F1094" s="1566"/>
      <c r="G1094" s="1566"/>
      <c r="H1094" s="1566"/>
      <c r="I1094" s="1566"/>
      <c r="J1094" s="1566"/>
      <c r="K1094" s="1566"/>
    </row>
    <row r="1095" spans="1:11">
      <c r="A1095" s="1566"/>
      <c r="B1095" s="1566"/>
      <c r="C1095" s="1566"/>
      <c r="D1095" s="1566"/>
      <c r="E1095" s="1566"/>
      <c r="F1095" s="1566"/>
      <c r="G1095" s="1566"/>
      <c r="H1095" s="1566"/>
      <c r="I1095" s="1566"/>
      <c r="J1095" s="1566"/>
      <c r="K1095" s="1566"/>
    </row>
    <row r="1096" spans="1:11">
      <c r="A1096" s="1566"/>
      <c r="B1096" s="1566"/>
      <c r="C1096" s="1566"/>
      <c r="D1096" s="1566"/>
      <c r="E1096" s="1566"/>
      <c r="F1096" s="1566"/>
      <c r="G1096" s="1566"/>
      <c r="H1096" s="1566"/>
      <c r="I1096" s="1566"/>
      <c r="J1096" s="1566"/>
      <c r="K1096" s="1566"/>
    </row>
    <row r="1097" spans="1:11">
      <c r="A1097" s="1566"/>
      <c r="B1097" s="1566"/>
      <c r="C1097" s="1566"/>
      <c r="D1097" s="1566"/>
      <c r="E1097" s="1566"/>
      <c r="F1097" s="1566"/>
      <c r="G1097" s="1566"/>
      <c r="H1097" s="1566"/>
      <c r="I1097" s="1566"/>
      <c r="J1097" s="1566"/>
      <c r="K1097" s="1566"/>
    </row>
    <row r="1098" spans="1:11">
      <c r="A1098" s="1566"/>
      <c r="B1098" s="1566"/>
      <c r="C1098" s="1566"/>
      <c r="D1098" s="1566"/>
      <c r="E1098" s="1566"/>
      <c r="F1098" s="1566"/>
      <c r="G1098" s="1566"/>
      <c r="H1098" s="1566"/>
      <c r="I1098" s="1566"/>
      <c r="J1098" s="1566"/>
      <c r="K1098" s="1566"/>
    </row>
  </sheetData>
  <mergeCells count="14">
    <mergeCell ref="A3:A5"/>
    <mergeCell ref="B3:B4"/>
    <mergeCell ref="B27:C27"/>
    <mergeCell ref="B49:C49"/>
    <mergeCell ref="M3:N3"/>
    <mergeCell ref="B6:B26"/>
    <mergeCell ref="L3:L4"/>
    <mergeCell ref="B50:C50"/>
    <mergeCell ref="B28:B48"/>
    <mergeCell ref="J3:K3"/>
    <mergeCell ref="I3:I4"/>
    <mergeCell ref="G3:H3"/>
    <mergeCell ref="F3:F4"/>
    <mergeCell ref="D3:E3"/>
  </mergeCells>
  <phoneticPr fontId="7" type="noConversion"/>
  <pageMargins left="0.51181102362204722" right="0.35433070866141736" top="0.39370078740157483" bottom="0.27559055118110237" header="0.15748031496062992" footer="0.23622047244094491"/>
  <pageSetup paperSize="9" scale="65" orientation="landscape" r:id="rId1"/>
  <headerFooter alignWithMargins="0">
    <oddFooter>&amp;C&amp;P/&amp;N&amp;R&amp;A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4070-5F10-42EF-8A1B-D84B15E621E5}">
  <sheetPr>
    <tabColor rgb="FFEE0000"/>
    <pageSetUpPr fitToPage="1"/>
  </sheetPr>
  <dimension ref="A1:I87"/>
  <sheetViews>
    <sheetView tabSelected="1" workbookViewId="0">
      <selection activeCell="B9" sqref="B9"/>
    </sheetView>
  </sheetViews>
  <sheetFormatPr defaultRowHeight="15.75"/>
  <cols>
    <col min="1" max="1" width="3.375" style="2808" customWidth="1"/>
    <col min="2" max="2" width="9.375" style="2808" customWidth="1"/>
    <col min="3" max="3" width="29.875" style="2808" customWidth="1"/>
    <col min="4" max="4" width="28.75" style="2808" customWidth="1"/>
    <col min="5" max="5" width="18.375" style="2808" bestFit="1" customWidth="1"/>
    <col min="6" max="6" width="18.375" style="2808" customWidth="1"/>
    <col min="7" max="7" width="18.375" style="2808" bestFit="1" customWidth="1"/>
    <col min="8" max="8" width="19.875" style="2808" customWidth="1"/>
    <col min="9" max="9" width="22.875" style="2808" customWidth="1"/>
    <col min="10" max="10" width="30.25" style="2808" customWidth="1"/>
    <col min="11" max="14" width="9" style="2808"/>
    <col min="15" max="15" width="31.375" style="2808" customWidth="1"/>
    <col min="16" max="256" width="9" style="2808"/>
    <col min="257" max="257" width="3.375" style="2808" customWidth="1"/>
    <col min="258" max="258" width="9.375" style="2808" customWidth="1"/>
    <col min="259" max="259" width="29.875" style="2808" customWidth="1"/>
    <col min="260" max="260" width="28.75" style="2808" customWidth="1"/>
    <col min="261" max="261" width="18.375" style="2808" bestFit="1" customWidth="1"/>
    <col min="262" max="262" width="18.375" style="2808" customWidth="1"/>
    <col min="263" max="263" width="18.375" style="2808" bestFit="1" customWidth="1"/>
    <col min="264" max="264" width="19.875" style="2808" customWidth="1"/>
    <col min="265" max="265" width="22.875" style="2808" customWidth="1"/>
    <col min="266" max="266" width="30.25" style="2808" customWidth="1"/>
    <col min="267" max="270" width="9" style="2808"/>
    <col min="271" max="271" width="31.375" style="2808" customWidth="1"/>
    <col min="272" max="512" width="9" style="2808"/>
    <col min="513" max="513" width="3.375" style="2808" customWidth="1"/>
    <col min="514" max="514" width="9.375" style="2808" customWidth="1"/>
    <col min="515" max="515" width="29.875" style="2808" customWidth="1"/>
    <col min="516" max="516" width="28.75" style="2808" customWidth="1"/>
    <col min="517" max="517" width="18.375" style="2808" bestFit="1" customWidth="1"/>
    <col min="518" max="518" width="18.375" style="2808" customWidth="1"/>
    <col min="519" max="519" width="18.375" style="2808" bestFit="1" customWidth="1"/>
    <col min="520" max="520" width="19.875" style="2808" customWidth="1"/>
    <col min="521" max="521" width="22.875" style="2808" customWidth="1"/>
    <col min="522" max="522" width="30.25" style="2808" customWidth="1"/>
    <col min="523" max="526" width="9" style="2808"/>
    <col min="527" max="527" width="31.375" style="2808" customWidth="1"/>
    <col min="528" max="768" width="9" style="2808"/>
    <col min="769" max="769" width="3.375" style="2808" customWidth="1"/>
    <col min="770" max="770" width="9.375" style="2808" customWidth="1"/>
    <col min="771" max="771" width="29.875" style="2808" customWidth="1"/>
    <col min="772" max="772" width="28.75" style="2808" customWidth="1"/>
    <col min="773" max="773" width="18.375" style="2808" bestFit="1" customWidth="1"/>
    <col min="774" max="774" width="18.375" style="2808" customWidth="1"/>
    <col min="775" max="775" width="18.375" style="2808" bestFit="1" customWidth="1"/>
    <col min="776" max="776" width="19.875" style="2808" customWidth="1"/>
    <col min="777" max="777" width="22.875" style="2808" customWidth="1"/>
    <col min="778" max="778" width="30.25" style="2808" customWidth="1"/>
    <col min="779" max="782" width="9" style="2808"/>
    <col min="783" max="783" width="31.375" style="2808" customWidth="1"/>
    <col min="784" max="1024" width="9" style="2808"/>
    <col min="1025" max="1025" width="3.375" style="2808" customWidth="1"/>
    <col min="1026" max="1026" width="9.375" style="2808" customWidth="1"/>
    <col min="1027" max="1027" width="29.875" style="2808" customWidth="1"/>
    <col min="1028" max="1028" width="28.75" style="2808" customWidth="1"/>
    <col min="1029" max="1029" width="18.375" style="2808" bestFit="1" customWidth="1"/>
    <col min="1030" max="1030" width="18.375" style="2808" customWidth="1"/>
    <col min="1031" max="1031" width="18.375" style="2808" bestFit="1" customWidth="1"/>
    <col min="1032" max="1032" width="19.875" style="2808" customWidth="1"/>
    <col min="1033" max="1033" width="22.875" style="2808" customWidth="1"/>
    <col min="1034" max="1034" width="30.25" style="2808" customWidth="1"/>
    <col min="1035" max="1038" width="9" style="2808"/>
    <col min="1039" max="1039" width="31.375" style="2808" customWidth="1"/>
    <col min="1040" max="1280" width="9" style="2808"/>
    <col min="1281" max="1281" width="3.375" style="2808" customWidth="1"/>
    <col min="1282" max="1282" width="9.375" style="2808" customWidth="1"/>
    <col min="1283" max="1283" width="29.875" style="2808" customWidth="1"/>
    <col min="1284" max="1284" width="28.75" style="2808" customWidth="1"/>
    <col min="1285" max="1285" width="18.375" style="2808" bestFit="1" customWidth="1"/>
    <col min="1286" max="1286" width="18.375" style="2808" customWidth="1"/>
    <col min="1287" max="1287" width="18.375" style="2808" bestFit="1" customWidth="1"/>
    <col min="1288" max="1288" width="19.875" style="2808" customWidth="1"/>
    <col min="1289" max="1289" width="22.875" style="2808" customWidth="1"/>
    <col min="1290" max="1290" width="30.25" style="2808" customWidth="1"/>
    <col min="1291" max="1294" width="9" style="2808"/>
    <col min="1295" max="1295" width="31.375" style="2808" customWidth="1"/>
    <col min="1296" max="1536" width="9" style="2808"/>
    <col min="1537" max="1537" width="3.375" style="2808" customWidth="1"/>
    <col min="1538" max="1538" width="9.375" style="2808" customWidth="1"/>
    <col min="1539" max="1539" width="29.875" style="2808" customWidth="1"/>
    <col min="1540" max="1540" width="28.75" style="2808" customWidth="1"/>
    <col min="1541" max="1541" width="18.375" style="2808" bestFit="1" customWidth="1"/>
    <col min="1542" max="1542" width="18.375" style="2808" customWidth="1"/>
    <col min="1543" max="1543" width="18.375" style="2808" bestFit="1" customWidth="1"/>
    <col min="1544" max="1544" width="19.875" style="2808" customWidth="1"/>
    <col min="1545" max="1545" width="22.875" style="2808" customWidth="1"/>
    <col min="1546" max="1546" width="30.25" style="2808" customWidth="1"/>
    <col min="1547" max="1550" width="9" style="2808"/>
    <col min="1551" max="1551" width="31.375" style="2808" customWidth="1"/>
    <col min="1552" max="1792" width="9" style="2808"/>
    <col min="1793" max="1793" width="3.375" style="2808" customWidth="1"/>
    <col min="1794" max="1794" width="9.375" style="2808" customWidth="1"/>
    <col min="1795" max="1795" width="29.875" style="2808" customWidth="1"/>
    <col min="1796" max="1796" width="28.75" style="2808" customWidth="1"/>
    <col min="1797" max="1797" width="18.375" style="2808" bestFit="1" customWidth="1"/>
    <col min="1798" max="1798" width="18.375" style="2808" customWidth="1"/>
    <col min="1799" max="1799" width="18.375" style="2808" bestFit="1" customWidth="1"/>
    <col min="1800" max="1800" width="19.875" style="2808" customWidth="1"/>
    <col min="1801" max="1801" width="22.875" style="2808" customWidth="1"/>
    <col min="1802" max="1802" width="30.25" style="2808" customWidth="1"/>
    <col min="1803" max="1806" width="9" style="2808"/>
    <col min="1807" max="1807" width="31.375" style="2808" customWidth="1"/>
    <col min="1808" max="2048" width="9" style="2808"/>
    <col min="2049" max="2049" width="3.375" style="2808" customWidth="1"/>
    <col min="2050" max="2050" width="9.375" style="2808" customWidth="1"/>
    <col min="2051" max="2051" width="29.875" style="2808" customWidth="1"/>
    <col min="2052" max="2052" width="28.75" style="2808" customWidth="1"/>
    <col min="2053" max="2053" width="18.375" style="2808" bestFit="1" customWidth="1"/>
    <col min="2054" max="2054" width="18.375" style="2808" customWidth="1"/>
    <col min="2055" max="2055" width="18.375" style="2808" bestFit="1" customWidth="1"/>
    <col min="2056" max="2056" width="19.875" style="2808" customWidth="1"/>
    <col min="2057" max="2057" width="22.875" style="2808" customWidth="1"/>
    <col min="2058" max="2058" width="30.25" style="2808" customWidth="1"/>
    <col min="2059" max="2062" width="9" style="2808"/>
    <col min="2063" max="2063" width="31.375" style="2808" customWidth="1"/>
    <col min="2064" max="2304" width="9" style="2808"/>
    <col min="2305" max="2305" width="3.375" style="2808" customWidth="1"/>
    <col min="2306" max="2306" width="9.375" style="2808" customWidth="1"/>
    <col min="2307" max="2307" width="29.875" style="2808" customWidth="1"/>
    <col min="2308" max="2308" width="28.75" style="2808" customWidth="1"/>
    <col min="2309" max="2309" width="18.375" style="2808" bestFit="1" customWidth="1"/>
    <col min="2310" max="2310" width="18.375" style="2808" customWidth="1"/>
    <col min="2311" max="2311" width="18.375" style="2808" bestFit="1" customWidth="1"/>
    <col min="2312" max="2312" width="19.875" style="2808" customWidth="1"/>
    <col min="2313" max="2313" width="22.875" style="2808" customWidth="1"/>
    <col min="2314" max="2314" width="30.25" style="2808" customWidth="1"/>
    <col min="2315" max="2318" width="9" style="2808"/>
    <col min="2319" max="2319" width="31.375" style="2808" customWidth="1"/>
    <col min="2320" max="2560" width="9" style="2808"/>
    <col min="2561" max="2561" width="3.375" style="2808" customWidth="1"/>
    <col min="2562" max="2562" width="9.375" style="2808" customWidth="1"/>
    <col min="2563" max="2563" width="29.875" style="2808" customWidth="1"/>
    <col min="2564" max="2564" width="28.75" style="2808" customWidth="1"/>
    <col min="2565" max="2565" width="18.375" style="2808" bestFit="1" customWidth="1"/>
    <col min="2566" max="2566" width="18.375" style="2808" customWidth="1"/>
    <col min="2567" max="2567" width="18.375" style="2808" bestFit="1" customWidth="1"/>
    <col min="2568" max="2568" width="19.875" style="2808" customWidth="1"/>
    <col min="2569" max="2569" width="22.875" style="2808" customWidth="1"/>
    <col min="2570" max="2570" width="30.25" style="2808" customWidth="1"/>
    <col min="2571" max="2574" width="9" style="2808"/>
    <col min="2575" max="2575" width="31.375" style="2808" customWidth="1"/>
    <col min="2576" max="2816" width="9" style="2808"/>
    <col min="2817" max="2817" width="3.375" style="2808" customWidth="1"/>
    <col min="2818" max="2818" width="9.375" style="2808" customWidth="1"/>
    <col min="2819" max="2819" width="29.875" style="2808" customWidth="1"/>
    <col min="2820" max="2820" width="28.75" style="2808" customWidth="1"/>
    <col min="2821" max="2821" width="18.375" style="2808" bestFit="1" customWidth="1"/>
    <col min="2822" max="2822" width="18.375" style="2808" customWidth="1"/>
    <col min="2823" max="2823" width="18.375" style="2808" bestFit="1" customWidth="1"/>
    <col min="2824" max="2824" width="19.875" style="2808" customWidth="1"/>
    <col min="2825" max="2825" width="22.875" style="2808" customWidth="1"/>
    <col min="2826" max="2826" width="30.25" style="2808" customWidth="1"/>
    <col min="2827" max="2830" width="9" style="2808"/>
    <col min="2831" max="2831" width="31.375" style="2808" customWidth="1"/>
    <col min="2832" max="3072" width="9" style="2808"/>
    <col min="3073" max="3073" width="3.375" style="2808" customWidth="1"/>
    <col min="3074" max="3074" width="9.375" style="2808" customWidth="1"/>
    <col min="3075" max="3075" width="29.875" style="2808" customWidth="1"/>
    <col min="3076" max="3076" width="28.75" style="2808" customWidth="1"/>
    <col min="3077" max="3077" width="18.375" style="2808" bestFit="1" customWidth="1"/>
    <col min="3078" max="3078" width="18.375" style="2808" customWidth="1"/>
    <col min="3079" max="3079" width="18.375" style="2808" bestFit="1" customWidth="1"/>
    <col min="3080" max="3080" width="19.875" style="2808" customWidth="1"/>
    <col min="3081" max="3081" width="22.875" style="2808" customWidth="1"/>
    <col min="3082" max="3082" width="30.25" style="2808" customWidth="1"/>
    <col min="3083" max="3086" width="9" style="2808"/>
    <col min="3087" max="3087" width="31.375" style="2808" customWidth="1"/>
    <col min="3088" max="3328" width="9" style="2808"/>
    <col min="3329" max="3329" width="3.375" style="2808" customWidth="1"/>
    <col min="3330" max="3330" width="9.375" style="2808" customWidth="1"/>
    <col min="3331" max="3331" width="29.875" style="2808" customWidth="1"/>
    <col min="3332" max="3332" width="28.75" style="2808" customWidth="1"/>
    <col min="3333" max="3333" width="18.375" style="2808" bestFit="1" customWidth="1"/>
    <col min="3334" max="3334" width="18.375" style="2808" customWidth="1"/>
    <col min="3335" max="3335" width="18.375" style="2808" bestFit="1" customWidth="1"/>
    <col min="3336" max="3336" width="19.875" style="2808" customWidth="1"/>
    <col min="3337" max="3337" width="22.875" style="2808" customWidth="1"/>
    <col min="3338" max="3338" width="30.25" style="2808" customWidth="1"/>
    <col min="3339" max="3342" width="9" style="2808"/>
    <col min="3343" max="3343" width="31.375" style="2808" customWidth="1"/>
    <col min="3344" max="3584" width="9" style="2808"/>
    <col min="3585" max="3585" width="3.375" style="2808" customWidth="1"/>
    <col min="3586" max="3586" width="9.375" style="2808" customWidth="1"/>
    <col min="3587" max="3587" width="29.875" style="2808" customWidth="1"/>
    <col min="3588" max="3588" width="28.75" style="2808" customWidth="1"/>
    <col min="3589" max="3589" width="18.375" style="2808" bestFit="1" customWidth="1"/>
    <col min="3590" max="3590" width="18.375" style="2808" customWidth="1"/>
    <col min="3591" max="3591" width="18.375" style="2808" bestFit="1" customWidth="1"/>
    <col min="3592" max="3592" width="19.875" style="2808" customWidth="1"/>
    <col min="3593" max="3593" width="22.875" style="2808" customWidth="1"/>
    <col min="3594" max="3594" width="30.25" style="2808" customWidth="1"/>
    <col min="3595" max="3598" width="9" style="2808"/>
    <col min="3599" max="3599" width="31.375" style="2808" customWidth="1"/>
    <col min="3600" max="3840" width="9" style="2808"/>
    <col min="3841" max="3841" width="3.375" style="2808" customWidth="1"/>
    <col min="3842" max="3842" width="9.375" style="2808" customWidth="1"/>
    <col min="3843" max="3843" width="29.875" style="2808" customWidth="1"/>
    <col min="3844" max="3844" width="28.75" style="2808" customWidth="1"/>
    <col min="3845" max="3845" width="18.375" style="2808" bestFit="1" customWidth="1"/>
    <col min="3846" max="3846" width="18.375" style="2808" customWidth="1"/>
    <col min="3847" max="3847" width="18.375" style="2808" bestFit="1" customWidth="1"/>
    <col min="3848" max="3848" width="19.875" style="2808" customWidth="1"/>
    <col min="3849" max="3849" width="22.875" style="2808" customWidth="1"/>
    <col min="3850" max="3850" width="30.25" style="2808" customWidth="1"/>
    <col min="3851" max="3854" width="9" style="2808"/>
    <col min="3855" max="3855" width="31.375" style="2808" customWidth="1"/>
    <col min="3856" max="4096" width="9" style="2808"/>
    <col min="4097" max="4097" width="3.375" style="2808" customWidth="1"/>
    <col min="4098" max="4098" width="9.375" style="2808" customWidth="1"/>
    <col min="4099" max="4099" width="29.875" style="2808" customWidth="1"/>
    <col min="4100" max="4100" width="28.75" style="2808" customWidth="1"/>
    <col min="4101" max="4101" width="18.375" style="2808" bestFit="1" customWidth="1"/>
    <col min="4102" max="4102" width="18.375" style="2808" customWidth="1"/>
    <col min="4103" max="4103" width="18.375" style="2808" bestFit="1" customWidth="1"/>
    <col min="4104" max="4104" width="19.875" style="2808" customWidth="1"/>
    <col min="4105" max="4105" width="22.875" style="2808" customWidth="1"/>
    <col min="4106" max="4106" width="30.25" style="2808" customWidth="1"/>
    <col min="4107" max="4110" width="9" style="2808"/>
    <col min="4111" max="4111" width="31.375" style="2808" customWidth="1"/>
    <col min="4112" max="4352" width="9" style="2808"/>
    <col min="4353" max="4353" width="3.375" style="2808" customWidth="1"/>
    <col min="4354" max="4354" width="9.375" style="2808" customWidth="1"/>
    <col min="4355" max="4355" width="29.875" style="2808" customWidth="1"/>
    <col min="4356" max="4356" width="28.75" style="2808" customWidth="1"/>
    <col min="4357" max="4357" width="18.375" style="2808" bestFit="1" customWidth="1"/>
    <col min="4358" max="4358" width="18.375" style="2808" customWidth="1"/>
    <col min="4359" max="4359" width="18.375" style="2808" bestFit="1" customWidth="1"/>
    <col min="4360" max="4360" width="19.875" style="2808" customWidth="1"/>
    <col min="4361" max="4361" width="22.875" style="2808" customWidth="1"/>
    <col min="4362" max="4362" width="30.25" style="2808" customWidth="1"/>
    <col min="4363" max="4366" width="9" style="2808"/>
    <col min="4367" max="4367" width="31.375" style="2808" customWidth="1"/>
    <col min="4368" max="4608" width="9" style="2808"/>
    <col min="4609" max="4609" width="3.375" style="2808" customWidth="1"/>
    <col min="4610" max="4610" width="9.375" style="2808" customWidth="1"/>
    <col min="4611" max="4611" width="29.875" style="2808" customWidth="1"/>
    <col min="4612" max="4612" width="28.75" style="2808" customWidth="1"/>
    <col min="4613" max="4613" width="18.375" style="2808" bestFit="1" customWidth="1"/>
    <col min="4614" max="4614" width="18.375" style="2808" customWidth="1"/>
    <col min="4615" max="4615" width="18.375" style="2808" bestFit="1" customWidth="1"/>
    <col min="4616" max="4616" width="19.875" style="2808" customWidth="1"/>
    <col min="4617" max="4617" width="22.875" style="2808" customWidth="1"/>
    <col min="4618" max="4618" width="30.25" style="2808" customWidth="1"/>
    <col min="4619" max="4622" width="9" style="2808"/>
    <col min="4623" max="4623" width="31.375" style="2808" customWidth="1"/>
    <col min="4624" max="4864" width="9" style="2808"/>
    <col min="4865" max="4865" width="3.375" style="2808" customWidth="1"/>
    <col min="4866" max="4866" width="9.375" style="2808" customWidth="1"/>
    <col min="4867" max="4867" width="29.875" style="2808" customWidth="1"/>
    <col min="4868" max="4868" width="28.75" style="2808" customWidth="1"/>
    <col min="4869" max="4869" width="18.375" style="2808" bestFit="1" customWidth="1"/>
    <col min="4870" max="4870" width="18.375" style="2808" customWidth="1"/>
    <col min="4871" max="4871" width="18.375" style="2808" bestFit="1" customWidth="1"/>
    <col min="4872" max="4872" width="19.875" style="2808" customWidth="1"/>
    <col min="4873" max="4873" width="22.875" style="2808" customWidth="1"/>
    <col min="4874" max="4874" width="30.25" style="2808" customWidth="1"/>
    <col min="4875" max="4878" width="9" style="2808"/>
    <col min="4879" max="4879" width="31.375" style="2808" customWidth="1"/>
    <col min="4880" max="5120" width="9" style="2808"/>
    <col min="5121" max="5121" width="3.375" style="2808" customWidth="1"/>
    <col min="5122" max="5122" width="9.375" style="2808" customWidth="1"/>
    <col min="5123" max="5123" width="29.875" style="2808" customWidth="1"/>
    <col min="5124" max="5124" width="28.75" style="2808" customWidth="1"/>
    <col min="5125" max="5125" width="18.375" style="2808" bestFit="1" customWidth="1"/>
    <col min="5126" max="5126" width="18.375" style="2808" customWidth="1"/>
    <col min="5127" max="5127" width="18.375" style="2808" bestFit="1" customWidth="1"/>
    <col min="5128" max="5128" width="19.875" style="2808" customWidth="1"/>
    <col min="5129" max="5129" width="22.875" style="2808" customWidth="1"/>
    <col min="5130" max="5130" width="30.25" style="2808" customWidth="1"/>
    <col min="5131" max="5134" width="9" style="2808"/>
    <col min="5135" max="5135" width="31.375" style="2808" customWidth="1"/>
    <col min="5136" max="5376" width="9" style="2808"/>
    <col min="5377" max="5377" width="3.375" style="2808" customWidth="1"/>
    <col min="5378" max="5378" width="9.375" style="2808" customWidth="1"/>
    <col min="5379" max="5379" width="29.875" style="2808" customWidth="1"/>
    <col min="5380" max="5380" width="28.75" style="2808" customWidth="1"/>
    <col min="5381" max="5381" width="18.375" style="2808" bestFit="1" customWidth="1"/>
    <col min="5382" max="5382" width="18.375" style="2808" customWidth="1"/>
    <col min="5383" max="5383" width="18.375" style="2808" bestFit="1" customWidth="1"/>
    <col min="5384" max="5384" width="19.875" style="2808" customWidth="1"/>
    <col min="5385" max="5385" width="22.875" style="2808" customWidth="1"/>
    <col min="5386" max="5386" width="30.25" style="2808" customWidth="1"/>
    <col min="5387" max="5390" width="9" style="2808"/>
    <col min="5391" max="5391" width="31.375" style="2808" customWidth="1"/>
    <col min="5392" max="5632" width="9" style="2808"/>
    <col min="5633" max="5633" width="3.375" style="2808" customWidth="1"/>
    <col min="5634" max="5634" width="9.375" style="2808" customWidth="1"/>
    <col min="5635" max="5635" width="29.875" style="2808" customWidth="1"/>
    <col min="5636" max="5636" width="28.75" style="2808" customWidth="1"/>
    <col min="5637" max="5637" width="18.375" style="2808" bestFit="1" customWidth="1"/>
    <col min="5638" max="5638" width="18.375" style="2808" customWidth="1"/>
    <col min="5639" max="5639" width="18.375" style="2808" bestFit="1" customWidth="1"/>
    <col min="5640" max="5640" width="19.875" style="2808" customWidth="1"/>
    <col min="5641" max="5641" width="22.875" style="2808" customWidth="1"/>
    <col min="5642" max="5642" width="30.25" style="2808" customWidth="1"/>
    <col min="5643" max="5646" width="9" style="2808"/>
    <col min="5647" max="5647" width="31.375" style="2808" customWidth="1"/>
    <col min="5648" max="5888" width="9" style="2808"/>
    <col min="5889" max="5889" width="3.375" style="2808" customWidth="1"/>
    <col min="5890" max="5890" width="9.375" style="2808" customWidth="1"/>
    <col min="5891" max="5891" width="29.875" style="2808" customWidth="1"/>
    <col min="5892" max="5892" width="28.75" style="2808" customWidth="1"/>
    <col min="5893" max="5893" width="18.375" style="2808" bestFit="1" customWidth="1"/>
    <col min="5894" max="5894" width="18.375" style="2808" customWidth="1"/>
    <col min="5895" max="5895" width="18.375" style="2808" bestFit="1" customWidth="1"/>
    <col min="5896" max="5896" width="19.875" style="2808" customWidth="1"/>
    <col min="5897" max="5897" width="22.875" style="2808" customWidth="1"/>
    <col min="5898" max="5898" width="30.25" style="2808" customWidth="1"/>
    <col min="5899" max="5902" width="9" style="2808"/>
    <col min="5903" max="5903" width="31.375" style="2808" customWidth="1"/>
    <col min="5904" max="6144" width="9" style="2808"/>
    <col min="6145" max="6145" width="3.375" style="2808" customWidth="1"/>
    <col min="6146" max="6146" width="9.375" style="2808" customWidth="1"/>
    <col min="6147" max="6147" width="29.875" style="2808" customWidth="1"/>
    <col min="6148" max="6148" width="28.75" style="2808" customWidth="1"/>
    <col min="6149" max="6149" width="18.375" style="2808" bestFit="1" customWidth="1"/>
    <col min="6150" max="6150" width="18.375" style="2808" customWidth="1"/>
    <col min="6151" max="6151" width="18.375" style="2808" bestFit="1" customWidth="1"/>
    <col min="6152" max="6152" width="19.875" style="2808" customWidth="1"/>
    <col min="6153" max="6153" width="22.875" style="2808" customWidth="1"/>
    <col min="6154" max="6154" width="30.25" style="2808" customWidth="1"/>
    <col min="6155" max="6158" width="9" style="2808"/>
    <col min="6159" max="6159" width="31.375" style="2808" customWidth="1"/>
    <col min="6160" max="6400" width="9" style="2808"/>
    <col min="6401" max="6401" width="3.375" style="2808" customWidth="1"/>
    <col min="6402" max="6402" width="9.375" style="2808" customWidth="1"/>
    <col min="6403" max="6403" width="29.875" style="2808" customWidth="1"/>
    <col min="6404" max="6404" width="28.75" style="2808" customWidth="1"/>
    <col min="6405" max="6405" width="18.375" style="2808" bestFit="1" customWidth="1"/>
    <col min="6406" max="6406" width="18.375" style="2808" customWidth="1"/>
    <col min="6407" max="6407" width="18.375" style="2808" bestFit="1" customWidth="1"/>
    <col min="6408" max="6408" width="19.875" style="2808" customWidth="1"/>
    <col min="6409" max="6409" width="22.875" style="2808" customWidth="1"/>
    <col min="6410" max="6410" width="30.25" style="2808" customWidth="1"/>
    <col min="6411" max="6414" width="9" style="2808"/>
    <col min="6415" max="6415" width="31.375" style="2808" customWidth="1"/>
    <col min="6416" max="6656" width="9" style="2808"/>
    <col min="6657" max="6657" width="3.375" style="2808" customWidth="1"/>
    <col min="6658" max="6658" width="9.375" style="2808" customWidth="1"/>
    <col min="6659" max="6659" width="29.875" style="2808" customWidth="1"/>
    <col min="6660" max="6660" width="28.75" style="2808" customWidth="1"/>
    <col min="6661" max="6661" width="18.375" style="2808" bestFit="1" customWidth="1"/>
    <col min="6662" max="6662" width="18.375" style="2808" customWidth="1"/>
    <col min="6663" max="6663" width="18.375" style="2808" bestFit="1" customWidth="1"/>
    <col min="6664" max="6664" width="19.875" style="2808" customWidth="1"/>
    <col min="6665" max="6665" width="22.875" style="2808" customWidth="1"/>
    <col min="6666" max="6666" width="30.25" style="2808" customWidth="1"/>
    <col min="6667" max="6670" width="9" style="2808"/>
    <col min="6671" max="6671" width="31.375" style="2808" customWidth="1"/>
    <col min="6672" max="6912" width="9" style="2808"/>
    <col min="6913" max="6913" width="3.375" style="2808" customWidth="1"/>
    <col min="6914" max="6914" width="9.375" style="2808" customWidth="1"/>
    <col min="6915" max="6915" width="29.875" style="2808" customWidth="1"/>
    <col min="6916" max="6916" width="28.75" style="2808" customWidth="1"/>
    <col min="6917" max="6917" width="18.375" style="2808" bestFit="1" customWidth="1"/>
    <col min="6918" max="6918" width="18.375" style="2808" customWidth="1"/>
    <col min="6919" max="6919" width="18.375" style="2808" bestFit="1" customWidth="1"/>
    <col min="6920" max="6920" width="19.875" style="2808" customWidth="1"/>
    <col min="6921" max="6921" width="22.875" style="2808" customWidth="1"/>
    <col min="6922" max="6922" width="30.25" style="2808" customWidth="1"/>
    <col min="6923" max="6926" width="9" style="2808"/>
    <col min="6927" max="6927" width="31.375" style="2808" customWidth="1"/>
    <col min="6928" max="7168" width="9" style="2808"/>
    <col min="7169" max="7169" width="3.375" style="2808" customWidth="1"/>
    <col min="7170" max="7170" width="9.375" style="2808" customWidth="1"/>
    <col min="7171" max="7171" width="29.875" style="2808" customWidth="1"/>
    <col min="7172" max="7172" width="28.75" style="2808" customWidth="1"/>
    <col min="7173" max="7173" width="18.375" style="2808" bestFit="1" customWidth="1"/>
    <col min="7174" max="7174" width="18.375" style="2808" customWidth="1"/>
    <col min="7175" max="7175" width="18.375" style="2808" bestFit="1" customWidth="1"/>
    <col min="7176" max="7176" width="19.875" style="2808" customWidth="1"/>
    <col min="7177" max="7177" width="22.875" style="2808" customWidth="1"/>
    <col min="7178" max="7178" width="30.25" style="2808" customWidth="1"/>
    <col min="7179" max="7182" width="9" style="2808"/>
    <col min="7183" max="7183" width="31.375" style="2808" customWidth="1"/>
    <col min="7184" max="7424" width="9" style="2808"/>
    <col min="7425" max="7425" width="3.375" style="2808" customWidth="1"/>
    <col min="7426" max="7426" width="9.375" style="2808" customWidth="1"/>
    <col min="7427" max="7427" width="29.875" style="2808" customWidth="1"/>
    <col min="7428" max="7428" width="28.75" style="2808" customWidth="1"/>
    <col min="7429" max="7429" width="18.375" style="2808" bestFit="1" customWidth="1"/>
    <col min="7430" max="7430" width="18.375" style="2808" customWidth="1"/>
    <col min="7431" max="7431" width="18.375" style="2808" bestFit="1" customWidth="1"/>
    <col min="7432" max="7432" width="19.875" style="2808" customWidth="1"/>
    <col min="7433" max="7433" width="22.875" style="2808" customWidth="1"/>
    <col min="7434" max="7434" width="30.25" style="2808" customWidth="1"/>
    <col min="7435" max="7438" width="9" style="2808"/>
    <col min="7439" max="7439" width="31.375" style="2808" customWidth="1"/>
    <col min="7440" max="7680" width="9" style="2808"/>
    <col min="7681" max="7681" width="3.375" style="2808" customWidth="1"/>
    <col min="7682" max="7682" width="9.375" style="2808" customWidth="1"/>
    <col min="7683" max="7683" width="29.875" style="2808" customWidth="1"/>
    <col min="7684" max="7684" width="28.75" style="2808" customWidth="1"/>
    <col min="7685" max="7685" width="18.375" style="2808" bestFit="1" customWidth="1"/>
    <col min="7686" max="7686" width="18.375" style="2808" customWidth="1"/>
    <col min="7687" max="7687" width="18.375" style="2808" bestFit="1" customWidth="1"/>
    <col min="7688" max="7688" width="19.875" style="2808" customWidth="1"/>
    <col min="7689" max="7689" width="22.875" style="2808" customWidth="1"/>
    <col min="7690" max="7690" width="30.25" style="2808" customWidth="1"/>
    <col min="7691" max="7694" width="9" style="2808"/>
    <col min="7695" max="7695" width="31.375" style="2808" customWidth="1"/>
    <col min="7696" max="7936" width="9" style="2808"/>
    <col min="7937" max="7937" width="3.375" style="2808" customWidth="1"/>
    <col min="7938" max="7938" width="9.375" style="2808" customWidth="1"/>
    <col min="7939" max="7939" width="29.875" style="2808" customWidth="1"/>
    <col min="7940" max="7940" width="28.75" style="2808" customWidth="1"/>
    <col min="7941" max="7941" width="18.375" style="2808" bestFit="1" customWidth="1"/>
    <col min="7942" max="7942" width="18.375" style="2808" customWidth="1"/>
    <col min="7943" max="7943" width="18.375" style="2808" bestFit="1" customWidth="1"/>
    <col min="7944" max="7944" width="19.875" style="2808" customWidth="1"/>
    <col min="7945" max="7945" width="22.875" style="2808" customWidth="1"/>
    <col min="7946" max="7946" width="30.25" style="2808" customWidth="1"/>
    <col min="7947" max="7950" width="9" style="2808"/>
    <col min="7951" max="7951" width="31.375" style="2808" customWidth="1"/>
    <col min="7952" max="8192" width="9" style="2808"/>
    <col min="8193" max="8193" width="3.375" style="2808" customWidth="1"/>
    <col min="8194" max="8194" width="9.375" style="2808" customWidth="1"/>
    <col min="8195" max="8195" width="29.875" style="2808" customWidth="1"/>
    <col min="8196" max="8196" width="28.75" style="2808" customWidth="1"/>
    <col min="8197" max="8197" width="18.375" style="2808" bestFit="1" customWidth="1"/>
    <col min="8198" max="8198" width="18.375" style="2808" customWidth="1"/>
    <col min="8199" max="8199" width="18.375" style="2808" bestFit="1" customWidth="1"/>
    <col min="8200" max="8200" width="19.875" style="2808" customWidth="1"/>
    <col min="8201" max="8201" width="22.875" style="2808" customWidth="1"/>
    <col min="8202" max="8202" width="30.25" style="2808" customWidth="1"/>
    <col min="8203" max="8206" width="9" style="2808"/>
    <col min="8207" max="8207" width="31.375" style="2808" customWidth="1"/>
    <col min="8208" max="8448" width="9" style="2808"/>
    <col min="8449" max="8449" width="3.375" style="2808" customWidth="1"/>
    <col min="8450" max="8450" width="9.375" style="2808" customWidth="1"/>
    <col min="8451" max="8451" width="29.875" style="2808" customWidth="1"/>
    <col min="8452" max="8452" width="28.75" style="2808" customWidth="1"/>
    <col min="8453" max="8453" width="18.375" style="2808" bestFit="1" customWidth="1"/>
    <col min="8454" max="8454" width="18.375" style="2808" customWidth="1"/>
    <col min="8455" max="8455" width="18.375" style="2808" bestFit="1" customWidth="1"/>
    <col min="8456" max="8456" width="19.875" style="2808" customWidth="1"/>
    <col min="8457" max="8457" width="22.875" style="2808" customWidth="1"/>
    <col min="8458" max="8458" width="30.25" style="2808" customWidth="1"/>
    <col min="8459" max="8462" width="9" style="2808"/>
    <col min="8463" max="8463" width="31.375" style="2808" customWidth="1"/>
    <col min="8464" max="8704" width="9" style="2808"/>
    <col min="8705" max="8705" width="3.375" style="2808" customWidth="1"/>
    <col min="8706" max="8706" width="9.375" style="2808" customWidth="1"/>
    <col min="8707" max="8707" width="29.875" style="2808" customWidth="1"/>
    <col min="8708" max="8708" width="28.75" style="2808" customWidth="1"/>
    <col min="8709" max="8709" width="18.375" style="2808" bestFit="1" customWidth="1"/>
    <col min="8710" max="8710" width="18.375" style="2808" customWidth="1"/>
    <col min="8711" max="8711" width="18.375" style="2808" bestFit="1" customWidth="1"/>
    <col min="8712" max="8712" width="19.875" style="2808" customWidth="1"/>
    <col min="8713" max="8713" width="22.875" style="2808" customWidth="1"/>
    <col min="8714" max="8714" width="30.25" style="2808" customWidth="1"/>
    <col min="8715" max="8718" width="9" style="2808"/>
    <col min="8719" max="8719" width="31.375" style="2808" customWidth="1"/>
    <col min="8720" max="8960" width="9" style="2808"/>
    <col min="8961" max="8961" width="3.375" style="2808" customWidth="1"/>
    <col min="8962" max="8962" width="9.375" style="2808" customWidth="1"/>
    <col min="8963" max="8963" width="29.875" style="2808" customWidth="1"/>
    <col min="8964" max="8964" width="28.75" style="2808" customWidth="1"/>
    <col min="8965" max="8965" width="18.375" style="2808" bestFit="1" customWidth="1"/>
    <col min="8966" max="8966" width="18.375" style="2808" customWidth="1"/>
    <col min="8967" max="8967" width="18.375" style="2808" bestFit="1" customWidth="1"/>
    <col min="8968" max="8968" width="19.875" style="2808" customWidth="1"/>
    <col min="8969" max="8969" width="22.875" style="2808" customWidth="1"/>
    <col min="8970" max="8970" width="30.25" style="2808" customWidth="1"/>
    <col min="8971" max="8974" width="9" style="2808"/>
    <col min="8975" max="8975" width="31.375" style="2808" customWidth="1"/>
    <col min="8976" max="9216" width="9" style="2808"/>
    <col min="9217" max="9217" width="3.375" style="2808" customWidth="1"/>
    <col min="9218" max="9218" width="9.375" style="2808" customWidth="1"/>
    <col min="9219" max="9219" width="29.875" style="2808" customWidth="1"/>
    <col min="9220" max="9220" width="28.75" style="2808" customWidth="1"/>
    <col min="9221" max="9221" width="18.375" style="2808" bestFit="1" customWidth="1"/>
    <col min="9222" max="9222" width="18.375" style="2808" customWidth="1"/>
    <col min="9223" max="9223" width="18.375" style="2808" bestFit="1" customWidth="1"/>
    <col min="9224" max="9224" width="19.875" style="2808" customWidth="1"/>
    <col min="9225" max="9225" width="22.875" style="2808" customWidth="1"/>
    <col min="9226" max="9226" width="30.25" style="2808" customWidth="1"/>
    <col min="9227" max="9230" width="9" style="2808"/>
    <col min="9231" max="9231" width="31.375" style="2808" customWidth="1"/>
    <col min="9232" max="9472" width="9" style="2808"/>
    <col min="9473" max="9473" width="3.375" style="2808" customWidth="1"/>
    <col min="9474" max="9474" width="9.375" style="2808" customWidth="1"/>
    <col min="9475" max="9475" width="29.875" style="2808" customWidth="1"/>
    <col min="9476" max="9476" width="28.75" style="2808" customWidth="1"/>
    <col min="9477" max="9477" width="18.375" style="2808" bestFit="1" customWidth="1"/>
    <col min="9478" max="9478" width="18.375" style="2808" customWidth="1"/>
    <col min="9479" max="9479" width="18.375" style="2808" bestFit="1" customWidth="1"/>
    <col min="9480" max="9480" width="19.875" style="2808" customWidth="1"/>
    <col min="9481" max="9481" width="22.875" style="2808" customWidth="1"/>
    <col min="9482" max="9482" width="30.25" style="2808" customWidth="1"/>
    <col min="9483" max="9486" width="9" style="2808"/>
    <col min="9487" max="9487" width="31.375" style="2808" customWidth="1"/>
    <col min="9488" max="9728" width="9" style="2808"/>
    <col min="9729" max="9729" width="3.375" style="2808" customWidth="1"/>
    <col min="9730" max="9730" width="9.375" style="2808" customWidth="1"/>
    <col min="9731" max="9731" width="29.875" style="2808" customWidth="1"/>
    <col min="9732" max="9732" width="28.75" style="2808" customWidth="1"/>
    <col min="9733" max="9733" width="18.375" style="2808" bestFit="1" customWidth="1"/>
    <col min="9734" max="9734" width="18.375" style="2808" customWidth="1"/>
    <col min="9735" max="9735" width="18.375" style="2808" bestFit="1" customWidth="1"/>
    <col min="9736" max="9736" width="19.875" style="2808" customWidth="1"/>
    <col min="9737" max="9737" width="22.875" style="2808" customWidth="1"/>
    <col min="9738" max="9738" width="30.25" style="2808" customWidth="1"/>
    <col min="9739" max="9742" width="9" style="2808"/>
    <col min="9743" max="9743" width="31.375" style="2808" customWidth="1"/>
    <col min="9744" max="9984" width="9" style="2808"/>
    <col min="9985" max="9985" width="3.375" style="2808" customWidth="1"/>
    <col min="9986" max="9986" width="9.375" style="2808" customWidth="1"/>
    <col min="9987" max="9987" width="29.875" style="2808" customWidth="1"/>
    <col min="9988" max="9988" width="28.75" style="2808" customWidth="1"/>
    <col min="9989" max="9989" width="18.375" style="2808" bestFit="1" customWidth="1"/>
    <col min="9990" max="9990" width="18.375" style="2808" customWidth="1"/>
    <col min="9991" max="9991" width="18.375" style="2808" bestFit="1" customWidth="1"/>
    <col min="9992" max="9992" width="19.875" style="2808" customWidth="1"/>
    <col min="9993" max="9993" width="22.875" style="2808" customWidth="1"/>
    <col min="9994" max="9994" width="30.25" style="2808" customWidth="1"/>
    <col min="9995" max="9998" width="9" style="2808"/>
    <col min="9999" max="9999" width="31.375" style="2808" customWidth="1"/>
    <col min="10000" max="10240" width="9" style="2808"/>
    <col min="10241" max="10241" width="3.375" style="2808" customWidth="1"/>
    <col min="10242" max="10242" width="9.375" style="2808" customWidth="1"/>
    <col min="10243" max="10243" width="29.875" style="2808" customWidth="1"/>
    <col min="10244" max="10244" width="28.75" style="2808" customWidth="1"/>
    <col min="10245" max="10245" width="18.375" style="2808" bestFit="1" customWidth="1"/>
    <col min="10246" max="10246" width="18.375" style="2808" customWidth="1"/>
    <col min="10247" max="10247" width="18.375" style="2808" bestFit="1" customWidth="1"/>
    <col min="10248" max="10248" width="19.875" style="2808" customWidth="1"/>
    <col min="10249" max="10249" width="22.875" style="2808" customWidth="1"/>
    <col min="10250" max="10250" width="30.25" style="2808" customWidth="1"/>
    <col min="10251" max="10254" width="9" style="2808"/>
    <col min="10255" max="10255" width="31.375" style="2808" customWidth="1"/>
    <col min="10256" max="10496" width="9" style="2808"/>
    <col min="10497" max="10497" width="3.375" style="2808" customWidth="1"/>
    <col min="10498" max="10498" width="9.375" style="2808" customWidth="1"/>
    <col min="10499" max="10499" width="29.875" style="2808" customWidth="1"/>
    <col min="10500" max="10500" width="28.75" style="2808" customWidth="1"/>
    <col min="10501" max="10501" width="18.375" style="2808" bestFit="1" customWidth="1"/>
    <col min="10502" max="10502" width="18.375" style="2808" customWidth="1"/>
    <col min="10503" max="10503" width="18.375" style="2808" bestFit="1" customWidth="1"/>
    <col min="10504" max="10504" width="19.875" style="2808" customWidth="1"/>
    <col min="10505" max="10505" width="22.875" style="2808" customWidth="1"/>
    <col min="10506" max="10506" width="30.25" style="2808" customWidth="1"/>
    <col min="10507" max="10510" width="9" style="2808"/>
    <col min="10511" max="10511" width="31.375" style="2808" customWidth="1"/>
    <col min="10512" max="10752" width="9" style="2808"/>
    <col min="10753" max="10753" width="3.375" style="2808" customWidth="1"/>
    <col min="10754" max="10754" width="9.375" style="2808" customWidth="1"/>
    <col min="10755" max="10755" width="29.875" style="2808" customWidth="1"/>
    <col min="10756" max="10756" width="28.75" style="2808" customWidth="1"/>
    <col min="10757" max="10757" width="18.375" style="2808" bestFit="1" customWidth="1"/>
    <col min="10758" max="10758" width="18.375" style="2808" customWidth="1"/>
    <col min="10759" max="10759" width="18.375" style="2808" bestFit="1" customWidth="1"/>
    <col min="10760" max="10760" width="19.875" style="2808" customWidth="1"/>
    <col min="10761" max="10761" width="22.875" style="2808" customWidth="1"/>
    <col min="10762" max="10762" width="30.25" style="2808" customWidth="1"/>
    <col min="10763" max="10766" width="9" style="2808"/>
    <col min="10767" max="10767" width="31.375" style="2808" customWidth="1"/>
    <col min="10768" max="11008" width="9" style="2808"/>
    <col min="11009" max="11009" width="3.375" style="2808" customWidth="1"/>
    <col min="11010" max="11010" width="9.375" style="2808" customWidth="1"/>
    <col min="11011" max="11011" width="29.875" style="2808" customWidth="1"/>
    <col min="11012" max="11012" width="28.75" style="2808" customWidth="1"/>
    <col min="11013" max="11013" width="18.375" style="2808" bestFit="1" customWidth="1"/>
    <col min="11014" max="11014" width="18.375" style="2808" customWidth="1"/>
    <col min="11015" max="11015" width="18.375" style="2808" bestFit="1" customWidth="1"/>
    <col min="11016" max="11016" width="19.875" style="2808" customWidth="1"/>
    <col min="11017" max="11017" width="22.875" style="2808" customWidth="1"/>
    <col min="11018" max="11018" width="30.25" style="2808" customWidth="1"/>
    <col min="11019" max="11022" width="9" style="2808"/>
    <col min="11023" max="11023" width="31.375" style="2808" customWidth="1"/>
    <col min="11024" max="11264" width="9" style="2808"/>
    <col min="11265" max="11265" width="3.375" style="2808" customWidth="1"/>
    <col min="11266" max="11266" width="9.375" style="2808" customWidth="1"/>
    <col min="11267" max="11267" width="29.875" style="2808" customWidth="1"/>
    <col min="11268" max="11268" width="28.75" style="2808" customWidth="1"/>
    <col min="11269" max="11269" width="18.375" style="2808" bestFit="1" customWidth="1"/>
    <col min="11270" max="11270" width="18.375" style="2808" customWidth="1"/>
    <col min="11271" max="11271" width="18.375" style="2808" bestFit="1" customWidth="1"/>
    <col min="11272" max="11272" width="19.875" style="2808" customWidth="1"/>
    <col min="11273" max="11273" width="22.875" style="2808" customWidth="1"/>
    <col min="11274" max="11274" width="30.25" style="2808" customWidth="1"/>
    <col min="11275" max="11278" width="9" style="2808"/>
    <col min="11279" max="11279" width="31.375" style="2808" customWidth="1"/>
    <col min="11280" max="11520" width="9" style="2808"/>
    <col min="11521" max="11521" width="3.375" style="2808" customWidth="1"/>
    <col min="11522" max="11522" width="9.375" style="2808" customWidth="1"/>
    <col min="11523" max="11523" width="29.875" style="2808" customWidth="1"/>
    <col min="11524" max="11524" width="28.75" style="2808" customWidth="1"/>
    <col min="11525" max="11525" width="18.375" style="2808" bestFit="1" customWidth="1"/>
    <col min="11526" max="11526" width="18.375" style="2808" customWidth="1"/>
    <col min="11527" max="11527" width="18.375" style="2808" bestFit="1" customWidth="1"/>
    <col min="11528" max="11528" width="19.875" style="2808" customWidth="1"/>
    <col min="11529" max="11529" width="22.875" style="2808" customWidth="1"/>
    <col min="11530" max="11530" width="30.25" style="2808" customWidth="1"/>
    <col min="11531" max="11534" width="9" style="2808"/>
    <col min="11535" max="11535" width="31.375" style="2808" customWidth="1"/>
    <col min="11536" max="11776" width="9" style="2808"/>
    <col min="11777" max="11777" width="3.375" style="2808" customWidth="1"/>
    <col min="11778" max="11778" width="9.375" style="2808" customWidth="1"/>
    <col min="11779" max="11779" width="29.875" style="2808" customWidth="1"/>
    <col min="11780" max="11780" width="28.75" style="2808" customWidth="1"/>
    <col min="11781" max="11781" width="18.375" style="2808" bestFit="1" customWidth="1"/>
    <col min="11782" max="11782" width="18.375" style="2808" customWidth="1"/>
    <col min="11783" max="11783" width="18.375" style="2808" bestFit="1" customWidth="1"/>
    <col min="11784" max="11784" width="19.875" style="2808" customWidth="1"/>
    <col min="11785" max="11785" width="22.875" style="2808" customWidth="1"/>
    <col min="11786" max="11786" width="30.25" style="2808" customWidth="1"/>
    <col min="11787" max="11790" width="9" style="2808"/>
    <col min="11791" max="11791" width="31.375" style="2808" customWidth="1"/>
    <col min="11792" max="12032" width="9" style="2808"/>
    <col min="12033" max="12033" width="3.375" style="2808" customWidth="1"/>
    <col min="12034" max="12034" width="9.375" style="2808" customWidth="1"/>
    <col min="12035" max="12035" width="29.875" style="2808" customWidth="1"/>
    <col min="12036" max="12036" width="28.75" style="2808" customWidth="1"/>
    <col min="12037" max="12037" width="18.375" style="2808" bestFit="1" customWidth="1"/>
    <col min="12038" max="12038" width="18.375" style="2808" customWidth="1"/>
    <col min="12039" max="12039" width="18.375" style="2808" bestFit="1" customWidth="1"/>
    <col min="12040" max="12040" width="19.875" style="2808" customWidth="1"/>
    <col min="12041" max="12041" width="22.875" style="2808" customWidth="1"/>
    <col min="12042" max="12042" width="30.25" style="2808" customWidth="1"/>
    <col min="12043" max="12046" width="9" style="2808"/>
    <col min="12047" max="12047" width="31.375" style="2808" customWidth="1"/>
    <col min="12048" max="12288" width="9" style="2808"/>
    <col min="12289" max="12289" width="3.375" style="2808" customWidth="1"/>
    <col min="12290" max="12290" width="9.375" style="2808" customWidth="1"/>
    <col min="12291" max="12291" width="29.875" style="2808" customWidth="1"/>
    <col min="12292" max="12292" width="28.75" style="2808" customWidth="1"/>
    <col min="12293" max="12293" width="18.375" style="2808" bestFit="1" customWidth="1"/>
    <col min="12294" max="12294" width="18.375" style="2808" customWidth="1"/>
    <col min="12295" max="12295" width="18.375" style="2808" bestFit="1" customWidth="1"/>
    <col min="12296" max="12296" width="19.875" style="2808" customWidth="1"/>
    <col min="12297" max="12297" width="22.875" style="2808" customWidth="1"/>
    <col min="12298" max="12298" width="30.25" style="2808" customWidth="1"/>
    <col min="12299" max="12302" width="9" style="2808"/>
    <col min="12303" max="12303" width="31.375" style="2808" customWidth="1"/>
    <col min="12304" max="12544" width="9" style="2808"/>
    <col min="12545" max="12545" width="3.375" style="2808" customWidth="1"/>
    <col min="12546" max="12546" width="9.375" style="2808" customWidth="1"/>
    <col min="12547" max="12547" width="29.875" style="2808" customWidth="1"/>
    <col min="12548" max="12548" width="28.75" style="2808" customWidth="1"/>
    <col min="12549" max="12549" width="18.375" style="2808" bestFit="1" customWidth="1"/>
    <col min="12550" max="12550" width="18.375" style="2808" customWidth="1"/>
    <col min="12551" max="12551" width="18.375" style="2808" bestFit="1" customWidth="1"/>
    <col min="12552" max="12552" width="19.875" style="2808" customWidth="1"/>
    <col min="12553" max="12553" width="22.875" style="2808" customWidth="1"/>
    <col min="12554" max="12554" width="30.25" style="2808" customWidth="1"/>
    <col min="12555" max="12558" width="9" style="2808"/>
    <col min="12559" max="12559" width="31.375" style="2808" customWidth="1"/>
    <col min="12560" max="12800" width="9" style="2808"/>
    <col min="12801" max="12801" width="3.375" style="2808" customWidth="1"/>
    <col min="12802" max="12802" width="9.375" style="2808" customWidth="1"/>
    <col min="12803" max="12803" width="29.875" style="2808" customWidth="1"/>
    <col min="12804" max="12804" width="28.75" style="2808" customWidth="1"/>
    <col min="12805" max="12805" width="18.375" style="2808" bestFit="1" customWidth="1"/>
    <col min="12806" max="12806" width="18.375" style="2808" customWidth="1"/>
    <col min="12807" max="12807" width="18.375" style="2808" bestFit="1" customWidth="1"/>
    <col min="12808" max="12808" width="19.875" style="2808" customWidth="1"/>
    <col min="12809" max="12809" width="22.875" style="2808" customWidth="1"/>
    <col min="12810" max="12810" width="30.25" style="2808" customWidth="1"/>
    <col min="12811" max="12814" width="9" style="2808"/>
    <col min="12815" max="12815" width="31.375" style="2808" customWidth="1"/>
    <col min="12816" max="13056" width="9" style="2808"/>
    <col min="13057" max="13057" width="3.375" style="2808" customWidth="1"/>
    <col min="13058" max="13058" width="9.375" style="2808" customWidth="1"/>
    <col min="13059" max="13059" width="29.875" style="2808" customWidth="1"/>
    <col min="13060" max="13060" width="28.75" style="2808" customWidth="1"/>
    <col min="13061" max="13061" width="18.375" style="2808" bestFit="1" customWidth="1"/>
    <col min="13062" max="13062" width="18.375" style="2808" customWidth="1"/>
    <col min="13063" max="13063" width="18.375" style="2808" bestFit="1" customWidth="1"/>
    <col min="13064" max="13064" width="19.875" style="2808" customWidth="1"/>
    <col min="13065" max="13065" width="22.875" style="2808" customWidth="1"/>
    <col min="13066" max="13066" width="30.25" style="2808" customWidth="1"/>
    <col min="13067" max="13070" width="9" style="2808"/>
    <col min="13071" max="13071" width="31.375" style="2808" customWidth="1"/>
    <col min="13072" max="13312" width="9" style="2808"/>
    <col min="13313" max="13313" width="3.375" style="2808" customWidth="1"/>
    <col min="13314" max="13314" width="9.375" style="2808" customWidth="1"/>
    <col min="13315" max="13315" width="29.875" style="2808" customWidth="1"/>
    <col min="13316" max="13316" width="28.75" style="2808" customWidth="1"/>
    <col min="13317" max="13317" width="18.375" style="2808" bestFit="1" customWidth="1"/>
    <col min="13318" max="13318" width="18.375" style="2808" customWidth="1"/>
    <col min="13319" max="13319" width="18.375" style="2808" bestFit="1" customWidth="1"/>
    <col min="13320" max="13320" width="19.875" style="2808" customWidth="1"/>
    <col min="13321" max="13321" width="22.875" style="2808" customWidth="1"/>
    <col min="13322" max="13322" width="30.25" style="2808" customWidth="1"/>
    <col min="13323" max="13326" width="9" style="2808"/>
    <col min="13327" max="13327" width="31.375" style="2808" customWidth="1"/>
    <col min="13328" max="13568" width="9" style="2808"/>
    <col min="13569" max="13569" width="3.375" style="2808" customWidth="1"/>
    <col min="13570" max="13570" width="9.375" style="2808" customWidth="1"/>
    <col min="13571" max="13571" width="29.875" style="2808" customWidth="1"/>
    <col min="13572" max="13572" width="28.75" style="2808" customWidth="1"/>
    <col min="13573" max="13573" width="18.375" style="2808" bestFit="1" customWidth="1"/>
    <col min="13574" max="13574" width="18.375" style="2808" customWidth="1"/>
    <col min="13575" max="13575" width="18.375" style="2808" bestFit="1" customWidth="1"/>
    <col min="13576" max="13576" width="19.875" style="2808" customWidth="1"/>
    <col min="13577" max="13577" width="22.875" style="2808" customWidth="1"/>
    <col min="13578" max="13578" width="30.25" style="2808" customWidth="1"/>
    <col min="13579" max="13582" width="9" style="2808"/>
    <col min="13583" max="13583" width="31.375" style="2808" customWidth="1"/>
    <col min="13584" max="13824" width="9" style="2808"/>
    <col min="13825" max="13825" width="3.375" style="2808" customWidth="1"/>
    <col min="13826" max="13826" width="9.375" style="2808" customWidth="1"/>
    <col min="13827" max="13827" width="29.875" style="2808" customWidth="1"/>
    <col min="13828" max="13828" width="28.75" style="2808" customWidth="1"/>
    <col min="13829" max="13829" width="18.375" style="2808" bestFit="1" customWidth="1"/>
    <col min="13830" max="13830" width="18.375" style="2808" customWidth="1"/>
    <col min="13831" max="13831" width="18.375" style="2808" bestFit="1" customWidth="1"/>
    <col min="13832" max="13832" width="19.875" style="2808" customWidth="1"/>
    <col min="13833" max="13833" width="22.875" style="2808" customWidth="1"/>
    <col min="13834" max="13834" width="30.25" style="2808" customWidth="1"/>
    <col min="13835" max="13838" width="9" style="2808"/>
    <col min="13839" max="13839" width="31.375" style="2808" customWidth="1"/>
    <col min="13840" max="14080" width="9" style="2808"/>
    <col min="14081" max="14081" width="3.375" style="2808" customWidth="1"/>
    <col min="14082" max="14082" width="9.375" style="2808" customWidth="1"/>
    <col min="14083" max="14083" width="29.875" style="2808" customWidth="1"/>
    <col min="14084" max="14084" width="28.75" style="2808" customWidth="1"/>
    <col min="14085" max="14085" width="18.375" style="2808" bestFit="1" customWidth="1"/>
    <col min="14086" max="14086" width="18.375" style="2808" customWidth="1"/>
    <col min="14087" max="14087" width="18.375" style="2808" bestFit="1" customWidth="1"/>
    <col min="14088" max="14088" width="19.875" style="2808" customWidth="1"/>
    <col min="14089" max="14089" width="22.875" style="2808" customWidth="1"/>
    <col min="14090" max="14090" width="30.25" style="2808" customWidth="1"/>
    <col min="14091" max="14094" width="9" style="2808"/>
    <col min="14095" max="14095" width="31.375" style="2808" customWidth="1"/>
    <col min="14096" max="14336" width="9" style="2808"/>
    <col min="14337" max="14337" width="3.375" style="2808" customWidth="1"/>
    <col min="14338" max="14338" width="9.375" style="2808" customWidth="1"/>
    <col min="14339" max="14339" width="29.875" style="2808" customWidth="1"/>
    <col min="14340" max="14340" width="28.75" style="2808" customWidth="1"/>
    <col min="14341" max="14341" width="18.375" style="2808" bestFit="1" customWidth="1"/>
    <col min="14342" max="14342" width="18.375" style="2808" customWidth="1"/>
    <col min="14343" max="14343" width="18.375" style="2808" bestFit="1" customWidth="1"/>
    <col min="14344" max="14344" width="19.875" style="2808" customWidth="1"/>
    <col min="14345" max="14345" width="22.875" style="2808" customWidth="1"/>
    <col min="14346" max="14346" width="30.25" style="2808" customWidth="1"/>
    <col min="14347" max="14350" width="9" style="2808"/>
    <col min="14351" max="14351" width="31.375" style="2808" customWidth="1"/>
    <col min="14352" max="14592" width="9" style="2808"/>
    <col min="14593" max="14593" width="3.375" style="2808" customWidth="1"/>
    <col min="14594" max="14594" width="9.375" style="2808" customWidth="1"/>
    <col min="14595" max="14595" width="29.875" style="2808" customWidth="1"/>
    <col min="14596" max="14596" width="28.75" style="2808" customWidth="1"/>
    <col min="14597" max="14597" width="18.375" style="2808" bestFit="1" customWidth="1"/>
    <col min="14598" max="14598" width="18.375" style="2808" customWidth="1"/>
    <col min="14599" max="14599" width="18.375" style="2808" bestFit="1" customWidth="1"/>
    <col min="14600" max="14600" width="19.875" style="2808" customWidth="1"/>
    <col min="14601" max="14601" width="22.875" style="2808" customWidth="1"/>
    <col min="14602" max="14602" width="30.25" style="2808" customWidth="1"/>
    <col min="14603" max="14606" width="9" style="2808"/>
    <col min="14607" max="14607" width="31.375" style="2808" customWidth="1"/>
    <col min="14608" max="14848" width="9" style="2808"/>
    <col min="14849" max="14849" width="3.375" style="2808" customWidth="1"/>
    <col min="14850" max="14850" width="9.375" style="2808" customWidth="1"/>
    <col min="14851" max="14851" width="29.875" style="2808" customWidth="1"/>
    <col min="14852" max="14852" width="28.75" style="2808" customWidth="1"/>
    <col min="14853" max="14853" width="18.375" style="2808" bestFit="1" customWidth="1"/>
    <col min="14854" max="14854" width="18.375" style="2808" customWidth="1"/>
    <col min="14855" max="14855" width="18.375" style="2808" bestFit="1" customWidth="1"/>
    <col min="14856" max="14856" width="19.875" style="2808" customWidth="1"/>
    <col min="14857" max="14857" width="22.875" style="2808" customWidth="1"/>
    <col min="14858" max="14858" width="30.25" style="2808" customWidth="1"/>
    <col min="14859" max="14862" width="9" style="2808"/>
    <col min="14863" max="14863" width="31.375" style="2808" customWidth="1"/>
    <col min="14864" max="15104" width="9" style="2808"/>
    <col min="15105" max="15105" width="3.375" style="2808" customWidth="1"/>
    <col min="15106" max="15106" width="9.375" style="2808" customWidth="1"/>
    <col min="15107" max="15107" width="29.875" style="2808" customWidth="1"/>
    <col min="15108" max="15108" width="28.75" style="2808" customWidth="1"/>
    <col min="15109" max="15109" width="18.375" style="2808" bestFit="1" customWidth="1"/>
    <col min="15110" max="15110" width="18.375" style="2808" customWidth="1"/>
    <col min="15111" max="15111" width="18.375" style="2808" bestFit="1" customWidth="1"/>
    <col min="15112" max="15112" width="19.875" style="2808" customWidth="1"/>
    <col min="15113" max="15113" width="22.875" style="2808" customWidth="1"/>
    <col min="15114" max="15114" width="30.25" style="2808" customWidth="1"/>
    <col min="15115" max="15118" width="9" style="2808"/>
    <col min="15119" max="15119" width="31.375" style="2808" customWidth="1"/>
    <col min="15120" max="15360" width="9" style="2808"/>
    <col min="15361" max="15361" width="3.375" style="2808" customWidth="1"/>
    <col min="15362" max="15362" width="9.375" style="2808" customWidth="1"/>
    <col min="15363" max="15363" width="29.875" style="2808" customWidth="1"/>
    <col min="15364" max="15364" width="28.75" style="2808" customWidth="1"/>
    <col min="15365" max="15365" width="18.375" style="2808" bestFit="1" customWidth="1"/>
    <col min="15366" max="15366" width="18.375" style="2808" customWidth="1"/>
    <col min="15367" max="15367" width="18.375" style="2808" bestFit="1" customWidth="1"/>
    <col min="15368" max="15368" width="19.875" style="2808" customWidth="1"/>
    <col min="15369" max="15369" width="22.875" style="2808" customWidth="1"/>
    <col min="15370" max="15370" width="30.25" style="2808" customWidth="1"/>
    <col min="15371" max="15374" width="9" style="2808"/>
    <col min="15375" max="15375" width="31.375" style="2808" customWidth="1"/>
    <col min="15376" max="15616" width="9" style="2808"/>
    <col min="15617" max="15617" width="3.375" style="2808" customWidth="1"/>
    <col min="15618" max="15618" width="9.375" style="2808" customWidth="1"/>
    <col min="15619" max="15619" width="29.875" style="2808" customWidth="1"/>
    <col min="15620" max="15620" width="28.75" style="2808" customWidth="1"/>
    <col min="15621" max="15621" width="18.375" style="2808" bestFit="1" customWidth="1"/>
    <col min="15622" max="15622" width="18.375" style="2808" customWidth="1"/>
    <col min="15623" max="15623" width="18.375" style="2808" bestFit="1" customWidth="1"/>
    <col min="15624" max="15624" width="19.875" style="2808" customWidth="1"/>
    <col min="15625" max="15625" width="22.875" style="2808" customWidth="1"/>
    <col min="15626" max="15626" width="30.25" style="2808" customWidth="1"/>
    <col min="15627" max="15630" width="9" style="2808"/>
    <col min="15631" max="15631" width="31.375" style="2808" customWidth="1"/>
    <col min="15632" max="15872" width="9" style="2808"/>
    <col min="15873" max="15873" width="3.375" style="2808" customWidth="1"/>
    <col min="15874" max="15874" width="9.375" style="2808" customWidth="1"/>
    <col min="15875" max="15875" width="29.875" style="2808" customWidth="1"/>
    <col min="15876" max="15876" width="28.75" style="2808" customWidth="1"/>
    <col min="15877" max="15877" width="18.375" style="2808" bestFit="1" customWidth="1"/>
    <col min="15878" max="15878" width="18.375" style="2808" customWidth="1"/>
    <col min="15879" max="15879" width="18.375" style="2808" bestFit="1" customWidth="1"/>
    <col min="15880" max="15880" width="19.875" style="2808" customWidth="1"/>
    <col min="15881" max="15881" width="22.875" style="2808" customWidth="1"/>
    <col min="15882" max="15882" width="30.25" style="2808" customWidth="1"/>
    <col min="15883" max="15886" width="9" style="2808"/>
    <col min="15887" max="15887" width="31.375" style="2808" customWidth="1"/>
    <col min="15888" max="16128" width="9" style="2808"/>
    <col min="16129" max="16129" width="3.375" style="2808" customWidth="1"/>
    <col min="16130" max="16130" width="9.375" style="2808" customWidth="1"/>
    <col min="16131" max="16131" width="29.875" style="2808" customWidth="1"/>
    <col min="16132" max="16132" width="28.75" style="2808" customWidth="1"/>
    <col min="16133" max="16133" width="18.375" style="2808" bestFit="1" customWidth="1"/>
    <col min="16134" max="16134" width="18.375" style="2808" customWidth="1"/>
    <col min="16135" max="16135" width="18.375" style="2808" bestFit="1" customWidth="1"/>
    <col min="16136" max="16136" width="19.875" style="2808" customWidth="1"/>
    <col min="16137" max="16137" width="22.875" style="2808" customWidth="1"/>
    <col min="16138" max="16138" width="30.25" style="2808" customWidth="1"/>
    <col min="16139" max="16142" width="9" style="2808"/>
    <col min="16143" max="16143" width="31.375" style="2808" customWidth="1"/>
    <col min="16144" max="16384" width="9" style="2808"/>
  </cols>
  <sheetData>
    <row r="1" spans="1:9" ht="18.75" customHeight="1">
      <c r="A1" s="2370" t="s">
        <v>5026</v>
      </c>
    </row>
    <row r="2" spans="1:9" ht="16.5">
      <c r="A2" s="2996" t="s">
        <v>6371</v>
      </c>
    </row>
    <row r="3" spans="1:9" ht="16.5">
      <c r="A3" s="2821" t="s">
        <v>3485</v>
      </c>
      <c r="B3" s="2822"/>
      <c r="C3" s="2822"/>
    </row>
    <row r="4" spans="1:9" ht="17.25" thickBot="1">
      <c r="B4" s="2854" t="s">
        <v>6282</v>
      </c>
    </row>
    <row r="5" spans="1:9" ht="16.5">
      <c r="B5" s="2823" t="s">
        <v>2782</v>
      </c>
      <c r="C5" s="2824" t="s">
        <v>5829</v>
      </c>
      <c r="D5" s="2825" t="s">
        <v>6213</v>
      </c>
    </row>
    <row r="6" spans="1:9">
      <c r="B6" s="2826"/>
      <c r="C6" s="2827"/>
      <c r="D6" s="2828" t="s">
        <v>28</v>
      </c>
    </row>
    <row r="7" spans="1:9" ht="16.5">
      <c r="B7" s="2829">
        <v>1</v>
      </c>
      <c r="C7" s="2834" t="s">
        <v>6283</v>
      </c>
      <c r="D7" s="3170"/>
    </row>
    <row r="8" spans="1:9" ht="17.25" thickBot="1">
      <c r="B8" s="2837">
        <v>2</v>
      </c>
      <c r="C8" s="2838" t="s">
        <v>6214</v>
      </c>
      <c r="D8" s="3170"/>
    </row>
    <row r="9" spans="1:9" ht="16.5">
      <c r="B9" s="3969" t="s">
        <v>8850</v>
      </c>
      <c r="C9" s="2842"/>
      <c r="D9" s="3168"/>
    </row>
    <row r="11" spans="1:9" ht="17.25" thickBot="1">
      <c r="B11" s="2854" t="s">
        <v>6284</v>
      </c>
    </row>
    <row r="12" spans="1:9" ht="16.5">
      <c r="B12" s="3615" t="s">
        <v>2782</v>
      </c>
      <c r="C12" s="3617" t="s">
        <v>5829</v>
      </c>
      <c r="D12" s="3619" t="s">
        <v>6215</v>
      </c>
      <c r="E12" s="3621" t="s">
        <v>6216</v>
      </c>
      <c r="F12" s="3160" t="s">
        <v>6217</v>
      </c>
      <c r="G12" s="3623" t="s">
        <v>6218</v>
      </c>
      <c r="H12" s="3623"/>
      <c r="I12" s="3613" t="s">
        <v>6285</v>
      </c>
    </row>
    <row r="13" spans="1:9" ht="16.5">
      <c r="B13" s="3616"/>
      <c r="C13" s="3618"/>
      <c r="D13" s="3620"/>
      <c r="E13" s="3622"/>
      <c r="F13" s="3161" t="s">
        <v>6219</v>
      </c>
      <c r="G13" s="2831" t="s">
        <v>6219</v>
      </c>
      <c r="H13" s="2831" t="s">
        <v>6220</v>
      </c>
      <c r="I13" s="3614"/>
    </row>
    <row r="14" spans="1:9">
      <c r="B14" s="2855"/>
      <c r="C14" s="2856"/>
      <c r="D14" s="3157" t="s">
        <v>208</v>
      </c>
      <c r="E14" s="3165" t="s">
        <v>63</v>
      </c>
      <c r="F14" s="3162" t="s">
        <v>31</v>
      </c>
      <c r="G14" s="2832" t="s">
        <v>64</v>
      </c>
      <c r="H14" s="2832" t="s">
        <v>33</v>
      </c>
      <c r="I14" s="2833" t="s">
        <v>34</v>
      </c>
    </row>
    <row r="15" spans="1:9" ht="16.5">
      <c r="B15" s="2829">
        <f>B8+1</f>
        <v>3</v>
      </c>
      <c r="C15" s="2834" t="s">
        <v>6221</v>
      </c>
      <c r="D15" s="3158">
        <f>SUM(E66:E71,E30:E31)</f>
        <v>0</v>
      </c>
      <c r="E15" s="3166"/>
      <c r="F15" s="3163">
        <f>IF((D15-E15)&gt;('表16-2-1'!G11+'表16-2-1'!J11),
'表16-2-1'!G11+'表16-2-1'!J11,
D15-E15)</f>
        <v>0</v>
      </c>
      <c r="G15" s="2835">
        <f>IF(ISERROR(F15/(D15-E15)),0,
F15/(D15-E15))</f>
        <v>0</v>
      </c>
      <c r="H15" s="2835">
        <f>1-G15</f>
        <v>1</v>
      </c>
      <c r="I15" s="2836" t="e">
        <f>1/$D$7*(G15*$D$7+H15*$D$8)</f>
        <v>#DIV/0!</v>
      </c>
    </row>
    <row r="16" spans="1:9" ht="16.5">
      <c r="B16" s="2829">
        <f>B15+1</f>
        <v>4</v>
      </c>
      <c r="C16" s="2834" t="s">
        <v>6222</v>
      </c>
      <c r="D16" s="3158">
        <f>SUM(E72:E87,E32:E61)</f>
        <v>0</v>
      </c>
      <c r="E16" s="3166"/>
      <c r="F16" s="3163">
        <f>IF((D15-E15)&gt;('表16-2-1'!G11+'表16-2-1'!J11),
0,
('表16-2-1'!G11+'表16-2-1'!J11)-(D15-E15))</f>
        <v>0</v>
      </c>
      <c r="G16" s="2835">
        <f>IF(ISERROR(F16/(D16-E16)),0,
F16/(D16-E16))</f>
        <v>0</v>
      </c>
      <c r="H16" s="2835">
        <f>1-G16</f>
        <v>1</v>
      </c>
      <c r="I16" s="2836" t="e">
        <f>1/$D$7*(G16*$D$7+H16*$D$8)</f>
        <v>#DIV/0!</v>
      </c>
    </row>
    <row r="17" spans="2:9" ht="17.25" thickBot="1">
      <c r="B17" s="2837">
        <f>B16+1</f>
        <v>5</v>
      </c>
      <c r="C17" s="2838" t="s">
        <v>5088</v>
      </c>
      <c r="D17" s="3159">
        <f>SUM(D15:D16)</f>
        <v>0</v>
      </c>
      <c r="E17" s="3167">
        <f>SUM(E15:E16)</f>
        <v>0</v>
      </c>
      <c r="F17" s="3164">
        <f>SUM(F15:F16)</f>
        <v>0</v>
      </c>
      <c r="G17" s="2839">
        <f>IF(ISERROR(F17/(D17-E17)),0,
F17/(D17-E17))</f>
        <v>0</v>
      </c>
      <c r="H17" s="2839">
        <f>1-G17</f>
        <v>1</v>
      </c>
      <c r="I17" s="2840" t="e">
        <f>1/$D$7*(G17*$D$7+H17*$D$8)</f>
        <v>#DIV/0!</v>
      </c>
    </row>
    <row r="18" spans="2:9" ht="17.25" thickBot="1">
      <c r="D18" s="3169" t="s">
        <v>8848</v>
      </c>
      <c r="E18" s="3156"/>
    </row>
    <row r="19" spans="2:9">
      <c r="D19" s="2841"/>
    </row>
    <row r="20" spans="2:9" ht="17.25" thickBot="1">
      <c r="B20" s="2857" t="s">
        <v>6286</v>
      </c>
    </row>
    <row r="21" spans="2:9" ht="16.5">
      <c r="B21" s="2823" t="s">
        <v>2782</v>
      </c>
      <c r="C21" s="2824" t="s">
        <v>6287</v>
      </c>
      <c r="D21" s="2825" t="s">
        <v>6288</v>
      </c>
    </row>
    <row r="22" spans="2:9">
      <c r="B22" s="2826"/>
      <c r="C22" s="2843" t="s">
        <v>35</v>
      </c>
      <c r="D22" s="2828" t="s">
        <v>65</v>
      </c>
    </row>
    <row r="23" spans="2:9">
      <c r="B23" s="2829">
        <f>B17+1</f>
        <v>6</v>
      </c>
      <c r="C23" s="2834" t="e">
        <f>(D15-E15)*I15</f>
        <v>#DIV/0!</v>
      </c>
      <c r="D23" s="2844" t="e">
        <f>C23-(D15-E15)</f>
        <v>#DIV/0!</v>
      </c>
    </row>
    <row r="24" spans="2:9">
      <c r="B24" s="2829">
        <f>B23+1</f>
        <v>7</v>
      </c>
      <c r="C24" s="2834" t="e">
        <f>(D16-E16)*I16</f>
        <v>#DIV/0!</v>
      </c>
      <c r="D24" s="2844" t="e">
        <f>C24-(D16-E16)</f>
        <v>#DIV/0!</v>
      </c>
    </row>
    <row r="25" spans="2:9" ht="17.25" thickBot="1">
      <c r="B25" s="2837">
        <f>B24+1</f>
        <v>8</v>
      </c>
      <c r="C25" s="2838" t="e">
        <f>SUM(C23:C24)</f>
        <v>#DIV/0!</v>
      </c>
      <c r="D25" s="2845" t="e">
        <f>SUM(D23:D24)</f>
        <v>#DIV/0!</v>
      </c>
      <c r="E25" s="2846" t="s">
        <v>6223</v>
      </c>
    </row>
    <row r="26" spans="2:9">
      <c r="D26" s="2841"/>
    </row>
    <row r="27" spans="2:9" ht="17.25" thickBot="1">
      <c r="B27" s="2808" t="s">
        <v>6224</v>
      </c>
      <c r="D27" s="2841"/>
    </row>
    <row r="28" spans="2:9" ht="16.5">
      <c r="B28" s="2823" t="s">
        <v>2782</v>
      </c>
      <c r="C28" s="2824" t="s">
        <v>6225</v>
      </c>
      <c r="D28" s="2824" t="s">
        <v>2918</v>
      </c>
      <c r="E28" s="2825" t="s">
        <v>6289</v>
      </c>
    </row>
    <row r="29" spans="2:9">
      <c r="B29" s="2826"/>
      <c r="C29" s="2843" t="s">
        <v>9</v>
      </c>
      <c r="D29" s="2843" t="s">
        <v>36</v>
      </c>
      <c r="E29" s="2847" t="s">
        <v>67</v>
      </c>
    </row>
    <row r="30" spans="2:9" ht="16.5">
      <c r="B30" s="3616">
        <f>B25+1</f>
        <v>9</v>
      </c>
      <c r="C30" s="3618" t="s">
        <v>6221</v>
      </c>
      <c r="D30" s="2858" t="s">
        <v>6226</v>
      </c>
      <c r="E30" s="2848">
        <f>VLOOKUP(D30,'表30-2'!B:D,3,0)</f>
        <v>0</v>
      </c>
    </row>
    <row r="31" spans="2:9" ht="16.5">
      <c r="B31" s="3616"/>
      <c r="C31" s="3618"/>
      <c r="D31" s="2858" t="s">
        <v>6227</v>
      </c>
      <c r="E31" s="2848">
        <f>VLOOKUP(D31,'表30-2'!B:D,3,0)</f>
        <v>0</v>
      </c>
    </row>
    <row r="32" spans="2:9" ht="16.5">
      <c r="B32" s="3616">
        <f>B30+1</f>
        <v>10</v>
      </c>
      <c r="C32" s="3618" t="s">
        <v>6222</v>
      </c>
      <c r="D32" s="2852" t="s">
        <v>6228</v>
      </c>
      <c r="E32" s="2849">
        <f>VLOOKUP(D32,'表30-2'!B:D,3,0)</f>
        <v>0</v>
      </c>
    </row>
    <row r="33" spans="2:5" ht="16.5">
      <c r="B33" s="3616"/>
      <c r="C33" s="3618"/>
      <c r="D33" s="2852" t="s">
        <v>6229</v>
      </c>
      <c r="E33" s="2849">
        <f>VLOOKUP(D33,'表30-2'!B:D,3,0)</f>
        <v>0</v>
      </c>
    </row>
    <row r="34" spans="2:5" ht="16.5">
      <c r="B34" s="3616"/>
      <c r="C34" s="3618"/>
      <c r="D34" s="2852" t="s">
        <v>6230</v>
      </c>
      <c r="E34" s="2849">
        <f>VLOOKUP(D34,'表30-2'!B:D,3,0)</f>
        <v>0</v>
      </c>
    </row>
    <row r="35" spans="2:5" ht="16.5">
      <c r="B35" s="3616"/>
      <c r="C35" s="3618"/>
      <c r="D35" s="2852" t="s">
        <v>6231</v>
      </c>
      <c r="E35" s="2849">
        <f>VLOOKUP(D35,'表30-2'!B:D,3,0)</f>
        <v>0</v>
      </c>
    </row>
    <row r="36" spans="2:5" ht="16.5">
      <c r="B36" s="3616"/>
      <c r="C36" s="3618"/>
      <c r="D36" s="2852" t="s">
        <v>6232</v>
      </c>
      <c r="E36" s="2849">
        <f>VLOOKUP(D36,'表30-2'!B:D,3,0)</f>
        <v>0</v>
      </c>
    </row>
    <row r="37" spans="2:5" ht="16.5">
      <c r="B37" s="3616"/>
      <c r="C37" s="3618"/>
      <c r="D37" s="2852" t="s">
        <v>6233</v>
      </c>
      <c r="E37" s="2849">
        <f>VLOOKUP(D37,'表30-2'!B:D,3,0)</f>
        <v>0</v>
      </c>
    </row>
    <row r="38" spans="2:5" ht="16.5">
      <c r="B38" s="3616"/>
      <c r="C38" s="3618"/>
      <c r="D38" s="2852" t="s">
        <v>6234</v>
      </c>
      <c r="E38" s="2849">
        <f>VLOOKUP(D38,'表30-2'!B:D,3,0)</f>
        <v>0</v>
      </c>
    </row>
    <row r="39" spans="2:5" ht="16.5">
      <c r="B39" s="3616"/>
      <c r="C39" s="3618"/>
      <c r="D39" s="2852" t="s">
        <v>6235</v>
      </c>
      <c r="E39" s="2849">
        <f>VLOOKUP(D39,'表30-2'!B:D,3,0)</f>
        <v>0</v>
      </c>
    </row>
    <row r="40" spans="2:5" ht="16.5">
      <c r="B40" s="3616"/>
      <c r="C40" s="3618"/>
      <c r="D40" s="2852" t="s">
        <v>6236</v>
      </c>
      <c r="E40" s="2849">
        <f>VLOOKUP(D40,'表30-2'!B:D,3,0)</f>
        <v>0</v>
      </c>
    </row>
    <row r="41" spans="2:5" ht="16.5">
      <c r="B41" s="3616"/>
      <c r="C41" s="3618"/>
      <c r="D41" s="2852" t="s">
        <v>6237</v>
      </c>
      <c r="E41" s="2849">
        <f>VLOOKUP(D41,'表30-2'!B:D,3,0)</f>
        <v>0</v>
      </c>
    </row>
    <row r="42" spans="2:5" ht="16.5">
      <c r="B42" s="3616"/>
      <c r="C42" s="3618"/>
      <c r="D42" s="2852" t="s">
        <v>6238</v>
      </c>
      <c r="E42" s="2849">
        <f>VLOOKUP(D42,'表30-2'!B:D,3,0)</f>
        <v>0</v>
      </c>
    </row>
    <row r="43" spans="2:5" ht="16.5">
      <c r="B43" s="3616"/>
      <c r="C43" s="3618"/>
      <c r="D43" s="2852" t="s">
        <v>6239</v>
      </c>
      <c r="E43" s="2849">
        <f>VLOOKUP(D43,'表30-2'!B:D,3,0)</f>
        <v>0</v>
      </c>
    </row>
    <row r="44" spans="2:5" ht="16.5">
      <c r="B44" s="3616"/>
      <c r="C44" s="3618"/>
      <c r="D44" s="2852" t="s">
        <v>6240</v>
      </c>
      <c r="E44" s="2849">
        <f>VLOOKUP(D44,'表30-2'!B:D,3,0)</f>
        <v>0</v>
      </c>
    </row>
    <row r="45" spans="2:5" ht="16.5">
      <c r="B45" s="3616"/>
      <c r="C45" s="3618"/>
      <c r="D45" s="2852" t="s">
        <v>6241</v>
      </c>
      <c r="E45" s="2849">
        <f>VLOOKUP(D45,'表30-2'!B:D,3,0)</f>
        <v>0</v>
      </c>
    </row>
    <row r="46" spans="2:5" ht="16.5">
      <c r="B46" s="3616"/>
      <c r="C46" s="3618"/>
      <c r="D46" s="2852" t="s">
        <v>6242</v>
      </c>
      <c r="E46" s="2849">
        <f>VLOOKUP(D46,'表30-2'!B:D,3,0)</f>
        <v>0</v>
      </c>
    </row>
    <row r="47" spans="2:5" ht="16.5">
      <c r="B47" s="3616"/>
      <c r="C47" s="3618"/>
      <c r="D47" s="2852" t="s">
        <v>6243</v>
      </c>
      <c r="E47" s="2849">
        <f>VLOOKUP(D47,'表30-2'!B:D,3,0)</f>
        <v>0</v>
      </c>
    </row>
    <row r="48" spans="2:5" ht="16.5">
      <c r="B48" s="3616"/>
      <c r="C48" s="3618"/>
      <c r="D48" s="2852" t="s">
        <v>6244</v>
      </c>
      <c r="E48" s="2849">
        <f>VLOOKUP(D48,'表30-2'!B:D,3,0)</f>
        <v>0</v>
      </c>
    </row>
    <row r="49" spans="2:5" ht="16.5">
      <c r="B49" s="3616"/>
      <c r="C49" s="3618"/>
      <c r="D49" s="2852" t="s">
        <v>6245</v>
      </c>
      <c r="E49" s="2849">
        <f>VLOOKUP(D49,'表30-2'!B:D,3,0)</f>
        <v>0</v>
      </c>
    </row>
    <row r="50" spans="2:5" ht="16.5">
      <c r="B50" s="3616"/>
      <c r="C50" s="3618"/>
      <c r="D50" s="2852" t="s">
        <v>6246</v>
      </c>
      <c r="E50" s="2849">
        <f>VLOOKUP(D50,'表30-2'!B:D,3,0)</f>
        <v>0</v>
      </c>
    </row>
    <row r="51" spans="2:5" ht="16.5">
      <c r="B51" s="3616"/>
      <c r="C51" s="3618"/>
      <c r="D51" s="2852" t="s">
        <v>6247</v>
      </c>
      <c r="E51" s="2849">
        <f>VLOOKUP(D51,'表30-2'!B:D,3,0)</f>
        <v>0</v>
      </c>
    </row>
    <row r="52" spans="2:5" ht="16.5">
      <c r="B52" s="3616"/>
      <c r="C52" s="3618"/>
      <c r="D52" s="2852" t="s">
        <v>6248</v>
      </c>
      <c r="E52" s="2849">
        <f>VLOOKUP(D52,'表30-2'!B:D,3,0)</f>
        <v>0</v>
      </c>
    </row>
    <row r="53" spans="2:5" ht="16.5">
      <c r="B53" s="3616"/>
      <c r="C53" s="3618"/>
      <c r="D53" s="2852" t="s">
        <v>6249</v>
      </c>
      <c r="E53" s="2849">
        <f>VLOOKUP(D53,'表30-2'!B:D,3,0)</f>
        <v>0</v>
      </c>
    </row>
    <row r="54" spans="2:5" ht="16.5">
      <c r="B54" s="3616"/>
      <c r="C54" s="3618"/>
      <c r="D54" s="2852" t="s">
        <v>6250</v>
      </c>
      <c r="E54" s="2849">
        <f>VLOOKUP(D54,'表30-2'!B:D,3,0)</f>
        <v>0</v>
      </c>
    </row>
    <row r="55" spans="2:5" ht="16.5">
      <c r="B55" s="3616"/>
      <c r="C55" s="3618"/>
      <c r="D55" s="2852" t="s">
        <v>6251</v>
      </c>
      <c r="E55" s="2849">
        <f>VLOOKUP(D55,'表30-2'!B:D,3,0)</f>
        <v>0</v>
      </c>
    </row>
    <row r="56" spans="2:5" ht="16.5">
      <c r="B56" s="3616"/>
      <c r="C56" s="3618"/>
      <c r="D56" s="2852" t="s">
        <v>6252</v>
      </c>
      <c r="E56" s="2849">
        <f>VLOOKUP(D56,'表30-2'!B:D,3,0)</f>
        <v>0</v>
      </c>
    </row>
    <row r="57" spans="2:5" ht="16.5">
      <c r="B57" s="3616"/>
      <c r="C57" s="3618"/>
      <c r="D57" s="2852" t="s">
        <v>6253</v>
      </c>
      <c r="E57" s="2849">
        <f>VLOOKUP(D57,'表30-2'!B:D,3,0)</f>
        <v>0</v>
      </c>
    </row>
    <row r="58" spans="2:5" ht="16.5">
      <c r="B58" s="3616"/>
      <c r="C58" s="3618"/>
      <c r="D58" s="2852" t="s">
        <v>6254</v>
      </c>
      <c r="E58" s="2849">
        <f>VLOOKUP(D58,'表30-2'!B:D,3,0)</f>
        <v>0</v>
      </c>
    </row>
    <row r="59" spans="2:5" ht="16.5">
      <c r="B59" s="3616"/>
      <c r="C59" s="3618"/>
      <c r="D59" s="2852" t="s">
        <v>6255</v>
      </c>
      <c r="E59" s="2849">
        <f>VLOOKUP(D59,'表30-2'!B:D,3,0)</f>
        <v>0</v>
      </c>
    </row>
    <row r="60" spans="2:5" ht="16.5">
      <c r="B60" s="3616"/>
      <c r="C60" s="3618"/>
      <c r="D60" s="2852" t="s">
        <v>6256</v>
      </c>
      <c r="E60" s="2849">
        <f>VLOOKUP(D60,'表30-2'!B:D,3,0)</f>
        <v>0</v>
      </c>
    </row>
    <row r="61" spans="2:5" ht="17.25" thickBot="1">
      <c r="B61" s="3624"/>
      <c r="C61" s="3625"/>
      <c r="D61" s="2853" t="s">
        <v>6257</v>
      </c>
      <c r="E61" s="2850">
        <f>VLOOKUP(D61,'表30-2'!B:D,3,0)</f>
        <v>0</v>
      </c>
    </row>
    <row r="62" spans="2:5">
      <c r="B62" s="2859"/>
      <c r="C62" s="2859"/>
      <c r="E62" s="2842"/>
    </row>
    <row r="63" spans="2:5" ht="17.25" thickBot="1">
      <c r="B63" s="2808" t="s">
        <v>6258</v>
      </c>
    </row>
    <row r="64" spans="2:5" ht="16.5">
      <c r="B64" s="2823" t="s">
        <v>2782</v>
      </c>
      <c r="C64" s="2830" t="s">
        <v>6259</v>
      </c>
      <c r="D64" s="2824" t="s">
        <v>2918</v>
      </c>
      <c r="E64" s="2825" t="s">
        <v>6289</v>
      </c>
    </row>
    <row r="65" spans="2:5">
      <c r="B65" s="2826"/>
      <c r="C65" s="2851" t="s">
        <v>68</v>
      </c>
      <c r="D65" s="2843" t="s">
        <v>39</v>
      </c>
      <c r="E65" s="2847" t="s">
        <v>69</v>
      </c>
    </row>
    <row r="66" spans="2:5" ht="16.5">
      <c r="B66" s="3616">
        <f>B32+1</f>
        <v>11</v>
      </c>
      <c r="C66" s="3618" t="s">
        <v>6221</v>
      </c>
      <c r="D66" s="2858" t="s">
        <v>6260</v>
      </c>
      <c r="E66" s="2848">
        <f>VLOOKUP(D66,'表30-3'!B:D,3,0)</f>
        <v>0</v>
      </c>
    </row>
    <row r="67" spans="2:5" ht="16.5">
      <c r="B67" s="3616"/>
      <c r="C67" s="3618"/>
      <c r="D67" s="2858" t="s">
        <v>6261</v>
      </c>
      <c r="E67" s="2848">
        <f>VLOOKUP(D67,'表30-3'!B:D,3,0)</f>
        <v>0</v>
      </c>
    </row>
    <row r="68" spans="2:5" ht="16.5">
      <c r="B68" s="3616"/>
      <c r="C68" s="3618"/>
      <c r="D68" s="2858" t="s">
        <v>6262</v>
      </c>
      <c r="E68" s="2848">
        <f>VLOOKUP(D68,'表30-3'!B:D,3,0)</f>
        <v>0</v>
      </c>
    </row>
    <row r="69" spans="2:5" ht="16.5">
      <c r="B69" s="3616"/>
      <c r="C69" s="3618"/>
      <c r="D69" s="2858" t="s">
        <v>6263</v>
      </c>
      <c r="E69" s="2848">
        <f>VLOOKUP(D69,'表30-3'!B:D,3,0)</f>
        <v>0</v>
      </c>
    </row>
    <row r="70" spans="2:5" ht="16.5">
      <c r="B70" s="3616"/>
      <c r="C70" s="3618"/>
      <c r="D70" s="2858" t="s">
        <v>6264</v>
      </c>
      <c r="E70" s="2848">
        <f>VLOOKUP(D70,'表30-3'!B:D,3,0)</f>
        <v>0</v>
      </c>
    </row>
    <row r="71" spans="2:5" ht="16.5">
      <c r="B71" s="3616"/>
      <c r="C71" s="3618"/>
      <c r="D71" s="2858" t="s">
        <v>6265</v>
      </c>
      <c r="E71" s="2848">
        <f>VLOOKUP(D71,'表30-3'!B:D,3,0)</f>
        <v>0</v>
      </c>
    </row>
    <row r="72" spans="2:5" ht="16.5">
      <c r="B72" s="3616">
        <f>B66+1</f>
        <v>12</v>
      </c>
      <c r="C72" s="3618" t="s">
        <v>6222</v>
      </c>
      <c r="D72" s="2852" t="s">
        <v>6266</v>
      </c>
      <c r="E72" s="2849">
        <f>VLOOKUP(D72,'表30-3'!B:D,3,0)</f>
        <v>0</v>
      </c>
    </row>
    <row r="73" spans="2:5" ht="16.5">
      <c r="B73" s="3616"/>
      <c r="C73" s="3618"/>
      <c r="D73" s="2852" t="s">
        <v>6267</v>
      </c>
      <c r="E73" s="2849">
        <f>VLOOKUP(D73,'表30-3'!B:D,3,0)</f>
        <v>0</v>
      </c>
    </row>
    <row r="74" spans="2:5" ht="16.5">
      <c r="B74" s="3616"/>
      <c r="C74" s="3618"/>
      <c r="D74" s="2852" t="s">
        <v>6268</v>
      </c>
      <c r="E74" s="2849">
        <f>VLOOKUP(D74,'表30-3'!B:D,3,0)</f>
        <v>0</v>
      </c>
    </row>
    <row r="75" spans="2:5" ht="16.5">
      <c r="B75" s="3616"/>
      <c r="C75" s="3618"/>
      <c r="D75" s="2852" t="s">
        <v>6269</v>
      </c>
      <c r="E75" s="2849">
        <f>VLOOKUP(D75,'表30-3'!B:D,3,0)</f>
        <v>0</v>
      </c>
    </row>
    <row r="76" spans="2:5" ht="16.5">
      <c r="B76" s="3616"/>
      <c r="C76" s="3618"/>
      <c r="D76" s="2852" t="s">
        <v>6270</v>
      </c>
      <c r="E76" s="2849">
        <f>VLOOKUP(D76,'表30-3'!B:D,3,0)</f>
        <v>0</v>
      </c>
    </row>
    <row r="77" spans="2:5" ht="16.5">
      <c r="B77" s="3616"/>
      <c r="C77" s="3618"/>
      <c r="D77" s="2852" t="s">
        <v>6271</v>
      </c>
      <c r="E77" s="2849">
        <f>VLOOKUP(D77,'表30-3'!B:D,3,0)</f>
        <v>0</v>
      </c>
    </row>
    <row r="78" spans="2:5">
      <c r="B78" s="3616"/>
      <c r="C78" s="3618"/>
      <c r="D78" s="2852" t="s">
        <v>6272</v>
      </c>
      <c r="E78" s="2849">
        <f>VLOOKUP(D78,'表30-3'!B:D,3,0)</f>
        <v>0</v>
      </c>
    </row>
    <row r="79" spans="2:5" ht="16.5">
      <c r="B79" s="3616"/>
      <c r="C79" s="3618"/>
      <c r="D79" s="2852" t="s">
        <v>6273</v>
      </c>
      <c r="E79" s="2849">
        <f>VLOOKUP(D79,'表30-3'!B:D,3,0)</f>
        <v>0</v>
      </c>
    </row>
    <row r="80" spans="2:5" ht="16.5">
      <c r="B80" s="3616"/>
      <c r="C80" s="3618"/>
      <c r="D80" s="2852" t="s">
        <v>6274</v>
      </c>
      <c r="E80" s="2849">
        <f>VLOOKUP(D80,'表30-3'!B:D,3,0)</f>
        <v>0</v>
      </c>
    </row>
    <row r="81" spans="2:5" ht="16.5">
      <c r="B81" s="3616"/>
      <c r="C81" s="3618"/>
      <c r="D81" s="2852" t="s">
        <v>6275</v>
      </c>
      <c r="E81" s="2849">
        <f>VLOOKUP(D81,'表30-3'!B:D,3,0)</f>
        <v>0</v>
      </c>
    </row>
    <row r="82" spans="2:5" ht="16.5">
      <c r="B82" s="3616"/>
      <c r="C82" s="3618"/>
      <c r="D82" s="2852" t="s">
        <v>6276</v>
      </c>
      <c r="E82" s="2849">
        <f>VLOOKUP(D82,'表30-3'!B:D,3,0)</f>
        <v>0</v>
      </c>
    </row>
    <row r="83" spans="2:5" ht="16.5">
      <c r="B83" s="3616"/>
      <c r="C83" s="3618"/>
      <c r="D83" s="2852" t="s">
        <v>6277</v>
      </c>
      <c r="E83" s="2849">
        <f>VLOOKUP(D83,'表30-3'!B:D,3,0)</f>
        <v>0</v>
      </c>
    </row>
    <row r="84" spans="2:5" ht="16.5">
      <c r="B84" s="3616"/>
      <c r="C84" s="3618"/>
      <c r="D84" s="2852" t="s">
        <v>6278</v>
      </c>
      <c r="E84" s="2849">
        <f>VLOOKUP(D84,'表30-3'!B:D,3,0)</f>
        <v>0</v>
      </c>
    </row>
    <row r="85" spans="2:5" ht="16.5">
      <c r="B85" s="3616"/>
      <c r="C85" s="3618"/>
      <c r="D85" s="2852" t="s">
        <v>6279</v>
      </c>
      <c r="E85" s="2849">
        <f>VLOOKUP(D85,'表30-3'!B:D,3,0)</f>
        <v>0</v>
      </c>
    </row>
    <row r="86" spans="2:5">
      <c r="B86" s="3616"/>
      <c r="C86" s="3618"/>
      <c r="D86" s="2852" t="s">
        <v>6280</v>
      </c>
      <c r="E86" s="2849">
        <f>VLOOKUP(D86,'表30-3'!B:D,3,0)</f>
        <v>0</v>
      </c>
    </row>
    <row r="87" spans="2:5" ht="16.5">
      <c r="B87" s="3624"/>
      <c r="C87" s="3625"/>
      <c r="D87" s="2853" t="s">
        <v>6281</v>
      </c>
      <c r="E87" s="2850">
        <f>VLOOKUP(D87,'表30-3'!B:D,3,0)</f>
        <v>0</v>
      </c>
    </row>
  </sheetData>
  <mergeCells count="14">
    <mergeCell ref="B72:B87"/>
    <mergeCell ref="C72:C87"/>
    <mergeCell ref="B30:B31"/>
    <mergeCell ref="C30:C31"/>
    <mergeCell ref="B32:B61"/>
    <mergeCell ref="C32:C61"/>
    <mergeCell ref="B66:B71"/>
    <mergeCell ref="C66:C71"/>
    <mergeCell ref="I12:I13"/>
    <mergeCell ref="B12:B13"/>
    <mergeCell ref="C12:C13"/>
    <mergeCell ref="D12:D13"/>
    <mergeCell ref="E12:E13"/>
    <mergeCell ref="G12:H12"/>
  </mergeCells>
  <phoneticPr fontId="9" type="noConversion"/>
  <pageMargins left="0.7" right="0.7" top="0.75" bottom="0.75" header="0.3" footer="0.3"/>
  <pageSetup paperSize="9" scale="5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pageSetUpPr fitToPage="1"/>
  </sheetPr>
  <dimension ref="A1:F17"/>
  <sheetViews>
    <sheetView showGridLines="0" view="pageBreakPreview" zoomScaleNormal="100" zoomScaleSheetLayoutView="100" workbookViewId="0">
      <selection activeCell="B13" sqref="B13"/>
    </sheetView>
  </sheetViews>
  <sheetFormatPr defaultRowHeight="15.75"/>
  <cols>
    <col min="1" max="1" width="37.125" style="1596" customWidth="1"/>
    <col min="2" max="2" width="76" style="1596" customWidth="1"/>
    <col min="3" max="3" width="16.5" style="1596" customWidth="1"/>
    <col min="4" max="4" width="11.625" style="1596" customWidth="1"/>
    <col min="5" max="5" width="10.5" style="1596" customWidth="1"/>
    <col min="6" max="6" width="18.125" style="1596" customWidth="1"/>
    <col min="7" max="16384" width="9" style="1596"/>
  </cols>
  <sheetData>
    <row r="1" spans="1:6" ht="16.5">
      <c r="A1" s="1472" t="str">
        <f>+封面!A3&amp;" "&amp;封面!A2</f>
        <v xml:space="preserve">        保險股份有限公司(○○分公司) 年度(月、季、半年)報表</v>
      </c>
      <c r="B1" s="1594"/>
      <c r="C1" s="1595"/>
      <c r="D1" s="1595"/>
      <c r="E1" s="1595"/>
      <c r="F1" s="1595"/>
    </row>
    <row r="2" spans="1:6" ht="16.5" thickBot="1">
      <c r="A2" s="2724" t="s">
        <v>4825</v>
      </c>
      <c r="B2" s="1594"/>
      <c r="C2" s="1595"/>
      <c r="D2" s="1595"/>
      <c r="E2" s="1595"/>
      <c r="F2" s="1597" t="s">
        <v>4254</v>
      </c>
    </row>
    <row r="3" spans="1:6" ht="99.75" customHeight="1">
      <c r="A3" s="1598" t="s">
        <v>4826</v>
      </c>
      <c r="B3" s="1599" t="s">
        <v>4827</v>
      </c>
      <c r="C3" s="1600" t="s">
        <v>4828</v>
      </c>
      <c r="D3" s="1601" t="s">
        <v>4829</v>
      </c>
      <c r="E3" s="1602" t="s">
        <v>4830</v>
      </c>
      <c r="F3" s="1603" t="s">
        <v>4831</v>
      </c>
    </row>
    <row r="4" spans="1:6">
      <c r="A4" s="1604" t="s">
        <v>4832</v>
      </c>
      <c r="B4" s="1605" t="s">
        <v>4833</v>
      </c>
      <c r="C4" s="1606">
        <f>表03!H13</f>
        <v>0</v>
      </c>
      <c r="D4" s="1607"/>
      <c r="E4" s="1608">
        <v>7.4999999999999997E-2</v>
      </c>
      <c r="F4" s="1609">
        <f>ROUND(C4*E4,0)</f>
        <v>0</v>
      </c>
    </row>
    <row r="5" spans="1:6">
      <c r="A5" s="1604" t="s">
        <v>4834</v>
      </c>
      <c r="B5" s="1605" t="s">
        <v>4835</v>
      </c>
      <c r="C5" s="1606">
        <f>表03!H15</f>
        <v>0</v>
      </c>
      <c r="D5" s="1607"/>
      <c r="E5" s="1608">
        <v>0.01</v>
      </c>
      <c r="F5" s="1609">
        <f>ROUND(C5*E5,0)</f>
        <v>0</v>
      </c>
    </row>
    <row r="6" spans="1:6">
      <c r="A6" s="1604" t="s">
        <v>4836</v>
      </c>
      <c r="B6" s="1605" t="s">
        <v>4837</v>
      </c>
      <c r="C6" s="1606">
        <f>表03!H8</f>
        <v>0</v>
      </c>
      <c r="D6" s="1607"/>
      <c r="E6" s="1608">
        <v>3.7499999999999999E-2</v>
      </c>
      <c r="F6" s="1610">
        <f>ROUND(C6*E6,0)</f>
        <v>0</v>
      </c>
    </row>
    <row r="7" spans="1:6">
      <c r="A7" s="1604" t="s">
        <v>4838</v>
      </c>
      <c r="B7" s="1605"/>
      <c r="C7" s="1606">
        <f>SUM(C8:C10)</f>
        <v>0</v>
      </c>
      <c r="D7" s="1607"/>
      <c r="E7" s="1608"/>
      <c r="F7" s="1611">
        <f>SUM(F8:F10)</f>
        <v>0</v>
      </c>
    </row>
    <row r="8" spans="1:6">
      <c r="A8" s="1612" t="s">
        <v>4839</v>
      </c>
      <c r="B8" s="1605" t="s">
        <v>4840</v>
      </c>
      <c r="C8" s="1606">
        <f>表03!H12+表03!H14</f>
        <v>0</v>
      </c>
      <c r="D8" s="1607"/>
      <c r="E8" s="1608">
        <v>0.52500000000000002</v>
      </c>
      <c r="F8" s="1609">
        <f>ROUND(C8*E8,0)</f>
        <v>0</v>
      </c>
    </row>
    <row r="9" spans="1:6">
      <c r="A9" s="1612" t="s">
        <v>4841</v>
      </c>
      <c r="B9" s="1613" t="s">
        <v>4842</v>
      </c>
      <c r="C9" s="1606">
        <f>表03!H65+表03!H67-'表19-4'!AH27</f>
        <v>0</v>
      </c>
      <c r="D9" s="1607"/>
      <c r="E9" s="1608">
        <v>0.375</v>
      </c>
      <c r="F9" s="1609">
        <f>ROUND(C9*E9,0)</f>
        <v>0</v>
      </c>
    </row>
    <row r="10" spans="1:6">
      <c r="A10" s="1612" t="s">
        <v>4843</v>
      </c>
      <c r="B10" s="1605" t="s">
        <v>4844</v>
      </c>
      <c r="C10" s="1606">
        <f>表03!H16+表03!H18</f>
        <v>0</v>
      </c>
      <c r="D10" s="1607"/>
      <c r="E10" s="1608">
        <v>0.45</v>
      </c>
      <c r="F10" s="1609">
        <f>ROUND(C10*E10,0)</f>
        <v>0</v>
      </c>
    </row>
    <row r="11" spans="1:6">
      <c r="A11" s="1614" t="s">
        <v>4845</v>
      </c>
      <c r="B11" s="1615" t="s">
        <v>4846</v>
      </c>
      <c r="C11" s="1606">
        <f>表03!H17+表03!H19</f>
        <v>0</v>
      </c>
      <c r="D11" s="1616"/>
      <c r="E11" s="1608">
        <v>3.7499999999999999E-2</v>
      </c>
      <c r="F11" s="1609">
        <f>ROUND(C11*E11,0)</f>
        <v>0</v>
      </c>
    </row>
    <row r="12" spans="1:6" s="1618" customFormat="1">
      <c r="A12" s="1614" t="s">
        <v>4847</v>
      </c>
      <c r="B12" s="1615" t="s">
        <v>4848</v>
      </c>
      <c r="C12" s="1606">
        <f>'表30-4-1'!C13</f>
        <v>0</v>
      </c>
      <c r="D12" s="1616"/>
      <c r="E12" s="1617"/>
      <c r="F12" s="1609">
        <f>'表30-4-1'!E13</f>
        <v>0</v>
      </c>
    </row>
    <row r="13" spans="1:6" s="1618" customFormat="1">
      <c r="A13" s="2727" t="s">
        <v>6068</v>
      </c>
      <c r="B13" s="3042" t="s">
        <v>6598</v>
      </c>
      <c r="C13" s="1606">
        <f ca="1">'表30-5-2'!B36</f>
        <v>0</v>
      </c>
      <c r="D13" s="1616"/>
      <c r="E13" s="1617"/>
      <c r="F13" s="1609">
        <f ca="1">'表30-5-2'!D36</f>
        <v>0</v>
      </c>
    </row>
    <row r="14" spans="1:6" ht="16.5" thickBot="1">
      <c r="A14" s="1619" t="s">
        <v>4849</v>
      </c>
      <c r="B14" s="1620"/>
      <c r="C14" s="1621">
        <f ca="1">SUM(C4:C6,C8:C13)</f>
        <v>0</v>
      </c>
      <c r="D14" s="1622"/>
      <c r="E14" s="1623"/>
      <c r="F14" s="1624">
        <f ca="1">SUM(F4:F6,F8:F13)</f>
        <v>0</v>
      </c>
    </row>
    <row r="15" spans="1:6">
      <c r="A15" s="1625" t="s">
        <v>4850</v>
      </c>
    </row>
    <row r="16" spans="1:6">
      <c r="A16" s="1626" t="s">
        <v>4851</v>
      </c>
    </row>
    <row r="17" spans="1:1">
      <c r="A17" s="1626" t="s">
        <v>4852</v>
      </c>
    </row>
  </sheetData>
  <phoneticPr fontId="9" type="noConversion"/>
  <pageMargins left="0" right="0" top="0" bottom="0" header="0" footer="0"/>
  <pageSetup paperSize="9" scale="85" orientation="landscape" r:id="rId1"/>
  <headerFooter alignWithMargins="0">
    <oddFooter>&amp;C&amp;P/&amp;N&amp;R&amp;A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0">
    <pageSetUpPr fitToPage="1"/>
  </sheetPr>
  <dimension ref="A1:E31"/>
  <sheetViews>
    <sheetView showGridLines="0" view="pageBreakPreview" zoomScaleNormal="100" zoomScaleSheetLayoutView="100" workbookViewId="0"/>
  </sheetViews>
  <sheetFormatPr defaultRowHeight="15.75"/>
  <cols>
    <col min="1" max="1" width="9" style="1627"/>
    <col min="2" max="2" width="18.5" style="1627" customWidth="1"/>
    <col min="3" max="4" width="18.375" style="1627" customWidth="1"/>
    <col min="5" max="5" width="17.125" style="1627" bestFit="1" customWidth="1"/>
    <col min="6" max="16384" width="9" style="1627"/>
  </cols>
  <sheetData>
    <row r="1" spans="1:5" ht="16.5">
      <c r="A1" s="1472" t="str">
        <f>+封面!A3&amp;" "&amp;封面!A2</f>
        <v xml:space="preserve">        保險股份有限公司(○○分公司) 年度(月、季、半年)報表</v>
      </c>
    </row>
    <row r="2" spans="1:5" ht="16.5" thickBot="1">
      <c r="A2" s="1628" t="s">
        <v>4853</v>
      </c>
      <c r="B2" s="1629"/>
      <c r="C2" s="1630"/>
      <c r="D2" s="1631"/>
      <c r="E2" s="1632" t="s">
        <v>4254</v>
      </c>
    </row>
    <row r="3" spans="1:5" ht="21.75" customHeight="1">
      <c r="A3" s="3626" t="s">
        <v>4854</v>
      </c>
      <c r="B3" s="1633" t="s">
        <v>4855</v>
      </c>
      <c r="C3" s="3629" t="s">
        <v>4856</v>
      </c>
      <c r="D3" s="3631" t="s">
        <v>4857</v>
      </c>
      <c r="E3" s="3633" t="s">
        <v>4858</v>
      </c>
    </row>
    <row r="4" spans="1:5" ht="21.75" customHeight="1">
      <c r="A4" s="3627"/>
      <c r="B4" s="1634" t="s">
        <v>512</v>
      </c>
      <c r="C4" s="3630"/>
      <c r="D4" s="3632"/>
      <c r="E4" s="3634"/>
    </row>
    <row r="5" spans="1:5" ht="16.5" thickBot="1">
      <c r="A5" s="3628"/>
      <c r="B5" s="1635" t="s">
        <v>513</v>
      </c>
      <c r="C5" s="1635" t="s">
        <v>514</v>
      </c>
      <c r="D5" s="1635" t="s">
        <v>515</v>
      </c>
      <c r="E5" s="1636" t="s">
        <v>516</v>
      </c>
    </row>
    <row r="6" spans="1:5">
      <c r="A6" s="1637">
        <v>1</v>
      </c>
      <c r="B6" s="1638" t="s">
        <v>150</v>
      </c>
      <c r="C6" s="1639"/>
      <c r="D6" s="1640">
        <v>2.5499999999999998E-2</v>
      </c>
      <c r="E6" s="1641">
        <f t="shared" ref="E6:E12" si="0">ROUND(C6*D6,0)</f>
        <v>0</v>
      </c>
    </row>
    <row r="7" spans="1:5">
      <c r="A7" s="1642">
        <v>2</v>
      </c>
      <c r="B7" s="1643" t="s">
        <v>517</v>
      </c>
      <c r="C7" s="1644"/>
      <c r="D7" s="1645">
        <v>2.6599999999999999E-2</v>
      </c>
      <c r="E7" s="1646">
        <f t="shared" si="0"/>
        <v>0</v>
      </c>
    </row>
    <row r="8" spans="1:5">
      <c r="A8" s="1642">
        <v>3</v>
      </c>
      <c r="B8" s="1643" t="s">
        <v>518</v>
      </c>
      <c r="C8" s="1644"/>
      <c r="D8" s="1645">
        <v>2.7799999999999998E-2</v>
      </c>
      <c r="E8" s="1646">
        <f t="shared" si="0"/>
        <v>0</v>
      </c>
    </row>
    <row r="9" spans="1:5">
      <c r="A9" s="1642">
        <v>4</v>
      </c>
      <c r="B9" s="1643" t="s">
        <v>519</v>
      </c>
      <c r="C9" s="1644"/>
      <c r="D9" s="1645">
        <v>3.4099999999999998E-2</v>
      </c>
      <c r="E9" s="1646">
        <f t="shared" si="0"/>
        <v>0</v>
      </c>
    </row>
    <row r="10" spans="1:5">
      <c r="A10" s="1642">
        <v>5</v>
      </c>
      <c r="B10" s="1643" t="s">
        <v>520</v>
      </c>
      <c r="C10" s="1644"/>
      <c r="D10" s="1647">
        <v>6.7100000000000007E-2</v>
      </c>
      <c r="E10" s="1646">
        <f t="shared" si="0"/>
        <v>0</v>
      </c>
    </row>
    <row r="11" spans="1:5">
      <c r="A11" s="1642">
        <v>6</v>
      </c>
      <c r="B11" s="1643" t="s">
        <v>521</v>
      </c>
      <c r="C11" s="1644"/>
      <c r="D11" s="1647">
        <v>0.14219999999999999</v>
      </c>
      <c r="E11" s="1646">
        <f t="shared" si="0"/>
        <v>0</v>
      </c>
    </row>
    <row r="12" spans="1:5">
      <c r="A12" s="1642">
        <v>7</v>
      </c>
      <c r="B12" s="1643" t="s">
        <v>522</v>
      </c>
      <c r="C12" s="1644"/>
      <c r="D12" s="1647">
        <v>0.32369999999999999</v>
      </c>
      <c r="E12" s="1646">
        <f t="shared" si="0"/>
        <v>0</v>
      </c>
    </row>
    <row r="13" spans="1:5" ht="16.5" thickBot="1">
      <c r="A13" s="1648">
        <v>8</v>
      </c>
      <c r="B13" s="1649" t="s">
        <v>4859</v>
      </c>
      <c r="C13" s="1650">
        <f>SUM(C6:C12)</f>
        <v>0</v>
      </c>
      <c r="D13" s="1651"/>
      <c r="E13" s="1652">
        <f>SUM(E6:E12)</f>
        <v>0</v>
      </c>
    </row>
    <row r="16" spans="1:5">
      <c r="A16" s="1653" t="s">
        <v>4860</v>
      </c>
      <c r="B16" s="1653"/>
    </row>
    <row r="17" spans="1:3">
      <c r="A17" s="1654">
        <v>1</v>
      </c>
      <c r="B17" s="1655" t="s">
        <v>4861</v>
      </c>
    </row>
    <row r="18" spans="1:3">
      <c r="A18" s="1654"/>
      <c r="B18" s="1656" t="s">
        <v>3484</v>
      </c>
    </row>
    <row r="19" spans="1:3">
      <c r="A19" s="1654">
        <v>2</v>
      </c>
      <c r="B19" s="1653" t="s">
        <v>4862</v>
      </c>
    </row>
    <row r="20" spans="1:3">
      <c r="A20" s="1654"/>
      <c r="B20" s="1653" t="s">
        <v>4863</v>
      </c>
    </row>
    <row r="21" spans="1:3">
      <c r="A21" s="1654">
        <v>3</v>
      </c>
      <c r="B21" s="1653" t="s">
        <v>4864</v>
      </c>
    </row>
    <row r="22" spans="1:3">
      <c r="B22" s="1653" t="s">
        <v>4865</v>
      </c>
    </row>
    <row r="23" spans="1:3">
      <c r="A23" s="1654">
        <v>4</v>
      </c>
      <c r="B23" s="1653" t="s">
        <v>4866</v>
      </c>
    </row>
    <row r="25" spans="1:3">
      <c r="B25" s="1657" t="s">
        <v>4867</v>
      </c>
      <c r="C25" s="1657" t="s">
        <v>4868</v>
      </c>
    </row>
    <row r="26" spans="1:3">
      <c r="B26" s="1658" t="s">
        <v>4869</v>
      </c>
      <c r="C26" s="1659">
        <f>D9</f>
        <v>3.4099999999999998E-2</v>
      </c>
    </row>
    <row r="27" spans="1:3" ht="28.5">
      <c r="B27" s="1658" t="s">
        <v>4870</v>
      </c>
      <c r="C27" s="1660">
        <f>D10</f>
        <v>6.7100000000000007E-2</v>
      </c>
    </row>
    <row r="28" spans="1:3">
      <c r="B28" s="1658" t="s">
        <v>4871</v>
      </c>
      <c r="C28" s="1660">
        <f>D11</f>
        <v>0.14219999999999999</v>
      </c>
    </row>
    <row r="29" spans="1:3">
      <c r="B29" s="1658" t="s">
        <v>4872</v>
      </c>
      <c r="C29" s="1660">
        <f>D12</f>
        <v>0.32369999999999999</v>
      </c>
    </row>
    <row r="31" spans="1:3">
      <c r="A31" s="1654">
        <v>5</v>
      </c>
      <c r="B31" s="1655" t="s">
        <v>4873</v>
      </c>
    </row>
  </sheetData>
  <mergeCells count="4">
    <mergeCell ref="A3:A5"/>
    <mergeCell ref="C3:C4"/>
    <mergeCell ref="D3:D4"/>
    <mergeCell ref="E3:E4"/>
  </mergeCells>
  <phoneticPr fontId="9" type="noConversion"/>
  <pageMargins left="0.25" right="0.25" top="0.75" bottom="0.75" header="0.3" footer="0.3"/>
  <pageSetup paperSize="9" scale="87" fitToHeight="0"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1">
    <tabColor rgb="FFFF0000"/>
    <pageSetUpPr fitToPage="1"/>
  </sheetPr>
  <dimension ref="A1:AB75"/>
  <sheetViews>
    <sheetView showGridLines="0" zoomScaleNormal="100" zoomScaleSheetLayoutView="130" workbookViewId="0"/>
  </sheetViews>
  <sheetFormatPr defaultColWidth="8.875" defaultRowHeight="13.5"/>
  <cols>
    <col min="1" max="1" width="36.875" style="923" customWidth="1"/>
    <col min="2" max="2" width="58.75" style="923" customWidth="1"/>
    <col min="3" max="3" width="11.375" style="1164" customWidth="1"/>
    <col min="4" max="4" width="14.75" style="1164" customWidth="1"/>
    <col min="5" max="5" width="11.5" style="1165" customWidth="1"/>
    <col min="6" max="6" width="11.375" style="1164" customWidth="1"/>
    <col min="7" max="7" width="8.875" style="923" customWidth="1"/>
    <col min="8" max="11" width="8.875" style="922" customWidth="1"/>
    <col min="12" max="13" width="8.875" style="923" customWidth="1"/>
    <col min="14" max="19" width="8.875" style="922" customWidth="1"/>
    <col min="20" max="16384" width="8.875" style="923"/>
  </cols>
  <sheetData>
    <row r="1" spans="1:19" s="1119" customFormat="1" ht="16.5">
      <c r="A1" s="919" t="str">
        <f>+封面!A3&amp;" "&amp;封面!A2</f>
        <v xml:space="preserve">        保險股份有限公司(○○分公司) 年度(月、季、半年)報表</v>
      </c>
      <c r="B1" s="921"/>
      <c r="C1" s="920"/>
      <c r="D1" s="920"/>
      <c r="E1" s="920"/>
      <c r="F1" s="920"/>
    </row>
    <row r="2" spans="1:19" s="1119" customFormat="1" ht="15" thickBot="1">
      <c r="A2" s="2999" t="s">
        <v>3365</v>
      </c>
      <c r="B2" s="921"/>
      <c r="C2" s="920"/>
      <c r="D2" s="920"/>
      <c r="E2" s="920"/>
      <c r="F2" s="1111" t="s">
        <v>3350</v>
      </c>
    </row>
    <row r="3" spans="1:19" ht="41.25" customHeight="1">
      <c r="A3" s="1112" t="s">
        <v>3359</v>
      </c>
      <c r="B3" s="1113" t="s">
        <v>3360</v>
      </c>
      <c r="C3" s="1120" t="s">
        <v>3361</v>
      </c>
      <c r="D3" s="1121" t="s">
        <v>3366</v>
      </c>
      <c r="E3" s="1114" t="s">
        <v>3362</v>
      </c>
      <c r="F3" s="1115" t="s">
        <v>3363</v>
      </c>
      <c r="H3" s="923"/>
      <c r="I3" s="923"/>
      <c r="J3" s="923"/>
      <c r="K3" s="923"/>
      <c r="N3" s="923"/>
      <c r="O3" s="923"/>
      <c r="P3" s="923"/>
      <c r="Q3" s="923"/>
      <c r="R3" s="923"/>
      <c r="S3" s="923"/>
    </row>
    <row r="4" spans="1:19" ht="17.649999999999999" customHeight="1">
      <c r="A4" s="1122" t="s">
        <v>3367</v>
      </c>
      <c r="B4" s="1123"/>
      <c r="C4" s="1124">
        <f>C5</f>
        <v>0</v>
      </c>
      <c r="D4" s="1125"/>
      <c r="E4" s="1126"/>
      <c r="F4" s="1127">
        <f>F5</f>
        <v>0</v>
      </c>
      <c r="H4" s="923"/>
      <c r="I4" s="923"/>
      <c r="J4" s="923"/>
      <c r="K4" s="923"/>
      <c r="N4" s="923"/>
      <c r="O4" s="923"/>
      <c r="P4" s="923"/>
      <c r="Q4" s="923"/>
      <c r="R4" s="923"/>
      <c r="S4" s="923"/>
    </row>
    <row r="5" spans="1:19" ht="14.45" customHeight="1">
      <c r="A5" s="1128" t="s">
        <v>3368</v>
      </c>
      <c r="B5" s="1129"/>
      <c r="C5" s="1130">
        <f>SUM(C6:C33)</f>
        <v>0</v>
      </c>
      <c r="D5" s="1131"/>
      <c r="E5" s="1132"/>
      <c r="F5" s="1133">
        <f>SUM(F6:F33)</f>
        <v>0</v>
      </c>
      <c r="H5" s="923"/>
      <c r="I5" s="923"/>
      <c r="J5" s="923"/>
      <c r="K5" s="923"/>
      <c r="N5" s="923"/>
      <c r="O5" s="923"/>
      <c r="P5" s="923"/>
      <c r="Q5" s="923"/>
      <c r="R5" s="923"/>
      <c r="S5" s="923"/>
    </row>
    <row r="6" spans="1:19" ht="14.45" customHeight="1">
      <c r="A6" s="1134" t="s">
        <v>3369</v>
      </c>
      <c r="B6" s="1116" t="s">
        <v>3370</v>
      </c>
      <c r="C6" s="1135">
        <f>'表26-1'!S6</f>
        <v>0</v>
      </c>
      <c r="D6" s="1136"/>
      <c r="E6" s="1137">
        <v>0.87480000000000002</v>
      </c>
      <c r="F6" s="1138">
        <f t="shared" ref="F6:F34" si="0">ROUND(C6*E6,0)</f>
        <v>0</v>
      </c>
      <c r="H6" s="923"/>
      <c r="I6" s="923"/>
      <c r="J6" s="923"/>
      <c r="K6" s="923"/>
      <c r="N6" s="923"/>
      <c r="O6" s="923"/>
      <c r="P6" s="923"/>
      <c r="Q6" s="923"/>
      <c r="R6" s="923"/>
      <c r="S6" s="923"/>
    </row>
    <row r="7" spans="1:19" ht="14.45" customHeight="1">
      <c r="A7" s="1134" t="s">
        <v>3371</v>
      </c>
      <c r="B7" s="1116" t="s">
        <v>3372</v>
      </c>
      <c r="C7" s="1135">
        <f>'表26-1'!S7</f>
        <v>0</v>
      </c>
      <c r="D7" s="1136"/>
      <c r="E7" s="1137">
        <v>0.87480000000000002</v>
      </c>
      <c r="F7" s="1138">
        <f t="shared" si="0"/>
        <v>0</v>
      </c>
      <c r="H7" s="923"/>
      <c r="I7" s="923"/>
      <c r="J7" s="923"/>
      <c r="K7" s="923"/>
      <c r="N7" s="923"/>
      <c r="O7" s="923"/>
      <c r="P7" s="923"/>
      <c r="Q7" s="923"/>
      <c r="R7" s="923"/>
      <c r="S7" s="923"/>
    </row>
    <row r="8" spans="1:19" ht="14.45" customHeight="1">
      <c r="A8" s="2994" t="s">
        <v>6359</v>
      </c>
      <c r="B8" s="1116" t="s">
        <v>3373</v>
      </c>
      <c r="C8" s="1135">
        <f>'表26-1'!S8</f>
        <v>0</v>
      </c>
      <c r="D8" s="1136"/>
      <c r="E8" s="2995">
        <v>0.34239999999999998</v>
      </c>
      <c r="F8" s="1138">
        <f t="shared" si="0"/>
        <v>0</v>
      </c>
      <c r="H8" s="923"/>
      <c r="I8" s="923"/>
      <c r="J8" s="923"/>
      <c r="K8" s="923"/>
      <c r="N8" s="923"/>
      <c r="O8" s="923"/>
      <c r="P8" s="923"/>
      <c r="Q8" s="923"/>
      <c r="R8" s="923"/>
      <c r="S8" s="923"/>
    </row>
    <row r="9" spans="1:19" ht="14.45" customHeight="1">
      <c r="A9" s="2994" t="s">
        <v>6360</v>
      </c>
      <c r="B9" s="1116" t="s">
        <v>3374</v>
      </c>
      <c r="C9" s="1135">
        <f>'表26-1'!S9</f>
        <v>0</v>
      </c>
      <c r="D9" s="1136"/>
      <c r="E9" s="2995">
        <v>0.34239999999999998</v>
      </c>
      <c r="F9" s="1138">
        <f t="shared" si="0"/>
        <v>0</v>
      </c>
      <c r="H9" s="923"/>
      <c r="I9" s="923"/>
      <c r="J9" s="923"/>
      <c r="K9" s="923"/>
      <c r="N9" s="923"/>
      <c r="O9" s="923"/>
      <c r="P9" s="923"/>
      <c r="Q9" s="923"/>
      <c r="R9" s="923"/>
      <c r="S9" s="923"/>
    </row>
    <row r="10" spans="1:19" ht="14.45" customHeight="1">
      <c r="A10" s="1134" t="s">
        <v>3375</v>
      </c>
      <c r="B10" s="1116" t="s">
        <v>3376</v>
      </c>
      <c r="C10" s="1135">
        <f>'表26-1'!S10</f>
        <v>0</v>
      </c>
      <c r="D10" s="1136"/>
      <c r="E10" s="1137">
        <v>0.19289999999999999</v>
      </c>
      <c r="F10" s="1138">
        <f t="shared" si="0"/>
        <v>0</v>
      </c>
      <c r="H10" s="923"/>
      <c r="I10" s="923"/>
      <c r="J10" s="923"/>
      <c r="K10" s="923"/>
      <c r="N10" s="923"/>
      <c r="O10" s="923"/>
      <c r="P10" s="923"/>
      <c r="Q10" s="923"/>
      <c r="R10" s="923"/>
      <c r="S10" s="923"/>
    </row>
    <row r="11" spans="1:19" ht="14.45" customHeight="1">
      <c r="A11" s="1134" t="s">
        <v>3377</v>
      </c>
      <c r="B11" s="1116" t="s">
        <v>3378</v>
      </c>
      <c r="C11" s="1135">
        <f>'表26-1'!S11</f>
        <v>0</v>
      </c>
      <c r="D11" s="1136"/>
      <c r="E11" s="1137">
        <v>0.19289999999999999</v>
      </c>
      <c r="F11" s="1138">
        <f t="shared" si="0"/>
        <v>0</v>
      </c>
      <c r="H11" s="923"/>
      <c r="I11" s="923"/>
      <c r="J11" s="923"/>
      <c r="K11" s="923"/>
      <c r="N11" s="923"/>
      <c r="O11" s="923"/>
      <c r="P11" s="923"/>
      <c r="Q11" s="923"/>
      <c r="R11" s="923"/>
      <c r="S11" s="923"/>
    </row>
    <row r="12" spans="1:19" ht="14.45" customHeight="1">
      <c r="A12" s="1134" t="s">
        <v>3379</v>
      </c>
      <c r="B12" s="1116" t="s">
        <v>3380</v>
      </c>
      <c r="C12" s="1135">
        <f>'表26-1'!S12</f>
        <v>0</v>
      </c>
      <c r="D12" s="1136"/>
      <c r="E12" s="1137">
        <v>0.65959999999999996</v>
      </c>
      <c r="F12" s="1138">
        <f t="shared" si="0"/>
        <v>0</v>
      </c>
      <c r="H12" s="923"/>
      <c r="I12" s="923"/>
      <c r="J12" s="923"/>
      <c r="K12" s="923"/>
      <c r="N12" s="923"/>
      <c r="O12" s="923"/>
      <c r="P12" s="923"/>
      <c r="Q12" s="923"/>
      <c r="R12" s="923"/>
      <c r="S12" s="923"/>
    </row>
    <row r="13" spans="1:19" ht="14.45" customHeight="1">
      <c r="A13" s="1134" t="s">
        <v>3381</v>
      </c>
      <c r="B13" s="1116" t="s">
        <v>3382</v>
      </c>
      <c r="C13" s="1135">
        <f>'表26-1'!S13</f>
        <v>0</v>
      </c>
      <c r="D13" s="1136"/>
      <c r="E13" s="1137">
        <v>0.4365</v>
      </c>
      <c r="F13" s="1138">
        <f t="shared" si="0"/>
        <v>0</v>
      </c>
      <c r="H13" s="923"/>
      <c r="I13" s="923"/>
      <c r="J13" s="923"/>
      <c r="K13" s="923"/>
      <c r="N13" s="923"/>
      <c r="O13" s="923"/>
      <c r="P13" s="923"/>
      <c r="Q13" s="923"/>
      <c r="R13" s="923"/>
      <c r="S13" s="923"/>
    </row>
    <row r="14" spans="1:19" ht="14.45" customHeight="1">
      <c r="A14" s="1134" t="s">
        <v>3383</v>
      </c>
      <c r="B14" s="1116" t="s">
        <v>3384</v>
      </c>
      <c r="C14" s="1135">
        <f>'表26-1'!S14</f>
        <v>0</v>
      </c>
      <c r="D14" s="1136"/>
      <c r="E14" s="1137">
        <v>3.1827999999999999</v>
      </c>
      <c r="F14" s="1138">
        <f t="shared" si="0"/>
        <v>0</v>
      </c>
      <c r="H14" s="923"/>
      <c r="I14" s="923"/>
      <c r="J14" s="923"/>
      <c r="K14" s="923"/>
      <c r="N14" s="923"/>
      <c r="O14" s="923"/>
      <c r="P14" s="923"/>
      <c r="Q14" s="923"/>
      <c r="R14" s="923"/>
      <c r="S14" s="923"/>
    </row>
    <row r="15" spans="1:19" ht="14.45" customHeight="1">
      <c r="A15" s="2994" t="s">
        <v>6361</v>
      </c>
      <c r="B15" s="1116" t="s">
        <v>3385</v>
      </c>
      <c r="C15" s="1135">
        <f>'表26-1'!S15</f>
        <v>0</v>
      </c>
      <c r="D15" s="1136"/>
      <c r="E15" s="2995">
        <v>0.19020000000000001</v>
      </c>
      <c r="F15" s="1138">
        <f t="shared" si="0"/>
        <v>0</v>
      </c>
      <c r="H15" s="923"/>
      <c r="I15" s="923"/>
      <c r="J15" s="923"/>
      <c r="K15" s="923"/>
      <c r="N15" s="923"/>
      <c r="O15" s="923"/>
      <c r="P15" s="923"/>
      <c r="Q15" s="923"/>
      <c r="R15" s="923"/>
      <c r="S15" s="923"/>
    </row>
    <row r="16" spans="1:19" ht="14.45" customHeight="1">
      <c r="A16" s="2994" t="s">
        <v>6362</v>
      </c>
      <c r="B16" s="1116" t="s">
        <v>3386</v>
      </c>
      <c r="C16" s="1135">
        <f>'表26-1'!S16</f>
        <v>0</v>
      </c>
      <c r="D16" s="1136"/>
      <c r="E16" s="2995">
        <v>0.19020000000000001</v>
      </c>
      <c r="F16" s="1138">
        <f t="shared" si="0"/>
        <v>0</v>
      </c>
      <c r="H16" s="923"/>
      <c r="I16" s="923"/>
      <c r="J16" s="923"/>
      <c r="K16" s="923"/>
      <c r="N16" s="923"/>
      <c r="O16" s="923"/>
      <c r="P16" s="923"/>
      <c r="Q16" s="923"/>
      <c r="R16" s="923"/>
      <c r="S16" s="923"/>
    </row>
    <row r="17" spans="1:28" ht="14.45" customHeight="1">
      <c r="A17" s="2994" t="s">
        <v>6363</v>
      </c>
      <c r="B17" s="1116" t="s">
        <v>3387</v>
      </c>
      <c r="C17" s="1135">
        <f>'表26-1'!S17</f>
        <v>0</v>
      </c>
      <c r="D17" s="1136"/>
      <c r="E17" s="2995">
        <v>0.19020000000000001</v>
      </c>
      <c r="F17" s="1138">
        <f t="shared" si="0"/>
        <v>0</v>
      </c>
      <c r="H17" s="923"/>
      <c r="I17" s="923"/>
      <c r="J17" s="923"/>
      <c r="K17" s="923"/>
      <c r="N17" s="923"/>
      <c r="O17" s="923"/>
      <c r="P17" s="923"/>
      <c r="Q17" s="923"/>
      <c r="R17" s="923"/>
      <c r="S17" s="923"/>
    </row>
    <row r="18" spans="1:28" ht="14.45" customHeight="1">
      <c r="A18" s="2994" t="s">
        <v>6364</v>
      </c>
      <c r="B18" s="1116" t="s">
        <v>3388</v>
      </c>
      <c r="C18" s="1135">
        <f>'表26-1'!S18</f>
        <v>0</v>
      </c>
      <c r="D18" s="1136"/>
      <c r="E18" s="2995">
        <v>0.19020000000000001</v>
      </c>
      <c r="F18" s="1138">
        <f t="shared" si="0"/>
        <v>0</v>
      </c>
      <c r="H18" s="923"/>
      <c r="I18" s="923"/>
      <c r="J18" s="923"/>
      <c r="K18" s="923"/>
      <c r="N18" s="923"/>
      <c r="O18" s="923"/>
      <c r="P18" s="923"/>
      <c r="Q18" s="923"/>
      <c r="R18" s="923"/>
      <c r="S18" s="923"/>
    </row>
    <row r="19" spans="1:28" ht="14.45" customHeight="1">
      <c r="A19" s="1134" t="s">
        <v>3389</v>
      </c>
      <c r="B19" s="1116" t="s">
        <v>3390</v>
      </c>
      <c r="C19" s="1135">
        <f>'表26-1'!S22</f>
        <v>0</v>
      </c>
      <c r="D19" s="1136"/>
      <c r="E19" s="1137">
        <v>0.32</v>
      </c>
      <c r="F19" s="1138">
        <f t="shared" si="0"/>
        <v>0</v>
      </c>
      <c r="H19" s="923"/>
      <c r="I19" s="923"/>
      <c r="J19" s="923"/>
      <c r="K19" s="923"/>
      <c r="N19" s="923"/>
      <c r="O19" s="923"/>
      <c r="P19" s="923"/>
      <c r="Q19" s="923"/>
      <c r="R19" s="923"/>
      <c r="S19" s="923"/>
    </row>
    <row r="20" spans="1:28" ht="14.45" customHeight="1">
      <c r="A20" s="1134" t="s">
        <v>3391</v>
      </c>
      <c r="B20" s="1116" t="s">
        <v>3392</v>
      </c>
      <c r="C20" s="1135">
        <f>'表26-1'!S23</f>
        <v>0</v>
      </c>
      <c r="D20" s="1136"/>
      <c r="E20" s="1137">
        <v>0.32</v>
      </c>
      <c r="F20" s="1138">
        <f t="shared" si="0"/>
        <v>0</v>
      </c>
      <c r="H20" s="923"/>
      <c r="I20" s="923"/>
      <c r="J20" s="923"/>
      <c r="K20" s="923"/>
      <c r="N20" s="923"/>
      <c r="O20" s="923"/>
      <c r="P20" s="923"/>
      <c r="Q20" s="923"/>
      <c r="R20" s="923"/>
      <c r="S20" s="923"/>
    </row>
    <row r="21" spans="1:28" ht="14.45" customHeight="1">
      <c r="A21" s="1134" t="s">
        <v>3393</v>
      </c>
      <c r="B21" s="1116" t="s">
        <v>3394</v>
      </c>
      <c r="C21" s="1135">
        <f>'表26-1'!S24</f>
        <v>0</v>
      </c>
      <c r="D21" s="1136"/>
      <c r="E21" s="1137">
        <v>1.3254999999999999</v>
      </c>
      <c r="F21" s="1138">
        <f t="shared" si="0"/>
        <v>0</v>
      </c>
      <c r="H21" s="923"/>
      <c r="I21" s="923"/>
      <c r="J21" s="923"/>
      <c r="K21" s="923"/>
      <c r="N21" s="923"/>
      <c r="O21" s="923"/>
      <c r="P21" s="923"/>
      <c r="Q21" s="923"/>
      <c r="R21" s="923"/>
      <c r="S21" s="923"/>
    </row>
    <row r="22" spans="1:28" ht="14.45" customHeight="1">
      <c r="A22" s="1134" t="s">
        <v>3395</v>
      </c>
      <c r="B22" s="1116" t="s">
        <v>3396</v>
      </c>
      <c r="C22" s="1135">
        <f>'表26-1'!S25</f>
        <v>0</v>
      </c>
      <c r="D22" s="1136"/>
      <c r="E22" s="1137">
        <v>10.593999999999999</v>
      </c>
      <c r="F22" s="1138">
        <f t="shared" si="0"/>
        <v>0</v>
      </c>
      <c r="H22" s="923"/>
      <c r="I22" s="923"/>
      <c r="J22" s="923"/>
      <c r="K22" s="923"/>
      <c r="N22" s="923"/>
      <c r="O22" s="923"/>
      <c r="P22" s="923"/>
      <c r="Q22" s="923"/>
      <c r="R22" s="923"/>
      <c r="S22" s="923"/>
    </row>
    <row r="23" spans="1:28" ht="14.45" customHeight="1">
      <c r="A23" s="1134" t="s">
        <v>3397</v>
      </c>
      <c r="B23" s="1116" t="s">
        <v>3398</v>
      </c>
      <c r="C23" s="1135">
        <f>'表26-1'!S26</f>
        <v>0</v>
      </c>
      <c r="D23" s="1136"/>
      <c r="E23" s="1137">
        <v>0.75090000000000001</v>
      </c>
      <c r="F23" s="1138">
        <f t="shared" si="0"/>
        <v>0</v>
      </c>
      <c r="H23" s="923"/>
      <c r="I23" s="923"/>
      <c r="J23" s="923"/>
      <c r="K23" s="923"/>
      <c r="N23" s="923"/>
      <c r="O23" s="923"/>
      <c r="P23" s="923"/>
      <c r="Q23" s="923"/>
      <c r="R23" s="923"/>
      <c r="S23" s="923"/>
    </row>
    <row r="24" spans="1:28" ht="14.45" customHeight="1">
      <c r="A24" s="1134" t="s">
        <v>3399</v>
      </c>
      <c r="B24" s="1116" t="s">
        <v>3400</v>
      </c>
      <c r="C24" s="1135">
        <f>'表26-1'!S27</f>
        <v>0</v>
      </c>
      <c r="D24" s="1136"/>
      <c r="E24" s="1137">
        <v>0.75090000000000001</v>
      </c>
      <c r="F24" s="1138">
        <f t="shared" si="0"/>
        <v>0</v>
      </c>
      <c r="H24" s="923"/>
      <c r="I24" s="923"/>
      <c r="J24" s="923"/>
      <c r="K24" s="923"/>
      <c r="N24" s="923"/>
      <c r="O24" s="923"/>
      <c r="P24" s="923"/>
      <c r="Q24" s="923"/>
      <c r="R24" s="923"/>
      <c r="S24" s="923"/>
    </row>
    <row r="25" spans="1:28" ht="14.45" customHeight="1">
      <c r="A25" s="1134" t="s">
        <v>3401</v>
      </c>
      <c r="B25" s="1116" t="s">
        <v>3402</v>
      </c>
      <c r="C25" s="1135">
        <f>'表26-1'!S28</f>
        <v>0</v>
      </c>
      <c r="D25" s="1136"/>
      <c r="E25" s="1137">
        <v>0.4325</v>
      </c>
      <c r="F25" s="1138">
        <f t="shared" si="0"/>
        <v>0</v>
      </c>
      <c r="H25" s="923"/>
      <c r="I25" s="923"/>
      <c r="J25" s="923"/>
      <c r="K25" s="923"/>
      <c r="N25" s="923"/>
      <c r="O25" s="923"/>
      <c r="P25" s="923"/>
      <c r="Q25" s="923"/>
      <c r="R25" s="923"/>
      <c r="S25" s="923"/>
    </row>
    <row r="26" spans="1:28" ht="14.45" customHeight="1">
      <c r="A26" s="1134" t="s">
        <v>3403</v>
      </c>
      <c r="B26" s="1116" t="s">
        <v>3404</v>
      </c>
      <c r="C26" s="1135">
        <f>'表21-7'!O7</f>
        <v>0</v>
      </c>
      <c r="D26" s="1136"/>
      <c r="E26" s="1137">
        <v>8.8800000000000004E-2</v>
      </c>
      <c r="F26" s="1138">
        <f t="shared" si="0"/>
        <v>0</v>
      </c>
      <c r="H26" s="923"/>
      <c r="I26" s="923"/>
      <c r="J26" s="923"/>
      <c r="K26" s="923"/>
      <c r="N26" s="923"/>
      <c r="O26" s="923"/>
      <c r="P26" s="923"/>
      <c r="Q26" s="923"/>
      <c r="R26" s="923"/>
      <c r="S26" s="923"/>
      <c r="AB26" s="1139"/>
    </row>
    <row r="27" spans="1:28" ht="14.45" customHeight="1">
      <c r="A27" s="1134" t="s">
        <v>3405</v>
      </c>
      <c r="B27" s="1116" t="s">
        <v>3406</v>
      </c>
      <c r="C27" s="1135">
        <f>'表26-1'!S30</f>
        <v>0</v>
      </c>
      <c r="D27" s="1136"/>
      <c r="E27" s="1137">
        <v>0.32</v>
      </c>
      <c r="F27" s="1138">
        <f t="shared" si="0"/>
        <v>0</v>
      </c>
      <c r="H27" s="923"/>
      <c r="I27" s="923"/>
      <c r="J27" s="923"/>
      <c r="K27" s="923"/>
      <c r="N27" s="923"/>
      <c r="O27" s="923"/>
      <c r="P27" s="923"/>
      <c r="Q27" s="923"/>
      <c r="R27" s="923"/>
      <c r="S27" s="923"/>
    </row>
    <row r="28" spans="1:28" ht="14.45" customHeight="1">
      <c r="A28" s="1134" t="s">
        <v>3407</v>
      </c>
      <c r="B28" s="1116" t="s">
        <v>3408</v>
      </c>
      <c r="C28" s="1135">
        <f>'表26-1'!S31</f>
        <v>0</v>
      </c>
      <c r="D28" s="1136"/>
      <c r="E28" s="1137">
        <v>0.47339999999999999</v>
      </c>
      <c r="F28" s="1138">
        <f t="shared" si="0"/>
        <v>0</v>
      </c>
      <c r="H28" s="923"/>
      <c r="I28" s="923"/>
      <c r="J28" s="923"/>
      <c r="K28" s="923"/>
      <c r="N28" s="923"/>
      <c r="O28" s="923"/>
      <c r="P28" s="923"/>
      <c r="Q28" s="923"/>
      <c r="R28" s="923"/>
      <c r="S28" s="923"/>
    </row>
    <row r="29" spans="1:28" ht="14.45" customHeight="1">
      <c r="A29" s="1134" t="s">
        <v>3409</v>
      </c>
      <c r="B29" s="1116" t="s">
        <v>3410</v>
      </c>
      <c r="C29" s="1135">
        <f>'表26-1'!S32</f>
        <v>0</v>
      </c>
      <c r="D29" s="1136"/>
      <c r="E29" s="1137">
        <v>0.47339999999999999</v>
      </c>
      <c r="F29" s="1138">
        <f t="shared" si="0"/>
        <v>0</v>
      </c>
      <c r="H29" s="923"/>
      <c r="I29" s="923"/>
      <c r="J29" s="923"/>
      <c r="K29" s="923"/>
      <c r="N29" s="923"/>
      <c r="O29" s="923"/>
      <c r="P29" s="923"/>
      <c r="Q29" s="923"/>
      <c r="R29" s="923"/>
      <c r="S29" s="923"/>
    </row>
    <row r="30" spans="1:28" ht="14.45" customHeight="1">
      <c r="A30" s="1134" t="s">
        <v>3411</v>
      </c>
      <c r="B30" s="1116" t="s">
        <v>3412</v>
      </c>
      <c r="C30" s="1135">
        <f>'表26-1'!S33</f>
        <v>0</v>
      </c>
      <c r="D30" s="1136"/>
      <c r="E30" s="1137">
        <v>0.87480000000000002</v>
      </c>
      <c r="F30" s="1138">
        <f t="shared" si="0"/>
        <v>0</v>
      </c>
      <c r="H30" s="923"/>
      <c r="I30" s="923"/>
      <c r="J30" s="923"/>
      <c r="K30" s="923"/>
      <c r="N30" s="923"/>
      <c r="O30" s="923"/>
      <c r="P30" s="923"/>
      <c r="Q30" s="923"/>
      <c r="R30" s="923"/>
      <c r="S30" s="923"/>
    </row>
    <row r="31" spans="1:28" ht="14.45" customHeight="1">
      <c r="A31" s="1134" t="s">
        <v>3413</v>
      </c>
      <c r="B31" s="1116" t="s">
        <v>3414</v>
      </c>
      <c r="C31" s="1135">
        <f>'表26-1'!S34</f>
        <v>0</v>
      </c>
      <c r="D31" s="1136"/>
      <c r="E31" s="1137">
        <v>0.87480000000000002</v>
      </c>
      <c r="F31" s="1138">
        <f t="shared" si="0"/>
        <v>0</v>
      </c>
      <c r="H31" s="923"/>
      <c r="I31" s="923"/>
      <c r="J31" s="923"/>
      <c r="K31" s="923"/>
      <c r="N31" s="923"/>
      <c r="O31" s="923"/>
      <c r="P31" s="923"/>
      <c r="Q31" s="923"/>
      <c r="R31" s="923"/>
      <c r="S31" s="923"/>
    </row>
    <row r="32" spans="1:28" ht="14.45" customHeight="1">
      <c r="A32" s="1134" t="s">
        <v>3415</v>
      </c>
      <c r="B32" s="1116" t="s">
        <v>3416</v>
      </c>
      <c r="C32" s="1135">
        <f>'表26-1'!S35</f>
        <v>0</v>
      </c>
      <c r="D32" s="1136"/>
      <c r="E32" s="1137">
        <v>3.7499999999999999E-2</v>
      </c>
      <c r="F32" s="1138">
        <f>ROUND(C32*E32,0)</f>
        <v>0</v>
      </c>
      <c r="H32" s="923"/>
      <c r="I32" s="923"/>
      <c r="J32" s="923"/>
      <c r="K32" s="923"/>
      <c r="N32" s="923"/>
      <c r="O32" s="923"/>
      <c r="P32" s="923"/>
      <c r="Q32" s="923"/>
      <c r="R32" s="923"/>
      <c r="S32" s="923"/>
    </row>
    <row r="33" spans="1:19" ht="14.45" customHeight="1">
      <c r="A33" s="1134" t="s">
        <v>3417</v>
      </c>
      <c r="B33" s="1116" t="s">
        <v>3418</v>
      </c>
      <c r="C33" s="1135">
        <f>'表26-1'!S38</f>
        <v>0</v>
      </c>
      <c r="D33" s="1136"/>
      <c r="E33" s="1137">
        <v>0.59179999999999999</v>
      </c>
      <c r="F33" s="1138">
        <f>ROUND(C33*E33,0)</f>
        <v>0</v>
      </c>
      <c r="H33" s="923"/>
      <c r="I33" s="923"/>
      <c r="J33" s="923"/>
      <c r="K33" s="923"/>
      <c r="N33" s="923"/>
      <c r="O33" s="923"/>
      <c r="P33" s="923"/>
      <c r="Q33" s="923"/>
      <c r="R33" s="923"/>
      <c r="S33" s="923"/>
    </row>
    <row r="34" spans="1:19" ht="14.45" customHeight="1">
      <c r="A34" s="1117" t="s">
        <v>3419</v>
      </c>
      <c r="B34" s="1116"/>
      <c r="C34" s="1140">
        <f>SUM(F6:F33)</f>
        <v>0</v>
      </c>
      <c r="D34" s="1141"/>
      <c r="E34" s="1137">
        <v>1</v>
      </c>
      <c r="F34" s="1142">
        <f t="shared" si="0"/>
        <v>0</v>
      </c>
      <c r="H34" s="923"/>
      <c r="I34" s="923"/>
      <c r="J34" s="923"/>
      <c r="K34" s="923"/>
      <c r="N34" s="923"/>
      <c r="O34" s="923"/>
      <c r="P34" s="923"/>
      <c r="Q34" s="923"/>
      <c r="R34" s="923"/>
      <c r="S34" s="923"/>
    </row>
    <row r="35" spans="1:19" ht="14.45" customHeight="1">
      <c r="A35" s="1117" t="s">
        <v>3420</v>
      </c>
      <c r="B35" s="1116"/>
      <c r="C35" s="1140">
        <f>F34</f>
        <v>0</v>
      </c>
      <c r="D35" s="1141"/>
      <c r="E35" s="1143">
        <f>'表30-11'!E38</f>
        <v>1</v>
      </c>
      <c r="F35" s="1142">
        <f>ROUND(C35*E35,0)</f>
        <v>0</v>
      </c>
      <c r="H35" s="923"/>
      <c r="I35" s="923"/>
      <c r="J35" s="923"/>
      <c r="K35" s="923"/>
      <c r="N35" s="923"/>
      <c r="O35" s="923"/>
      <c r="P35" s="923"/>
      <c r="Q35" s="923"/>
      <c r="R35" s="923"/>
      <c r="S35" s="923"/>
    </row>
    <row r="36" spans="1:19" ht="14.45" customHeight="1">
      <c r="A36" s="1144" t="s">
        <v>3421</v>
      </c>
      <c r="B36" s="1145"/>
      <c r="C36" s="1146">
        <f>C5</f>
        <v>0</v>
      </c>
      <c r="D36" s="1147"/>
      <c r="E36" s="1148">
        <f>'表30-12'!H13</f>
        <v>0</v>
      </c>
      <c r="F36" s="1149">
        <f>ROUND(C36*E36,0)</f>
        <v>0</v>
      </c>
      <c r="H36" s="923"/>
      <c r="I36" s="923"/>
      <c r="J36" s="923"/>
      <c r="K36" s="923"/>
      <c r="N36" s="923"/>
      <c r="O36" s="923"/>
      <c r="P36" s="923"/>
      <c r="Q36" s="923"/>
      <c r="R36" s="923"/>
      <c r="S36" s="923"/>
    </row>
    <row r="37" spans="1:19" ht="17.649999999999999" customHeight="1">
      <c r="A37" s="1150" t="s">
        <v>3422</v>
      </c>
      <c r="B37" s="1151"/>
      <c r="C37" s="1152">
        <f>C5</f>
        <v>0</v>
      </c>
      <c r="D37" s="1153"/>
      <c r="E37" s="1154"/>
      <c r="F37" s="1155">
        <f>F35+F36</f>
        <v>0</v>
      </c>
      <c r="G37" s="1156"/>
      <c r="H37" s="923"/>
      <c r="I37" s="923"/>
      <c r="J37" s="923"/>
      <c r="K37" s="923"/>
      <c r="N37" s="923"/>
      <c r="O37" s="923"/>
      <c r="P37" s="923"/>
      <c r="Q37" s="923"/>
      <c r="R37" s="923"/>
      <c r="S37" s="923"/>
    </row>
    <row r="38" spans="1:19" ht="17.649999999999999" customHeight="1">
      <c r="A38" s="1157" t="s">
        <v>3423</v>
      </c>
      <c r="B38" s="1123"/>
      <c r="C38" s="1124">
        <f>C39</f>
        <v>0</v>
      </c>
      <c r="D38" s="1125"/>
      <c r="E38" s="1126"/>
      <c r="F38" s="1127">
        <f>F39</f>
        <v>0</v>
      </c>
      <c r="H38" s="923"/>
      <c r="I38" s="923"/>
      <c r="J38" s="923"/>
      <c r="K38" s="923"/>
      <c r="N38" s="923"/>
      <c r="O38" s="923"/>
      <c r="P38" s="923"/>
      <c r="Q38" s="923"/>
      <c r="R38" s="923"/>
      <c r="S38" s="923"/>
    </row>
    <row r="39" spans="1:19" ht="14.45" customHeight="1">
      <c r="A39" s="1128" t="s">
        <v>3424</v>
      </c>
      <c r="B39" s="1129"/>
      <c r="C39" s="1130">
        <f>SUM(C40:C67)</f>
        <v>0</v>
      </c>
      <c r="D39" s="1131">
        <f>SUM(D40:D67)</f>
        <v>0</v>
      </c>
      <c r="E39" s="1132"/>
      <c r="F39" s="1133">
        <f>SUM(F40:F67)</f>
        <v>0</v>
      </c>
      <c r="H39" s="923"/>
      <c r="I39" s="923"/>
      <c r="J39" s="923"/>
      <c r="K39" s="923"/>
      <c r="N39" s="923"/>
      <c r="O39" s="923"/>
      <c r="P39" s="923"/>
      <c r="Q39" s="923"/>
      <c r="R39" s="923"/>
      <c r="S39" s="923"/>
    </row>
    <row r="40" spans="1:19" ht="14.45" customHeight="1">
      <c r="A40" s="1134" t="s">
        <v>3425</v>
      </c>
      <c r="B40" s="1116" t="s">
        <v>3426</v>
      </c>
      <c r="C40" s="1135">
        <f>'表21-4'!D6</f>
        <v>0</v>
      </c>
      <c r="D40" s="1158"/>
      <c r="E40" s="1137">
        <v>0.1484</v>
      </c>
      <c r="F40" s="1138">
        <f>ROUND((C40+D40)*E40,0)</f>
        <v>0</v>
      </c>
      <c r="H40" s="923"/>
      <c r="I40" s="923"/>
      <c r="J40" s="923"/>
      <c r="K40" s="923"/>
      <c r="N40" s="923"/>
      <c r="O40" s="923"/>
      <c r="P40" s="923"/>
      <c r="Q40" s="923"/>
      <c r="R40" s="923"/>
      <c r="S40" s="923"/>
    </row>
    <row r="41" spans="1:19" ht="14.45" customHeight="1">
      <c r="A41" s="1134" t="s">
        <v>3427</v>
      </c>
      <c r="B41" s="1116" t="s">
        <v>3428</v>
      </c>
      <c r="C41" s="1135">
        <f>'表21-4'!D7</f>
        <v>0</v>
      </c>
      <c r="D41" s="1158"/>
      <c r="E41" s="1137">
        <v>0.1484</v>
      </c>
      <c r="F41" s="1138">
        <f t="shared" ref="F41:F67" si="1">ROUND((C41+D41)*E41,0)</f>
        <v>0</v>
      </c>
      <c r="H41" s="923"/>
      <c r="I41" s="923"/>
      <c r="J41" s="923"/>
      <c r="K41" s="923"/>
      <c r="N41" s="923"/>
      <c r="O41" s="923"/>
      <c r="P41" s="923"/>
      <c r="Q41" s="923"/>
      <c r="R41" s="923"/>
      <c r="S41" s="923"/>
    </row>
    <row r="42" spans="1:19" ht="14.45" customHeight="1">
      <c r="A42" s="2994" t="s">
        <v>6365</v>
      </c>
      <c r="B42" s="1116" t="s">
        <v>3429</v>
      </c>
      <c r="C42" s="1135">
        <f>'表21-4'!D8</f>
        <v>0</v>
      </c>
      <c r="D42" s="1158"/>
      <c r="E42" s="2995">
        <v>0.41849999999999998</v>
      </c>
      <c r="F42" s="1138">
        <f t="shared" si="1"/>
        <v>0</v>
      </c>
      <c r="H42" s="923"/>
      <c r="I42" s="923"/>
      <c r="J42" s="923"/>
      <c r="K42" s="923"/>
      <c r="N42" s="923"/>
      <c r="O42" s="923"/>
      <c r="P42" s="923"/>
      <c r="Q42" s="923"/>
      <c r="R42" s="923"/>
      <c r="S42" s="923"/>
    </row>
    <row r="43" spans="1:19" ht="14.45" customHeight="1">
      <c r="A43" s="2994" t="s">
        <v>6366</v>
      </c>
      <c r="B43" s="1116" t="s">
        <v>3430</v>
      </c>
      <c r="C43" s="1135">
        <f>'表21-4'!D9</f>
        <v>0</v>
      </c>
      <c r="D43" s="1158"/>
      <c r="E43" s="2995">
        <v>0.41849999999999998</v>
      </c>
      <c r="F43" s="1138">
        <f t="shared" si="1"/>
        <v>0</v>
      </c>
      <c r="H43" s="923"/>
      <c r="I43" s="923"/>
      <c r="J43" s="923"/>
      <c r="K43" s="923"/>
      <c r="N43" s="923"/>
      <c r="O43" s="923"/>
      <c r="P43" s="923"/>
      <c r="Q43" s="923"/>
      <c r="R43" s="923"/>
      <c r="S43" s="923"/>
    </row>
    <row r="44" spans="1:19" ht="14.45" customHeight="1">
      <c r="A44" s="1134" t="s">
        <v>3431</v>
      </c>
      <c r="B44" s="1116" t="s">
        <v>3432</v>
      </c>
      <c r="C44" s="1135">
        <f>'表21-4'!D10</f>
        <v>0</v>
      </c>
      <c r="D44" s="1158"/>
      <c r="E44" s="1137">
        <v>0.19289999999999999</v>
      </c>
      <c r="F44" s="1138">
        <f t="shared" si="1"/>
        <v>0</v>
      </c>
      <c r="H44" s="923"/>
      <c r="I44" s="923"/>
      <c r="J44" s="923"/>
      <c r="K44" s="923"/>
      <c r="N44" s="923"/>
      <c r="O44" s="923"/>
      <c r="P44" s="923"/>
      <c r="Q44" s="923"/>
      <c r="R44" s="923"/>
      <c r="S44" s="923"/>
    </row>
    <row r="45" spans="1:19" ht="14.45" customHeight="1">
      <c r="A45" s="1134" t="s">
        <v>3433</v>
      </c>
      <c r="B45" s="1116" t="s">
        <v>3434</v>
      </c>
      <c r="C45" s="1135">
        <f>'表21-4'!D11</f>
        <v>0</v>
      </c>
      <c r="D45" s="1158"/>
      <c r="E45" s="1137">
        <v>0.19289999999999999</v>
      </c>
      <c r="F45" s="1138">
        <f t="shared" si="1"/>
        <v>0</v>
      </c>
      <c r="H45" s="923"/>
      <c r="I45" s="923"/>
      <c r="J45" s="923"/>
      <c r="K45" s="923"/>
      <c r="N45" s="923"/>
      <c r="O45" s="923"/>
      <c r="P45" s="923"/>
      <c r="Q45" s="923"/>
      <c r="R45" s="923"/>
      <c r="S45" s="923"/>
    </row>
    <row r="46" spans="1:19" ht="14.45" customHeight="1">
      <c r="A46" s="1134" t="s">
        <v>3435</v>
      </c>
      <c r="B46" s="1116" t="s">
        <v>3436</v>
      </c>
      <c r="C46" s="1135">
        <f>'表21-4'!D12</f>
        <v>0</v>
      </c>
      <c r="D46" s="1158"/>
      <c r="E46" s="1137">
        <v>0.65959999999999996</v>
      </c>
      <c r="F46" s="1138">
        <f t="shared" si="1"/>
        <v>0</v>
      </c>
      <c r="H46" s="923"/>
      <c r="I46" s="923"/>
      <c r="J46" s="923"/>
      <c r="K46" s="923"/>
      <c r="N46" s="923"/>
      <c r="O46" s="923"/>
      <c r="P46" s="923"/>
      <c r="Q46" s="923"/>
      <c r="R46" s="923"/>
      <c r="S46" s="923"/>
    </row>
    <row r="47" spans="1:19" ht="14.45" customHeight="1">
      <c r="A47" s="1134" t="s">
        <v>3437</v>
      </c>
      <c r="B47" s="1116" t="s">
        <v>3438</v>
      </c>
      <c r="C47" s="1135">
        <f>'表21-4'!D13</f>
        <v>0</v>
      </c>
      <c r="D47" s="1158"/>
      <c r="E47" s="1137">
        <v>0.4365</v>
      </c>
      <c r="F47" s="1138">
        <f t="shared" si="1"/>
        <v>0</v>
      </c>
      <c r="H47" s="923"/>
      <c r="I47" s="923"/>
      <c r="J47" s="923"/>
      <c r="K47" s="923"/>
      <c r="N47" s="923"/>
      <c r="O47" s="923"/>
      <c r="P47" s="923"/>
      <c r="Q47" s="923"/>
      <c r="R47" s="923"/>
      <c r="S47" s="923"/>
    </row>
    <row r="48" spans="1:19" ht="14.45" customHeight="1">
      <c r="A48" s="1134" t="s">
        <v>3439</v>
      </c>
      <c r="B48" s="1116" t="s">
        <v>3440</v>
      </c>
      <c r="C48" s="1135">
        <f>'表21-4'!D14</f>
        <v>0</v>
      </c>
      <c r="D48" s="1158"/>
      <c r="E48" s="1137">
        <v>3.1827999999999999</v>
      </c>
      <c r="F48" s="1138">
        <f t="shared" si="1"/>
        <v>0</v>
      </c>
      <c r="H48" s="923"/>
      <c r="I48" s="923"/>
      <c r="J48" s="923"/>
      <c r="K48" s="923"/>
      <c r="N48" s="923"/>
      <c r="O48" s="923"/>
      <c r="P48" s="923"/>
      <c r="Q48" s="923"/>
      <c r="R48" s="923"/>
      <c r="S48" s="923"/>
    </row>
    <row r="49" spans="1:19" ht="14.45" customHeight="1">
      <c r="A49" s="2994" t="s">
        <v>6367</v>
      </c>
      <c r="B49" s="1116" t="s">
        <v>3441</v>
      </c>
      <c r="C49" s="1135">
        <f>'表21-4'!D15</f>
        <v>0</v>
      </c>
      <c r="D49" s="1158"/>
      <c r="E49" s="2995">
        <v>0.19020000000000001</v>
      </c>
      <c r="F49" s="1138">
        <f t="shared" si="1"/>
        <v>0</v>
      </c>
      <c r="H49" s="923"/>
      <c r="I49" s="923"/>
      <c r="J49" s="923"/>
      <c r="K49" s="923"/>
      <c r="N49" s="923"/>
      <c r="O49" s="923"/>
      <c r="P49" s="923"/>
      <c r="Q49" s="923"/>
      <c r="R49" s="923"/>
      <c r="S49" s="923"/>
    </row>
    <row r="50" spans="1:19" ht="14.45" customHeight="1">
      <c r="A50" s="2994" t="s">
        <v>6368</v>
      </c>
      <c r="B50" s="1116" t="s">
        <v>3442</v>
      </c>
      <c r="C50" s="1135">
        <f>'表21-4'!D16</f>
        <v>0</v>
      </c>
      <c r="D50" s="1158"/>
      <c r="E50" s="2995">
        <v>0.19020000000000001</v>
      </c>
      <c r="F50" s="1138">
        <f t="shared" si="1"/>
        <v>0</v>
      </c>
      <c r="H50" s="923"/>
      <c r="I50" s="923"/>
      <c r="J50" s="923"/>
      <c r="K50" s="923"/>
      <c r="N50" s="923"/>
      <c r="O50" s="923"/>
      <c r="P50" s="923"/>
      <c r="Q50" s="923"/>
      <c r="R50" s="923"/>
      <c r="S50" s="923"/>
    </row>
    <row r="51" spans="1:19" ht="14.45" customHeight="1">
      <c r="A51" s="2994" t="s">
        <v>6369</v>
      </c>
      <c r="B51" s="1116" t="s">
        <v>3443</v>
      </c>
      <c r="C51" s="1135">
        <f>'表21-4'!D17</f>
        <v>0</v>
      </c>
      <c r="D51" s="1158"/>
      <c r="E51" s="2995">
        <v>0.19020000000000001</v>
      </c>
      <c r="F51" s="1138">
        <f t="shared" si="1"/>
        <v>0</v>
      </c>
      <c r="H51" s="923"/>
      <c r="I51" s="923"/>
      <c r="J51" s="923"/>
      <c r="K51" s="923"/>
      <c r="N51" s="923"/>
      <c r="O51" s="923"/>
      <c r="P51" s="923"/>
      <c r="Q51" s="923"/>
      <c r="R51" s="923"/>
      <c r="S51" s="923"/>
    </row>
    <row r="52" spans="1:19" ht="14.45" customHeight="1">
      <c r="A52" s="2994" t="s">
        <v>6370</v>
      </c>
      <c r="B52" s="1116" t="s">
        <v>3444</v>
      </c>
      <c r="C52" s="1135">
        <f>'表21-4'!D18</f>
        <v>0</v>
      </c>
      <c r="D52" s="1158"/>
      <c r="E52" s="2995">
        <v>0.19020000000000001</v>
      </c>
      <c r="F52" s="1138">
        <f t="shared" si="1"/>
        <v>0</v>
      </c>
      <c r="H52" s="923"/>
      <c r="I52" s="923"/>
      <c r="J52" s="923"/>
      <c r="K52" s="923"/>
      <c r="N52" s="923"/>
      <c r="O52" s="923"/>
      <c r="P52" s="923"/>
      <c r="Q52" s="923"/>
      <c r="R52" s="923"/>
      <c r="S52" s="923"/>
    </row>
    <row r="53" spans="1:19" ht="14.45" customHeight="1">
      <c r="A53" s="1134" t="s">
        <v>3445</v>
      </c>
      <c r="B53" s="1116" t="s">
        <v>3446</v>
      </c>
      <c r="C53" s="1135">
        <f>'表21-4'!D22</f>
        <v>0</v>
      </c>
      <c r="D53" s="1158"/>
      <c r="E53" s="1137">
        <v>0.32</v>
      </c>
      <c r="F53" s="1138">
        <f t="shared" si="1"/>
        <v>0</v>
      </c>
      <c r="H53" s="923"/>
      <c r="I53" s="923"/>
      <c r="J53" s="923"/>
      <c r="K53" s="923"/>
      <c r="N53" s="923"/>
      <c r="O53" s="923"/>
      <c r="P53" s="923"/>
      <c r="Q53" s="923"/>
      <c r="R53" s="923"/>
      <c r="S53" s="923"/>
    </row>
    <row r="54" spans="1:19" ht="14.45" customHeight="1">
      <c r="A54" s="1134" t="s">
        <v>3447</v>
      </c>
      <c r="B54" s="1116" t="s">
        <v>3448</v>
      </c>
      <c r="C54" s="1135">
        <f>'表21-4'!D23</f>
        <v>0</v>
      </c>
      <c r="D54" s="1158"/>
      <c r="E54" s="1137">
        <v>0.32</v>
      </c>
      <c r="F54" s="1138">
        <f t="shared" si="1"/>
        <v>0</v>
      </c>
      <c r="H54" s="923"/>
      <c r="I54" s="923"/>
      <c r="J54" s="923"/>
      <c r="K54" s="923"/>
      <c r="N54" s="923"/>
      <c r="O54" s="923"/>
      <c r="P54" s="923"/>
      <c r="Q54" s="923"/>
      <c r="R54" s="923"/>
      <c r="S54" s="923"/>
    </row>
    <row r="55" spans="1:19" ht="14.45" customHeight="1">
      <c r="A55" s="1134" t="s">
        <v>3449</v>
      </c>
      <c r="B55" s="1116" t="s">
        <v>3450</v>
      </c>
      <c r="C55" s="1135">
        <f>'表21-4'!D24</f>
        <v>0</v>
      </c>
      <c r="D55" s="1158"/>
      <c r="E55" s="1137">
        <v>1.3254999999999999</v>
      </c>
      <c r="F55" s="1138">
        <f t="shared" si="1"/>
        <v>0</v>
      </c>
      <c r="H55" s="923"/>
      <c r="I55" s="923"/>
      <c r="J55" s="923"/>
      <c r="K55" s="923"/>
      <c r="N55" s="923"/>
      <c r="O55" s="923"/>
      <c r="P55" s="923"/>
      <c r="Q55" s="923"/>
      <c r="R55" s="923"/>
      <c r="S55" s="923"/>
    </row>
    <row r="56" spans="1:19" ht="14.45" customHeight="1">
      <c r="A56" s="1134" t="s">
        <v>3451</v>
      </c>
      <c r="B56" s="1116" t="s">
        <v>3452</v>
      </c>
      <c r="C56" s="1135">
        <f>'表21-4'!D25</f>
        <v>0</v>
      </c>
      <c r="D56" s="1158"/>
      <c r="E56" s="1137">
        <v>7.7195</v>
      </c>
      <c r="F56" s="1138">
        <f t="shared" si="1"/>
        <v>0</v>
      </c>
      <c r="H56" s="923"/>
      <c r="I56" s="923"/>
      <c r="J56" s="923"/>
      <c r="K56" s="923"/>
      <c r="N56" s="923"/>
      <c r="O56" s="923"/>
      <c r="P56" s="923"/>
      <c r="Q56" s="923"/>
      <c r="R56" s="923"/>
      <c r="S56" s="923"/>
    </row>
    <row r="57" spans="1:19" ht="14.45" customHeight="1">
      <c r="A57" s="1134" t="s">
        <v>3453</v>
      </c>
      <c r="B57" s="1116" t="s">
        <v>3454</v>
      </c>
      <c r="C57" s="1135">
        <f>'表21-4'!D26</f>
        <v>0</v>
      </c>
      <c r="D57" s="1158"/>
      <c r="E57" s="1137">
        <v>0.75090000000000001</v>
      </c>
      <c r="F57" s="1138">
        <f t="shared" si="1"/>
        <v>0</v>
      </c>
      <c r="H57" s="923"/>
      <c r="I57" s="923"/>
      <c r="J57" s="923"/>
      <c r="K57" s="923"/>
      <c r="N57" s="923"/>
      <c r="O57" s="923"/>
      <c r="P57" s="923"/>
      <c r="Q57" s="923"/>
      <c r="R57" s="923"/>
      <c r="S57" s="923"/>
    </row>
    <row r="58" spans="1:19" ht="14.45" customHeight="1">
      <c r="A58" s="1134" t="s">
        <v>3455</v>
      </c>
      <c r="B58" s="1116" t="s">
        <v>3456</v>
      </c>
      <c r="C58" s="1135">
        <f>'表21-4'!D27</f>
        <v>0</v>
      </c>
      <c r="D58" s="1158"/>
      <c r="E58" s="1137">
        <v>0.75090000000000001</v>
      </c>
      <c r="F58" s="1138">
        <f t="shared" si="1"/>
        <v>0</v>
      </c>
      <c r="H58" s="923"/>
      <c r="I58" s="923"/>
      <c r="J58" s="923"/>
      <c r="K58" s="923"/>
      <c r="N58" s="923"/>
      <c r="O58" s="923"/>
      <c r="P58" s="923"/>
      <c r="Q58" s="923"/>
      <c r="R58" s="923"/>
      <c r="S58" s="923"/>
    </row>
    <row r="59" spans="1:19" ht="14.45" customHeight="1">
      <c r="A59" s="1134" t="s">
        <v>3457</v>
      </c>
      <c r="B59" s="1116" t="s">
        <v>3458</v>
      </c>
      <c r="C59" s="1135">
        <f>'表21-4'!D28</f>
        <v>0</v>
      </c>
      <c r="D59" s="1158"/>
      <c r="E59" s="1137">
        <v>0.4325</v>
      </c>
      <c r="F59" s="1138">
        <f t="shared" si="1"/>
        <v>0</v>
      </c>
      <c r="H59" s="923"/>
      <c r="I59" s="923"/>
      <c r="J59" s="923"/>
      <c r="K59" s="923"/>
      <c r="N59" s="923"/>
      <c r="O59" s="923"/>
      <c r="P59" s="923"/>
      <c r="Q59" s="923"/>
      <c r="R59" s="923"/>
      <c r="S59" s="923"/>
    </row>
    <row r="60" spans="1:19" ht="14.45" customHeight="1">
      <c r="A60" s="1134" t="s">
        <v>3459</v>
      </c>
      <c r="B60" s="1116" t="s">
        <v>3460</v>
      </c>
      <c r="C60" s="1135">
        <f>'表21-7'!F7</f>
        <v>0</v>
      </c>
      <c r="D60" s="1158"/>
      <c r="E60" s="1137">
        <v>8.8800000000000004E-2</v>
      </c>
      <c r="F60" s="1138">
        <f t="shared" si="1"/>
        <v>0</v>
      </c>
      <c r="H60" s="923"/>
      <c r="I60" s="923"/>
      <c r="J60" s="923"/>
      <c r="K60" s="923"/>
      <c r="N60" s="923"/>
      <c r="O60" s="923"/>
      <c r="P60" s="923"/>
      <c r="Q60" s="923"/>
      <c r="R60" s="923"/>
      <c r="S60" s="923"/>
    </row>
    <row r="61" spans="1:19" ht="14.45" customHeight="1">
      <c r="A61" s="1134" t="s">
        <v>3461</v>
      </c>
      <c r="B61" s="1116" t="s">
        <v>3462</v>
      </c>
      <c r="C61" s="1135">
        <f>'表21-4'!D30</f>
        <v>0</v>
      </c>
      <c r="D61" s="1158"/>
      <c r="E61" s="1137">
        <v>0.32</v>
      </c>
      <c r="F61" s="1138">
        <f t="shared" si="1"/>
        <v>0</v>
      </c>
      <c r="H61" s="923"/>
      <c r="I61" s="923"/>
      <c r="J61" s="923"/>
      <c r="K61" s="923"/>
      <c r="N61" s="923"/>
      <c r="O61" s="923"/>
      <c r="P61" s="923"/>
      <c r="Q61" s="923"/>
      <c r="R61" s="923"/>
      <c r="S61" s="923"/>
    </row>
    <row r="62" spans="1:19" ht="14.45" customHeight="1">
      <c r="A62" s="1134" t="s">
        <v>3463</v>
      </c>
      <c r="B62" s="1116" t="s">
        <v>3464</v>
      </c>
      <c r="C62" s="1135">
        <f>'表21-4'!D31</f>
        <v>0</v>
      </c>
      <c r="D62" s="1158"/>
      <c r="E62" s="1137">
        <v>0.47339999999999999</v>
      </c>
      <c r="F62" s="1138">
        <f t="shared" si="1"/>
        <v>0</v>
      </c>
      <c r="H62" s="923"/>
      <c r="I62" s="923"/>
      <c r="J62" s="923"/>
      <c r="K62" s="923"/>
      <c r="N62" s="923"/>
      <c r="O62" s="923"/>
      <c r="P62" s="923"/>
      <c r="Q62" s="923"/>
      <c r="R62" s="923"/>
      <c r="S62" s="923"/>
    </row>
    <row r="63" spans="1:19" ht="14.45" customHeight="1">
      <c r="A63" s="1134" t="s">
        <v>3465</v>
      </c>
      <c r="B63" s="1116" t="s">
        <v>3466</v>
      </c>
      <c r="C63" s="1135">
        <f>'表21-4'!D32</f>
        <v>0</v>
      </c>
      <c r="D63" s="1158"/>
      <c r="E63" s="1137">
        <v>0.47339999999999999</v>
      </c>
      <c r="F63" s="1138">
        <f t="shared" si="1"/>
        <v>0</v>
      </c>
      <c r="H63" s="923"/>
      <c r="I63" s="923"/>
      <c r="J63" s="923"/>
      <c r="K63" s="923"/>
      <c r="N63" s="923"/>
      <c r="O63" s="923"/>
      <c r="P63" s="923"/>
      <c r="Q63" s="923"/>
      <c r="R63" s="923"/>
      <c r="S63" s="923"/>
    </row>
    <row r="64" spans="1:19" ht="14.45" customHeight="1">
      <c r="A64" s="1134" t="s">
        <v>3467</v>
      </c>
      <c r="B64" s="1116" t="s">
        <v>3468</v>
      </c>
      <c r="C64" s="1135">
        <f>'表21-4'!D33</f>
        <v>0</v>
      </c>
      <c r="D64" s="1158"/>
      <c r="E64" s="1137">
        <v>0.87480000000000002</v>
      </c>
      <c r="F64" s="1138">
        <f t="shared" si="1"/>
        <v>0</v>
      </c>
      <c r="H64" s="923"/>
      <c r="I64" s="923"/>
      <c r="J64" s="923"/>
      <c r="K64" s="923"/>
      <c r="N64" s="923"/>
      <c r="O64" s="923"/>
      <c r="P64" s="923"/>
      <c r="Q64" s="923"/>
      <c r="R64" s="923"/>
      <c r="S64" s="923"/>
    </row>
    <row r="65" spans="1:19" ht="14.45" customHeight="1">
      <c r="A65" s="1134" t="s">
        <v>3469</v>
      </c>
      <c r="B65" s="1116" t="s">
        <v>3470</v>
      </c>
      <c r="C65" s="1135">
        <f>'表21-4'!D34</f>
        <v>0</v>
      </c>
      <c r="D65" s="1158"/>
      <c r="E65" s="1137">
        <v>0.87480000000000002</v>
      </c>
      <c r="F65" s="1138">
        <f t="shared" si="1"/>
        <v>0</v>
      </c>
      <c r="H65" s="923"/>
      <c r="I65" s="923"/>
      <c r="J65" s="923"/>
      <c r="K65" s="923"/>
      <c r="N65" s="923"/>
      <c r="O65" s="923"/>
      <c r="P65" s="923"/>
      <c r="Q65" s="923"/>
      <c r="R65" s="923"/>
      <c r="S65" s="923"/>
    </row>
    <row r="66" spans="1:19" ht="14.45" customHeight="1">
      <c r="A66" s="1134" t="s">
        <v>3471</v>
      </c>
      <c r="B66" s="1116" t="s">
        <v>3472</v>
      </c>
      <c r="C66" s="1135">
        <f>'表21-4'!D35</f>
        <v>0</v>
      </c>
      <c r="D66" s="1158"/>
      <c r="E66" s="1137">
        <v>3.7499999999999999E-2</v>
      </c>
      <c r="F66" s="1138">
        <f t="shared" si="1"/>
        <v>0</v>
      </c>
      <c r="H66" s="923"/>
      <c r="I66" s="923"/>
      <c r="J66" s="923"/>
      <c r="K66" s="923"/>
      <c r="N66" s="923"/>
      <c r="O66" s="923"/>
      <c r="P66" s="923"/>
      <c r="Q66" s="923"/>
      <c r="R66" s="923"/>
      <c r="S66" s="923"/>
    </row>
    <row r="67" spans="1:19" ht="14.45" customHeight="1">
      <c r="A67" s="1134" t="s">
        <v>3473</v>
      </c>
      <c r="B67" s="1116" t="s">
        <v>3474</v>
      </c>
      <c r="C67" s="1135">
        <f>'表21-4'!D38</f>
        <v>0</v>
      </c>
      <c r="D67" s="1158"/>
      <c r="E67" s="1137">
        <v>0.59179999999999999</v>
      </c>
      <c r="F67" s="1138">
        <f t="shared" si="1"/>
        <v>0</v>
      </c>
      <c r="H67" s="923"/>
      <c r="I67" s="923"/>
      <c r="J67" s="923"/>
      <c r="K67" s="923"/>
      <c r="N67" s="923"/>
      <c r="O67" s="923"/>
      <c r="P67" s="923"/>
      <c r="Q67" s="923"/>
      <c r="R67" s="923"/>
      <c r="S67" s="923"/>
    </row>
    <row r="68" spans="1:19" ht="14.45" customHeight="1">
      <c r="A68" s="1117" t="s">
        <v>3475</v>
      </c>
      <c r="B68" s="1116"/>
      <c r="C68" s="1140">
        <f>SUM(F40:F67)</f>
        <v>0</v>
      </c>
      <c r="D68" s="1141"/>
      <c r="E68" s="1137">
        <v>1</v>
      </c>
      <c r="F68" s="1142">
        <f>ROUND(C68*E68,0)</f>
        <v>0</v>
      </c>
      <c r="H68" s="923"/>
      <c r="I68" s="923"/>
      <c r="J68" s="923"/>
      <c r="K68" s="923"/>
      <c r="N68" s="923"/>
      <c r="O68" s="923"/>
      <c r="P68" s="923"/>
      <c r="Q68" s="923"/>
      <c r="R68" s="923"/>
      <c r="S68" s="923"/>
    </row>
    <row r="69" spans="1:19" ht="14.45" customHeight="1">
      <c r="A69" s="1117" t="s">
        <v>3476</v>
      </c>
      <c r="B69" s="1116"/>
      <c r="C69" s="1140">
        <f>F68</f>
        <v>0</v>
      </c>
      <c r="D69" s="1141"/>
      <c r="E69" s="1143">
        <f>'表30-11'!F75</f>
        <v>1</v>
      </c>
      <c r="F69" s="1142">
        <f>ROUND(C69*E69,0)</f>
        <v>0</v>
      </c>
      <c r="H69" s="923"/>
      <c r="I69" s="923"/>
      <c r="J69" s="923"/>
      <c r="K69" s="923"/>
      <c r="N69" s="923"/>
      <c r="O69" s="923"/>
      <c r="P69" s="923"/>
      <c r="Q69" s="923"/>
      <c r="R69" s="923"/>
      <c r="S69" s="923"/>
    </row>
    <row r="70" spans="1:19" ht="14.45" customHeight="1">
      <c r="A70" s="1144" t="s">
        <v>3477</v>
      </c>
      <c r="B70" s="1145"/>
      <c r="C70" s="1146">
        <f>C39</f>
        <v>0</v>
      </c>
      <c r="D70" s="1147">
        <f>D39</f>
        <v>0</v>
      </c>
      <c r="E70" s="1148">
        <f>'表30-12'!D20</f>
        <v>0</v>
      </c>
      <c r="F70" s="1149">
        <f>ROUND((C70+D70)*E70,0)</f>
        <v>0</v>
      </c>
      <c r="G70" s="1156"/>
      <c r="H70" s="923"/>
      <c r="I70" s="923"/>
      <c r="J70" s="923"/>
      <c r="K70" s="923"/>
      <c r="N70" s="923"/>
      <c r="O70" s="923"/>
      <c r="P70" s="923"/>
      <c r="Q70" s="923"/>
      <c r="R70" s="923"/>
      <c r="S70" s="923"/>
    </row>
    <row r="71" spans="1:19" ht="17.649999999999999" customHeight="1" thickBot="1">
      <c r="A71" s="1150" t="s">
        <v>3478</v>
      </c>
      <c r="B71" s="1151"/>
      <c r="C71" s="1152">
        <f>C39</f>
        <v>0</v>
      </c>
      <c r="D71" s="1153"/>
      <c r="E71" s="1154"/>
      <c r="F71" s="1155">
        <f>F69+F70</f>
        <v>0</v>
      </c>
      <c r="G71" s="1156"/>
      <c r="H71" s="923"/>
      <c r="I71" s="923"/>
      <c r="J71" s="923"/>
      <c r="K71" s="923"/>
      <c r="N71" s="923"/>
      <c r="O71" s="923"/>
      <c r="P71" s="923"/>
      <c r="Q71" s="923"/>
      <c r="R71" s="923"/>
      <c r="S71" s="923"/>
    </row>
    <row r="72" spans="1:19" ht="20.45" customHeight="1" thickTop="1" thickBot="1">
      <c r="A72" s="1159" t="s">
        <v>3479</v>
      </c>
      <c r="B72" s="1160"/>
      <c r="C72" s="1161">
        <f>C5+C39</f>
        <v>0</v>
      </c>
      <c r="D72" s="1162"/>
      <c r="E72" s="1162">
        <f>F5+F39</f>
        <v>0</v>
      </c>
      <c r="F72" s="1163">
        <f>F37+F71</f>
        <v>0</v>
      </c>
      <c r="G72" s="1156"/>
      <c r="H72" s="923"/>
      <c r="I72" s="923"/>
      <c r="J72" s="923"/>
      <c r="K72" s="923"/>
      <c r="N72" s="923"/>
      <c r="O72" s="923"/>
      <c r="P72" s="923"/>
      <c r="Q72" s="923"/>
      <c r="R72" s="923"/>
      <c r="S72" s="923"/>
    </row>
    <row r="75" spans="1:19" ht="14.25">
      <c r="A75" s="1118" t="s">
        <v>3364</v>
      </c>
    </row>
  </sheetData>
  <phoneticPr fontId="9" type="noConversion"/>
  <pageMargins left="0.51181102362204722" right="0.35433070866141736" top="0.39370078740157483" bottom="0.27559055118110237" header="0.15748031496062992" footer="0.23622047244094491"/>
  <pageSetup paperSize="9" scale="61" fitToHeight="2" orientation="portrait" r:id="rId1"/>
  <headerFooter alignWithMargins="0">
    <oddFooter>&amp;C&amp;P/&amp;N&amp;R&amp;A</oddFooter>
  </headerFooter>
  <drawing r:id="rId2"/>
  <legacyDrawing r:id="rId3"/>
  <oleObjects>
    <mc:AlternateContent xmlns:mc="http://schemas.openxmlformats.org/markup-compatibility/2006">
      <mc:Choice Requires="x14">
        <oleObject progId="Equation.3" shapeId="5121" r:id="rId4">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1" r:id="rId4"/>
      </mc:Fallback>
    </mc:AlternateContent>
    <mc:AlternateContent xmlns:mc="http://schemas.openxmlformats.org/markup-compatibility/2006">
      <mc:Choice Requires="x14">
        <oleObject progId="Equation.3" shapeId="5122" r:id="rId6">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2" r:id="rId6"/>
      </mc:Fallback>
    </mc:AlternateContent>
    <mc:AlternateContent xmlns:mc="http://schemas.openxmlformats.org/markup-compatibility/2006">
      <mc:Choice Requires="x14">
        <oleObject progId="Equation.3" shapeId="5123" r:id="rId7">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3" r:id="rId7"/>
      </mc:Fallback>
    </mc:AlternateContent>
    <mc:AlternateContent xmlns:mc="http://schemas.openxmlformats.org/markup-compatibility/2006">
      <mc:Choice Requires="x14">
        <oleObject progId="Equation.3" shapeId="5124" r:id="rId8">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4"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16">
    <pageSetUpPr fitToPage="1"/>
  </sheetPr>
  <dimension ref="A1:AN248"/>
  <sheetViews>
    <sheetView showGridLines="0" workbookViewId="0">
      <selection activeCell="G28" sqref="G28"/>
    </sheetView>
  </sheetViews>
  <sheetFormatPr defaultRowHeight="12.75"/>
  <cols>
    <col min="1" max="1" width="2.75" style="2129" customWidth="1"/>
    <col min="2" max="2" width="3.625" style="2129" customWidth="1"/>
    <col min="3" max="3" width="2.625" style="2129" customWidth="1"/>
    <col min="4" max="4" width="22.75" style="2129" customWidth="1"/>
    <col min="5" max="21" width="6.875" style="2129" customWidth="1"/>
    <col min="22" max="22" width="9.875" style="2129" customWidth="1"/>
    <col min="23" max="24" width="6.875" style="2129" customWidth="1"/>
    <col min="25" max="25" width="9.75" style="2129" customWidth="1"/>
    <col min="26" max="26" width="4.5" style="2129" customWidth="1"/>
    <col min="27" max="27" width="6.875" style="2129" customWidth="1"/>
    <col min="28" max="28" width="4.5" style="2129" customWidth="1"/>
    <col min="29" max="29" width="6" style="2129" customWidth="1"/>
    <col min="30" max="30" width="4.5" style="2129" customWidth="1"/>
    <col min="31" max="31" width="7.625" style="2129" customWidth="1"/>
    <col min="32" max="32" width="6.25" style="2129" customWidth="1"/>
    <col min="33" max="33" width="5.875" style="2129" customWidth="1"/>
    <col min="34" max="34" width="6.125" style="2129" customWidth="1"/>
    <col min="35" max="35" width="6.625" style="2129" customWidth="1"/>
    <col min="36" max="36" width="10.75" style="2129" customWidth="1"/>
    <col min="37" max="37" width="9.625" style="2129" customWidth="1"/>
    <col min="38" max="38" width="11.375" style="2129" customWidth="1"/>
    <col min="39" max="39" width="10.5" style="2129" customWidth="1"/>
    <col min="40" max="40" width="5" style="2129" bestFit="1" customWidth="1"/>
    <col min="41" max="16384" width="9" style="2129"/>
  </cols>
  <sheetData>
    <row r="1" spans="1:40" s="2123" customFormat="1" ht="16.5">
      <c r="A1" s="1199" t="str">
        <f>+封面!A3&amp;" "&amp;封面!A2</f>
        <v xml:space="preserve">        保險股份有限公司(○○分公司) 年度(月、季、半年)報表</v>
      </c>
      <c r="B1" s="1199"/>
      <c r="C1" s="1655"/>
      <c r="D1" s="1655"/>
      <c r="E1" s="1655"/>
      <c r="F1" s="1655"/>
      <c r="G1" s="1655"/>
      <c r="H1" s="1655"/>
      <c r="I1" s="1655"/>
      <c r="J1" s="1655"/>
    </row>
    <row r="2" spans="1:40" s="2123" customFormat="1" ht="14.25">
      <c r="A2" s="2123" t="s">
        <v>5409</v>
      </c>
      <c r="AN2" s="2124" t="s">
        <v>5410</v>
      </c>
    </row>
    <row r="3" spans="1:40" ht="18.75" customHeight="1">
      <c r="A3" s="3192" t="s">
        <v>4854</v>
      </c>
      <c r="B3" s="3195" t="s">
        <v>5411</v>
      </c>
      <c r="C3" s="3196"/>
      <c r="D3" s="3197"/>
      <c r="E3" s="2126" t="s">
        <v>5412</v>
      </c>
      <c r="F3" s="2126"/>
      <c r="G3" s="2126"/>
      <c r="H3" s="2126"/>
      <c r="I3" s="2126"/>
      <c r="J3" s="2126"/>
      <c r="K3" s="2126"/>
      <c r="L3" s="2126"/>
      <c r="M3" s="2126"/>
      <c r="N3" s="2126"/>
      <c r="O3" s="2126"/>
      <c r="P3" s="2126"/>
      <c r="Q3" s="2126" t="s">
        <v>5413</v>
      </c>
      <c r="R3" s="2126"/>
      <c r="S3" s="2126"/>
      <c r="T3" s="2126"/>
      <c r="U3" s="2126"/>
      <c r="V3" s="2127" t="s">
        <v>5414</v>
      </c>
      <c r="W3" s="3205" t="s">
        <v>5415</v>
      </c>
      <c r="X3" s="2128"/>
      <c r="Y3" s="3201" t="s">
        <v>5416</v>
      </c>
      <c r="Z3" s="3203"/>
      <c r="AA3" s="3201" t="s">
        <v>5417</v>
      </c>
      <c r="AB3" s="3203"/>
      <c r="AC3" s="3201" t="s">
        <v>5418</v>
      </c>
      <c r="AD3" s="3203"/>
      <c r="AE3" s="3201" t="s">
        <v>5419</v>
      </c>
      <c r="AF3" s="3202"/>
      <c r="AG3" s="3202"/>
      <c r="AH3" s="3202"/>
      <c r="AI3" s="3203"/>
      <c r="AJ3" s="3201" t="s">
        <v>5420</v>
      </c>
      <c r="AK3" s="3202"/>
      <c r="AL3" s="3202"/>
      <c r="AM3" s="3203"/>
      <c r="AN3" s="3205" t="s">
        <v>5421</v>
      </c>
    </row>
    <row r="4" spans="1:40" ht="139.9" customHeight="1">
      <c r="A4" s="3193"/>
      <c r="B4" s="3198"/>
      <c r="C4" s="3199"/>
      <c r="D4" s="3200"/>
      <c r="E4" s="2131" t="s">
        <v>5422</v>
      </c>
      <c r="F4" s="2131" t="s">
        <v>5423</v>
      </c>
      <c r="G4" s="2131" t="s">
        <v>5424</v>
      </c>
      <c r="H4" s="2131" t="s">
        <v>5425</v>
      </c>
      <c r="I4" s="2131" t="s">
        <v>5426</v>
      </c>
      <c r="J4" s="2131" t="s">
        <v>5427</v>
      </c>
      <c r="K4" s="2131" t="s">
        <v>5428</v>
      </c>
      <c r="L4" s="2131" t="s">
        <v>5429</v>
      </c>
      <c r="M4" s="2131" t="s">
        <v>5430</v>
      </c>
      <c r="N4" s="2131" t="s">
        <v>5431</v>
      </c>
      <c r="O4" s="2131" t="s">
        <v>5432</v>
      </c>
      <c r="P4" s="2131" t="s">
        <v>5433</v>
      </c>
      <c r="Q4" s="2131" t="s">
        <v>5434</v>
      </c>
      <c r="R4" s="2131" t="s">
        <v>5435</v>
      </c>
      <c r="S4" s="2131" t="s">
        <v>5436</v>
      </c>
      <c r="T4" s="2131" t="s">
        <v>5437</v>
      </c>
      <c r="U4" s="2131" t="s">
        <v>5438</v>
      </c>
      <c r="V4" s="1797" t="s">
        <v>5439</v>
      </c>
      <c r="W4" s="3206"/>
      <c r="X4" s="2131" t="s">
        <v>5440</v>
      </c>
      <c r="Y4" s="1797" t="s">
        <v>5441</v>
      </c>
      <c r="Z4" s="1797" t="s">
        <v>649</v>
      </c>
      <c r="AA4" s="1797" t="s">
        <v>5441</v>
      </c>
      <c r="AB4" s="1797" t="s">
        <v>649</v>
      </c>
      <c r="AC4" s="1797" t="s">
        <v>5441</v>
      </c>
      <c r="AD4" s="1797" t="s">
        <v>649</v>
      </c>
      <c r="AE4" s="1797" t="s">
        <v>5442</v>
      </c>
      <c r="AF4" s="1797" t="s">
        <v>5443</v>
      </c>
      <c r="AG4" s="1797" t="s">
        <v>5443</v>
      </c>
      <c r="AH4" s="1797" t="s">
        <v>5443</v>
      </c>
      <c r="AI4" s="1797" t="s">
        <v>5443</v>
      </c>
      <c r="AJ4" s="2131" t="s">
        <v>5444</v>
      </c>
      <c r="AK4" s="2131" t="s">
        <v>5445</v>
      </c>
      <c r="AL4" s="2131" t="s">
        <v>5446</v>
      </c>
      <c r="AM4" s="2131" t="s">
        <v>5447</v>
      </c>
      <c r="AN4" s="3206"/>
    </row>
    <row r="5" spans="1:40" ht="27" customHeight="1">
      <c r="A5" s="3194"/>
      <c r="B5" s="3207" t="s">
        <v>650</v>
      </c>
      <c r="C5" s="3208"/>
      <c r="D5" s="3209"/>
      <c r="E5" s="2133" t="s">
        <v>423</v>
      </c>
      <c r="F5" s="2133" t="s">
        <v>171</v>
      </c>
      <c r="G5" s="2133" t="s">
        <v>172</v>
      </c>
      <c r="H5" s="2133" t="s">
        <v>173</v>
      </c>
      <c r="I5" s="2133" t="s">
        <v>174</v>
      </c>
      <c r="J5" s="2133" t="s">
        <v>175</v>
      </c>
      <c r="K5" s="2133" t="s">
        <v>176</v>
      </c>
      <c r="L5" s="2133" t="s">
        <v>177</v>
      </c>
      <c r="M5" s="2133" t="s">
        <v>178</v>
      </c>
      <c r="N5" s="2133" t="s">
        <v>179</v>
      </c>
      <c r="O5" s="2133" t="s">
        <v>180</v>
      </c>
      <c r="P5" s="2133" t="s">
        <v>416</v>
      </c>
      <c r="Q5" s="2133" t="s">
        <v>417</v>
      </c>
      <c r="R5" s="2133" t="s">
        <v>418</v>
      </c>
      <c r="S5" s="2133" t="s">
        <v>419</v>
      </c>
      <c r="T5" s="2133" t="s">
        <v>420</v>
      </c>
      <c r="U5" s="2133" t="s">
        <v>424</v>
      </c>
      <c r="V5" s="2133" t="s">
        <v>425</v>
      </c>
      <c r="W5" s="2133" t="s">
        <v>426</v>
      </c>
      <c r="X5" s="2133" t="s">
        <v>427</v>
      </c>
      <c r="Y5" s="2133" t="s">
        <v>713</v>
      </c>
      <c r="Z5" s="2133" t="s">
        <v>697</v>
      </c>
      <c r="AA5" s="2133" t="s">
        <v>651</v>
      </c>
      <c r="AB5" s="2133" t="s">
        <v>652</v>
      </c>
      <c r="AC5" s="2133" t="s">
        <v>301</v>
      </c>
      <c r="AD5" s="2133" t="s">
        <v>302</v>
      </c>
      <c r="AE5" s="2133" t="s">
        <v>303</v>
      </c>
      <c r="AF5" s="2133" t="s">
        <v>304</v>
      </c>
      <c r="AG5" s="2133" t="s">
        <v>236</v>
      </c>
      <c r="AH5" s="2133" t="s">
        <v>85</v>
      </c>
      <c r="AI5" s="2133" t="s">
        <v>86</v>
      </c>
      <c r="AJ5" s="2133" t="s">
        <v>647</v>
      </c>
      <c r="AK5" s="2133" t="s">
        <v>87</v>
      </c>
      <c r="AL5" s="2133" t="s">
        <v>698</v>
      </c>
      <c r="AM5" s="2133" t="s">
        <v>699</v>
      </c>
      <c r="AN5" s="2133" t="s">
        <v>653</v>
      </c>
    </row>
    <row r="6" spans="1:40" ht="14.1" customHeight="1">
      <c r="A6" s="2134">
        <v>1</v>
      </c>
      <c r="B6" s="2125"/>
      <c r="C6" s="2135" t="s">
        <v>5448</v>
      </c>
      <c r="D6" s="2136" t="s">
        <v>5449</v>
      </c>
      <c r="E6" s="2137"/>
      <c r="F6" s="2137"/>
      <c r="G6" s="2137"/>
      <c r="H6" s="2137"/>
      <c r="I6" s="2137"/>
      <c r="J6" s="2137"/>
      <c r="K6" s="2137"/>
      <c r="L6" s="2137"/>
      <c r="M6" s="2137"/>
      <c r="N6" s="2137"/>
      <c r="O6" s="2137"/>
      <c r="P6" s="2137"/>
      <c r="Q6" s="2137"/>
      <c r="R6" s="2137"/>
      <c r="S6" s="2137"/>
      <c r="T6" s="2137"/>
      <c r="U6" s="2137"/>
      <c r="V6" s="2137"/>
      <c r="W6" s="2137"/>
      <c r="X6" s="2137"/>
      <c r="Y6" s="2138">
        <f t="shared" ref="Y6:Y51" si="0">SUM(E6:X6)</f>
        <v>0</v>
      </c>
      <c r="Z6" s="2139"/>
      <c r="AA6" s="2137"/>
      <c r="AB6" s="2139"/>
      <c r="AC6" s="2138">
        <f>+Y6-AA6</f>
        <v>0</v>
      </c>
      <c r="AD6" s="2139"/>
      <c r="AE6" s="2139"/>
      <c r="AF6" s="2139"/>
      <c r="AG6" s="2139"/>
      <c r="AH6" s="2139"/>
      <c r="AI6" s="2139"/>
      <c r="AJ6" s="2137"/>
      <c r="AK6" s="2137"/>
      <c r="AL6" s="2138">
        <f>+AJ6-AK6</f>
        <v>0</v>
      </c>
      <c r="AM6" s="2139"/>
      <c r="AN6" s="2137"/>
    </row>
    <row r="7" spans="1:40" ht="14.1" customHeight="1">
      <c r="A7" s="2134">
        <v>2</v>
      </c>
      <c r="B7" s="2130"/>
      <c r="C7" s="2140"/>
      <c r="D7" s="2141" t="s">
        <v>5450</v>
      </c>
      <c r="E7" s="2137"/>
      <c r="F7" s="2137"/>
      <c r="G7" s="2137"/>
      <c r="H7" s="2137"/>
      <c r="I7" s="2137"/>
      <c r="J7" s="2137"/>
      <c r="K7" s="2137"/>
      <c r="L7" s="2137"/>
      <c r="M7" s="2137"/>
      <c r="N7" s="2137"/>
      <c r="O7" s="2137"/>
      <c r="P7" s="2137"/>
      <c r="Q7" s="2137"/>
      <c r="R7" s="2137"/>
      <c r="S7" s="2137"/>
      <c r="T7" s="2137"/>
      <c r="U7" s="2137"/>
      <c r="V7" s="2137"/>
      <c r="W7" s="2137"/>
      <c r="X7" s="2137"/>
      <c r="Y7" s="2138">
        <f t="shared" si="0"/>
        <v>0</v>
      </c>
      <c r="Z7" s="2139"/>
      <c r="AA7" s="2137"/>
      <c r="AB7" s="2139"/>
      <c r="AC7" s="2138">
        <f t="shared" ref="AC7:AC51" si="1">+Y7-AA7</f>
        <v>0</v>
      </c>
      <c r="AD7" s="2139"/>
      <c r="AE7" s="2139"/>
      <c r="AF7" s="2139"/>
      <c r="AG7" s="2139"/>
      <c r="AH7" s="2139"/>
      <c r="AI7" s="2139"/>
      <c r="AJ7" s="2137"/>
      <c r="AK7" s="2137"/>
      <c r="AL7" s="2138">
        <f t="shared" ref="AL7:AL51" si="2">+AJ7-AK7</f>
        <v>0</v>
      </c>
      <c r="AM7" s="2139"/>
      <c r="AN7" s="2137"/>
    </row>
    <row r="8" spans="1:40" ht="14.1" customHeight="1">
      <c r="A8" s="2134">
        <v>3</v>
      </c>
      <c r="B8" s="2130" t="s">
        <v>5451</v>
      </c>
      <c r="C8" s="2140"/>
      <c r="D8" s="2136" t="s">
        <v>5452</v>
      </c>
      <c r="E8" s="2137"/>
      <c r="F8" s="2137"/>
      <c r="G8" s="2137"/>
      <c r="H8" s="2137"/>
      <c r="I8" s="2137"/>
      <c r="J8" s="2137"/>
      <c r="K8" s="2137"/>
      <c r="L8" s="2137"/>
      <c r="M8" s="2137"/>
      <c r="N8" s="2137"/>
      <c r="O8" s="2137"/>
      <c r="P8" s="2137"/>
      <c r="Q8" s="2137"/>
      <c r="R8" s="2137"/>
      <c r="S8" s="2137"/>
      <c r="T8" s="2137"/>
      <c r="U8" s="2137"/>
      <c r="V8" s="2137"/>
      <c r="W8" s="2137"/>
      <c r="X8" s="2137"/>
      <c r="Y8" s="2138">
        <f t="shared" si="0"/>
        <v>0</v>
      </c>
      <c r="Z8" s="2139"/>
      <c r="AA8" s="2137"/>
      <c r="AB8" s="2139"/>
      <c r="AC8" s="2138">
        <f t="shared" si="1"/>
        <v>0</v>
      </c>
      <c r="AD8" s="2139"/>
      <c r="AE8" s="2139"/>
      <c r="AF8" s="2139"/>
      <c r="AG8" s="2139"/>
      <c r="AH8" s="2139"/>
      <c r="AI8" s="2139"/>
      <c r="AJ8" s="2137"/>
      <c r="AK8" s="2137"/>
      <c r="AL8" s="2138">
        <f t="shared" si="2"/>
        <v>0</v>
      </c>
      <c r="AM8" s="2139"/>
      <c r="AN8" s="2137"/>
    </row>
    <row r="9" spans="1:40" ht="14.1" customHeight="1">
      <c r="A9" s="2134">
        <v>4</v>
      </c>
      <c r="B9" s="2130"/>
      <c r="C9" s="2140"/>
      <c r="D9" s="2136" t="s">
        <v>5453</v>
      </c>
      <c r="E9" s="2137"/>
      <c r="F9" s="2137"/>
      <c r="G9" s="2137"/>
      <c r="H9" s="2137"/>
      <c r="I9" s="2137"/>
      <c r="J9" s="2137"/>
      <c r="K9" s="2137"/>
      <c r="L9" s="2137"/>
      <c r="M9" s="2137"/>
      <c r="N9" s="2137"/>
      <c r="O9" s="2137"/>
      <c r="P9" s="2137"/>
      <c r="Q9" s="2137"/>
      <c r="R9" s="2137"/>
      <c r="S9" s="2137"/>
      <c r="T9" s="2137"/>
      <c r="U9" s="2137"/>
      <c r="V9" s="2137"/>
      <c r="W9" s="2137"/>
      <c r="X9" s="2137"/>
      <c r="Y9" s="2138">
        <f t="shared" si="0"/>
        <v>0</v>
      </c>
      <c r="Z9" s="2139"/>
      <c r="AA9" s="2137"/>
      <c r="AB9" s="2139"/>
      <c r="AC9" s="2138">
        <f t="shared" si="1"/>
        <v>0</v>
      </c>
      <c r="AD9" s="2139"/>
      <c r="AE9" s="2139"/>
      <c r="AF9" s="2139"/>
      <c r="AG9" s="2139"/>
      <c r="AH9" s="2139"/>
      <c r="AI9" s="2139"/>
      <c r="AJ9" s="2137"/>
      <c r="AK9" s="2137"/>
      <c r="AL9" s="2138">
        <f t="shared" si="2"/>
        <v>0</v>
      </c>
      <c r="AM9" s="2139"/>
      <c r="AN9" s="2137"/>
    </row>
    <row r="10" spans="1:40" ht="14.1" customHeight="1">
      <c r="A10" s="2134">
        <v>5</v>
      </c>
      <c r="B10" s="2130"/>
      <c r="C10" s="2142" t="s">
        <v>5454</v>
      </c>
      <c r="D10" s="2136" t="s">
        <v>4959</v>
      </c>
      <c r="E10" s="2138">
        <f>SUM(E6:E9)</f>
        <v>0</v>
      </c>
      <c r="F10" s="2138">
        <f t="shared" ref="F10:X10" si="3">SUM(F6:F9)</f>
        <v>0</v>
      </c>
      <c r="G10" s="2138">
        <f t="shared" si="3"/>
        <v>0</v>
      </c>
      <c r="H10" s="2138">
        <f t="shared" si="3"/>
        <v>0</v>
      </c>
      <c r="I10" s="2138">
        <f t="shared" si="3"/>
        <v>0</v>
      </c>
      <c r="J10" s="2138">
        <f t="shared" si="3"/>
        <v>0</v>
      </c>
      <c r="K10" s="2138">
        <f t="shared" si="3"/>
        <v>0</v>
      </c>
      <c r="L10" s="2138">
        <f t="shared" si="3"/>
        <v>0</v>
      </c>
      <c r="M10" s="2138">
        <f t="shared" si="3"/>
        <v>0</v>
      </c>
      <c r="N10" s="2138">
        <f t="shared" si="3"/>
        <v>0</v>
      </c>
      <c r="O10" s="2138">
        <f t="shared" si="3"/>
        <v>0</v>
      </c>
      <c r="P10" s="2138">
        <f t="shared" si="3"/>
        <v>0</v>
      </c>
      <c r="Q10" s="2138">
        <f t="shared" si="3"/>
        <v>0</v>
      </c>
      <c r="R10" s="2138">
        <f t="shared" si="3"/>
        <v>0</v>
      </c>
      <c r="S10" s="2138">
        <f t="shared" si="3"/>
        <v>0</v>
      </c>
      <c r="T10" s="2138">
        <f t="shared" si="3"/>
        <v>0</v>
      </c>
      <c r="U10" s="2138">
        <f t="shared" si="3"/>
        <v>0</v>
      </c>
      <c r="V10" s="2138">
        <f t="shared" si="3"/>
        <v>0</v>
      </c>
      <c r="W10" s="2138">
        <f t="shared" si="3"/>
        <v>0</v>
      </c>
      <c r="X10" s="2138">
        <f t="shared" si="3"/>
        <v>0</v>
      </c>
      <c r="Y10" s="2138">
        <f t="shared" si="0"/>
        <v>0</v>
      </c>
      <c r="Z10" s="2139"/>
      <c r="AA10" s="2137"/>
      <c r="AB10" s="2139"/>
      <c r="AC10" s="2138">
        <f t="shared" si="1"/>
        <v>0</v>
      </c>
      <c r="AD10" s="2139"/>
      <c r="AE10" s="2139"/>
      <c r="AF10" s="2139"/>
      <c r="AG10" s="2139"/>
      <c r="AH10" s="2139"/>
      <c r="AI10" s="2139"/>
      <c r="AJ10" s="2137"/>
      <c r="AK10" s="2137"/>
      <c r="AL10" s="2138">
        <f t="shared" si="2"/>
        <v>0</v>
      </c>
      <c r="AM10" s="2139"/>
      <c r="AN10" s="2137"/>
    </row>
    <row r="11" spans="1:40" ht="14.1" customHeight="1">
      <c r="A11" s="2134">
        <v>6</v>
      </c>
      <c r="B11" s="2130"/>
      <c r="D11" s="2143" t="s">
        <v>5455</v>
      </c>
      <c r="E11" s="2137"/>
      <c r="F11" s="2137"/>
      <c r="G11" s="2137"/>
      <c r="H11" s="2137"/>
      <c r="I11" s="2137"/>
      <c r="J11" s="2137"/>
      <c r="K11" s="2137"/>
      <c r="L11" s="2137"/>
      <c r="M11" s="2137"/>
      <c r="N11" s="2137"/>
      <c r="O11" s="2137"/>
      <c r="P11" s="2137"/>
      <c r="Q11" s="2137"/>
      <c r="R11" s="2137"/>
      <c r="S11" s="2137"/>
      <c r="T11" s="2137"/>
      <c r="U11" s="2137"/>
      <c r="V11" s="2137"/>
      <c r="W11" s="2137"/>
      <c r="X11" s="2137"/>
      <c r="Y11" s="2138">
        <f t="shared" si="0"/>
        <v>0</v>
      </c>
      <c r="Z11" s="2139"/>
      <c r="AA11" s="2137"/>
      <c r="AB11" s="2139"/>
      <c r="AC11" s="2138">
        <f t="shared" si="1"/>
        <v>0</v>
      </c>
      <c r="AD11" s="2139"/>
      <c r="AE11" s="2139"/>
      <c r="AF11" s="2139"/>
      <c r="AG11" s="2139"/>
      <c r="AH11" s="2139"/>
      <c r="AI11" s="2139"/>
      <c r="AJ11" s="2137"/>
      <c r="AK11" s="2137"/>
      <c r="AL11" s="2138">
        <f t="shared" si="2"/>
        <v>0</v>
      </c>
      <c r="AM11" s="2139"/>
      <c r="AN11" s="2137"/>
    </row>
    <row r="12" spans="1:40" ht="14.1" customHeight="1">
      <c r="A12" s="2134">
        <v>7</v>
      </c>
      <c r="B12" s="2130" t="s">
        <v>5456</v>
      </c>
      <c r="C12" s="2140" t="s">
        <v>5457</v>
      </c>
      <c r="D12" s="2144" t="s">
        <v>5458</v>
      </c>
      <c r="E12" s="2137"/>
      <c r="F12" s="2137"/>
      <c r="G12" s="2137"/>
      <c r="H12" s="2137"/>
      <c r="I12" s="2137"/>
      <c r="J12" s="2137"/>
      <c r="K12" s="2137"/>
      <c r="L12" s="2137"/>
      <c r="M12" s="2137"/>
      <c r="N12" s="2137"/>
      <c r="O12" s="2137"/>
      <c r="P12" s="2137"/>
      <c r="Q12" s="2137"/>
      <c r="R12" s="2137"/>
      <c r="S12" s="2137"/>
      <c r="T12" s="2137"/>
      <c r="U12" s="2137"/>
      <c r="V12" s="2137"/>
      <c r="W12" s="2137"/>
      <c r="X12" s="2137"/>
      <c r="Y12" s="2138">
        <f t="shared" si="0"/>
        <v>0</v>
      </c>
      <c r="Z12" s="2139"/>
      <c r="AA12" s="2137"/>
      <c r="AB12" s="2139"/>
      <c r="AC12" s="2138">
        <f t="shared" si="1"/>
        <v>0</v>
      </c>
      <c r="AD12" s="2139"/>
      <c r="AE12" s="2139"/>
      <c r="AF12" s="2139"/>
      <c r="AG12" s="2139"/>
      <c r="AH12" s="2139"/>
      <c r="AI12" s="2139"/>
      <c r="AJ12" s="2137"/>
      <c r="AK12" s="2137"/>
      <c r="AL12" s="2138">
        <f t="shared" si="2"/>
        <v>0</v>
      </c>
      <c r="AM12" s="2139"/>
      <c r="AN12" s="2137"/>
    </row>
    <row r="13" spans="1:40" ht="14.1" customHeight="1">
      <c r="A13" s="2134">
        <v>8</v>
      </c>
      <c r="B13" s="2130"/>
      <c r="C13" s="2140" t="s">
        <v>5459</v>
      </c>
      <c r="D13" s="2127" t="s">
        <v>5460</v>
      </c>
      <c r="E13" s="2137"/>
      <c r="F13" s="2137"/>
      <c r="G13" s="2137"/>
      <c r="H13" s="2137"/>
      <c r="I13" s="2137"/>
      <c r="J13" s="2137"/>
      <c r="K13" s="2137"/>
      <c r="L13" s="2137"/>
      <c r="M13" s="2137"/>
      <c r="N13" s="2137"/>
      <c r="O13" s="2137"/>
      <c r="P13" s="2137"/>
      <c r="Q13" s="2137"/>
      <c r="R13" s="2137"/>
      <c r="S13" s="2137"/>
      <c r="T13" s="2137"/>
      <c r="U13" s="2137"/>
      <c r="V13" s="2137"/>
      <c r="W13" s="2137"/>
      <c r="X13" s="2137"/>
      <c r="Y13" s="2138">
        <f t="shared" si="0"/>
        <v>0</v>
      </c>
      <c r="Z13" s="2139"/>
      <c r="AA13" s="2137"/>
      <c r="AB13" s="2139"/>
      <c r="AC13" s="2138">
        <f t="shared" si="1"/>
        <v>0</v>
      </c>
      <c r="AD13" s="2139"/>
      <c r="AE13" s="2139"/>
      <c r="AF13" s="2139"/>
      <c r="AG13" s="2139"/>
      <c r="AH13" s="2139"/>
      <c r="AI13" s="2139"/>
      <c r="AJ13" s="2137"/>
      <c r="AK13" s="2137"/>
      <c r="AL13" s="2138">
        <f t="shared" si="2"/>
        <v>0</v>
      </c>
      <c r="AM13" s="2139"/>
      <c r="AN13" s="2137"/>
    </row>
    <row r="14" spans="1:40" ht="14.1" customHeight="1">
      <c r="A14" s="2134">
        <v>9</v>
      </c>
      <c r="B14" s="2130"/>
      <c r="C14" s="2140" t="s">
        <v>5461</v>
      </c>
      <c r="D14" s="2144" t="s">
        <v>5462</v>
      </c>
      <c r="E14" s="2137"/>
      <c r="F14" s="2137"/>
      <c r="G14" s="2137"/>
      <c r="H14" s="2137"/>
      <c r="I14" s="2137"/>
      <c r="J14" s="2137"/>
      <c r="K14" s="2137"/>
      <c r="L14" s="2137"/>
      <c r="M14" s="2137"/>
      <c r="N14" s="2137"/>
      <c r="O14" s="2137"/>
      <c r="P14" s="2137"/>
      <c r="Q14" s="2137"/>
      <c r="R14" s="2137"/>
      <c r="S14" s="2137"/>
      <c r="T14" s="2137"/>
      <c r="U14" s="2137"/>
      <c r="V14" s="2137"/>
      <c r="W14" s="2137"/>
      <c r="X14" s="2137"/>
      <c r="Y14" s="2138">
        <f t="shared" si="0"/>
        <v>0</v>
      </c>
      <c r="Z14" s="2139"/>
      <c r="AA14" s="2137"/>
      <c r="AB14" s="2139"/>
      <c r="AC14" s="2138">
        <f t="shared" si="1"/>
        <v>0</v>
      </c>
      <c r="AD14" s="2139"/>
      <c r="AE14" s="2139"/>
      <c r="AF14" s="2139"/>
      <c r="AG14" s="2139"/>
      <c r="AH14" s="2139"/>
      <c r="AI14" s="2139"/>
      <c r="AJ14" s="2137"/>
      <c r="AK14" s="2137"/>
      <c r="AL14" s="2138">
        <f t="shared" si="2"/>
        <v>0</v>
      </c>
      <c r="AM14" s="2139"/>
      <c r="AN14" s="2137"/>
    </row>
    <row r="15" spans="1:40" ht="14.1" customHeight="1">
      <c r="A15" s="2134">
        <v>10</v>
      </c>
      <c r="B15" s="2130"/>
      <c r="C15" s="2140" t="s">
        <v>5463</v>
      </c>
      <c r="D15" s="2144" t="s">
        <v>5464</v>
      </c>
      <c r="E15" s="2137"/>
      <c r="F15" s="2137"/>
      <c r="G15" s="2137"/>
      <c r="H15" s="2137"/>
      <c r="I15" s="2137"/>
      <c r="J15" s="2137"/>
      <c r="K15" s="2137"/>
      <c r="L15" s="2137"/>
      <c r="M15" s="2137"/>
      <c r="N15" s="2137"/>
      <c r="O15" s="2137"/>
      <c r="P15" s="2137"/>
      <c r="Q15" s="2137"/>
      <c r="R15" s="2137"/>
      <c r="S15" s="2137"/>
      <c r="T15" s="2137"/>
      <c r="U15" s="2137"/>
      <c r="V15" s="2137"/>
      <c r="W15" s="2137"/>
      <c r="X15" s="2137"/>
      <c r="Y15" s="2138">
        <f t="shared" si="0"/>
        <v>0</v>
      </c>
      <c r="Z15" s="2139"/>
      <c r="AA15" s="2137"/>
      <c r="AB15" s="2139"/>
      <c r="AC15" s="2138">
        <f t="shared" si="1"/>
        <v>0</v>
      </c>
      <c r="AD15" s="2139"/>
      <c r="AE15" s="2139"/>
      <c r="AF15" s="2139"/>
      <c r="AG15" s="2139"/>
      <c r="AH15" s="2139"/>
      <c r="AI15" s="2139"/>
      <c r="AJ15" s="2137"/>
      <c r="AK15" s="2137"/>
      <c r="AL15" s="2138">
        <f t="shared" si="2"/>
        <v>0</v>
      </c>
      <c r="AM15" s="2139"/>
      <c r="AN15" s="2137"/>
    </row>
    <row r="16" spans="1:40" ht="14.1" customHeight="1">
      <c r="A16" s="2134">
        <v>11</v>
      </c>
      <c r="B16" s="2130" t="s">
        <v>5465</v>
      </c>
      <c r="C16" s="2142"/>
      <c r="D16" s="2129" t="s">
        <v>5093</v>
      </c>
      <c r="E16" s="2138">
        <f>SUM(E11:E15)</f>
        <v>0</v>
      </c>
      <c r="F16" s="2138">
        <f t="shared" ref="F16:X16" si="4">SUM(F11:F15)</f>
        <v>0</v>
      </c>
      <c r="G16" s="2138">
        <f t="shared" si="4"/>
        <v>0</v>
      </c>
      <c r="H16" s="2138">
        <f t="shared" si="4"/>
        <v>0</v>
      </c>
      <c r="I16" s="2138">
        <f t="shared" si="4"/>
        <v>0</v>
      </c>
      <c r="J16" s="2138">
        <f t="shared" si="4"/>
        <v>0</v>
      </c>
      <c r="K16" s="2138">
        <f t="shared" si="4"/>
        <v>0</v>
      </c>
      <c r="L16" s="2138">
        <f t="shared" si="4"/>
        <v>0</v>
      </c>
      <c r="M16" s="2138">
        <f t="shared" si="4"/>
        <v>0</v>
      </c>
      <c r="N16" s="2138">
        <f t="shared" si="4"/>
        <v>0</v>
      </c>
      <c r="O16" s="2138">
        <f t="shared" si="4"/>
        <v>0</v>
      </c>
      <c r="P16" s="2138">
        <f t="shared" si="4"/>
        <v>0</v>
      </c>
      <c r="Q16" s="2138">
        <f t="shared" si="4"/>
        <v>0</v>
      </c>
      <c r="R16" s="2138">
        <f t="shared" si="4"/>
        <v>0</v>
      </c>
      <c r="S16" s="2138">
        <f t="shared" si="4"/>
        <v>0</v>
      </c>
      <c r="T16" s="2138">
        <f t="shared" si="4"/>
        <v>0</v>
      </c>
      <c r="U16" s="2138">
        <f t="shared" si="4"/>
        <v>0</v>
      </c>
      <c r="V16" s="2138">
        <f t="shared" si="4"/>
        <v>0</v>
      </c>
      <c r="W16" s="2138">
        <f t="shared" si="4"/>
        <v>0</v>
      </c>
      <c r="X16" s="2138">
        <f t="shared" si="4"/>
        <v>0</v>
      </c>
      <c r="Y16" s="2138">
        <f t="shared" si="0"/>
        <v>0</v>
      </c>
      <c r="Z16" s="2139"/>
      <c r="AA16" s="2137"/>
      <c r="AB16" s="2139"/>
      <c r="AC16" s="2138">
        <f t="shared" si="1"/>
        <v>0</v>
      </c>
      <c r="AD16" s="2139"/>
      <c r="AE16" s="2139"/>
      <c r="AF16" s="2139"/>
      <c r="AG16" s="2139"/>
      <c r="AH16" s="2139"/>
      <c r="AI16" s="2139"/>
      <c r="AJ16" s="2137"/>
      <c r="AK16" s="2137"/>
      <c r="AL16" s="2138">
        <f t="shared" si="2"/>
        <v>0</v>
      </c>
      <c r="AM16" s="2139"/>
      <c r="AN16" s="2137"/>
    </row>
    <row r="17" spans="1:40" ht="14.1" customHeight="1">
      <c r="A17" s="2134">
        <v>12</v>
      </c>
      <c r="B17" s="2130"/>
      <c r="C17" s="2140" t="s">
        <v>5466</v>
      </c>
      <c r="D17" s="2144" t="s">
        <v>5467</v>
      </c>
      <c r="E17" s="2137"/>
      <c r="F17" s="2137"/>
      <c r="G17" s="2137"/>
      <c r="H17" s="2137"/>
      <c r="I17" s="2137"/>
      <c r="J17" s="2137"/>
      <c r="K17" s="2137"/>
      <c r="L17" s="2137"/>
      <c r="M17" s="2137"/>
      <c r="N17" s="2137"/>
      <c r="O17" s="2137"/>
      <c r="P17" s="2137"/>
      <c r="Q17" s="2137"/>
      <c r="R17" s="2137"/>
      <c r="S17" s="2137"/>
      <c r="T17" s="2137"/>
      <c r="U17" s="2137"/>
      <c r="V17" s="2137"/>
      <c r="W17" s="2137"/>
      <c r="X17" s="2137"/>
      <c r="Y17" s="2138">
        <f t="shared" si="0"/>
        <v>0</v>
      </c>
      <c r="Z17" s="2139"/>
      <c r="AA17" s="2137"/>
      <c r="AB17" s="2139"/>
      <c r="AC17" s="2138">
        <f t="shared" si="1"/>
        <v>0</v>
      </c>
      <c r="AD17" s="2139"/>
      <c r="AE17" s="2139"/>
      <c r="AF17" s="2139"/>
      <c r="AG17" s="2139"/>
      <c r="AH17" s="2139"/>
      <c r="AI17" s="2139"/>
      <c r="AJ17" s="2137"/>
      <c r="AK17" s="2137"/>
      <c r="AL17" s="2138">
        <f t="shared" si="2"/>
        <v>0</v>
      </c>
      <c r="AM17" s="2139"/>
      <c r="AN17" s="2137"/>
    </row>
    <row r="18" spans="1:40" ht="14.1" customHeight="1">
      <c r="A18" s="2134">
        <v>13</v>
      </c>
      <c r="B18" s="2130"/>
      <c r="C18" s="2140" t="s">
        <v>5468</v>
      </c>
      <c r="D18" s="2144" t="s">
        <v>5469</v>
      </c>
      <c r="E18" s="2137"/>
      <c r="F18" s="2137"/>
      <c r="G18" s="2137"/>
      <c r="H18" s="2137"/>
      <c r="I18" s="2137"/>
      <c r="J18" s="2137"/>
      <c r="K18" s="2137"/>
      <c r="L18" s="2137"/>
      <c r="M18" s="2137"/>
      <c r="N18" s="2137"/>
      <c r="O18" s="2137"/>
      <c r="P18" s="2137"/>
      <c r="Q18" s="2137"/>
      <c r="R18" s="2137"/>
      <c r="S18" s="2137"/>
      <c r="T18" s="2137"/>
      <c r="U18" s="2137"/>
      <c r="V18" s="2137"/>
      <c r="W18" s="2137"/>
      <c r="X18" s="2137"/>
      <c r="Y18" s="2138">
        <f t="shared" si="0"/>
        <v>0</v>
      </c>
      <c r="Z18" s="2139"/>
      <c r="AA18" s="2137"/>
      <c r="AB18" s="2139"/>
      <c r="AC18" s="2138">
        <f t="shared" si="1"/>
        <v>0</v>
      </c>
      <c r="AD18" s="2139"/>
      <c r="AE18" s="2139"/>
      <c r="AF18" s="2139"/>
      <c r="AG18" s="2139"/>
      <c r="AH18" s="2139"/>
      <c r="AI18" s="2139"/>
      <c r="AJ18" s="2137"/>
      <c r="AK18" s="2137"/>
      <c r="AL18" s="2138">
        <f t="shared" si="2"/>
        <v>0</v>
      </c>
      <c r="AM18" s="2139"/>
      <c r="AN18" s="2137"/>
    </row>
    <row r="19" spans="1:40" ht="14.1" customHeight="1">
      <c r="A19" s="2134">
        <v>14</v>
      </c>
      <c r="B19" s="2130"/>
      <c r="C19" s="2140" t="s">
        <v>5470</v>
      </c>
      <c r="D19" s="2144" t="s">
        <v>5453</v>
      </c>
      <c r="E19" s="2137"/>
      <c r="F19" s="2137"/>
      <c r="G19" s="2137"/>
      <c r="H19" s="2137"/>
      <c r="I19" s="2137"/>
      <c r="J19" s="2137"/>
      <c r="K19" s="2137"/>
      <c r="L19" s="2137"/>
      <c r="M19" s="2137"/>
      <c r="N19" s="2137"/>
      <c r="O19" s="2137"/>
      <c r="P19" s="2137"/>
      <c r="Q19" s="2137"/>
      <c r="R19" s="2137"/>
      <c r="S19" s="2137"/>
      <c r="T19" s="2137"/>
      <c r="U19" s="2137"/>
      <c r="V19" s="2137"/>
      <c r="W19" s="2137"/>
      <c r="X19" s="2137"/>
      <c r="Y19" s="2138">
        <f t="shared" si="0"/>
        <v>0</v>
      </c>
      <c r="Z19" s="2139"/>
      <c r="AA19" s="2137"/>
      <c r="AB19" s="2139"/>
      <c r="AC19" s="2138">
        <f t="shared" si="1"/>
        <v>0</v>
      </c>
      <c r="AD19" s="2139"/>
      <c r="AE19" s="2139"/>
      <c r="AF19" s="2139"/>
      <c r="AG19" s="2139"/>
      <c r="AH19" s="2139"/>
      <c r="AI19" s="2139"/>
      <c r="AJ19" s="2137"/>
      <c r="AK19" s="2137"/>
      <c r="AL19" s="2138">
        <f t="shared" si="2"/>
        <v>0</v>
      </c>
      <c r="AM19" s="2139"/>
      <c r="AN19" s="2137"/>
    </row>
    <row r="20" spans="1:40" ht="14.1" customHeight="1">
      <c r="A20" s="2134">
        <v>15</v>
      </c>
      <c r="B20" s="2130" t="s">
        <v>5471</v>
      </c>
      <c r="C20" s="2142"/>
      <c r="D20" s="2129" t="s">
        <v>5093</v>
      </c>
      <c r="E20" s="2138">
        <f>SUM(E17:E19)</f>
        <v>0</v>
      </c>
      <c r="F20" s="2138">
        <f t="shared" ref="F20:X20" si="5">SUM(F17:F19)</f>
        <v>0</v>
      </c>
      <c r="G20" s="2138">
        <f t="shared" si="5"/>
        <v>0</v>
      </c>
      <c r="H20" s="2138">
        <f t="shared" si="5"/>
        <v>0</v>
      </c>
      <c r="I20" s="2138">
        <f t="shared" si="5"/>
        <v>0</v>
      </c>
      <c r="J20" s="2138">
        <f t="shared" si="5"/>
        <v>0</v>
      </c>
      <c r="K20" s="2138">
        <f t="shared" si="5"/>
        <v>0</v>
      </c>
      <c r="L20" s="2138">
        <f t="shared" si="5"/>
        <v>0</v>
      </c>
      <c r="M20" s="2138">
        <f t="shared" si="5"/>
        <v>0</v>
      </c>
      <c r="N20" s="2138">
        <f t="shared" si="5"/>
        <v>0</v>
      </c>
      <c r="O20" s="2138">
        <f t="shared" si="5"/>
        <v>0</v>
      </c>
      <c r="P20" s="2138">
        <f t="shared" si="5"/>
        <v>0</v>
      </c>
      <c r="Q20" s="2138">
        <f t="shared" si="5"/>
        <v>0</v>
      </c>
      <c r="R20" s="2138">
        <f t="shared" si="5"/>
        <v>0</v>
      </c>
      <c r="S20" s="2138">
        <f t="shared" si="5"/>
        <v>0</v>
      </c>
      <c r="T20" s="2138">
        <f t="shared" si="5"/>
        <v>0</v>
      </c>
      <c r="U20" s="2138">
        <f t="shared" si="5"/>
        <v>0</v>
      </c>
      <c r="V20" s="2138">
        <f t="shared" si="5"/>
        <v>0</v>
      </c>
      <c r="W20" s="2138">
        <f t="shared" si="5"/>
        <v>0</v>
      </c>
      <c r="X20" s="2138">
        <f t="shared" si="5"/>
        <v>0</v>
      </c>
      <c r="Y20" s="2138">
        <f t="shared" si="0"/>
        <v>0</v>
      </c>
      <c r="Z20" s="2139"/>
      <c r="AA20" s="2137"/>
      <c r="AB20" s="2139"/>
      <c r="AC20" s="2138">
        <f t="shared" si="1"/>
        <v>0</v>
      </c>
      <c r="AD20" s="2139"/>
      <c r="AE20" s="2139"/>
      <c r="AF20" s="2139"/>
      <c r="AG20" s="2139"/>
      <c r="AH20" s="2139"/>
      <c r="AI20" s="2139"/>
      <c r="AJ20" s="2137"/>
      <c r="AK20" s="2137"/>
      <c r="AL20" s="2138">
        <f t="shared" si="2"/>
        <v>0</v>
      </c>
      <c r="AM20" s="2139"/>
      <c r="AN20" s="2137"/>
    </row>
    <row r="21" spans="1:40" ht="14.1" customHeight="1">
      <c r="A21" s="2134">
        <v>16</v>
      </c>
      <c r="B21" s="2130"/>
      <c r="C21" s="2140" t="s">
        <v>5472</v>
      </c>
      <c r="D21" s="2145" t="s">
        <v>5473</v>
      </c>
      <c r="E21" s="2137"/>
      <c r="F21" s="2137"/>
      <c r="G21" s="2137"/>
      <c r="H21" s="2137"/>
      <c r="I21" s="2137"/>
      <c r="J21" s="2137"/>
      <c r="K21" s="2137"/>
      <c r="L21" s="2137"/>
      <c r="M21" s="2137"/>
      <c r="N21" s="2137"/>
      <c r="O21" s="2137"/>
      <c r="P21" s="2137"/>
      <c r="Q21" s="2137"/>
      <c r="R21" s="2137"/>
      <c r="S21" s="2137"/>
      <c r="T21" s="2137"/>
      <c r="U21" s="2137"/>
      <c r="V21" s="2137"/>
      <c r="W21" s="2137"/>
      <c r="X21" s="2137"/>
      <c r="Y21" s="2138">
        <f t="shared" si="0"/>
        <v>0</v>
      </c>
      <c r="Z21" s="2139"/>
      <c r="AA21" s="2137"/>
      <c r="AB21" s="2139"/>
      <c r="AC21" s="2138">
        <f t="shared" si="1"/>
        <v>0</v>
      </c>
      <c r="AD21" s="2139"/>
      <c r="AE21" s="2139"/>
      <c r="AF21" s="2139"/>
      <c r="AG21" s="2139"/>
      <c r="AH21" s="2139"/>
      <c r="AI21" s="2139"/>
      <c r="AJ21" s="2137"/>
      <c r="AK21" s="2137"/>
      <c r="AL21" s="2138">
        <f t="shared" si="2"/>
        <v>0</v>
      </c>
      <c r="AM21" s="2139"/>
      <c r="AN21" s="2137"/>
    </row>
    <row r="22" spans="1:40" ht="14.1" customHeight="1">
      <c r="A22" s="2134">
        <v>17</v>
      </c>
      <c r="B22" s="2130"/>
      <c r="C22" s="2140"/>
      <c r="D22" s="2136" t="s">
        <v>5474</v>
      </c>
      <c r="E22" s="2137"/>
      <c r="F22" s="2137"/>
      <c r="G22" s="2137"/>
      <c r="H22" s="2137"/>
      <c r="I22" s="2137"/>
      <c r="J22" s="2137"/>
      <c r="K22" s="2137"/>
      <c r="L22" s="2137"/>
      <c r="M22" s="2137"/>
      <c r="N22" s="2137"/>
      <c r="O22" s="2137"/>
      <c r="P22" s="2137"/>
      <c r="Q22" s="2137"/>
      <c r="R22" s="2137"/>
      <c r="S22" s="2137"/>
      <c r="T22" s="2137"/>
      <c r="U22" s="2137"/>
      <c r="V22" s="2137"/>
      <c r="W22" s="2137"/>
      <c r="X22" s="2137"/>
      <c r="Y22" s="2138">
        <f t="shared" si="0"/>
        <v>0</v>
      </c>
      <c r="Z22" s="2139"/>
      <c r="AA22" s="2137"/>
      <c r="AB22" s="2139"/>
      <c r="AC22" s="2138">
        <f t="shared" si="1"/>
        <v>0</v>
      </c>
      <c r="AD22" s="2139"/>
      <c r="AE22" s="2139"/>
      <c r="AF22" s="2139"/>
      <c r="AG22" s="2139"/>
      <c r="AH22" s="2139"/>
      <c r="AI22" s="2139"/>
      <c r="AJ22" s="2137"/>
      <c r="AK22" s="2137"/>
      <c r="AL22" s="2138">
        <f t="shared" si="2"/>
        <v>0</v>
      </c>
      <c r="AM22" s="2139"/>
      <c r="AN22" s="2137"/>
    </row>
    <row r="23" spans="1:40" ht="14.1" customHeight="1">
      <c r="A23" s="2134">
        <v>18</v>
      </c>
      <c r="B23" s="2130"/>
      <c r="C23" s="2142" t="s">
        <v>5475</v>
      </c>
      <c r="D23" s="2136" t="s">
        <v>4959</v>
      </c>
      <c r="E23" s="2138">
        <f>SUM(E21:E22)</f>
        <v>0</v>
      </c>
      <c r="F23" s="2138">
        <f t="shared" ref="F23:X23" si="6">SUM(F21:F22)</f>
        <v>0</v>
      </c>
      <c r="G23" s="2138">
        <f t="shared" si="6"/>
        <v>0</v>
      </c>
      <c r="H23" s="2138">
        <f t="shared" si="6"/>
        <v>0</v>
      </c>
      <c r="I23" s="2138">
        <f t="shared" si="6"/>
        <v>0</v>
      </c>
      <c r="J23" s="2138">
        <f t="shared" si="6"/>
        <v>0</v>
      </c>
      <c r="K23" s="2138">
        <f t="shared" si="6"/>
        <v>0</v>
      </c>
      <c r="L23" s="2138">
        <f t="shared" si="6"/>
        <v>0</v>
      </c>
      <c r="M23" s="2138">
        <f t="shared" si="6"/>
        <v>0</v>
      </c>
      <c r="N23" s="2138">
        <f t="shared" si="6"/>
        <v>0</v>
      </c>
      <c r="O23" s="2138">
        <f t="shared" si="6"/>
        <v>0</v>
      </c>
      <c r="P23" s="2138">
        <f t="shared" si="6"/>
        <v>0</v>
      </c>
      <c r="Q23" s="2138">
        <f t="shared" si="6"/>
        <v>0</v>
      </c>
      <c r="R23" s="2138">
        <f t="shared" si="6"/>
        <v>0</v>
      </c>
      <c r="S23" s="2138">
        <f t="shared" si="6"/>
        <v>0</v>
      </c>
      <c r="T23" s="2138">
        <f t="shared" si="6"/>
        <v>0</v>
      </c>
      <c r="U23" s="2138">
        <f t="shared" si="6"/>
        <v>0</v>
      </c>
      <c r="V23" s="2138">
        <f t="shared" si="6"/>
        <v>0</v>
      </c>
      <c r="W23" s="2138">
        <f t="shared" si="6"/>
        <v>0</v>
      </c>
      <c r="X23" s="2138">
        <f t="shared" si="6"/>
        <v>0</v>
      </c>
      <c r="Y23" s="2138">
        <f t="shared" si="0"/>
        <v>0</v>
      </c>
      <c r="Z23" s="2139"/>
      <c r="AA23" s="2137"/>
      <c r="AB23" s="2139"/>
      <c r="AC23" s="2138">
        <f t="shared" si="1"/>
        <v>0</v>
      </c>
      <c r="AD23" s="2139"/>
      <c r="AE23" s="2139"/>
      <c r="AF23" s="2139"/>
      <c r="AG23" s="2139"/>
      <c r="AH23" s="2139"/>
      <c r="AI23" s="2139"/>
      <c r="AJ23" s="2137"/>
      <c r="AK23" s="2137"/>
      <c r="AL23" s="2138">
        <f t="shared" si="2"/>
        <v>0</v>
      </c>
      <c r="AM23" s="2139"/>
      <c r="AN23" s="2137"/>
    </row>
    <row r="24" spans="1:40" ht="14.1" customHeight="1">
      <c r="A24" s="2134">
        <v>19</v>
      </c>
      <c r="B24" s="2130"/>
      <c r="C24" s="3201" t="s">
        <v>5476</v>
      </c>
      <c r="D24" s="3203"/>
      <c r="E24" s="2137"/>
      <c r="F24" s="2137"/>
      <c r="G24" s="2137"/>
      <c r="H24" s="2137"/>
      <c r="I24" s="2137"/>
      <c r="J24" s="2137"/>
      <c r="K24" s="2137"/>
      <c r="L24" s="2137"/>
      <c r="M24" s="2137"/>
      <c r="N24" s="2137"/>
      <c r="O24" s="2137"/>
      <c r="P24" s="2137"/>
      <c r="Q24" s="2137"/>
      <c r="R24" s="2137"/>
      <c r="S24" s="2137"/>
      <c r="T24" s="2137"/>
      <c r="U24" s="2137"/>
      <c r="V24" s="2137"/>
      <c r="W24" s="2137"/>
      <c r="X24" s="2137"/>
      <c r="Y24" s="2138">
        <f t="shared" si="0"/>
        <v>0</v>
      </c>
      <c r="Z24" s="2139"/>
      <c r="AA24" s="2137"/>
      <c r="AB24" s="2139"/>
      <c r="AC24" s="2138">
        <f t="shared" si="1"/>
        <v>0</v>
      </c>
      <c r="AD24" s="2139"/>
      <c r="AE24" s="2139"/>
      <c r="AF24" s="2139"/>
      <c r="AG24" s="2139"/>
      <c r="AH24" s="2139"/>
      <c r="AI24" s="2139"/>
      <c r="AJ24" s="2137"/>
      <c r="AK24" s="2137"/>
      <c r="AL24" s="2138">
        <f t="shared" si="2"/>
        <v>0</v>
      </c>
      <c r="AM24" s="2139"/>
      <c r="AN24" s="2137"/>
    </row>
    <row r="25" spans="1:40" ht="14.1" customHeight="1">
      <c r="A25" s="2134">
        <v>20</v>
      </c>
      <c r="B25" s="2130"/>
      <c r="C25" s="3201" t="s">
        <v>5477</v>
      </c>
      <c r="D25" s="3203"/>
      <c r="E25" s="2138">
        <f>+E10+E16+E20+E23+E24</f>
        <v>0</v>
      </c>
      <c r="F25" s="2138">
        <f t="shared" ref="F25:X25" si="7">+F10+F16+F20+F23+F24</f>
        <v>0</v>
      </c>
      <c r="G25" s="2138">
        <f t="shared" si="7"/>
        <v>0</v>
      </c>
      <c r="H25" s="2138">
        <f t="shared" si="7"/>
        <v>0</v>
      </c>
      <c r="I25" s="2138">
        <f t="shared" si="7"/>
        <v>0</v>
      </c>
      <c r="J25" s="2138">
        <f t="shared" si="7"/>
        <v>0</v>
      </c>
      <c r="K25" s="2138">
        <f t="shared" si="7"/>
        <v>0</v>
      </c>
      <c r="L25" s="2138">
        <f t="shared" si="7"/>
        <v>0</v>
      </c>
      <c r="M25" s="2138">
        <f t="shared" si="7"/>
        <v>0</v>
      </c>
      <c r="N25" s="2138">
        <f t="shared" si="7"/>
        <v>0</v>
      </c>
      <c r="O25" s="2138">
        <f t="shared" si="7"/>
        <v>0</v>
      </c>
      <c r="P25" s="2138">
        <f t="shared" si="7"/>
        <v>0</v>
      </c>
      <c r="Q25" s="2138">
        <f t="shared" si="7"/>
        <v>0</v>
      </c>
      <c r="R25" s="2138">
        <f t="shared" si="7"/>
        <v>0</v>
      </c>
      <c r="S25" s="2138">
        <f t="shared" si="7"/>
        <v>0</v>
      </c>
      <c r="T25" s="2138">
        <f t="shared" si="7"/>
        <v>0</v>
      </c>
      <c r="U25" s="2138">
        <f t="shared" si="7"/>
        <v>0</v>
      </c>
      <c r="V25" s="2138">
        <f t="shared" si="7"/>
        <v>0</v>
      </c>
      <c r="W25" s="2138">
        <f t="shared" si="7"/>
        <v>0</v>
      </c>
      <c r="X25" s="2138">
        <f t="shared" si="7"/>
        <v>0</v>
      </c>
      <c r="Y25" s="2138">
        <f t="shared" si="0"/>
        <v>0</v>
      </c>
      <c r="Z25" s="2139"/>
      <c r="AA25" s="2137"/>
      <c r="AB25" s="2139"/>
      <c r="AC25" s="2138">
        <f t="shared" si="1"/>
        <v>0</v>
      </c>
      <c r="AD25" s="2139"/>
      <c r="AE25" s="2139"/>
      <c r="AF25" s="2139"/>
      <c r="AG25" s="2139"/>
      <c r="AH25" s="2139"/>
      <c r="AI25" s="2139"/>
      <c r="AJ25" s="2137"/>
      <c r="AK25" s="2137"/>
      <c r="AL25" s="2138">
        <f t="shared" si="2"/>
        <v>0</v>
      </c>
      <c r="AM25" s="2139"/>
      <c r="AN25" s="2137"/>
    </row>
    <row r="26" spans="1:40" ht="14.1" customHeight="1">
      <c r="A26" s="2134">
        <v>21</v>
      </c>
      <c r="B26" s="2125"/>
      <c r="C26" s="2135" t="s">
        <v>5448</v>
      </c>
      <c r="D26" s="2136" t="s">
        <v>5449</v>
      </c>
      <c r="E26" s="2137"/>
      <c r="F26" s="2137"/>
      <c r="G26" s="2137"/>
      <c r="H26" s="2137"/>
      <c r="I26" s="2137"/>
      <c r="J26" s="2137"/>
      <c r="K26" s="2137"/>
      <c r="L26" s="2137"/>
      <c r="M26" s="2137"/>
      <c r="N26" s="2137"/>
      <c r="O26" s="2137"/>
      <c r="P26" s="2137"/>
      <c r="Q26" s="2137"/>
      <c r="R26" s="2137"/>
      <c r="S26" s="2137"/>
      <c r="T26" s="2137"/>
      <c r="U26" s="2137"/>
      <c r="V26" s="2137"/>
      <c r="W26" s="2137"/>
      <c r="X26" s="2137"/>
      <c r="Y26" s="2138">
        <f t="shared" si="0"/>
        <v>0</v>
      </c>
      <c r="Z26" s="2139"/>
      <c r="AA26" s="2137"/>
      <c r="AB26" s="2139"/>
      <c r="AC26" s="2138">
        <f t="shared" si="1"/>
        <v>0</v>
      </c>
      <c r="AD26" s="2139"/>
      <c r="AE26" s="2139"/>
      <c r="AF26" s="2139"/>
      <c r="AG26" s="2139"/>
      <c r="AH26" s="2139"/>
      <c r="AI26" s="2139"/>
      <c r="AJ26" s="2137"/>
      <c r="AK26" s="2137"/>
      <c r="AL26" s="2138">
        <f t="shared" si="2"/>
        <v>0</v>
      </c>
      <c r="AM26" s="2139"/>
      <c r="AN26" s="2137"/>
    </row>
    <row r="27" spans="1:40" ht="14.1" customHeight="1">
      <c r="A27" s="2134">
        <v>22</v>
      </c>
      <c r="B27" s="2130"/>
      <c r="C27" s="2140"/>
      <c r="D27" s="2141" t="s">
        <v>5450</v>
      </c>
      <c r="E27" s="2137"/>
      <c r="F27" s="2137"/>
      <c r="G27" s="2137"/>
      <c r="H27" s="2137"/>
      <c r="I27" s="2137"/>
      <c r="J27" s="2137"/>
      <c r="K27" s="2137"/>
      <c r="L27" s="2137"/>
      <c r="M27" s="2137"/>
      <c r="N27" s="2137"/>
      <c r="O27" s="2137"/>
      <c r="P27" s="2137"/>
      <c r="Q27" s="2137"/>
      <c r="R27" s="2137"/>
      <c r="S27" s="2137"/>
      <c r="T27" s="2137"/>
      <c r="U27" s="2137"/>
      <c r="V27" s="2137"/>
      <c r="W27" s="2137"/>
      <c r="X27" s="2137"/>
      <c r="Y27" s="2138">
        <f t="shared" si="0"/>
        <v>0</v>
      </c>
      <c r="Z27" s="2139"/>
      <c r="AA27" s="2137"/>
      <c r="AB27" s="2139"/>
      <c r="AC27" s="2138">
        <f t="shared" si="1"/>
        <v>0</v>
      </c>
      <c r="AD27" s="2139"/>
      <c r="AE27" s="2139"/>
      <c r="AF27" s="2139"/>
      <c r="AG27" s="2139"/>
      <c r="AH27" s="2139"/>
      <c r="AI27" s="2139"/>
      <c r="AJ27" s="2137"/>
      <c r="AK27" s="2137"/>
      <c r="AL27" s="2138">
        <f t="shared" si="2"/>
        <v>0</v>
      </c>
      <c r="AM27" s="2139"/>
      <c r="AN27" s="2137"/>
    </row>
    <row r="28" spans="1:40" ht="14.1" customHeight="1">
      <c r="A28" s="2134">
        <v>23</v>
      </c>
      <c r="B28" s="2130" t="s">
        <v>5451</v>
      </c>
      <c r="C28" s="2140"/>
      <c r="D28" s="2136" t="s">
        <v>5452</v>
      </c>
      <c r="E28" s="2137"/>
      <c r="F28" s="2137"/>
      <c r="G28" s="2137"/>
      <c r="H28" s="2137"/>
      <c r="I28" s="2137"/>
      <c r="J28" s="2137"/>
      <c r="K28" s="2137"/>
      <c r="L28" s="2137"/>
      <c r="M28" s="2137"/>
      <c r="N28" s="2137"/>
      <c r="O28" s="2137"/>
      <c r="P28" s="2137"/>
      <c r="Q28" s="2137"/>
      <c r="R28" s="2137"/>
      <c r="S28" s="2137"/>
      <c r="T28" s="2137"/>
      <c r="U28" s="2137"/>
      <c r="V28" s="2137"/>
      <c r="W28" s="2137"/>
      <c r="X28" s="2137"/>
      <c r="Y28" s="2138">
        <f t="shared" si="0"/>
        <v>0</v>
      </c>
      <c r="Z28" s="2139"/>
      <c r="AA28" s="2137"/>
      <c r="AB28" s="2139"/>
      <c r="AC28" s="2138">
        <f t="shared" si="1"/>
        <v>0</v>
      </c>
      <c r="AD28" s="2139"/>
      <c r="AE28" s="2139"/>
      <c r="AF28" s="2139"/>
      <c r="AG28" s="2139"/>
      <c r="AH28" s="2139"/>
      <c r="AI28" s="2139"/>
      <c r="AJ28" s="2137"/>
      <c r="AK28" s="2137"/>
      <c r="AL28" s="2138">
        <f t="shared" si="2"/>
        <v>0</v>
      </c>
      <c r="AM28" s="2139"/>
      <c r="AN28" s="2137"/>
    </row>
    <row r="29" spans="1:40" ht="14.1" customHeight="1">
      <c r="A29" s="2134">
        <v>24</v>
      </c>
      <c r="B29" s="2130"/>
      <c r="C29" s="2140"/>
      <c r="D29" s="2136" t="s">
        <v>5453</v>
      </c>
      <c r="E29" s="2137"/>
      <c r="F29" s="2137"/>
      <c r="G29" s="2137"/>
      <c r="H29" s="2137"/>
      <c r="I29" s="2137"/>
      <c r="J29" s="2137"/>
      <c r="K29" s="2137"/>
      <c r="L29" s="2137"/>
      <c r="M29" s="2137"/>
      <c r="N29" s="2137"/>
      <c r="O29" s="2137"/>
      <c r="P29" s="2137"/>
      <c r="Q29" s="2137"/>
      <c r="R29" s="2137"/>
      <c r="S29" s="2137"/>
      <c r="T29" s="2137"/>
      <c r="U29" s="2137"/>
      <c r="V29" s="2137"/>
      <c r="W29" s="2137"/>
      <c r="X29" s="2137"/>
      <c r="Y29" s="2138">
        <f t="shared" si="0"/>
        <v>0</v>
      </c>
      <c r="Z29" s="2139"/>
      <c r="AA29" s="2137"/>
      <c r="AB29" s="2139"/>
      <c r="AC29" s="2138">
        <f t="shared" si="1"/>
        <v>0</v>
      </c>
      <c r="AD29" s="2139"/>
      <c r="AE29" s="2139"/>
      <c r="AF29" s="2139"/>
      <c r="AG29" s="2139"/>
      <c r="AH29" s="2139"/>
      <c r="AI29" s="2139"/>
      <c r="AJ29" s="2137"/>
      <c r="AK29" s="2137"/>
      <c r="AL29" s="2138">
        <f t="shared" si="2"/>
        <v>0</v>
      </c>
      <c r="AM29" s="2139"/>
      <c r="AN29" s="2137"/>
    </row>
    <row r="30" spans="1:40" ht="14.1" customHeight="1">
      <c r="A30" s="2134">
        <v>25</v>
      </c>
      <c r="B30" s="2130"/>
      <c r="C30" s="2142" t="s">
        <v>5454</v>
      </c>
      <c r="D30" s="2136" t="s">
        <v>4959</v>
      </c>
      <c r="E30" s="2138">
        <f>SUM(E26:E29)</f>
        <v>0</v>
      </c>
      <c r="F30" s="2138">
        <f t="shared" ref="F30:X30" si="8">SUM(F26:F29)</f>
        <v>0</v>
      </c>
      <c r="G30" s="2138">
        <f t="shared" si="8"/>
        <v>0</v>
      </c>
      <c r="H30" s="2138">
        <f t="shared" si="8"/>
        <v>0</v>
      </c>
      <c r="I30" s="2138">
        <f t="shared" si="8"/>
        <v>0</v>
      </c>
      <c r="J30" s="2138">
        <f t="shared" si="8"/>
        <v>0</v>
      </c>
      <c r="K30" s="2138">
        <f t="shared" si="8"/>
        <v>0</v>
      </c>
      <c r="L30" s="2138">
        <f t="shared" si="8"/>
        <v>0</v>
      </c>
      <c r="M30" s="2138">
        <f t="shared" si="8"/>
        <v>0</v>
      </c>
      <c r="N30" s="2138">
        <f t="shared" si="8"/>
        <v>0</v>
      </c>
      <c r="O30" s="2138">
        <f t="shared" si="8"/>
        <v>0</v>
      </c>
      <c r="P30" s="2138">
        <f t="shared" si="8"/>
        <v>0</v>
      </c>
      <c r="Q30" s="2138">
        <f t="shared" si="8"/>
        <v>0</v>
      </c>
      <c r="R30" s="2138">
        <f t="shared" si="8"/>
        <v>0</v>
      </c>
      <c r="S30" s="2138">
        <f t="shared" si="8"/>
        <v>0</v>
      </c>
      <c r="T30" s="2138">
        <f t="shared" si="8"/>
        <v>0</v>
      </c>
      <c r="U30" s="2138">
        <f t="shared" si="8"/>
        <v>0</v>
      </c>
      <c r="V30" s="2138">
        <f t="shared" si="8"/>
        <v>0</v>
      </c>
      <c r="W30" s="2138">
        <f t="shared" si="8"/>
        <v>0</v>
      </c>
      <c r="X30" s="2138">
        <f t="shared" si="8"/>
        <v>0</v>
      </c>
      <c r="Y30" s="2138">
        <f t="shared" si="0"/>
        <v>0</v>
      </c>
      <c r="Z30" s="2139"/>
      <c r="AA30" s="2137"/>
      <c r="AB30" s="2139"/>
      <c r="AC30" s="2138">
        <f t="shared" si="1"/>
        <v>0</v>
      </c>
      <c r="AD30" s="2139"/>
      <c r="AE30" s="2139"/>
      <c r="AF30" s="2139"/>
      <c r="AG30" s="2139"/>
      <c r="AH30" s="2139"/>
      <c r="AI30" s="2139"/>
      <c r="AJ30" s="2137"/>
      <c r="AK30" s="2137"/>
      <c r="AL30" s="2138">
        <f t="shared" si="2"/>
        <v>0</v>
      </c>
      <c r="AM30" s="2139"/>
      <c r="AN30" s="2137"/>
    </row>
    <row r="31" spans="1:40" ht="15" customHeight="1">
      <c r="A31" s="2134">
        <v>26</v>
      </c>
      <c r="B31" s="2130"/>
      <c r="D31" s="2143" t="s">
        <v>5455</v>
      </c>
      <c r="E31" s="2137"/>
      <c r="F31" s="2137"/>
      <c r="G31" s="2137"/>
      <c r="H31" s="2137"/>
      <c r="I31" s="2137"/>
      <c r="J31" s="2137"/>
      <c r="K31" s="2137"/>
      <c r="L31" s="2137"/>
      <c r="M31" s="2137"/>
      <c r="N31" s="2137"/>
      <c r="O31" s="2137"/>
      <c r="P31" s="2137"/>
      <c r="Q31" s="2137"/>
      <c r="R31" s="2137"/>
      <c r="S31" s="2137"/>
      <c r="T31" s="2137"/>
      <c r="U31" s="2137"/>
      <c r="V31" s="2137"/>
      <c r="W31" s="2137"/>
      <c r="X31" s="2137"/>
      <c r="Y31" s="2138">
        <f t="shared" si="0"/>
        <v>0</v>
      </c>
      <c r="Z31" s="2139"/>
      <c r="AA31" s="2137"/>
      <c r="AB31" s="2139"/>
      <c r="AC31" s="2138">
        <f t="shared" si="1"/>
        <v>0</v>
      </c>
      <c r="AD31" s="2139"/>
      <c r="AE31" s="2139"/>
      <c r="AF31" s="2139"/>
      <c r="AG31" s="2139"/>
      <c r="AH31" s="2139"/>
      <c r="AI31" s="2139"/>
      <c r="AJ31" s="2137"/>
      <c r="AK31" s="2137"/>
      <c r="AL31" s="2138">
        <f t="shared" si="2"/>
        <v>0</v>
      </c>
      <c r="AM31" s="2139"/>
      <c r="AN31" s="2137"/>
    </row>
    <row r="32" spans="1:40" ht="14.1" customHeight="1">
      <c r="A32" s="2134">
        <v>27</v>
      </c>
      <c r="B32" s="2130" t="s">
        <v>5478</v>
      </c>
      <c r="C32" s="2140" t="s">
        <v>5457</v>
      </c>
      <c r="D32" s="2144" t="s">
        <v>5458</v>
      </c>
      <c r="E32" s="2137"/>
      <c r="F32" s="2137"/>
      <c r="G32" s="2137"/>
      <c r="H32" s="2137"/>
      <c r="I32" s="2137"/>
      <c r="J32" s="2137"/>
      <c r="K32" s="2137"/>
      <c r="L32" s="2137"/>
      <c r="M32" s="2137"/>
      <c r="N32" s="2137"/>
      <c r="O32" s="2137"/>
      <c r="P32" s="2137"/>
      <c r="Q32" s="2137"/>
      <c r="R32" s="2137"/>
      <c r="S32" s="2137"/>
      <c r="T32" s="2137"/>
      <c r="U32" s="2137"/>
      <c r="V32" s="2137"/>
      <c r="W32" s="2137"/>
      <c r="X32" s="2137"/>
      <c r="Y32" s="2138">
        <f t="shared" si="0"/>
        <v>0</v>
      </c>
      <c r="Z32" s="2139"/>
      <c r="AA32" s="2137"/>
      <c r="AB32" s="2139"/>
      <c r="AC32" s="2138">
        <f t="shared" si="1"/>
        <v>0</v>
      </c>
      <c r="AD32" s="2139"/>
      <c r="AE32" s="2139"/>
      <c r="AF32" s="2139"/>
      <c r="AG32" s="2139"/>
      <c r="AH32" s="2139"/>
      <c r="AI32" s="2139"/>
      <c r="AJ32" s="2137"/>
      <c r="AK32" s="2137"/>
      <c r="AL32" s="2138">
        <f t="shared" si="2"/>
        <v>0</v>
      </c>
      <c r="AM32" s="2139"/>
      <c r="AN32" s="2137"/>
    </row>
    <row r="33" spans="1:40" ht="19.899999999999999" customHeight="1">
      <c r="A33" s="2134">
        <v>28</v>
      </c>
      <c r="B33" s="2130"/>
      <c r="C33" s="2140" t="s">
        <v>5459</v>
      </c>
      <c r="D33" s="2127" t="s">
        <v>5460</v>
      </c>
      <c r="E33" s="2137"/>
      <c r="F33" s="2137"/>
      <c r="G33" s="2137"/>
      <c r="H33" s="2137"/>
      <c r="I33" s="2137"/>
      <c r="J33" s="2137"/>
      <c r="K33" s="2137"/>
      <c r="L33" s="2137"/>
      <c r="M33" s="2137"/>
      <c r="N33" s="2137"/>
      <c r="O33" s="2137"/>
      <c r="P33" s="2137"/>
      <c r="Q33" s="2137"/>
      <c r="R33" s="2137"/>
      <c r="S33" s="2137"/>
      <c r="T33" s="2137"/>
      <c r="U33" s="2137"/>
      <c r="V33" s="2137"/>
      <c r="W33" s="2137"/>
      <c r="X33" s="2137"/>
      <c r="Y33" s="2138">
        <f t="shared" si="0"/>
        <v>0</v>
      </c>
      <c r="Z33" s="2139"/>
      <c r="AA33" s="2137"/>
      <c r="AB33" s="2139"/>
      <c r="AC33" s="2138">
        <f t="shared" si="1"/>
        <v>0</v>
      </c>
      <c r="AD33" s="2139"/>
      <c r="AE33" s="2139"/>
      <c r="AF33" s="2139"/>
      <c r="AG33" s="2139"/>
      <c r="AH33" s="2139"/>
      <c r="AI33" s="2139"/>
      <c r="AJ33" s="2137"/>
      <c r="AK33" s="2137"/>
      <c r="AL33" s="2138">
        <f t="shared" si="2"/>
        <v>0</v>
      </c>
      <c r="AM33" s="2139"/>
      <c r="AN33" s="2137"/>
    </row>
    <row r="34" spans="1:40" ht="14.1" customHeight="1">
      <c r="A34" s="2134">
        <v>29</v>
      </c>
      <c r="B34" s="2130"/>
      <c r="C34" s="2140" t="s">
        <v>5461</v>
      </c>
      <c r="D34" s="2144" t="s">
        <v>5462</v>
      </c>
      <c r="E34" s="2137"/>
      <c r="F34" s="2137"/>
      <c r="G34" s="2137"/>
      <c r="H34" s="2137"/>
      <c r="I34" s="2137"/>
      <c r="J34" s="2137"/>
      <c r="K34" s="2137"/>
      <c r="L34" s="2137"/>
      <c r="M34" s="2137"/>
      <c r="N34" s="2137"/>
      <c r="O34" s="2137"/>
      <c r="P34" s="2137"/>
      <c r="Q34" s="2137"/>
      <c r="R34" s="2137"/>
      <c r="S34" s="2137"/>
      <c r="T34" s="2137"/>
      <c r="U34" s="2137"/>
      <c r="V34" s="2137"/>
      <c r="W34" s="2137"/>
      <c r="X34" s="2137"/>
      <c r="Y34" s="2138">
        <f t="shared" si="0"/>
        <v>0</v>
      </c>
      <c r="Z34" s="2139"/>
      <c r="AA34" s="2137"/>
      <c r="AB34" s="2139"/>
      <c r="AC34" s="2138">
        <f t="shared" si="1"/>
        <v>0</v>
      </c>
      <c r="AD34" s="2139"/>
      <c r="AE34" s="2139"/>
      <c r="AF34" s="2139"/>
      <c r="AG34" s="2139"/>
      <c r="AH34" s="2139"/>
      <c r="AI34" s="2139"/>
      <c r="AJ34" s="2137"/>
      <c r="AK34" s="2137"/>
      <c r="AL34" s="2138">
        <f t="shared" si="2"/>
        <v>0</v>
      </c>
      <c r="AM34" s="2139"/>
      <c r="AN34" s="2137"/>
    </row>
    <row r="35" spans="1:40" ht="14.1" customHeight="1">
      <c r="A35" s="2134">
        <v>30</v>
      </c>
      <c r="B35" s="2130"/>
      <c r="C35" s="2140" t="s">
        <v>5463</v>
      </c>
      <c r="D35" s="2144" t="s">
        <v>5479</v>
      </c>
      <c r="E35" s="2137"/>
      <c r="F35" s="2137"/>
      <c r="G35" s="2137"/>
      <c r="H35" s="2137"/>
      <c r="I35" s="2137"/>
      <c r="J35" s="2137"/>
      <c r="K35" s="2137"/>
      <c r="L35" s="2137"/>
      <c r="M35" s="2137"/>
      <c r="N35" s="2137"/>
      <c r="O35" s="2137"/>
      <c r="P35" s="2137"/>
      <c r="Q35" s="2137"/>
      <c r="R35" s="2137"/>
      <c r="S35" s="2137"/>
      <c r="T35" s="2137"/>
      <c r="U35" s="2137"/>
      <c r="V35" s="2137"/>
      <c r="W35" s="2137"/>
      <c r="X35" s="2137"/>
      <c r="Y35" s="2138">
        <f t="shared" si="0"/>
        <v>0</v>
      </c>
      <c r="Z35" s="2139"/>
      <c r="AA35" s="2137"/>
      <c r="AB35" s="2139"/>
      <c r="AC35" s="2138">
        <f t="shared" si="1"/>
        <v>0</v>
      </c>
      <c r="AD35" s="2139"/>
      <c r="AE35" s="2139"/>
      <c r="AF35" s="2139"/>
      <c r="AG35" s="2139"/>
      <c r="AH35" s="2139"/>
      <c r="AI35" s="2139"/>
      <c r="AJ35" s="2137"/>
      <c r="AK35" s="2137"/>
      <c r="AL35" s="2138">
        <f t="shared" si="2"/>
        <v>0</v>
      </c>
      <c r="AM35" s="2139"/>
      <c r="AN35" s="2137"/>
    </row>
    <row r="36" spans="1:40" ht="14.1" customHeight="1">
      <c r="A36" s="2134">
        <v>31</v>
      </c>
      <c r="B36" s="2130" t="s">
        <v>5465</v>
      </c>
      <c r="C36" s="2142"/>
      <c r="D36" s="2129" t="s">
        <v>5093</v>
      </c>
      <c r="E36" s="2138">
        <f>SUM(E31:E35)</f>
        <v>0</v>
      </c>
      <c r="F36" s="2138">
        <f t="shared" ref="F36:X36" si="9">SUM(F31:F35)</f>
        <v>0</v>
      </c>
      <c r="G36" s="2138">
        <f t="shared" si="9"/>
        <v>0</v>
      </c>
      <c r="H36" s="2138">
        <f t="shared" si="9"/>
        <v>0</v>
      </c>
      <c r="I36" s="2138">
        <f t="shared" si="9"/>
        <v>0</v>
      </c>
      <c r="J36" s="2138">
        <f t="shared" si="9"/>
        <v>0</v>
      </c>
      <c r="K36" s="2138">
        <f t="shared" si="9"/>
        <v>0</v>
      </c>
      <c r="L36" s="2138">
        <f t="shared" si="9"/>
        <v>0</v>
      </c>
      <c r="M36" s="2138">
        <f t="shared" si="9"/>
        <v>0</v>
      </c>
      <c r="N36" s="2138">
        <f t="shared" si="9"/>
        <v>0</v>
      </c>
      <c r="O36" s="2138">
        <f t="shared" si="9"/>
        <v>0</v>
      </c>
      <c r="P36" s="2138">
        <f t="shared" si="9"/>
        <v>0</v>
      </c>
      <c r="Q36" s="2138">
        <f t="shared" si="9"/>
        <v>0</v>
      </c>
      <c r="R36" s="2138">
        <f t="shared" si="9"/>
        <v>0</v>
      </c>
      <c r="S36" s="2138">
        <f t="shared" si="9"/>
        <v>0</v>
      </c>
      <c r="T36" s="2138">
        <f t="shared" si="9"/>
        <v>0</v>
      </c>
      <c r="U36" s="2138">
        <f t="shared" si="9"/>
        <v>0</v>
      </c>
      <c r="V36" s="2138">
        <f t="shared" si="9"/>
        <v>0</v>
      </c>
      <c r="W36" s="2138">
        <f t="shared" si="9"/>
        <v>0</v>
      </c>
      <c r="X36" s="2138">
        <f t="shared" si="9"/>
        <v>0</v>
      </c>
      <c r="Y36" s="2138">
        <f t="shared" si="0"/>
        <v>0</v>
      </c>
      <c r="Z36" s="2139"/>
      <c r="AA36" s="2137"/>
      <c r="AB36" s="2139"/>
      <c r="AC36" s="2138">
        <f t="shared" si="1"/>
        <v>0</v>
      </c>
      <c r="AD36" s="2139"/>
      <c r="AE36" s="2139"/>
      <c r="AF36" s="2139"/>
      <c r="AG36" s="2139"/>
      <c r="AH36" s="2139"/>
      <c r="AI36" s="2139"/>
      <c r="AJ36" s="2137"/>
      <c r="AK36" s="2137"/>
      <c r="AL36" s="2138">
        <f t="shared" si="2"/>
        <v>0</v>
      </c>
      <c r="AM36" s="2139"/>
      <c r="AN36" s="2137"/>
    </row>
    <row r="37" spans="1:40" ht="14.1" customHeight="1">
      <c r="A37" s="2134">
        <v>32</v>
      </c>
      <c r="B37" s="2130"/>
      <c r="C37" s="2140" t="s">
        <v>5466</v>
      </c>
      <c r="D37" s="2144" t="s">
        <v>5467</v>
      </c>
      <c r="E37" s="2137"/>
      <c r="F37" s="2137"/>
      <c r="G37" s="2137"/>
      <c r="H37" s="2137"/>
      <c r="I37" s="2137"/>
      <c r="J37" s="2137"/>
      <c r="K37" s="2137"/>
      <c r="L37" s="2137"/>
      <c r="M37" s="2137"/>
      <c r="N37" s="2137"/>
      <c r="O37" s="2137"/>
      <c r="P37" s="2137"/>
      <c r="Q37" s="2137"/>
      <c r="R37" s="2137"/>
      <c r="S37" s="2137"/>
      <c r="T37" s="2137"/>
      <c r="U37" s="2137"/>
      <c r="V37" s="2137"/>
      <c r="W37" s="2137"/>
      <c r="X37" s="2137"/>
      <c r="Y37" s="2138">
        <f t="shared" si="0"/>
        <v>0</v>
      </c>
      <c r="Z37" s="2139"/>
      <c r="AA37" s="2137"/>
      <c r="AB37" s="2139"/>
      <c r="AC37" s="2138">
        <f t="shared" si="1"/>
        <v>0</v>
      </c>
      <c r="AD37" s="2139"/>
      <c r="AE37" s="2139"/>
      <c r="AF37" s="2139"/>
      <c r="AG37" s="2139"/>
      <c r="AH37" s="2139"/>
      <c r="AI37" s="2139"/>
      <c r="AJ37" s="2137"/>
      <c r="AK37" s="2137"/>
      <c r="AL37" s="2138">
        <f t="shared" si="2"/>
        <v>0</v>
      </c>
      <c r="AM37" s="2139"/>
      <c r="AN37" s="2137"/>
    </row>
    <row r="38" spans="1:40" ht="14.1" customHeight="1">
      <c r="A38" s="2134">
        <v>33</v>
      </c>
      <c r="B38" s="2130"/>
      <c r="C38" s="2140" t="s">
        <v>5468</v>
      </c>
      <c r="D38" s="2144" t="s">
        <v>5469</v>
      </c>
      <c r="E38" s="2137"/>
      <c r="F38" s="2137"/>
      <c r="G38" s="2137"/>
      <c r="H38" s="2137"/>
      <c r="I38" s="2137"/>
      <c r="J38" s="2137"/>
      <c r="K38" s="2137"/>
      <c r="L38" s="2137"/>
      <c r="M38" s="2137"/>
      <c r="N38" s="2137"/>
      <c r="O38" s="2137"/>
      <c r="P38" s="2137"/>
      <c r="Q38" s="2137"/>
      <c r="R38" s="2137"/>
      <c r="S38" s="2137"/>
      <c r="T38" s="2137"/>
      <c r="U38" s="2137"/>
      <c r="V38" s="2137"/>
      <c r="W38" s="2137"/>
      <c r="X38" s="2137"/>
      <c r="Y38" s="2138">
        <f t="shared" si="0"/>
        <v>0</v>
      </c>
      <c r="Z38" s="2139"/>
      <c r="AA38" s="2137"/>
      <c r="AB38" s="2139"/>
      <c r="AC38" s="2138">
        <f t="shared" si="1"/>
        <v>0</v>
      </c>
      <c r="AD38" s="2139"/>
      <c r="AE38" s="2139"/>
      <c r="AF38" s="2139"/>
      <c r="AG38" s="2139"/>
      <c r="AH38" s="2139"/>
      <c r="AI38" s="2139"/>
      <c r="AJ38" s="2137"/>
      <c r="AK38" s="2137"/>
      <c r="AL38" s="2138">
        <f t="shared" si="2"/>
        <v>0</v>
      </c>
      <c r="AM38" s="2139"/>
      <c r="AN38" s="2137"/>
    </row>
    <row r="39" spans="1:40" ht="14.1" customHeight="1">
      <c r="A39" s="2134">
        <v>34</v>
      </c>
      <c r="B39" s="2130"/>
      <c r="C39" s="2140" t="s">
        <v>5470</v>
      </c>
      <c r="D39" s="2144" t="s">
        <v>5453</v>
      </c>
      <c r="E39" s="2137"/>
      <c r="F39" s="2137"/>
      <c r="G39" s="2137"/>
      <c r="H39" s="2137"/>
      <c r="I39" s="2137"/>
      <c r="J39" s="2137"/>
      <c r="K39" s="2137"/>
      <c r="L39" s="2137"/>
      <c r="M39" s="2137"/>
      <c r="N39" s="2137"/>
      <c r="O39" s="2137"/>
      <c r="P39" s="2137"/>
      <c r="Q39" s="2137"/>
      <c r="R39" s="2137"/>
      <c r="S39" s="2137"/>
      <c r="T39" s="2137"/>
      <c r="U39" s="2137"/>
      <c r="V39" s="2137"/>
      <c r="W39" s="2137"/>
      <c r="X39" s="2137"/>
      <c r="Y39" s="2138">
        <f t="shared" si="0"/>
        <v>0</v>
      </c>
      <c r="Z39" s="2139"/>
      <c r="AA39" s="2137"/>
      <c r="AB39" s="2139"/>
      <c r="AC39" s="2138">
        <f t="shared" si="1"/>
        <v>0</v>
      </c>
      <c r="AD39" s="2139"/>
      <c r="AE39" s="2139"/>
      <c r="AF39" s="2139"/>
      <c r="AG39" s="2139"/>
      <c r="AH39" s="2139"/>
      <c r="AI39" s="2139"/>
      <c r="AJ39" s="2137"/>
      <c r="AK39" s="2137"/>
      <c r="AL39" s="2138">
        <f t="shared" si="2"/>
        <v>0</v>
      </c>
      <c r="AM39" s="2139"/>
      <c r="AN39" s="2137"/>
    </row>
    <row r="40" spans="1:40" ht="14.1" customHeight="1">
      <c r="A40" s="2134">
        <v>35</v>
      </c>
      <c r="B40" s="2130" t="s">
        <v>5471</v>
      </c>
      <c r="C40" s="2142"/>
      <c r="D40" s="2140" t="s">
        <v>5093</v>
      </c>
      <c r="E40" s="2138">
        <f>SUM(E37:E39)</f>
        <v>0</v>
      </c>
      <c r="F40" s="2138">
        <f t="shared" ref="F40:X40" si="10">SUM(F37:F39)</f>
        <v>0</v>
      </c>
      <c r="G40" s="2138">
        <f t="shared" si="10"/>
        <v>0</v>
      </c>
      <c r="H40" s="2138">
        <f t="shared" si="10"/>
        <v>0</v>
      </c>
      <c r="I40" s="2138">
        <f t="shared" si="10"/>
        <v>0</v>
      </c>
      <c r="J40" s="2138">
        <f t="shared" si="10"/>
        <v>0</v>
      </c>
      <c r="K40" s="2138">
        <f t="shared" si="10"/>
        <v>0</v>
      </c>
      <c r="L40" s="2138">
        <f t="shared" si="10"/>
        <v>0</v>
      </c>
      <c r="M40" s="2138">
        <f t="shared" si="10"/>
        <v>0</v>
      </c>
      <c r="N40" s="2138">
        <f t="shared" si="10"/>
        <v>0</v>
      </c>
      <c r="O40" s="2138">
        <f t="shared" si="10"/>
        <v>0</v>
      </c>
      <c r="P40" s="2138">
        <f t="shared" si="10"/>
        <v>0</v>
      </c>
      <c r="Q40" s="2138">
        <f t="shared" si="10"/>
        <v>0</v>
      </c>
      <c r="R40" s="2138">
        <f t="shared" si="10"/>
        <v>0</v>
      </c>
      <c r="S40" s="2138">
        <f t="shared" si="10"/>
        <v>0</v>
      </c>
      <c r="T40" s="2138">
        <f t="shared" si="10"/>
        <v>0</v>
      </c>
      <c r="U40" s="2138">
        <f t="shared" si="10"/>
        <v>0</v>
      </c>
      <c r="V40" s="2138">
        <f t="shared" si="10"/>
        <v>0</v>
      </c>
      <c r="W40" s="2138">
        <f t="shared" si="10"/>
        <v>0</v>
      </c>
      <c r="X40" s="2138">
        <f t="shared" si="10"/>
        <v>0</v>
      </c>
      <c r="Y40" s="2138">
        <f t="shared" si="0"/>
        <v>0</v>
      </c>
      <c r="Z40" s="2139"/>
      <c r="AA40" s="2137"/>
      <c r="AB40" s="2139"/>
      <c r="AC40" s="2138">
        <f t="shared" si="1"/>
        <v>0</v>
      </c>
      <c r="AD40" s="2139"/>
      <c r="AE40" s="2139"/>
      <c r="AF40" s="2139"/>
      <c r="AG40" s="2139"/>
      <c r="AH40" s="2139"/>
      <c r="AI40" s="2139"/>
      <c r="AJ40" s="2137"/>
      <c r="AK40" s="2137"/>
      <c r="AL40" s="2138">
        <f t="shared" si="2"/>
        <v>0</v>
      </c>
      <c r="AM40" s="2139"/>
      <c r="AN40" s="2137"/>
    </row>
    <row r="41" spans="1:40" ht="14.1" customHeight="1">
      <c r="A41" s="2134">
        <v>36</v>
      </c>
      <c r="B41" s="2130"/>
      <c r="C41" s="2140" t="s">
        <v>5472</v>
      </c>
      <c r="D41" s="2146" t="s">
        <v>5473</v>
      </c>
      <c r="E41" s="2137"/>
      <c r="F41" s="2137"/>
      <c r="G41" s="2137"/>
      <c r="H41" s="2137"/>
      <c r="I41" s="2137"/>
      <c r="J41" s="2137"/>
      <c r="K41" s="2137"/>
      <c r="L41" s="2137"/>
      <c r="M41" s="2137"/>
      <c r="N41" s="2137"/>
      <c r="O41" s="2137"/>
      <c r="P41" s="2137"/>
      <c r="Q41" s="2137"/>
      <c r="R41" s="2137"/>
      <c r="S41" s="2137"/>
      <c r="T41" s="2137"/>
      <c r="U41" s="2137"/>
      <c r="V41" s="2137"/>
      <c r="W41" s="2137"/>
      <c r="X41" s="2137"/>
      <c r="Y41" s="2138">
        <f t="shared" si="0"/>
        <v>0</v>
      </c>
      <c r="Z41" s="2139"/>
      <c r="AA41" s="2137"/>
      <c r="AB41" s="2139"/>
      <c r="AC41" s="2138">
        <f t="shared" si="1"/>
        <v>0</v>
      </c>
      <c r="AD41" s="2139"/>
      <c r="AE41" s="2139"/>
      <c r="AF41" s="2139"/>
      <c r="AG41" s="2139"/>
      <c r="AH41" s="2139"/>
      <c r="AI41" s="2139"/>
      <c r="AJ41" s="2137"/>
      <c r="AK41" s="2137"/>
      <c r="AL41" s="2138">
        <f t="shared" si="2"/>
        <v>0</v>
      </c>
      <c r="AM41" s="2139"/>
      <c r="AN41" s="2137"/>
    </row>
    <row r="42" spans="1:40" ht="14.1" customHeight="1">
      <c r="A42" s="2134">
        <v>37</v>
      </c>
      <c r="B42" s="2130"/>
      <c r="C42" s="2140"/>
      <c r="D42" s="2147" t="s">
        <v>5480</v>
      </c>
      <c r="E42" s="2137"/>
      <c r="F42" s="2137"/>
      <c r="G42" s="2137"/>
      <c r="H42" s="2137"/>
      <c r="I42" s="2137"/>
      <c r="J42" s="2137"/>
      <c r="K42" s="2137"/>
      <c r="L42" s="2137"/>
      <c r="M42" s="2137"/>
      <c r="N42" s="2137"/>
      <c r="O42" s="2137"/>
      <c r="P42" s="2137"/>
      <c r="Q42" s="2137"/>
      <c r="R42" s="2137"/>
      <c r="S42" s="2137"/>
      <c r="T42" s="2137"/>
      <c r="U42" s="2137"/>
      <c r="V42" s="2137"/>
      <c r="W42" s="2137"/>
      <c r="X42" s="2137"/>
      <c r="Y42" s="2138">
        <f t="shared" si="0"/>
        <v>0</v>
      </c>
      <c r="Z42" s="2139"/>
      <c r="AA42" s="2137"/>
      <c r="AB42" s="2139"/>
      <c r="AC42" s="2138">
        <f t="shared" si="1"/>
        <v>0</v>
      </c>
      <c r="AD42" s="2139"/>
      <c r="AE42" s="2139"/>
      <c r="AF42" s="2139"/>
      <c r="AG42" s="2139"/>
      <c r="AH42" s="2139"/>
      <c r="AI42" s="2139"/>
      <c r="AJ42" s="2137"/>
      <c r="AK42" s="2137"/>
      <c r="AL42" s="2138">
        <f t="shared" si="2"/>
        <v>0</v>
      </c>
      <c r="AM42" s="2139"/>
      <c r="AN42" s="2137"/>
    </row>
    <row r="43" spans="1:40" ht="14.1" customHeight="1">
      <c r="A43" s="2134">
        <v>38</v>
      </c>
      <c r="B43" s="2130"/>
      <c r="C43" s="2142" t="s">
        <v>5475</v>
      </c>
      <c r="D43" s="2147" t="s">
        <v>4959</v>
      </c>
      <c r="E43" s="2138">
        <f>SUM(E41:E42)</f>
        <v>0</v>
      </c>
      <c r="F43" s="2138">
        <f t="shared" ref="F43:X43" si="11">SUM(F41:F42)</f>
        <v>0</v>
      </c>
      <c r="G43" s="2138">
        <f t="shared" si="11"/>
        <v>0</v>
      </c>
      <c r="H43" s="2138">
        <f t="shared" si="11"/>
        <v>0</v>
      </c>
      <c r="I43" s="2138">
        <f t="shared" si="11"/>
        <v>0</v>
      </c>
      <c r="J43" s="2138">
        <f t="shared" si="11"/>
        <v>0</v>
      </c>
      <c r="K43" s="2138">
        <f t="shared" si="11"/>
        <v>0</v>
      </c>
      <c r="L43" s="2138">
        <f t="shared" si="11"/>
        <v>0</v>
      </c>
      <c r="M43" s="2138">
        <f t="shared" si="11"/>
        <v>0</v>
      </c>
      <c r="N43" s="2138">
        <f t="shared" si="11"/>
        <v>0</v>
      </c>
      <c r="O43" s="2138">
        <f t="shared" si="11"/>
        <v>0</v>
      </c>
      <c r="P43" s="2138">
        <f t="shared" si="11"/>
        <v>0</v>
      </c>
      <c r="Q43" s="2138">
        <f t="shared" si="11"/>
        <v>0</v>
      </c>
      <c r="R43" s="2138">
        <f t="shared" si="11"/>
        <v>0</v>
      </c>
      <c r="S43" s="2138">
        <f t="shared" si="11"/>
        <v>0</v>
      </c>
      <c r="T43" s="2138">
        <f t="shared" si="11"/>
        <v>0</v>
      </c>
      <c r="U43" s="2138">
        <f t="shared" si="11"/>
        <v>0</v>
      </c>
      <c r="V43" s="2138">
        <f t="shared" si="11"/>
        <v>0</v>
      </c>
      <c r="W43" s="2138">
        <f t="shared" si="11"/>
        <v>0</v>
      </c>
      <c r="X43" s="2138">
        <f t="shared" si="11"/>
        <v>0</v>
      </c>
      <c r="Y43" s="2138">
        <f t="shared" si="0"/>
        <v>0</v>
      </c>
      <c r="Z43" s="2139"/>
      <c r="AA43" s="2137"/>
      <c r="AB43" s="2139"/>
      <c r="AC43" s="2138">
        <f t="shared" si="1"/>
        <v>0</v>
      </c>
      <c r="AD43" s="2139"/>
      <c r="AE43" s="2139"/>
      <c r="AF43" s="2139"/>
      <c r="AG43" s="2139"/>
      <c r="AH43" s="2139"/>
      <c r="AI43" s="2139"/>
      <c r="AJ43" s="2137"/>
      <c r="AK43" s="2137"/>
      <c r="AL43" s="2138">
        <f t="shared" si="2"/>
        <v>0</v>
      </c>
      <c r="AM43" s="2139"/>
      <c r="AN43" s="2137"/>
    </row>
    <row r="44" spans="1:40" ht="14.1" customHeight="1">
      <c r="A44" s="2134">
        <v>39</v>
      </c>
      <c r="B44" s="2130"/>
      <c r="C44" s="3201" t="s">
        <v>5476</v>
      </c>
      <c r="D44" s="3203"/>
      <c r="E44" s="2137"/>
      <c r="F44" s="2137"/>
      <c r="G44" s="2137"/>
      <c r="H44" s="2137"/>
      <c r="I44" s="2137"/>
      <c r="J44" s="2137"/>
      <c r="K44" s="2137"/>
      <c r="L44" s="2137"/>
      <c r="M44" s="2137"/>
      <c r="N44" s="2137"/>
      <c r="O44" s="2137"/>
      <c r="P44" s="2137"/>
      <c r="Q44" s="2137"/>
      <c r="R44" s="2137"/>
      <c r="S44" s="2137"/>
      <c r="T44" s="2137"/>
      <c r="U44" s="2137"/>
      <c r="V44" s="2137"/>
      <c r="W44" s="2137"/>
      <c r="X44" s="2137"/>
      <c r="Y44" s="2138">
        <f t="shared" si="0"/>
        <v>0</v>
      </c>
      <c r="Z44" s="2139"/>
      <c r="AA44" s="2137"/>
      <c r="AB44" s="2139"/>
      <c r="AC44" s="2138">
        <f t="shared" si="1"/>
        <v>0</v>
      </c>
      <c r="AD44" s="2139"/>
      <c r="AE44" s="2139"/>
      <c r="AF44" s="2139"/>
      <c r="AG44" s="2139"/>
      <c r="AH44" s="2139"/>
      <c r="AI44" s="2139"/>
      <c r="AJ44" s="2137"/>
      <c r="AK44" s="2137"/>
      <c r="AL44" s="2138">
        <f t="shared" si="2"/>
        <v>0</v>
      </c>
      <c r="AM44" s="2139"/>
      <c r="AN44" s="2137"/>
    </row>
    <row r="45" spans="1:40" ht="14.1" customHeight="1">
      <c r="A45" s="2134">
        <v>40</v>
      </c>
      <c r="B45" s="2130"/>
      <c r="C45" s="3201" t="s">
        <v>5481</v>
      </c>
      <c r="D45" s="3203"/>
      <c r="E45" s="2138">
        <f>+E30+E36+E40+E43+E44</f>
        <v>0</v>
      </c>
      <c r="F45" s="2138">
        <f t="shared" ref="F45:X45" si="12">+F30+F36+F40+F43+F44</f>
        <v>0</v>
      </c>
      <c r="G45" s="2138">
        <f t="shared" si="12"/>
        <v>0</v>
      </c>
      <c r="H45" s="2138">
        <f t="shared" si="12"/>
        <v>0</v>
      </c>
      <c r="I45" s="2138">
        <f t="shared" si="12"/>
        <v>0</v>
      </c>
      <c r="J45" s="2138">
        <f t="shared" si="12"/>
        <v>0</v>
      </c>
      <c r="K45" s="2138">
        <f t="shared" si="12"/>
        <v>0</v>
      </c>
      <c r="L45" s="2138">
        <f t="shared" si="12"/>
        <v>0</v>
      </c>
      <c r="M45" s="2138">
        <f t="shared" si="12"/>
        <v>0</v>
      </c>
      <c r="N45" s="2138">
        <f t="shared" si="12"/>
        <v>0</v>
      </c>
      <c r="O45" s="2138">
        <f t="shared" si="12"/>
        <v>0</v>
      </c>
      <c r="P45" s="2138">
        <f t="shared" si="12"/>
        <v>0</v>
      </c>
      <c r="Q45" s="2138">
        <f t="shared" si="12"/>
        <v>0</v>
      </c>
      <c r="R45" s="2138">
        <f t="shared" si="12"/>
        <v>0</v>
      </c>
      <c r="S45" s="2138">
        <f t="shared" si="12"/>
        <v>0</v>
      </c>
      <c r="T45" s="2138">
        <f t="shared" si="12"/>
        <v>0</v>
      </c>
      <c r="U45" s="2138">
        <f t="shared" si="12"/>
        <v>0</v>
      </c>
      <c r="V45" s="2138">
        <f t="shared" si="12"/>
        <v>0</v>
      </c>
      <c r="W45" s="2138">
        <f t="shared" si="12"/>
        <v>0</v>
      </c>
      <c r="X45" s="2138">
        <f t="shared" si="12"/>
        <v>0</v>
      </c>
      <c r="Y45" s="2138">
        <f t="shared" si="0"/>
        <v>0</v>
      </c>
      <c r="Z45" s="2139"/>
      <c r="AA45" s="2137"/>
      <c r="AB45" s="2139"/>
      <c r="AC45" s="2138">
        <f t="shared" si="1"/>
        <v>0</v>
      </c>
      <c r="AD45" s="2139"/>
      <c r="AE45" s="2139"/>
      <c r="AF45" s="2139"/>
      <c r="AG45" s="2139"/>
      <c r="AH45" s="2139"/>
      <c r="AI45" s="2139"/>
      <c r="AJ45" s="2137"/>
      <c r="AK45" s="2137"/>
      <c r="AL45" s="2138">
        <f t="shared" si="2"/>
        <v>0</v>
      </c>
      <c r="AM45" s="2139"/>
      <c r="AN45" s="2137"/>
    </row>
    <row r="46" spans="1:40" ht="14.1" customHeight="1">
      <c r="A46" s="2134">
        <v>41</v>
      </c>
      <c r="B46" s="3201" t="s">
        <v>5482</v>
      </c>
      <c r="C46" s="3202"/>
      <c r="D46" s="3203"/>
      <c r="E46" s="2138">
        <f>+E25+E45</f>
        <v>0</v>
      </c>
      <c r="F46" s="2138">
        <f t="shared" ref="F46:X46" si="13">+F25+F45</f>
        <v>0</v>
      </c>
      <c r="G46" s="2138">
        <f t="shared" si="13"/>
        <v>0</v>
      </c>
      <c r="H46" s="2138">
        <f t="shared" si="13"/>
        <v>0</v>
      </c>
      <c r="I46" s="2138">
        <f t="shared" si="13"/>
        <v>0</v>
      </c>
      <c r="J46" s="2138">
        <f t="shared" si="13"/>
        <v>0</v>
      </c>
      <c r="K46" s="2138">
        <f t="shared" si="13"/>
        <v>0</v>
      </c>
      <c r="L46" s="2138">
        <f t="shared" si="13"/>
        <v>0</v>
      </c>
      <c r="M46" s="2138">
        <f t="shared" si="13"/>
        <v>0</v>
      </c>
      <c r="N46" s="2138">
        <f t="shared" si="13"/>
        <v>0</v>
      </c>
      <c r="O46" s="2138">
        <f t="shared" si="13"/>
        <v>0</v>
      </c>
      <c r="P46" s="2138">
        <f t="shared" si="13"/>
        <v>0</v>
      </c>
      <c r="Q46" s="2138">
        <f t="shared" si="13"/>
        <v>0</v>
      </c>
      <c r="R46" s="2138">
        <f t="shared" si="13"/>
        <v>0</v>
      </c>
      <c r="S46" s="2138">
        <f t="shared" si="13"/>
        <v>0</v>
      </c>
      <c r="T46" s="2138">
        <f t="shared" si="13"/>
        <v>0</v>
      </c>
      <c r="U46" s="2138">
        <f t="shared" si="13"/>
        <v>0</v>
      </c>
      <c r="V46" s="2138">
        <f t="shared" si="13"/>
        <v>0</v>
      </c>
      <c r="W46" s="2138">
        <f t="shared" si="13"/>
        <v>0</v>
      </c>
      <c r="X46" s="2138">
        <f t="shared" si="13"/>
        <v>0</v>
      </c>
      <c r="Y46" s="2138">
        <f t="shared" si="0"/>
        <v>0</v>
      </c>
      <c r="Z46" s="2139"/>
      <c r="AA46" s="2137"/>
      <c r="AB46" s="2139"/>
      <c r="AC46" s="2138">
        <f t="shared" si="1"/>
        <v>0</v>
      </c>
      <c r="AD46" s="2139"/>
      <c r="AE46" s="2139"/>
      <c r="AF46" s="2139"/>
      <c r="AG46" s="2139"/>
      <c r="AH46" s="2139"/>
      <c r="AI46" s="2139"/>
      <c r="AJ46" s="2137"/>
      <c r="AK46" s="2137"/>
      <c r="AL46" s="2138">
        <f t="shared" si="2"/>
        <v>0</v>
      </c>
      <c r="AM46" s="2139"/>
      <c r="AN46" s="2137"/>
    </row>
    <row r="47" spans="1:40" ht="14.1" customHeight="1">
      <c r="A47" s="2134">
        <v>42</v>
      </c>
      <c r="B47" s="2148" t="s">
        <v>5483</v>
      </c>
      <c r="C47" s="2135" t="s">
        <v>5466</v>
      </c>
      <c r="D47" s="2144" t="s">
        <v>5484</v>
      </c>
      <c r="E47" s="2137"/>
      <c r="F47" s="2137"/>
      <c r="G47" s="2137"/>
      <c r="H47" s="2137"/>
      <c r="I47" s="2137"/>
      <c r="J47" s="2137"/>
      <c r="K47" s="2137"/>
      <c r="L47" s="2137"/>
      <c r="M47" s="2137"/>
      <c r="N47" s="2137"/>
      <c r="O47" s="2137"/>
      <c r="P47" s="2137"/>
      <c r="Q47" s="2137"/>
      <c r="R47" s="2137"/>
      <c r="S47" s="2137"/>
      <c r="T47" s="2137"/>
      <c r="U47" s="2137"/>
      <c r="V47" s="2137"/>
      <c r="W47" s="2137"/>
      <c r="X47" s="2137"/>
      <c r="Y47" s="2138">
        <f t="shared" si="0"/>
        <v>0</v>
      </c>
      <c r="Z47" s="2139"/>
      <c r="AA47" s="2137"/>
      <c r="AB47" s="2139"/>
      <c r="AC47" s="2138">
        <f t="shared" si="1"/>
        <v>0</v>
      </c>
      <c r="AD47" s="2139"/>
      <c r="AE47" s="2139"/>
      <c r="AF47" s="2139"/>
      <c r="AG47" s="2139"/>
      <c r="AH47" s="2139"/>
      <c r="AI47" s="2139"/>
      <c r="AJ47" s="2137"/>
      <c r="AK47" s="2137"/>
      <c r="AL47" s="2138">
        <f t="shared" si="2"/>
        <v>0</v>
      </c>
      <c r="AM47" s="2139"/>
      <c r="AN47" s="2137"/>
    </row>
    <row r="48" spans="1:40" ht="14.1" customHeight="1">
      <c r="A48" s="2134">
        <v>43</v>
      </c>
      <c r="B48" s="2130"/>
      <c r="C48" s="2140" t="s">
        <v>5468</v>
      </c>
      <c r="D48" s="2144" t="s">
        <v>5485</v>
      </c>
      <c r="E48" s="2137"/>
      <c r="F48" s="2137"/>
      <c r="G48" s="2137"/>
      <c r="H48" s="2137"/>
      <c r="I48" s="2137"/>
      <c r="J48" s="2137"/>
      <c r="K48" s="2137"/>
      <c r="L48" s="2137"/>
      <c r="M48" s="2137"/>
      <c r="N48" s="2137"/>
      <c r="O48" s="2137"/>
      <c r="P48" s="2137"/>
      <c r="Q48" s="2137"/>
      <c r="R48" s="2137"/>
      <c r="S48" s="2137"/>
      <c r="T48" s="2137"/>
      <c r="U48" s="2137"/>
      <c r="V48" s="2137"/>
      <c r="W48" s="2137"/>
      <c r="X48" s="2137"/>
      <c r="Y48" s="2138">
        <f t="shared" si="0"/>
        <v>0</v>
      </c>
      <c r="Z48" s="2139"/>
      <c r="AA48" s="2137"/>
      <c r="AB48" s="2139"/>
      <c r="AC48" s="2138">
        <f t="shared" si="1"/>
        <v>0</v>
      </c>
      <c r="AD48" s="2139"/>
      <c r="AE48" s="2139"/>
      <c r="AF48" s="2139"/>
      <c r="AG48" s="2139"/>
      <c r="AH48" s="2139"/>
      <c r="AI48" s="2139"/>
      <c r="AJ48" s="2137"/>
      <c r="AK48" s="2137"/>
      <c r="AL48" s="2138">
        <f t="shared" si="2"/>
        <v>0</v>
      </c>
      <c r="AM48" s="2139"/>
      <c r="AN48" s="2137"/>
    </row>
    <row r="49" spans="1:40" ht="14.1" customHeight="1">
      <c r="A49" s="2134">
        <v>44</v>
      </c>
      <c r="B49" s="2130" t="s">
        <v>5486</v>
      </c>
      <c r="C49" s="2140" t="s">
        <v>5470</v>
      </c>
      <c r="D49" s="2144" t="s">
        <v>5453</v>
      </c>
      <c r="E49" s="2137"/>
      <c r="F49" s="2137"/>
      <c r="G49" s="2137"/>
      <c r="H49" s="2137"/>
      <c r="I49" s="2137"/>
      <c r="J49" s="2137"/>
      <c r="K49" s="2137"/>
      <c r="L49" s="2137"/>
      <c r="M49" s="2137"/>
      <c r="N49" s="2137"/>
      <c r="O49" s="2137"/>
      <c r="P49" s="2137"/>
      <c r="Q49" s="2137"/>
      <c r="R49" s="2137"/>
      <c r="S49" s="2137"/>
      <c r="T49" s="2137"/>
      <c r="U49" s="2137"/>
      <c r="V49" s="2137"/>
      <c r="W49" s="2137"/>
      <c r="X49" s="2137"/>
      <c r="Y49" s="2138">
        <f t="shared" si="0"/>
        <v>0</v>
      </c>
      <c r="Z49" s="2139"/>
      <c r="AA49" s="2137"/>
      <c r="AB49" s="2139"/>
      <c r="AC49" s="2138">
        <f t="shared" si="1"/>
        <v>0</v>
      </c>
      <c r="AD49" s="2139"/>
      <c r="AE49" s="2139"/>
      <c r="AF49" s="2139"/>
      <c r="AG49" s="2139"/>
      <c r="AH49" s="2139"/>
      <c r="AI49" s="2139"/>
      <c r="AJ49" s="2137"/>
      <c r="AK49" s="2137"/>
      <c r="AL49" s="2138">
        <f t="shared" si="2"/>
        <v>0</v>
      </c>
      <c r="AM49" s="2139"/>
      <c r="AN49" s="2137"/>
    </row>
    <row r="50" spans="1:40" ht="14.1" customHeight="1">
      <c r="A50" s="2134">
        <v>45</v>
      </c>
      <c r="B50" s="2132"/>
      <c r="C50" s="2142"/>
      <c r="D50" s="2127" t="s">
        <v>5093</v>
      </c>
      <c r="E50" s="2138">
        <f>SUM(E47:E49)</f>
        <v>0</v>
      </c>
      <c r="F50" s="2138">
        <f t="shared" ref="F50:X50" si="14">SUM(F47:F49)</f>
        <v>0</v>
      </c>
      <c r="G50" s="2138">
        <f t="shared" si="14"/>
        <v>0</v>
      </c>
      <c r="H50" s="2138">
        <f t="shared" si="14"/>
        <v>0</v>
      </c>
      <c r="I50" s="2138">
        <f t="shared" si="14"/>
        <v>0</v>
      </c>
      <c r="J50" s="2138">
        <f t="shared" si="14"/>
        <v>0</v>
      </c>
      <c r="K50" s="2138">
        <f t="shared" si="14"/>
        <v>0</v>
      </c>
      <c r="L50" s="2138">
        <f t="shared" si="14"/>
        <v>0</v>
      </c>
      <c r="M50" s="2138">
        <f t="shared" si="14"/>
        <v>0</v>
      </c>
      <c r="N50" s="2138">
        <f t="shared" si="14"/>
        <v>0</v>
      </c>
      <c r="O50" s="2138">
        <f t="shared" si="14"/>
        <v>0</v>
      </c>
      <c r="P50" s="2138">
        <f t="shared" si="14"/>
        <v>0</v>
      </c>
      <c r="Q50" s="2138">
        <f t="shared" si="14"/>
        <v>0</v>
      </c>
      <c r="R50" s="2138">
        <f>SUM(R47:R49)</f>
        <v>0</v>
      </c>
      <c r="S50" s="2138">
        <f t="shared" si="14"/>
        <v>0</v>
      </c>
      <c r="T50" s="2138">
        <f t="shared" si="14"/>
        <v>0</v>
      </c>
      <c r="U50" s="2138">
        <f t="shared" si="14"/>
        <v>0</v>
      </c>
      <c r="V50" s="2138">
        <f t="shared" si="14"/>
        <v>0</v>
      </c>
      <c r="W50" s="2138">
        <f t="shared" si="14"/>
        <v>0</v>
      </c>
      <c r="X50" s="2138">
        <f t="shared" si="14"/>
        <v>0</v>
      </c>
      <c r="Y50" s="2138">
        <f t="shared" si="0"/>
        <v>0</v>
      </c>
      <c r="Z50" s="2139"/>
      <c r="AA50" s="2137"/>
      <c r="AB50" s="2139"/>
      <c r="AC50" s="2138">
        <f t="shared" si="1"/>
        <v>0</v>
      </c>
      <c r="AD50" s="2139"/>
      <c r="AE50" s="2139"/>
      <c r="AF50" s="2139"/>
      <c r="AG50" s="2139"/>
      <c r="AH50" s="2139"/>
      <c r="AI50" s="2139"/>
      <c r="AJ50" s="2137"/>
      <c r="AK50" s="2137"/>
      <c r="AL50" s="2138">
        <f t="shared" si="2"/>
        <v>0</v>
      </c>
      <c r="AM50" s="2139"/>
      <c r="AN50" s="2137"/>
    </row>
    <row r="51" spans="1:40" ht="14.1" customHeight="1">
      <c r="A51" s="2134">
        <v>46</v>
      </c>
      <c r="B51" s="3201" t="s">
        <v>5487</v>
      </c>
      <c r="C51" s="3202"/>
      <c r="D51" s="3203"/>
      <c r="E51" s="2138">
        <f>+E46+E50</f>
        <v>0</v>
      </c>
      <c r="F51" s="2138">
        <f t="shared" ref="F51:X51" si="15">+F46+F50</f>
        <v>0</v>
      </c>
      <c r="G51" s="2138">
        <f t="shared" si="15"/>
        <v>0</v>
      </c>
      <c r="H51" s="2138">
        <f t="shared" si="15"/>
        <v>0</v>
      </c>
      <c r="I51" s="2138">
        <f t="shared" si="15"/>
        <v>0</v>
      </c>
      <c r="J51" s="2138">
        <f t="shared" si="15"/>
        <v>0</v>
      </c>
      <c r="K51" s="2138">
        <f t="shared" si="15"/>
        <v>0</v>
      </c>
      <c r="L51" s="2138">
        <f t="shared" si="15"/>
        <v>0</v>
      </c>
      <c r="M51" s="2138">
        <f t="shared" si="15"/>
        <v>0</v>
      </c>
      <c r="N51" s="2138">
        <f t="shared" si="15"/>
        <v>0</v>
      </c>
      <c r="O51" s="2138">
        <f t="shared" si="15"/>
        <v>0</v>
      </c>
      <c r="P51" s="2138">
        <f t="shared" si="15"/>
        <v>0</v>
      </c>
      <c r="Q51" s="2138">
        <f t="shared" si="15"/>
        <v>0</v>
      </c>
      <c r="R51" s="2138">
        <f t="shared" si="15"/>
        <v>0</v>
      </c>
      <c r="S51" s="2138">
        <f t="shared" si="15"/>
        <v>0</v>
      </c>
      <c r="T51" s="2138">
        <f t="shared" si="15"/>
        <v>0</v>
      </c>
      <c r="U51" s="2138">
        <f t="shared" si="15"/>
        <v>0</v>
      </c>
      <c r="V51" s="2138">
        <f t="shared" si="15"/>
        <v>0</v>
      </c>
      <c r="W51" s="2138">
        <f t="shared" si="15"/>
        <v>0</v>
      </c>
      <c r="X51" s="2138">
        <f t="shared" si="15"/>
        <v>0</v>
      </c>
      <c r="Y51" s="2138">
        <f t="shared" si="0"/>
        <v>0</v>
      </c>
      <c r="Z51" s="2139"/>
      <c r="AA51" s="2137"/>
      <c r="AB51" s="2139"/>
      <c r="AC51" s="2138">
        <f t="shared" si="1"/>
        <v>0</v>
      </c>
      <c r="AD51" s="2139"/>
      <c r="AE51" s="2139"/>
      <c r="AF51" s="2139"/>
      <c r="AG51" s="2139"/>
      <c r="AH51" s="2139"/>
      <c r="AI51" s="2139"/>
      <c r="AJ51" s="2137"/>
      <c r="AK51" s="2137"/>
      <c r="AL51" s="2138">
        <f t="shared" si="2"/>
        <v>0</v>
      </c>
      <c r="AM51" s="2139"/>
      <c r="AN51" s="2137"/>
    </row>
    <row r="52" spans="1:40" s="2149" customFormat="1" ht="14.25">
      <c r="A52" s="3204" t="s">
        <v>5488</v>
      </c>
      <c r="B52" s="3204"/>
    </row>
    <row r="53" spans="1:40" s="2149" customFormat="1" ht="14.25">
      <c r="A53" s="2149">
        <v>1</v>
      </c>
      <c r="B53" s="2150" t="s">
        <v>5489</v>
      </c>
      <c r="C53" s="2150"/>
      <c r="D53" s="2150"/>
      <c r="E53" s="2150"/>
      <c r="F53" s="2150"/>
      <c r="G53" s="2150"/>
      <c r="H53" s="2150"/>
      <c r="I53" s="2150"/>
      <c r="J53" s="2150"/>
    </row>
    <row r="54" spans="1:40" s="2151" customFormat="1" ht="14.25">
      <c r="A54" s="2149">
        <v>2</v>
      </c>
      <c r="B54" s="2123" t="s">
        <v>5490</v>
      </c>
      <c r="C54" s="2150"/>
      <c r="D54" s="2150"/>
      <c r="E54" s="2150"/>
      <c r="F54" s="2150"/>
      <c r="G54" s="2150"/>
      <c r="H54" s="2150"/>
      <c r="I54" s="2150"/>
      <c r="J54" s="2150"/>
      <c r="K54" s="2150"/>
      <c r="L54" s="2150"/>
      <c r="M54" s="2150"/>
      <c r="N54" s="2150"/>
      <c r="O54" s="2150"/>
      <c r="P54" s="2150"/>
      <c r="Q54" s="2150"/>
      <c r="R54" s="2150"/>
      <c r="S54" s="2150"/>
      <c r="T54" s="2150"/>
      <c r="U54" s="2150"/>
      <c r="V54" s="2150"/>
      <c r="W54" s="2150"/>
      <c r="X54" s="2150"/>
      <c r="Y54" s="2150"/>
      <c r="Z54" s="2150"/>
      <c r="AA54" s="2150"/>
      <c r="AB54" s="2150"/>
      <c r="AC54" s="2150"/>
      <c r="AD54" s="2150"/>
      <c r="AE54" s="2150"/>
      <c r="AF54" s="2150"/>
      <c r="AG54" s="2123"/>
      <c r="AH54" s="2123"/>
    </row>
    <row r="55" spans="1:40" s="2149" customFormat="1" ht="14.25">
      <c r="A55" s="2149">
        <v>3</v>
      </c>
      <c r="B55" s="2152" t="s">
        <v>5491</v>
      </c>
      <c r="C55" s="2150"/>
      <c r="D55" s="2150"/>
      <c r="E55" s="2150"/>
      <c r="F55" s="2150"/>
      <c r="G55" s="2150"/>
      <c r="H55" s="2150"/>
      <c r="I55" s="2150"/>
      <c r="J55" s="2150"/>
      <c r="K55" s="2150"/>
      <c r="L55" s="2150"/>
      <c r="M55" s="2150"/>
      <c r="N55" s="2150"/>
      <c r="O55" s="2150"/>
      <c r="P55" s="2150"/>
      <c r="Q55" s="2150"/>
      <c r="R55" s="2150"/>
      <c r="S55" s="2150"/>
      <c r="T55" s="2150"/>
      <c r="U55" s="2150"/>
      <c r="V55" s="2150"/>
    </row>
    <row r="56" spans="1:40" s="2149" customFormat="1" ht="14.25">
      <c r="A56" s="2149">
        <v>4</v>
      </c>
      <c r="B56" s="2153" t="s">
        <v>5492</v>
      </c>
      <c r="C56" s="2123"/>
      <c r="D56" s="2123"/>
      <c r="E56" s="2123"/>
      <c r="F56" s="2123"/>
      <c r="G56" s="2123"/>
      <c r="H56" s="2123"/>
      <c r="I56" s="2123"/>
      <c r="J56" s="2123"/>
      <c r="K56" s="2123"/>
      <c r="L56" s="2123"/>
      <c r="M56" s="2123"/>
      <c r="N56" s="2123"/>
      <c r="O56" s="2123"/>
      <c r="P56" s="2123"/>
      <c r="Q56" s="2123"/>
      <c r="R56" s="2123"/>
      <c r="S56" s="2123"/>
      <c r="T56" s="2123"/>
      <c r="U56" s="2123"/>
      <c r="V56" s="2123"/>
      <c r="W56" s="2123"/>
      <c r="X56" s="2123"/>
      <c r="Y56" s="2123"/>
      <c r="Z56" s="2123"/>
      <c r="AA56" s="2123"/>
      <c r="AB56" s="2123"/>
      <c r="AC56" s="2123"/>
      <c r="AD56" s="2123"/>
      <c r="AE56" s="2123"/>
      <c r="AF56" s="2123"/>
      <c r="AG56" s="2123"/>
      <c r="AH56" s="2123"/>
    </row>
    <row r="57" spans="1:40" s="2149" customFormat="1" ht="14.25">
      <c r="B57" s="2153" t="s">
        <v>5493</v>
      </c>
      <c r="C57" s="2123"/>
      <c r="D57" s="2123"/>
      <c r="E57" s="2123"/>
      <c r="F57" s="2123"/>
      <c r="G57" s="2123"/>
      <c r="H57" s="2123"/>
      <c r="I57" s="2123"/>
      <c r="J57" s="2123"/>
      <c r="K57" s="2123"/>
      <c r="L57" s="2123"/>
      <c r="M57" s="2123"/>
      <c r="N57" s="2123"/>
      <c r="O57" s="2123"/>
      <c r="P57" s="2123"/>
      <c r="Q57" s="2123"/>
      <c r="R57" s="2123"/>
      <c r="S57" s="2123"/>
      <c r="T57" s="2123"/>
      <c r="U57" s="2123"/>
      <c r="V57" s="2123"/>
      <c r="W57" s="2123"/>
      <c r="X57" s="2123"/>
      <c r="Y57" s="2123"/>
      <c r="Z57" s="2123"/>
      <c r="AA57" s="2123"/>
      <c r="AB57" s="2123"/>
      <c r="AC57" s="2123"/>
      <c r="AD57" s="2123"/>
      <c r="AE57" s="2123"/>
      <c r="AF57" s="2123"/>
      <c r="AG57" s="2123"/>
      <c r="AH57" s="2123"/>
    </row>
    <row r="58" spans="1:40" s="2149" customFormat="1" ht="14.25">
      <c r="B58" s="2152" t="s">
        <v>5494</v>
      </c>
      <c r="C58" s="2150"/>
      <c r="D58" s="2150"/>
      <c r="E58" s="2150"/>
      <c r="F58" s="2150"/>
      <c r="G58" s="2150"/>
      <c r="H58" s="2150"/>
      <c r="I58" s="2150"/>
      <c r="J58" s="2150"/>
      <c r="K58" s="2150"/>
      <c r="L58" s="2150"/>
      <c r="M58" s="2150"/>
      <c r="N58" s="2150"/>
      <c r="O58" s="2150"/>
      <c r="P58" s="2150"/>
      <c r="Q58" s="2150"/>
      <c r="R58" s="2150"/>
      <c r="S58" s="2150"/>
      <c r="T58" s="2150"/>
      <c r="U58" s="2150"/>
      <c r="V58" s="2150"/>
      <c r="W58" s="2150"/>
      <c r="X58" s="2150"/>
      <c r="Y58" s="2150"/>
      <c r="Z58" s="2150"/>
      <c r="AA58" s="2150"/>
      <c r="AB58" s="2150"/>
      <c r="AC58" s="2150"/>
      <c r="AD58" s="2150"/>
      <c r="AE58" s="2150"/>
      <c r="AF58" s="2150"/>
      <c r="AG58" s="2150"/>
      <c r="AH58" s="2150"/>
    </row>
    <row r="59" spans="1:40" s="2149" customFormat="1" ht="14.25">
      <c r="B59" s="2152" t="s">
        <v>5495</v>
      </c>
      <c r="C59" s="2150"/>
      <c r="D59" s="2150"/>
      <c r="E59" s="2150"/>
      <c r="F59" s="2150"/>
      <c r="G59" s="2150"/>
      <c r="H59" s="2150"/>
      <c r="I59" s="2150"/>
      <c r="J59" s="2150"/>
      <c r="K59" s="2150"/>
      <c r="L59" s="2150"/>
      <c r="M59" s="2150"/>
      <c r="N59" s="2150"/>
      <c r="O59" s="2150"/>
      <c r="P59" s="2150"/>
      <c r="Q59" s="2150"/>
      <c r="R59" s="2150"/>
      <c r="S59" s="2150"/>
      <c r="T59" s="2150"/>
      <c r="U59" s="2150"/>
      <c r="V59" s="2150"/>
      <c r="W59" s="2150"/>
      <c r="X59" s="2150"/>
      <c r="Y59" s="2150"/>
      <c r="Z59" s="2150"/>
      <c r="AA59" s="2150"/>
      <c r="AB59" s="2150"/>
      <c r="AC59" s="2150"/>
      <c r="AD59" s="2150"/>
      <c r="AE59" s="2150"/>
      <c r="AF59" s="2150"/>
      <c r="AG59" s="2150"/>
      <c r="AH59" s="2150"/>
    </row>
    <row r="60" spans="1:40" s="2149" customFormat="1" ht="14.25">
      <c r="B60" s="2152" t="s">
        <v>5496</v>
      </c>
      <c r="C60" s="2150"/>
      <c r="D60" s="2150"/>
      <c r="E60" s="2150"/>
      <c r="F60" s="2150"/>
      <c r="G60" s="2150"/>
      <c r="H60" s="2150"/>
      <c r="I60" s="2150"/>
      <c r="J60" s="2150"/>
      <c r="K60" s="2150"/>
      <c r="L60" s="2150"/>
      <c r="M60" s="2150"/>
      <c r="N60" s="2150"/>
      <c r="O60" s="2150"/>
      <c r="P60" s="2150"/>
      <c r="Q60" s="2150"/>
      <c r="R60" s="2150"/>
      <c r="S60" s="2150"/>
      <c r="T60" s="2150"/>
      <c r="U60" s="2150"/>
      <c r="V60" s="2150"/>
      <c r="W60" s="2150"/>
      <c r="X60" s="2150"/>
      <c r="Y60" s="2150"/>
      <c r="Z60" s="2150"/>
      <c r="AA60" s="2150"/>
      <c r="AB60" s="2150"/>
      <c r="AC60" s="2150"/>
      <c r="AD60" s="2150"/>
      <c r="AE60" s="2150"/>
      <c r="AF60" s="2150"/>
      <c r="AG60" s="2150"/>
      <c r="AH60" s="2150"/>
    </row>
    <row r="61" spans="1:40" s="2149" customFormat="1" ht="14.25">
      <c r="A61" s="2149">
        <v>5</v>
      </c>
      <c r="B61" s="2152" t="s">
        <v>5497</v>
      </c>
      <c r="C61" s="2150"/>
      <c r="E61" s="2150"/>
      <c r="F61" s="2150"/>
      <c r="G61" s="2150"/>
      <c r="H61" s="2150"/>
      <c r="I61" s="2150"/>
    </row>
    <row r="62" spans="1:40" s="2149" customFormat="1">
      <c r="B62" s="2152"/>
    </row>
    <row r="63" spans="1:40" s="2149" customFormat="1">
      <c r="B63" s="2152"/>
    </row>
    <row r="64" spans="1:40" s="2149" customFormat="1">
      <c r="B64" s="2123"/>
    </row>
    <row r="65" spans="2:2" s="2149" customFormat="1">
      <c r="B65" s="2123"/>
    </row>
    <row r="66" spans="2:2" s="2149" customFormat="1">
      <c r="B66" s="2123"/>
    </row>
    <row r="67" spans="2:2" s="2149" customFormat="1">
      <c r="B67" s="2123"/>
    </row>
    <row r="68" spans="2:2" s="2149" customFormat="1">
      <c r="B68" s="2123"/>
    </row>
    <row r="69" spans="2:2" s="2149" customFormat="1"/>
    <row r="70" spans="2:2" s="2149" customFormat="1"/>
    <row r="71" spans="2:2" s="2149" customFormat="1"/>
    <row r="72" spans="2:2" s="2149" customFormat="1"/>
    <row r="73" spans="2:2" s="2149" customFormat="1"/>
    <row r="74" spans="2:2" s="2149" customFormat="1"/>
    <row r="75" spans="2:2" s="2149" customFormat="1"/>
    <row r="76" spans="2:2" s="2149" customFormat="1"/>
    <row r="77" spans="2:2" s="2149" customFormat="1"/>
    <row r="78" spans="2:2" s="2149" customFormat="1"/>
    <row r="79" spans="2:2" s="2149" customFormat="1"/>
    <row r="80" spans="2:2" s="2149" customFormat="1"/>
    <row r="81" s="2149" customFormat="1"/>
    <row r="82" s="2149" customFormat="1"/>
    <row r="83" s="2149" customFormat="1"/>
    <row r="84" s="2149" customFormat="1"/>
    <row r="85" s="2149" customFormat="1"/>
    <row r="86" s="2149" customFormat="1"/>
    <row r="87" s="2149" customFormat="1"/>
    <row r="88" s="2149" customFormat="1"/>
    <row r="89" s="2149" customFormat="1"/>
    <row r="90" s="2149" customFormat="1"/>
    <row r="91" s="2149" customFormat="1"/>
    <row r="92" s="2149" customFormat="1"/>
    <row r="93" s="2149" customFormat="1"/>
    <row r="94" s="2149" customFormat="1"/>
    <row r="95" s="2149" customFormat="1"/>
    <row r="96" s="2149" customFormat="1"/>
    <row r="97" s="2149" customFormat="1"/>
    <row r="98" s="2149" customFormat="1"/>
    <row r="99" s="2149" customFormat="1"/>
    <row r="100" s="2149" customFormat="1"/>
    <row r="101" s="2149" customFormat="1"/>
    <row r="102" s="2149" customFormat="1"/>
    <row r="103" s="2149" customFormat="1"/>
    <row r="104" s="2149" customFormat="1"/>
    <row r="105" s="2149" customFormat="1"/>
    <row r="106" s="2149" customFormat="1"/>
    <row r="107" s="2149" customFormat="1"/>
    <row r="108" s="2149" customFormat="1"/>
    <row r="109" s="2149" customFormat="1"/>
    <row r="110" s="2149" customFormat="1"/>
    <row r="111" s="2149" customFormat="1"/>
    <row r="112" s="2149" customFormat="1"/>
    <row r="113" s="2149" customFormat="1"/>
    <row r="114" s="2149" customFormat="1"/>
    <row r="115" s="2149" customFormat="1"/>
    <row r="116" s="2149" customFormat="1"/>
    <row r="117" s="2149" customFormat="1"/>
    <row r="118" s="2149" customFormat="1"/>
    <row r="119" s="2149" customFormat="1"/>
    <row r="120" s="2149" customFormat="1"/>
    <row r="121" s="2149" customFormat="1"/>
    <row r="122" s="2149" customFormat="1"/>
    <row r="123" s="2149" customFormat="1"/>
    <row r="124" s="2149" customFormat="1"/>
    <row r="125" s="2149" customFormat="1"/>
    <row r="126" s="2149" customFormat="1"/>
    <row r="127" s="2149" customFormat="1"/>
    <row r="128" s="2149" customFormat="1"/>
    <row r="129" s="2149" customFormat="1"/>
    <row r="130" s="2149" customFormat="1"/>
    <row r="131" s="2149" customFormat="1"/>
    <row r="132" s="2149" customFormat="1"/>
    <row r="133" s="2149" customFormat="1"/>
    <row r="134" s="2149" customFormat="1"/>
    <row r="135" s="2149" customFormat="1"/>
    <row r="136" s="2149" customFormat="1"/>
    <row r="137" s="2149" customFormat="1"/>
    <row r="138" s="2149" customFormat="1"/>
    <row r="139" s="2149" customFormat="1"/>
    <row r="140" s="2149" customFormat="1"/>
    <row r="141" s="2149" customFormat="1"/>
    <row r="142" s="2149" customFormat="1"/>
    <row r="143" s="2149" customFormat="1"/>
    <row r="144" s="2149" customFormat="1"/>
    <row r="145" s="2149" customFormat="1"/>
    <row r="146" s="2149" customFormat="1"/>
    <row r="147" s="2149" customFormat="1"/>
    <row r="148" s="2149" customFormat="1"/>
    <row r="149" s="2149" customFormat="1"/>
    <row r="150" s="2149" customFormat="1"/>
    <row r="151" s="2149" customFormat="1"/>
    <row r="152" s="2149" customFormat="1"/>
    <row r="153" s="2149" customFormat="1"/>
    <row r="154" s="2149" customFormat="1"/>
    <row r="155" s="2149" customFormat="1"/>
    <row r="156" s="2149" customFormat="1"/>
    <row r="157" s="2149" customFormat="1"/>
    <row r="158" s="2149" customFormat="1"/>
    <row r="159" s="2149" customFormat="1"/>
    <row r="160" s="2149" customFormat="1"/>
    <row r="161" s="2149" customFormat="1"/>
    <row r="162" s="2149" customFormat="1"/>
    <row r="163" s="2149" customFormat="1"/>
    <row r="164" s="2149" customFormat="1"/>
    <row r="165" s="2149" customFormat="1"/>
    <row r="166" s="2149" customFormat="1"/>
    <row r="167" s="2149" customFormat="1"/>
    <row r="168" s="2149" customFormat="1"/>
    <row r="169" s="2149" customFormat="1"/>
    <row r="170" s="2149" customFormat="1"/>
    <row r="171" s="2149" customFormat="1"/>
    <row r="172" s="2149" customFormat="1"/>
    <row r="173" s="2149" customFormat="1"/>
    <row r="174" s="2149" customFormat="1"/>
    <row r="175" s="2149" customFormat="1"/>
    <row r="176" s="2149" customFormat="1"/>
    <row r="177" s="2149" customFormat="1"/>
    <row r="178" s="2149" customFormat="1"/>
    <row r="179" s="2149" customFormat="1"/>
    <row r="180" s="2149" customFormat="1"/>
    <row r="181" s="2149" customFormat="1"/>
    <row r="182" s="2149" customFormat="1"/>
    <row r="183" s="2149" customFormat="1"/>
    <row r="184" s="2149" customFormat="1"/>
    <row r="185" s="2149" customFormat="1"/>
    <row r="186" s="2149" customFormat="1"/>
    <row r="187" s="2149" customFormat="1"/>
    <row r="188" s="2149" customFormat="1"/>
    <row r="189" s="2149" customFormat="1"/>
    <row r="190" s="2149" customFormat="1"/>
    <row r="191" s="2149" customFormat="1"/>
    <row r="192" s="2149" customFormat="1"/>
    <row r="193" s="2149" customFormat="1"/>
    <row r="194" s="2149" customFormat="1"/>
    <row r="195" s="2149" customFormat="1"/>
    <row r="196" s="2149" customFormat="1"/>
    <row r="197" s="2149" customFormat="1"/>
    <row r="198" s="2149" customFormat="1"/>
    <row r="199" s="2149" customFormat="1"/>
    <row r="200" s="2149" customFormat="1"/>
    <row r="201" s="2149" customFormat="1"/>
    <row r="202" s="2149" customFormat="1"/>
    <row r="203" s="2149" customFormat="1"/>
    <row r="204" s="2149" customFormat="1"/>
    <row r="205" s="2149" customFormat="1"/>
    <row r="206" s="2149" customFormat="1"/>
    <row r="207" s="2149" customFormat="1"/>
    <row r="208" s="2149" customFormat="1"/>
    <row r="209" s="2149" customFormat="1"/>
    <row r="210" s="2149" customFormat="1"/>
    <row r="211" s="2149" customFormat="1"/>
    <row r="212" s="2149" customFormat="1"/>
    <row r="213" s="2149" customFormat="1"/>
    <row r="214" s="2149" customFormat="1"/>
    <row r="215" s="2149" customFormat="1"/>
    <row r="216" s="2149" customFormat="1"/>
    <row r="217" s="2149" customFormat="1"/>
    <row r="218" s="2149" customFormat="1"/>
    <row r="219" s="2149" customFormat="1"/>
    <row r="220" s="2149" customFormat="1"/>
    <row r="221" s="2149" customFormat="1"/>
    <row r="222" s="2149" customFormat="1"/>
    <row r="223" s="2149" customFormat="1"/>
    <row r="224" s="2149" customFormat="1"/>
    <row r="225" s="2149" customFormat="1"/>
    <row r="226" s="2149" customFormat="1"/>
    <row r="227" s="2149" customFormat="1"/>
    <row r="228" s="2149" customFormat="1"/>
    <row r="229" s="2149" customFormat="1"/>
    <row r="230" s="2149" customFormat="1"/>
    <row r="231" s="2149" customFormat="1"/>
    <row r="232" s="2149" customFormat="1"/>
    <row r="233" s="2149" customFormat="1"/>
    <row r="234" s="2149" customFormat="1"/>
    <row r="235" s="2149" customFormat="1"/>
    <row r="236" s="2149" customFormat="1"/>
    <row r="237" s="2149" customFormat="1"/>
    <row r="238" s="2149" customFormat="1"/>
    <row r="239" s="2149" customFormat="1"/>
    <row r="240" s="2149" customFormat="1"/>
    <row r="241" s="2149" customFormat="1"/>
    <row r="242" s="2149" customFormat="1"/>
    <row r="243" s="2149" customFormat="1"/>
    <row r="244" s="2149" customFormat="1"/>
    <row r="245" s="2149" customFormat="1"/>
    <row r="246" s="2149" customFormat="1"/>
    <row r="247" s="2149" customFormat="1"/>
    <row r="248" s="2149" customFormat="1"/>
  </sheetData>
  <mergeCells count="17">
    <mergeCell ref="AC3:AD3"/>
    <mergeCell ref="AE3:AI3"/>
    <mergeCell ref="AJ3:AM3"/>
    <mergeCell ref="AN3:AN4"/>
    <mergeCell ref="B5:D5"/>
    <mergeCell ref="W3:W4"/>
    <mergeCell ref="Y3:Z3"/>
    <mergeCell ref="AA3:AB3"/>
    <mergeCell ref="A3:A5"/>
    <mergeCell ref="B3:D4"/>
    <mergeCell ref="B46:D46"/>
    <mergeCell ref="B51:D51"/>
    <mergeCell ref="A52:B52"/>
    <mergeCell ref="C24:D24"/>
    <mergeCell ref="C25:D25"/>
    <mergeCell ref="C44:D44"/>
    <mergeCell ref="C45:D45"/>
  </mergeCells>
  <phoneticPr fontId="9" type="noConversion"/>
  <pageMargins left="0" right="0" top="0" bottom="0" header="0" footer="0"/>
  <pageSetup paperSize="9" scale="50" orientation="landscape"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3">
    <pageSetUpPr fitToPage="1"/>
  </sheetPr>
  <dimension ref="A1:H12"/>
  <sheetViews>
    <sheetView showGridLines="0" zoomScale="120" zoomScaleNormal="120" zoomScaleSheetLayoutView="140" workbookViewId="0">
      <selection activeCell="G28" sqref="G28"/>
    </sheetView>
  </sheetViews>
  <sheetFormatPr defaultRowHeight="16.5"/>
  <cols>
    <col min="1" max="1" width="34" style="292" customWidth="1"/>
    <col min="2" max="2" width="37.875" style="292" customWidth="1"/>
    <col min="3" max="4" width="14.25" style="292" customWidth="1"/>
    <col min="5" max="6" width="20.5" style="292" customWidth="1"/>
    <col min="7" max="7" width="16.125" style="292" customWidth="1"/>
    <col min="8" max="8" width="17.625" style="292" customWidth="1"/>
  </cols>
  <sheetData>
    <row r="1" spans="1:8">
      <c r="A1" s="11" t="str">
        <f>+封面!A3&amp;" "&amp;封面!A2</f>
        <v xml:space="preserve">        保險股份有限公司(○○分公司) 年度(月、季、半年)報表</v>
      </c>
    </row>
    <row r="2" spans="1:8" ht="17.25" thickBot="1">
      <c r="A2" s="120" t="s">
        <v>2961</v>
      </c>
      <c r="E2" s="118"/>
      <c r="F2" s="118"/>
      <c r="G2" s="118"/>
      <c r="H2" s="304" t="s">
        <v>2752</v>
      </c>
    </row>
    <row r="3" spans="1:8" ht="29.25">
      <c r="A3" s="305" t="s">
        <v>2962</v>
      </c>
      <c r="B3" s="306" t="s">
        <v>2963</v>
      </c>
      <c r="C3" s="307" t="s">
        <v>2964</v>
      </c>
      <c r="D3" s="307" t="s">
        <v>2965</v>
      </c>
      <c r="E3" s="307" t="s">
        <v>2966</v>
      </c>
      <c r="F3" s="308" t="s">
        <v>2967</v>
      </c>
      <c r="G3" s="309" t="s">
        <v>2968</v>
      </c>
      <c r="H3" s="310" t="s">
        <v>2956</v>
      </c>
    </row>
    <row r="4" spans="1:8">
      <c r="A4" s="22" t="s">
        <v>1867</v>
      </c>
      <c r="B4" s="311"/>
      <c r="C4" s="312"/>
      <c r="D4" s="313"/>
      <c r="E4" s="313"/>
      <c r="F4" s="313"/>
      <c r="G4" s="314"/>
      <c r="H4" s="315"/>
    </row>
    <row r="5" spans="1:8">
      <c r="A5" s="316" t="s">
        <v>2969</v>
      </c>
      <c r="B5" s="311"/>
      <c r="C5" s="317"/>
      <c r="D5" s="318"/>
      <c r="E5" s="319">
        <f>+E6+E7</f>
        <v>0</v>
      </c>
      <c r="F5" s="318"/>
      <c r="G5" s="320"/>
      <c r="H5" s="321">
        <f>+H6+H7</f>
        <v>0</v>
      </c>
    </row>
    <row r="6" spans="1:8">
      <c r="A6" s="322" t="s">
        <v>2970</v>
      </c>
      <c r="B6" s="323" t="s">
        <v>2971</v>
      </c>
      <c r="C6" s="324"/>
      <c r="D6" s="325"/>
      <c r="E6" s="326">
        <f>'表21-7'!R6</f>
        <v>0</v>
      </c>
      <c r="F6" s="325"/>
      <c r="G6" s="327">
        <v>0.03</v>
      </c>
      <c r="H6" s="328">
        <f>ROUND(E6*G6,0)</f>
        <v>0</v>
      </c>
    </row>
    <row r="7" spans="1:8" s="334" customFormat="1" ht="14.25">
      <c r="A7" s="322" t="s">
        <v>2972</v>
      </c>
      <c r="B7" s="323" t="s">
        <v>2973</v>
      </c>
      <c r="C7" s="329"/>
      <c r="D7" s="330"/>
      <c r="E7" s="331">
        <f>C7*(1-D7)</f>
        <v>0</v>
      </c>
      <c r="F7" s="332"/>
      <c r="G7" s="333">
        <f>+F7*0.18</f>
        <v>0</v>
      </c>
      <c r="H7" s="328">
        <f>ROUND(E7*G7,0)</f>
        <v>0</v>
      </c>
    </row>
    <row r="8" spans="1:8">
      <c r="A8" s="296" t="s">
        <v>2974</v>
      </c>
      <c r="B8" s="335"/>
      <c r="C8" s="336"/>
      <c r="D8" s="337"/>
      <c r="E8" s="319">
        <f>+E9+E10</f>
        <v>0</v>
      </c>
      <c r="F8" s="338"/>
      <c r="G8" s="339"/>
      <c r="H8" s="321">
        <f>+H9+H10</f>
        <v>0</v>
      </c>
    </row>
    <row r="9" spans="1:8" ht="17.25" thickBot="1">
      <c r="A9" s="322" t="s">
        <v>2975</v>
      </c>
      <c r="B9" s="323" t="s">
        <v>2976</v>
      </c>
      <c r="C9" s="340"/>
      <c r="D9" s="341"/>
      <c r="E9" s="342">
        <f>'表21-7'!O6</f>
        <v>0</v>
      </c>
      <c r="F9" s="343"/>
      <c r="G9" s="344">
        <v>1.2500000000000001E-2</v>
      </c>
      <c r="H9" s="345">
        <f>ROUND(+E9*G9,0)</f>
        <v>0</v>
      </c>
    </row>
    <row r="10" spans="1:8" ht="18" thickTop="1" thickBot="1">
      <c r="A10" s="322" t="s">
        <v>2977</v>
      </c>
      <c r="B10" s="323" t="s">
        <v>2978</v>
      </c>
      <c r="C10" s="324"/>
      <c r="D10" s="325"/>
      <c r="E10" s="331">
        <f>+'表26-1'!S36</f>
        <v>0</v>
      </c>
      <c r="F10" s="346"/>
      <c r="G10" s="333">
        <v>1.2500000000000001E-2</v>
      </c>
      <c r="H10" s="328">
        <f>ROUND(+E10*G10,0)</f>
        <v>0</v>
      </c>
    </row>
    <row r="11" spans="1:8" ht="18" thickTop="1" thickBot="1">
      <c r="A11" s="347" t="s">
        <v>2979</v>
      </c>
      <c r="B11" s="348"/>
      <c r="C11" s="349"/>
      <c r="D11" s="350"/>
      <c r="E11" s="350">
        <f>SUM(E5,E8)</f>
        <v>0</v>
      </c>
      <c r="F11" s="350"/>
      <c r="G11" s="351"/>
      <c r="H11" s="352">
        <f>SUM(H5,H8)</f>
        <v>0</v>
      </c>
    </row>
    <row r="12" spans="1:8">
      <c r="A12" s="3635" t="s">
        <v>2980</v>
      </c>
      <c r="B12" s="3635"/>
      <c r="C12" s="3635"/>
      <c r="D12" s="3635"/>
      <c r="E12" s="3635"/>
      <c r="F12" s="3635"/>
      <c r="G12" s="3635"/>
      <c r="H12" s="3635"/>
    </row>
  </sheetData>
  <mergeCells count="1">
    <mergeCell ref="A12:H12"/>
  </mergeCells>
  <phoneticPr fontId="9" type="noConversion"/>
  <dataValidations count="1">
    <dataValidation type="decimal" allowBlank="1" showInputMessage="1" showErrorMessage="1" errorTitle="錯誤" error="輸入資料格式錯誤!!" sqref="E4:F5 E6:E7 F7 H4:H11 E8:F11" xr:uid="{00000000-0002-0000-3000-000000000000}">
      <formula1>-9.99999999999999E+28</formula1>
      <formula2>9.99999999999999E+28</formula2>
    </dataValidation>
  </dataValidations>
  <pageMargins left="0.7" right="0.7" top="0.75" bottom="0.75" header="0.3" footer="0.3"/>
  <pageSetup paperSize="9" scale="71" orientation="landscape" r:id="rId1"/>
  <drawing r:id="rId2"/>
  <legacyDrawing r:id="rId3"/>
  <oleObjects>
    <mc:AlternateContent xmlns:mc="http://schemas.openxmlformats.org/markup-compatibility/2006">
      <mc:Choice Requires="x14">
        <oleObject progId="Equation.3" shapeId="141313"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3" r:id="rId4"/>
      </mc:Fallback>
    </mc:AlternateContent>
    <mc:AlternateContent xmlns:mc="http://schemas.openxmlformats.org/markup-compatibility/2006">
      <mc:Choice Requires="x14">
        <oleObject progId="Equation.3" shapeId="141314"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4" r:id="rId6"/>
      </mc:Fallback>
    </mc:AlternateContent>
    <mc:AlternateContent xmlns:mc="http://schemas.openxmlformats.org/markup-compatibility/2006">
      <mc:Choice Requires="x14">
        <oleObject progId="Equation.3" shapeId="141315"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5" r:id="rId7"/>
      </mc:Fallback>
    </mc:AlternateContent>
    <mc:AlternateContent xmlns:mc="http://schemas.openxmlformats.org/markup-compatibility/2006">
      <mc:Choice Requires="x14">
        <oleObject progId="Equation.3" shapeId="141316"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6" r:id="rId8"/>
      </mc:Fallback>
    </mc:AlternateContent>
    <mc:AlternateContent xmlns:mc="http://schemas.openxmlformats.org/markup-compatibility/2006">
      <mc:Choice Requires="x14">
        <oleObject progId="Equation.3" shapeId="141317"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7" r:id="rId9"/>
      </mc:Fallback>
    </mc:AlternateContent>
    <mc:AlternateContent xmlns:mc="http://schemas.openxmlformats.org/markup-compatibility/2006">
      <mc:Choice Requires="x14">
        <oleObject progId="Equation.3" shapeId="141318"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8" r:id="rId10"/>
      </mc:Fallback>
    </mc:AlternateContent>
    <mc:AlternateContent xmlns:mc="http://schemas.openxmlformats.org/markup-compatibility/2006">
      <mc:Choice Requires="x14">
        <oleObject progId="Equation.3" shapeId="141319"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9" r:id="rId11"/>
      </mc:Fallback>
    </mc:AlternateContent>
    <mc:AlternateContent xmlns:mc="http://schemas.openxmlformats.org/markup-compatibility/2006">
      <mc:Choice Requires="x14">
        <oleObject progId="Equation.3" shapeId="141320"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20" r:id="rId12"/>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6">
    <pageSetUpPr fitToPage="1"/>
  </sheetPr>
  <dimension ref="A1:G55"/>
  <sheetViews>
    <sheetView showGridLines="0" view="pageBreakPreview" zoomScale="120" zoomScaleNormal="120" zoomScaleSheetLayoutView="120" workbookViewId="0"/>
  </sheetViews>
  <sheetFormatPr defaultRowHeight="15.75"/>
  <cols>
    <col min="1" max="1" width="53.375" style="2367" customWidth="1"/>
    <col min="2" max="2" width="32" style="2367" customWidth="1"/>
    <col min="3" max="6" width="25.625" style="2367" customWidth="1"/>
    <col min="7" max="7" width="27.125" style="2367" customWidth="1"/>
    <col min="8" max="16384" width="9" style="2367"/>
  </cols>
  <sheetData>
    <row r="1" spans="1:5" ht="16.5">
      <c r="A1" s="11" t="str">
        <f>+封面!A3&amp;" "&amp;封面!A2</f>
        <v xml:space="preserve">        保險股份有限公司(○○分公司) 年度(月、季、半年)報表</v>
      </c>
    </row>
    <row r="2" spans="1:5" ht="18.75">
      <c r="A2" s="2368" t="s">
        <v>5802</v>
      </c>
      <c r="B2" s="2369"/>
      <c r="C2" s="2369"/>
      <c r="D2" s="2369"/>
    </row>
    <row r="3" spans="1:5" ht="36" customHeight="1">
      <c r="A3" s="2370" t="s">
        <v>5803</v>
      </c>
      <c r="B3" s="2369"/>
      <c r="C3" s="2369"/>
      <c r="D3" s="2369"/>
    </row>
    <row r="4" spans="1:5" ht="16.5" thickBot="1">
      <c r="A4" s="2368"/>
      <c r="B4" s="3636"/>
      <c r="C4" s="3636"/>
      <c r="D4" s="2369"/>
    </row>
    <row r="5" spans="1:5" s="2374" customFormat="1" ht="17.25" thickBot="1">
      <c r="A5" s="3637" t="s">
        <v>5804</v>
      </c>
      <c r="B5" s="2371" t="s">
        <v>5805</v>
      </c>
      <c r="C5" s="2372" t="s">
        <v>5806</v>
      </c>
      <c r="D5" s="2373" t="s">
        <v>5807</v>
      </c>
    </row>
    <row r="6" spans="1:5" s="2374" customFormat="1" ht="16.5" thickBot="1">
      <c r="A6" s="3638"/>
      <c r="B6" s="2375" t="s">
        <v>28</v>
      </c>
      <c r="C6" s="2376" t="s">
        <v>208</v>
      </c>
      <c r="D6" s="2377" t="s">
        <v>1894</v>
      </c>
    </row>
    <row r="7" spans="1:5" ht="16.5">
      <c r="A7" s="2957" t="s">
        <v>6337</v>
      </c>
      <c r="B7" s="2958">
        <f>F41*(1+'表30-5-2-4-1'!$B$49)</f>
        <v>0</v>
      </c>
      <c r="C7" s="2959">
        <v>1</v>
      </c>
      <c r="D7" s="2960">
        <f>B7*C7</f>
        <v>0</v>
      </c>
      <c r="E7" s="2380"/>
    </row>
    <row r="8" spans="1:5" ht="16.5">
      <c r="A8" s="2957" t="s">
        <v>6338</v>
      </c>
      <c r="B8" s="2958">
        <f>F42*(1+'表30-5-2-4-1'!$B$49)</f>
        <v>0</v>
      </c>
      <c r="C8" s="2959">
        <v>1</v>
      </c>
      <c r="D8" s="2960">
        <f>B8*C8</f>
        <v>0</v>
      </c>
      <c r="E8" s="2380"/>
    </row>
    <row r="9" spans="1:5" ht="16.5">
      <c r="A9" s="2961" t="s">
        <v>6339</v>
      </c>
      <c r="B9" s="2958">
        <f>B41-F41-G41</f>
        <v>0</v>
      </c>
      <c r="C9" s="2962">
        <v>1.7999999999999999E-2</v>
      </c>
      <c r="D9" s="2963">
        <f>B9*C9</f>
        <v>0</v>
      </c>
      <c r="E9" s="2380"/>
    </row>
    <row r="10" spans="1:5" ht="16.5">
      <c r="A10" s="2961" t="s">
        <v>6340</v>
      </c>
      <c r="B10" s="2958">
        <f>MAX(0,'表30-5-2-1-1'!F9-'表30-5-2-1-1'!F14)+MAX(0,'表30-5-2-1-1'!G9-'表30-5-2-1-1'!G14)</f>
        <v>0</v>
      </c>
      <c r="C10" s="2962">
        <v>1.7999999999999999E-2</v>
      </c>
      <c r="D10" s="2964">
        <f>B10*C10</f>
        <v>0</v>
      </c>
    </row>
    <row r="11" spans="1:5" ht="16.5">
      <c r="A11" s="2965" t="s">
        <v>6341</v>
      </c>
      <c r="B11" s="2966">
        <f>SUM(B7:B8)</f>
        <v>0</v>
      </c>
      <c r="C11" s="2967"/>
      <c r="D11" s="2964">
        <f>SUM(D7:D8)</f>
        <v>0</v>
      </c>
    </row>
    <row r="12" spans="1:5" ht="16.5">
      <c r="A12" s="2968" t="s">
        <v>6342</v>
      </c>
      <c r="B12" s="2969">
        <f>SUM(B9:B10)</f>
        <v>0</v>
      </c>
      <c r="C12" s="2970"/>
      <c r="D12" s="2971">
        <f>SUM(D9:D10)</f>
        <v>0</v>
      </c>
    </row>
    <row r="13" spans="1:5" s="2384" customFormat="1" ht="16.5">
      <c r="A13" s="2972" t="s">
        <v>6343</v>
      </c>
      <c r="B13" s="2973">
        <f>F43*(1+'表30-5-2-4-1'!$J$49)</f>
        <v>0</v>
      </c>
      <c r="C13" s="2959">
        <v>1</v>
      </c>
      <c r="D13" s="2960">
        <f>B13*C13</f>
        <v>0</v>
      </c>
    </row>
    <row r="14" spans="1:5" s="2384" customFormat="1" ht="16.5">
      <c r="A14" s="2961" t="s">
        <v>6344</v>
      </c>
      <c r="B14" s="2974">
        <f>F44*(1+'表30-5-2-4-1'!$J$49)</f>
        <v>0</v>
      </c>
      <c r="C14" s="2959">
        <v>1</v>
      </c>
      <c r="D14" s="2960">
        <f>B14*C14</f>
        <v>0</v>
      </c>
    </row>
    <row r="15" spans="1:5" s="2384" customFormat="1" ht="16.5">
      <c r="A15" s="2961" t="s">
        <v>6345</v>
      </c>
      <c r="B15" s="2974">
        <f>B43-F43-G43</f>
        <v>0</v>
      </c>
      <c r="C15" s="2962">
        <v>1.7999999999999999E-2</v>
      </c>
      <c r="D15" s="2963">
        <f>B15*C15</f>
        <v>0</v>
      </c>
    </row>
    <row r="16" spans="1:5" s="2384" customFormat="1" ht="16.5">
      <c r="A16" s="2961" t="s">
        <v>6346</v>
      </c>
      <c r="B16" s="2974">
        <f>MAX(0,'表30-5-2-1-1'!K9-'表30-5-2-1-1'!K14)+MAX(0,'表30-5-2-1-1'!L9-'表30-5-2-1-1'!L14)</f>
        <v>0</v>
      </c>
      <c r="C16" s="2962">
        <v>1.7999999999999999E-2</v>
      </c>
      <c r="D16" s="2964">
        <f>B16*C16</f>
        <v>0</v>
      </c>
    </row>
    <row r="17" spans="1:4" s="2384" customFormat="1" ht="16.5">
      <c r="A17" s="2965" t="s">
        <v>6347</v>
      </c>
      <c r="B17" s="2966">
        <f>SUM(B13:B14)</f>
        <v>0</v>
      </c>
      <c r="C17" s="2967"/>
      <c r="D17" s="2964">
        <f>SUM(D13:D14)</f>
        <v>0</v>
      </c>
    </row>
    <row r="18" spans="1:4" ht="17.25" thickBot="1">
      <c r="A18" s="2975" t="s">
        <v>6348</v>
      </c>
      <c r="B18" s="2976">
        <f>SUM(B15:B16)</f>
        <v>0</v>
      </c>
      <c r="C18" s="2977"/>
      <c r="D18" s="2978">
        <f>SUM(D15:D16)</f>
        <v>0</v>
      </c>
    </row>
    <row r="19" spans="1:4" ht="17.25" thickTop="1">
      <c r="A19" s="2979" t="s">
        <v>6349</v>
      </c>
      <c r="B19" s="2980">
        <f>SQRT(B11^2+B17^2)</f>
        <v>0</v>
      </c>
      <c r="C19" s="2981"/>
      <c r="D19" s="2982">
        <f>SQRT(D11^2+D17^2)</f>
        <v>0</v>
      </c>
    </row>
    <row r="20" spans="1:4" ht="17.25" thickBot="1">
      <c r="A20" s="2983" t="s">
        <v>6350</v>
      </c>
      <c r="B20" s="2984">
        <f>SQRT(B12^2+B18^2)</f>
        <v>0</v>
      </c>
      <c r="C20" s="2985"/>
      <c r="D20" s="2986">
        <f>SQRT(D12^2+D18^2)</f>
        <v>0</v>
      </c>
    </row>
    <row r="21" spans="1:4" s="2384" customFormat="1" ht="16.5">
      <c r="A21" s="2957" t="s">
        <v>6351</v>
      </c>
      <c r="B21" s="2958">
        <f ca="1">F46</f>
        <v>0</v>
      </c>
      <c r="C21" s="2959">
        <v>1</v>
      </c>
      <c r="D21" s="2960">
        <f ca="1">B21*C21</f>
        <v>0</v>
      </c>
    </row>
    <row r="22" spans="1:4" s="2384" customFormat="1" ht="16.5">
      <c r="A22" s="2961" t="s">
        <v>6352</v>
      </c>
      <c r="B22" s="2987">
        <f ca="1">B46-F46-G46</f>
        <v>0</v>
      </c>
      <c r="C22" s="2962">
        <v>1.7999999999999999E-2</v>
      </c>
      <c r="D22" s="2963">
        <f ca="1">B22*C22</f>
        <v>0</v>
      </c>
    </row>
    <row r="23" spans="1:4" ht="16.5">
      <c r="A23" s="2965" t="s">
        <v>6353</v>
      </c>
      <c r="B23" s="2988">
        <f ca="1">B21+B22</f>
        <v>0</v>
      </c>
      <c r="C23" s="2967"/>
      <c r="D23" s="2964">
        <f ca="1">D21+D22</f>
        <v>0</v>
      </c>
    </row>
    <row r="24" spans="1:4" s="2384" customFormat="1" ht="16.5">
      <c r="A24" s="2989" t="s">
        <v>6354</v>
      </c>
      <c r="B24" s="2990">
        <f>F47</f>
        <v>0</v>
      </c>
      <c r="C24" s="2991">
        <v>1</v>
      </c>
      <c r="D24" s="2992">
        <f>B24*C24</f>
        <v>0</v>
      </c>
    </row>
    <row r="25" spans="1:4" s="2384" customFormat="1" ht="16.5">
      <c r="A25" s="2961" t="s">
        <v>6355</v>
      </c>
      <c r="B25" s="2987">
        <f>B47-F47-G47</f>
        <v>0</v>
      </c>
      <c r="C25" s="2962">
        <v>1.7999999999999999E-2</v>
      </c>
      <c r="D25" s="2963">
        <f>B25*C25</f>
        <v>0</v>
      </c>
    </row>
    <row r="26" spans="1:4" ht="16.5">
      <c r="A26" s="2968" t="s">
        <v>6356</v>
      </c>
      <c r="B26" s="2993">
        <f>B24+B25</f>
        <v>0</v>
      </c>
      <c r="C26" s="2970"/>
      <c r="D26" s="2971">
        <f>D24+D25</f>
        <v>0</v>
      </c>
    </row>
    <row r="27" spans="1:4" s="2384" customFormat="1" ht="16.5">
      <c r="A27" s="2957" t="s">
        <v>6357</v>
      </c>
      <c r="B27" s="2958">
        <f ca="1">F48</f>
        <v>0</v>
      </c>
      <c r="C27" s="2959">
        <v>1</v>
      </c>
      <c r="D27" s="2960">
        <f ca="1">B27*C27</f>
        <v>0</v>
      </c>
    </row>
    <row r="28" spans="1:4" s="2384" customFormat="1" ht="16.5">
      <c r="A28" s="2961" t="s">
        <v>6358</v>
      </c>
      <c r="B28" s="2987">
        <f ca="1">B48-F48-G48</f>
        <v>0</v>
      </c>
      <c r="C28" s="2962">
        <v>1.7999999999999999E-2</v>
      </c>
      <c r="D28" s="2963">
        <f ca="1">B28*C28</f>
        <v>0</v>
      </c>
    </row>
    <row r="29" spans="1:4" ht="16.5">
      <c r="A29" s="2382" t="s">
        <v>5808</v>
      </c>
      <c r="B29" s="2678">
        <f ca="1">B27+B28</f>
        <v>0</v>
      </c>
      <c r="C29" s="2383"/>
      <c r="D29" s="2672">
        <f ca="1">D27+D28</f>
        <v>0</v>
      </c>
    </row>
    <row r="30" spans="1:4" s="2384" customFormat="1" ht="16.5">
      <c r="A30" s="2378" t="s">
        <v>5809</v>
      </c>
      <c r="B30" s="2660">
        <f>F49</f>
        <v>0</v>
      </c>
      <c r="C30" s="2379">
        <v>1</v>
      </c>
      <c r="D30" s="2670">
        <f>B30*C30</f>
        <v>0</v>
      </c>
    </row>
    <row r="31" spans="1:4" s="2384" customFormat="1" ht="16.5">
      <c r="A31" s="2388" t="s">
        <v>5810</v>
      </c>
      <c r="B31" s="2676">
        <f>B49-F49-G49</f>
        <v>0</v>
      </c>
      <c r="C31" s="2381">
        <v>1.7999999999999999E-2</v>
      </c>
      <c r="D31" s="2671">
        <f>B31*C31</f>
        <v>0</v>
      </c>
    </row>
    <row r="32" spans="1:4" ht="17.25" thickBot="1">
      <c r="A32" s="2389" t="s">
        <v>5811</v>
      </c>
      <c r="B32" s="2679">
        <f>B30+B31</f>
        <v>0</v>
      </c>
      <c r="C32" s="2385"/>
      <c r="D32" s="2673">
        <f>D30+D31</f>
        <v>0</v>
      </c>
    </row>
    <row r="33" spans="1:7" ht="17.25" thickTop="1">
      <c r="A33" s="2390" t="s">
        <v>5812</v>
      </c>
      <c r="B33" s="2803">
        <f ca="1">SQRT(B21^2+(B24+B27)^2+B30^2)</f>
        <v>0</v>
      </c>
      <c r="C33" s="2391"/>
      <c r="D33" s="2805">
        <f t="shared" ref="D33:D34" ca="1" si="0">SQRT(D21^2+(D24+D27)^2+D30^2)</f>
        <v>0</v>
      </c>
    </row>
    <row r="34" spans="1:7" ht="17.25" thickBot="1">
      <c r="A34" s="2386" t="s">
        <v>5813</v>
      </c>
      <c r="B34" s="2804">
        <f ca="1">SQRT(B22^2+(B25+B28)^2+B31^2)</f>
        <v>0</v>
      </c>
      <c r="C34" s="2387"/>
      <c r="D34" s="2806">
        <f t="shared" ca="1" si="0"/>
        <v>0</v>
      </c>
      <c r="E34" s="2392"/>
    </row>
    <row r="35" spans="1:7" ht="16.5">
      <c r="A35" s="2390" t="s">
        <v>5814</v>
      </c>
      <c r="B35" s="2680">
        <f ca="1">SQRT(B19^2+B33^2)</f>
        <v>0</v>
      </c>
      <c r="C35" s="2391"/>
      <c r="D35" s="2675">
        <f ca="1">SQRT(D19^2+D33^2)</f>
        <v>0</v>
      </c>
      <c r="E35" s="2393"/>
    </row>
    <row r="36" spans="1:7" ht="17.25" thickBot="1">
      <c r="A36" s="2386" t="s">
        <v>5815</v>
      </c>
      <c r="B36" s="2677">
        <f ca="1">SQRT(B20^2+B34^2)</f>
        <v>0</v>
      </c>
      <c r="C36" s="2387"/>
      <c r="D36" s="2674">
        <f ca="1">SQRT(D20^2+D34^2)</f>
        <v>0</v>
      </c>
      <c r="E36" s="2394"/>
    </row>
    <row r="37" spans="1:7" ht="16.5" thickBot="1"/>
    <row r="38" spans="1:7" ht="33">
      <c r="A38" s="3639" t="s">
        <v>5804</v>
      </c>
      <c r="B38" s="2720" t="s">
        <v>6023</v>
      </c>
      <c r="C38" s="2720" t="s">
        <v>6024</v>
      </c>
      <c r="D38" s="2720" t="s">
        <v>6025</v>
      </c>
      <c r="E38" s="2720" t="s">
        <v>6026</v>
      </c>
      <c r="F38" s="2395" t="s">
        <v>5816</v>
      </c>
      <c r="G38" s="2719" t="s">
        <v>6022</v>
      </c>
    </row>
    <row r="39" spans="1:7" ht="16.5" thickBot="1">
      <c r="A39" s="3640"/>
      <c r="B39" s="2396" t="s">
        <v>172</v>
      </c>
      <c r="C39" s="2396" t="s">
        <v>173</v>
      </c>
      <c r="D39" s="2396" t="s">
        <v>174</v>
      </c>
      <c r="E39" s="2397" t="s">
        <v>5817</v>
      </c>
      <c r="F39" s="2397" t="s">
        <v>176</v>
      </c>
      <c r="G39" s="2398" t="s">
        <v>5818</v>
      </c>
    </row>
    <row r="40" spans="1:7" ht="16.5">
      <c r="A40" s="2399" t="s">
        <v>5819</v>
      </c>
      <c r="B40" s="2400"/>
      <c r="C40" s="2391"/>
      <c r="D40" s="2391"/>
      <c r="E40" s="2391"/>
      <c r="F40" s="2391"/>
      <c r="G40" s="2401"/>
    </row>
    <row r="41" spans="1:7" ht="16.5">
      <c r="A41" s="2402" t="s">
        <v>5820</v>
      </c>
      <c r="B41" s="2660">
        <f>SUM('表30-5-2-1-1'!$B$9:$C$9)</f>
        <v>0</v>
      </c>
      <c r="C41" s="2661">
        <f>SUM('表30-5-2-1-1'!$B$12:$C$12)</f>
        <v>0</v>
      </c>
      <c r="D41" s="2661">
        <f>SUM('表30-5-2-1-1'!$B$13:$C$13)</f>
        <v>0</v>
      </c>
      <c r="E41" s="2732"/>
      <c r="F41" s="2655">
        <f>C41-D41+E41</f>
        <v>0</v>
      </c>
      <c r="G41" s="2403"/>
    </row>
    <row r="42" spans="1:7" ht="16.5">
      <c r="A42" s="2404" t="s">
        <v>5821</v>
      </c>
      <c r="B42" s="2662">
        <f>SUM('表30-5-2-1-1'!$D$9:$G$9)</f>
        <v>0</v>
      </c>
      <c r="C42" s="2663">
        <f>SUM('表30-5-2-1-1'!$D$12:$G$12)</f>
        <v>0</v>
      </c>
      <c r="D42" s="2664">
        <f>SUM('表30-5-2-1-1'!$D$13:$G$13)</f>
        <v>0</v>
      </c>
      <c r="E42" s="2732"/>
      <c r="F42" s="2656">
        <f>C42-D42+E42</f>
        <v>0</v>
      </c>
      <c r="G42" s="2405"/>
    </row>
    <row r="43" spans="1:7" ht="16.5">
      <c r="A43" s="2404" t="s">
        <v>5822</v>
      </c>
      <c r="B43" s="2665">
        <f>SUM('表30-5-2-1-1'!$I$9:$J$9)</f>
        <v>0</v>
      </c>
      <c r="C43" s="2666">
        <f>SUM('表30-5-2-1-1'!$I$12:$J$12)</f>
        <v>0</v>
      </c>
      <c r="D43" s="2664">
        <f>SUM('表30-5-2-1-1'!$I$13:$J$13)</f>
        <v>0</v>
      </c>
      <c r="E43" s="2732"/>
      <c r="F43" s="2657">
        <f>C43-D43+E43</f>
        <v>0</v>
      </c>
      <c r="G43" s="2405"/>
    </row>
    <row r="44" spans="1:7" ht="17.25" thickBot="1">
      <c r="A44" s="2404" t="s">
        <v>5823</v>
      </c>
      <c r="B44" s="2665">
        <f>SUM('表30-5-2-1-1'!$K$9:$L$9)</f>
        <v>0</v>
      </c>
      <c r="C44" s="2666">
        <f>SUM('表30-5-2-1-1'!$K$12:$L$12)</f>
        <v>0</v>
      </c>
      <c r="D44" s="2667">
        <f>SUM('表30-5-2-1-1'!$K$13:$L$13)</f>
        <v>0</v>
      </c>
      <c r="E44" s="2733"/>
      <c r="F44" s="2657">
        <f>C44-D44+E44</f>
        <v>0</v>
      </c>
      <c r="G44" s="2405"/>
    </row>
    <row r="45" spans="1:7" ht="16.5">
      <c r="A45" s="2406" t="s">
        <v>5824</v>
      </c>
      <c r="B45" s="2407"/>
      <c r="C45" s="2408"/>
      <c r="D45" s="2408"/>
      <c r="E45" s="2408"/>
      <c r="F45" s="2409"/>
      <c r="G45" s="2410"/>
    </row>
    <row r="46" spans="1:7" ht="16.5">
      <c r="A46" s="2411" t="s">
        <v>5825</v>
      </c>
      <c r="B46" s="2668">
        <f ca="1">'表30-5-2-1-2'!B8</f>
        <v>0</v>
      </c>
      <c r="C46" s="2664">
        <f ca="1">'表30-5-2-1-2'!B11</f>
        <v>0</v>
      </c>
      <c r="D46" s="2664">
        <f>'表30-5-2-1-2'!B12</f>
        <v>0</v>
      </c>
      <c r="E46" s="2732"/>
      <c r="F46" s="2658">
        <f ca="1">C46-D46+E46</f>
        <v>0</v>
      </c>
      <c r="G46" s="2403"/>
    </row>
    <row r="47" spans="1:7" ht="16.5">
      <c r="A47" s="2411" t="s">
        <v>5826</v>
      </c>
      <c r="B47" s="2660">
        <f>'表30-5-2-1-2'!C8</f>
        <v>0</v>
      </c>
      <c r="C47" s="2661">
        <f>'表30-5-2-1-2'!C11</f>
        <v>0</v>
      </c>
      <c r="D47" s="2412"/>
      <c r="E47" s="2732"/>
      <c r="F47" s="2655">
        <f>C47-D47+E47</f>
        <v>0</v>
      </c>
      <c r="G47" s="2403"/>
    </row>
    <row r="48" spans="1:7" ht="16.5">
      <c r="A48" s="2413" t="s">
        <v>5827</v>
      </c>
      <c r="B48" s="2662">
        <f ca="1">'表30-5-2-1-2'!D8</f>
        <v>0</v>
      </c>
      <c r="C48" s="2663">
        <f ca="1">'表30-5-2-1-2'!D11</f>
        <v>0</v>
      </c>
      <c r="D48" s="2412"/>
      <c r="E48" s="2732"/>
      <c r="F48" s="2655">
        <f ca="1">C48-D48+E48</f>
        <v>0</v>
      </c>
      <c r="G48" s="2405"/>
    </row>
    <row r="49" spans="1:7" ht="17.25" thickBot="1">
      <c r="A49" s="2414" t="s">
        <v>5828</v>
      </c>
      <c r="B49" s="2669">
        <f>'表30-5-2-1-2'!E8</f>
        <v>0</v>
      </c>
      <c r="C49" s="2667">
        <f>'表30-5-2-1-2'!E11</f>
        <v>0</v>
      </c>
      <c r="D49" s="2667">
        <f>'表30-5-2-1-2'!E12</f>
        <v>0</v>
      </c>
      <c r="E49" s="2734"/>
      <c r="F49" s="2659">
        <f>C49-D49+E49</f>
        <v>0</v>
      </c>
      <c r="G49" s="2415"/>
    </row>
    <row r="51" spans="1:7" ht="16.5">
      <c r="A51" s="2416" t="s">
        <v>6027</v>
      </c>
    </row>
    <row r="52" spans="1:7" ht="16.5">
      <c r="A52" s="2416" t="s">
        <v>6028</v>
      </c>
    </row>
    <row r="53" spans="1:7" ht="16.5">
      <c r="A53" s="2416" t="s">
        <v>6029</v>
      </c>
    </row>
    <row r="54" spans="1:7" ht="16.5">
      <c r="A54" s="2416" t="s">
        <v>6030</v>
      </c>
    </row>
    <row r="55" spans="1:7" ht="16.5">
      <c r="A55" s="2416" t="s">
        <v>6031</v>
      </c>
    </row>
  </sheetData>
  <mergeCells count="3">
    <mergeCell ref="B4:C4"/>
    <mergeCell ref="A5:A6"/>
    <mergeCell ref="A38:A39"/>
  </mergeCells>
  <phoneticPr fontId="9" type="noConversion"/>
  <dataValidations count="1">
    <dataValidation allowBlank="1" showInputMessage="1" showErrorMessage="1" errorTitle="錯誤" error="輸入資料格式錯誤!!" sqref="B41:B44 B46:B49 B30:B31 B7:B11 B21:B22 B24:B25 B27:B28 B13:B17" xr:uid="{00000000-0002-0000-3100-000000000000}"/>
  </dataValidations>
  <pageMargins left="0.7" right="0.7" top="0.75" bottom="0.75" header="0.3" footer="0.3"/>
  <pageSetup paperSize="9" scale="54" orientation="landscape" r:id="rId1"/>
  <drawing r:id="rId2"/>
  <legacyDrawing r:id="rId3"/>
  <oleObjects>
    <mc:AlternateContent xmlns:mc="http://schemas.openxmlformats.org/markup-compatibility/2006">
      <mc:Choice Requires="x14">
        <oleObject progId="Equation.3" shapeId="172033" r:id="rId4">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3" r:id="rId4"/>
      </mc:Fallback>
    </mc:AlternateContent>
    <mc:AlternateContent xmlns:mc="http://schemas.openxmlformats.org/markup-compatibility/2006">
      <mc:Choice Requires="x14">
        <oleObject progId="Equation.3" shapeId="172034" r:id="rId6">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4" r:id="rId6"/>
      </mc:Fallback>
    </mc:AlternateContent>
    <mc:AlternateContent xmlns:mc="http://schemas.openxmlformats.org/markup-compatibility/2006">
      <mc:Choice Requires="x14">
        <oleObject progId="Equation.3" shapeId="172035" r:id="rId7">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5" r:id="rId7"/>
      </mc:Fallback>
    </mc:AlternateContent>
    <mc:AlternateContent xmlns:mc="http://schemas.openxmlformats.org/markup-compatibility/2006">
      <mc:Choice Requires="x14">
        <oleObject progId="Equation.3" shapeId="172036" r:id="rId8">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6" r:id="rId8"/>
      </mc:Fallback>
    </mc:AlternateContent>
    <mc:AlternateContent xmlns:mc="http://schemas.openxmlformats.org/markup-compatibility/2006">
      <mc:Choice Requires="x14">
        <oleObject progId="Equation.3" shapeId="172037" r:id="rId9">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7" r:id="rId9"/>
      </mc:Fallback>
    </mc:AlternateContent>
    <mc:AlternateContent xmlns:mc="http://schemas.openxmlformats.org/markup-compatibility/2006">
      <mc:Choice Requires="x14">
        <oleObject progId="Equation.3" shapeId="172038" r:id="rId10">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8" r:id="rId10"/>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7">
    <pageSetUpPr fitToPage="1"/>
  </sheetPr>
  <dimension ref="A1:Q90"/>
  <sheetViews>
    <sheetView view="pageBreakPreview" zoomScale="80" zoomScaleNormal="100" zoomScaleSheetLayoutView="80" workbookViewId="0">
      <selection activeCell="B13" sqref="B13"/>
    </sheetView>
  </sheetViews>
  <sheetFormatPr defaultRowHeight="15.75"/>
  <cols>
    <col min="1" max="1" width="30" style="2428" customWidth="1"/>
    <col min="2" max="6" width="36.125" style="2428" customWidth="1"/>
    <col min="7" max="16" width="28.625" style="2428" customWidth="1"/>
    <col min="17" max="17" width="9" style="1189"/>
    <col min="18" max="16384" width="9" style="2428"/>
  </cols>
  <sheetData>
    <row r="1" spans="1:13" s="2417" customFormat="1" ht="21">
      <c r="A1" s="2747" t="str">
        <f>+封面!A3&amp;" "&amp;封面!A2</f>
        <v xml:space="preserve">        保險股份有限公司(○○分公司) 年度(月、季、半年)報表</v>
      </c>
    </row>
    <row r="2" spans="1:13" s="2417" customFormat="1" ht="21">
      <c r="A2" s="2807" t="s">
        <v>6067</v>
      </c>
    </row>
    <row r="3" spans="1:13" s="2417" customFormat="1" ht="20.25">
      <c r="B3" s="2418"/>
    </row>
    <row r="4" spans="1:13" s="2417" customFormat="1" ht="21" thickBot="1">
      <c r="A4" s="2722" t="s">
        <v>6032</v>
      </c>
      <c r="B4" s="2420"/>
      <c r="C4" s="2421"/>
      <c r="D4" s="2421"/>
      <c r="E4" s="2421"/>
      <c r="F4" s="2421"/>
      <c r="G4" s="2421"/>
      <c r="H4" s="2421"/>
      <c r="I4" s="2421"/>
      <c r="J4" s="2421"/>
      <c r="K4" s="2421"/>
    </row>
    <row r="5" spans="1:13" s="2417" customFormat="1" ht="20.25">
      <c r="A5" s="3654" t="s">
        <v>6314</v>
      </c>
      <c r="B5" s="3656" t="s">
        <v>6315</v>
      </c>
      <c r="C5" s="3644"/>
      <c r="D5" s="3644"/>
      <c r="E5" s="3644"/>
      <c r="F5" s="3644"/>
      <c r="G5" s="3645"/>
      <c r="H5" s="3641" t="s">
        <v>6316</v>
      </c>
      <c r="I5" s="3643" t="s">
        <v>6317</v>
      </c>
      <c r="J5" s="3644"/>
      <c r="K5" s="3644"/>
      <c r="L5" s="3645"/>
      <c r="M5" s="3641" t="s">
        <v>6318</v>
      </c>
    </row>
    <row r="6" spans="1:13" s="2417" customFormat="1" ht="20.25">
      <c r="A6" s="3655"/>
      <c r="B6" s="2933" t="s">
        <v>6319</v>
      </c>
      <c r="C6" s="2934" t="s">
        <v>6320</v>
      </c>
      <c r="D6" s="2935" t="s">
        <v>6321</v>
      </c>
      <c r="E6" s="2935" t="s">
        <v>6322</v>
      </c>
      <c r="F6" s="2934" t="s">
        <v>6323</v>
      </c>
      <c r="G6" s="2936" t="s">
        <v>6324</v>
      </c>
      <c r="H6" s="3642"/>
      <c r="I6" s="2933" t="s">
        <v>6319</v>
      </c>
      <c r="J6" s="2934" t="s">
        <v>6320</v>
      </c>
      <c r="K6" s="2934" t="s">
        <v>6323</v>
      </c>
      <c r="L6" s="2936" t="s">
        <v>6324</v>
      </c>
      <c r="M6" s="3642"/>
    </row>
    <row r="7" spans="1:13" s="2417" customFormat="1" ht="20.25">
      <c r="A7" s="2937" t="s">
        <v>6325</v>
      </c>
      <c r="B7" s="2938">
        <f>'表30-5-2-2-1'!D88</f>
        <v>0</v>
      </c>
      <c r="C7" s="2938">
        <f>'表30-5-2-2-1'!E95</f>
        <v>0</v>
      </c>
      <c r="D7" s="2939"/>
      <c r="E7" s="2939"/>
      <c r="F7" s="2939"/>
      <c r="G7" s="2939"/>
      <c r="H7" s="2940">
        <f>SQRT(SUM(B7:F7)^2+G7^2)</f>
        <v>0</v>
      </c>
      <c r="I7" s="2938">
        <f>'表30-5-2-2-2'!D88</f>
        <v>0</v>
      </c>
      <c r="J7" s="2938">
        <f>'表30-5-2-2-2'!E95</f>
        <v>0</v>
      </c>
      <c r="K7" s="2939"/>
      <c r="L7" s="2939"/>
      <c r="M7" s="2940">
        <f>SQRT(SUM(I7:K7)^2+L7^2)</f>
        <v>0</v>
      </c>
    </row>
    <row r="8" spans="1:13" s="2417" customFormat="1" ht="20.25">
      <c r="A8" s="2941" t="s">
        <v>6326</v>
      </c>
      <c r="B8" s="2939"/>
      <c r="C8" s="2939"/>
      <c r="D8" s="2942"/>
      <c r="E8" s="2942"/>
      <c r="F8" s="2939"/>
      <c r="G8" s="2939"/>
      <c r="H8" s="2940">
        <f>H7-H9</f>
        <v>0</v>
      </c>
      <c r="I8" s="2939"/>
      <c r="J8" s="2939"/>
      <c r="K8" s="2939"/>
      <c r="L8" s="2939"/>
      <c r="M8" s="2940">
        <f>M7-M9</f>
        <v>0</v>
      </c>
    </row>
    <row r="9" spans="1:13" s="2417" customFormat="1" ht="20.25">
      <c r="A9" s="2941" t="s">
        <v>6327</v>
      </c>
      <c r="B9" s="2943">
        <f>B7-B8</f>
        <v>0</v>
      </c>
      <c r="C9" s="2944">
        <f>C7-C8</f>
        <v>0</v>
      </c>
      <c r="D9" s="2944">
        <f>D7</f>
        <v>0</v>
      </c>
      <c r="E9" s="2944">
        <f>E7</f>
        <v>0</v>
      </c>
      <c r="F9" s="2944">
        <f>F7-F8</f>
        <v>0</v>
      </c>
      <c r="G9" s="2945">
        <f>G7-G8</f>
        <v>0</v>
      </c>
      <c r="H9" s="2946">
        <f>SQRT(SUM(B9:F9)^2+G9^2)</f>
        <v>0</v>
      </c>
      <c r="I9" s="2943">
        <f>I7-I8</f>
        <v>0</v>
      </c>
      <c r="J9" s="2944">
        <f>J7-J8</f>
        <v>0</v>
      </c>
      <c r="K9" s="2944">
        <f>K7-K8</f>
        <v>0</v>
      </c>
      <c r="L9" s="2947">
        <f>L7-L8</f>
        <v>0</v>
      </c>
      <c r="M9" s="2946">
        <f>SQRT(SUM(I9:K9)^2+L9^2)</f>
        <v>0</v>
      </c>
    </row>
    <row r="10" spans="1:13" s="2417" customFormat="1" ht="20.25">
      <c r="A10" s="2941" t="s">
        <v>6328</v>
      </c>
      <c r="B10" s="2944">
        <f>'表30-5-2-2-1'!D89</f>
        <v>0</v>
      </c>
      <c r="C10" s="2944">
        <f>'表30-5-2-2-1'!E96</f>
        <v>0</v>
      </c>
      <c r="D10" s="2944">
        <f>D7</f>
        <v>0</v>
      </c>
      <c r="E10" s="2944">
        <f>E7</f>
        <v>0</v>
      </c>
      <c r="F10" s="2939"/>
      <c r="G10" s="2939"/>
      <c r="H10" s="2946">
        <f>SQRT(SUM(B10:F10)^2+G10^2)</f>
        <v>0</v>
      </c>
      <c r="I10" s="2944">
        <f>'表30-5-2-2-2'!D89</f>
        <v>0</v>
      </c>
      <c r="J10" s="2944">
        <f>'表30-5-2-2-2'!E96</f>
        <v>0</v>
      </c>
      <c r="K10" s="2939"/>
      <c r="L10" s="2939"/>
      <c r="M10" s="2946">
        <f>SQRT(SUM(I10:K10)^2+L10^2)</f>
        <v>0</v>
      </c>
    </row>
    <row r="11" spans="1:13" s="2417" customFormat="1" ht="20.25">
      <c r="A11" s="2941" t="s">
        <v>6329</v>
      </c>
      <c r="B11" s="2939"/>
      <c r="C11" s="2939"/>
      <c r="D11" s="2939"/>
      <c r="E11" s="2939"/>
      <c r="F11" s="2939"/>
      <c r="G11" s="2939"/>
      <c r="H11" s="2946">
        <f>H12-H10</f>
        <v>0</v>
      </c>
      <c r="I11" s="2939"/>
      <c r="J11" s="2939"/>
      <c r="K11" s="2939"/>
      <c r="L11" s="2939"/>
      <c r="M11" s="2946">
        <f>M12-M10</f>
        <v>0</v>
      </c>
    </row>
    <row r="12" spans="1:13" s="2417" customFormat="1" ht="20.25">
      <c r="A12" s="2941" t="s">
        <v>6330</v>
      </c>
      <c r="B12" s="2943">
        <f t="shared" ref="B12:G12" si="0">B10+B11</f>
        <v>0</v>
      </c>
      <c r="C12" s="2944">
        <f t="shared" si="0"/>
        <v>0</v>
      </c>
      <c r="D12" s="2944">
        <f t="shared" si="0"/>
        <v>0</v>
      </c>
      <c r="E12" s="2944">
        <f t="shared" si="0"/>
        <v>0</v>
      </c>
      <c r="F12" s="2944">
        <f t="shared" si="0"/>
        <v>0</v>
      </c>
      <c r="G12" s="2945">
        <f t="shared" si="0"/>
        <v>0</v>
      </c>
      <c r="H12" s="2946">
        <f>SQRT(SUM(B12:F12)^2+G12^2)</f>
        <v>0</v>
      </c>
      <c r="I12" s="2943">
        <f>I10+I11</f>
        <v>0</v>
      </c>
      <c r="J12" s="2944">
        <f>J10+J11</f>
        <v>0</v>
      </c>
      <c r="K12" s="2944">
        <f>K10+K11</f>
        <v>0</v>
      </c>
      <c r="L12" s="2947">
        <f>L10+L11</f>
        <v>0</v>
      </c>
      <c r="M12" s="2946">
        <f>SQRT(SUM(I12:K12)^2+L12^2)</f>
        <v>0</v>
      </c>
    </row>
    <row r="13" spans="1:13" s="2417" customFormat="1" ht="20.25">
      <c r="A13" s="2941" t="s">
        <v>6331</v>
      </c>
      <c r="B13" s="2939"/>
      <c r="C13" s="2939"/>
      <c r="D13" s="2939"/>
      <c r="E13" s="2939"/>
      <c r="F13" s="2939"/>
      <c r="G13" s="2939"/>
      <c r="H13" s="2946">
        <f>H12-H14</f>
        <v>0</v>
      </c>
      <c r="I13" s="2939"/>
      <c r="J13" s="2939"/>
      <c r="K13" s="2939"/>
      <c r="L13" s="2939"/>
      <c r="M13" s="2946">
        <f>M12-M14</f>
        <v>0</v>
      </c>
    </row>
    <row r="14" spans="1:13" s="2417" customFormat="1" ht="20.25">
      <c r="A14" s="2941" t="s">
        <v>6332</v>
      </c>
      <c r="B14" s="2943">
        <f t="shared" ref="B14:G14" si="1">B12-B13</f>
        <v>0</v>
      </c>
      <c r="C14" s="2944">
        <f t="shared" si="1"/>
        <v>0</v>
      </c>
      <c r="D14" s="2944">
        <f t="shared" si="1"/>
        <v>0</v>
      </c>
      <c r="E14" s="2944">
        <f t="shared" si="1"/>
        <v>0</v>
      </c>
      <c r="F14" s="2944">
        <f t="shared" si="1"/>
        <v>0</v>
      </c>
      <c r="G14" s="2945">
        <f t="shared" si="1"/>
        <v>0</v>
      </c>
      <c r="H14" s="2946">
        <f>SQRT(SUM(B14:F14)^2+G14^2)</f>
        <v>0</v>
      </c>
      <c r="I14" s="2943">
        <f>I12-I13</f>
        <v>0</v>
      </c>
      <c r="J14" s="2944">
        <f>J12-J13</f>
        <v>0</v>
      </c>
      <c r="K14" s="2944">
        <f>K12-K13</f>
        <v>0</v>
      </c>
      <c r="L14" s="2947">
        <f>L12-L13</f>
        <v>0</v>
      </c>
      <c r="M14" s="2946">
        <f>SQRT(SUM(I14:K14)^2+L14^2)</f>
        <v>0</v>
      </c>
    </row>
    <row r="15" spans="1:13" s="2425" customFormat="1" ht="20.25">
      <c r="A15" s="2941" t="s">
        <v>6333</v>
      </c>
      <c r="B15" s="2943">
        <f>B14*'表30-5-2-4-1'!$B$49</f>
        <v>0</v>
      </c>
      <c r="C15" s="2944">
        <f>C14*'表30-5-2-4-1'!$B$49</f>
        <v>0</v>
      </c>
      <c r="D15" s="2944">
        <f>D14*'表30-5-2-4-1'!$B$49</f>
        <v>0</v>
      </c>
      <c r="E15" s="2944">
        <f>E14*'表30-5-2-4-1'!$B$49</f>
        <v>0</v>
      </c>
      <c r="F15" s="2944">
        <f>F14*'表30-5-2-4-1'!$B$49</f>
        <v>0</v>
      </c>
      <c r="G15" s="2945">
        <f>G14*'表30-5-2-4-1'!$B$49</f>
        <v>0</v>
      </c>
      <c r="H15" s="2946">
        <f>SQRT(SUM(B15:F15)^2+G15^2)</f>
        <v>0</v>
      </c>
      <c r="I15" s="2944">
        <f>I14*'表30-5-2-4-1'!$J$49</f>
        <v>0</v>
      </c>
      <c r="J15" s="2944">
        <f>J14*'表30-5-2-4-1'!$J$49</f>
        <v>0</v>
      </c>
      <c r="K15" s="2944">
        <f>K14*'表30-5-2-4-1'!$J$49</f>
        <v>0</v>
      </c>
      <c r="L15" s="2947">
        <f>L14*'表30-5-2-4-1'!$J$49</f>
        <v>0</v>
      </c>
      <c r="M15" s="2946">
        <f>SQRT(SUM(I15:K15)^2+L15^2)</f>
        <v>0</v>
      </c>
    </row>
    <row r="16" spans="1:13" s="2425" customFormat="1" ht="21" thickBot="1">
      <c r="A16" s="2948" t="s">
        <v>6334</v>
      </c>
      <c r="B16" s="2949">
        <f t="shared" ref="B16:G16" si="2">B14+B15</f>
        <v>0</v>
      </c>
      <c r="C16" s="2950">
        <f t="shared" si="2"/>
        <v>0</v>
      </c>
      <c r="D16" s="2950">
        <f t="shared" si="2"/>
        <v>0</v>
      </c>
      <c r="E16" s="2950">
        <f t="shared" si="2"/>
        <v>0</v>
      </c>
      <c r="F16" s="2950">
        <f t="shared" si="2"/>
        <v>0</v>
      </c>
      <c r="G16" s="2951">
        <f t="shared" si="2"/>
        <v>0</v>
      </c>
      <c r="H16" s="2952">
        <f>SQRT(SUM(B16:F16)^2+G16^2)</f>
        <v>0</v>
      </c>
      <c r="I16" s="2949">
        <f>I14+I15</f>
        <v>0</v>
      </c>
      <c r="J16" s="2950">
        <f>J14+J15</f>
        <v>0</v>
      </c>
      <c r="K16" s="2950">
        <f>K14+K15</f>
        <v>0</v>
      </c>
      <c r="L16" s="2953">
        <f>L14+L15</f>
        <v>0</v>
      </c>
      <c r="M16" s="2952">
        <f>SQRT(SUM(I16:K16)^2+L16^2)</f>
        <v>0</v>
      </c>
    </row>
    <row r="17" spans="1:17" s="2417" customFormat="1" ht="20.25">
      <c r="A17" s="2954" t="s">
        <v>6335</v>
      </c>
      <c r="B17" s="2955"/>
      <c r="C17" s="2956"/>
      <c r="D17" s="2956"/>
      <c r="E17" s="2956"/>
      <c r="F17" s="2956"/>
      <c r="G17" s="2956"/>
      <c r="H17" s="2956"/>
      <c r="I17" s="2956"/>
      <c r="J17" s="2956"/>
      <c r="K17" s="2956"/>
      <c r="L17" s="2956"/>
      <c r="M17" s="2956"/>
    </row>
    <row r="18" spans="1:17" s="2417" customFormat="1" ht="20.25">
      <c r="A18" s="2954" t="s">
        <v>6336</v>
      </c>
      <c r="B18" s="2955"/>
      <c r="C18" s="2956"/>
      <c r="D18" s="2956"/>
      <c r="E18" s="2956"/>
      <c r="F18" s="2956"/>
      <c r="G18" s="2956"/>
      <c r="H18" s="2956"/>
      <c r="I18" s="2956"/>
      <c r="J18" s="2956"/>
      <c r="K18" s="2956"/>
      <c r="L18" s="2956"/>
      <c r="M18" s="2956"/>
    </row>
    <row r="19" spans="1:17" s="2417" customFormat="1" ht="20.25">
      <c r="A19" s="2954"/>
      <c r="B19" s="2955"/>
      <c r="C19" s="2956"/>
      <c r="D19" s="2956"/>
      <c r="E19" s="2956"/>
      <c r="F19" s="2956"/>
      <c r="G19" s="2956"/>
      <c r="H19" s="2956"/>
      <c r="I19" s="2956"/>
      <c r="J19" s="2956"/>
      <c r="K19" s="2956"/>
      <c r="L19" s="2956"/>
      <c r="M19" s="2956"/>
    </row>
    <row r="20" spans="1:17" s="2417" customFormat="1" ht="20.25">
      <c r="A20" s="2722" t="s">
        <v>6033</v>
      </c>
      <c r="B20" s="2418"/>
      <c r="F20" s="2426" t="s">
        <v>3728</v>
      </c>
    </row>
    <row r="21" spans="1:17" s="2427" customFormat="1" ht="20.25">
      <c r="A21" s="3652" t="s">
        <v>3588</v>
      </c>
      <c r="B21" s="3652" t="s">
        <v>3589</v>
      </c>
      <c r="C21" s="3653" t="s">
        <v>5837</v>
      </c>
      <c r="D21" s="3652"/>
      <c r="E21" s="3652"/>
      <c r="F21" s="3652"/>
      <c r="G21" s="2417"/>
      <c r="H21" s="2417"/>
      <c r="I21" s="2417"/>
      <c r="J21" s="2417"/>
      <c r="K21" s="2417"/>
      <c r="L21" s="2417"/>
      <c r="M21" s="2417"/>
      <c r="N21" s="2417"/>
      <c r="O21" s="2417"/>
      <c r="P21" s="2417"/>
      <c r="Q21" s="2417"/>
    </row>
    <row r="22" spans="1:17" ht="17.25" customHeight="1">
      <c r="A22" s="3652"/>
      <c r="B22" s="3652"/>
      <c r="C22" s="3652" t="s">
        <v>3590</v>
      </c>
      <c r="D22" s="3652"/>
      <c r="E22" s="3652" t="s">
        <v>3591</v>
      </c>
      <c r="F22" s="3652"/>
      <c r="G22" s="1189"/>
      <c r="H22" s="1189"/>
      <c r="I22" s="1189"/>
      <c r="J22" s="1189"/>
      <c r="K22" s="1189"/>
      <c r="L22" s="1189"/>
      <c r="M22" s="1189"/>
      <c r="N22" s="1189"/>
      <c r="O22" s="1189"/>
      <c r="P22" s="1189"/>
    </row>
    <row r="23" spans="1:17" ht="17.25" customHeight="1">
      <c r="A23" s="3652"/>
      <c r="B23" s="3652"/>
      <c r="C23" s="1182" t="s">
        <v>6019</v>
      </c>
      <c r="D23" s="1182" t="s">
        <v>3592</v>
      </c>
      <c r="E23" s="1182" t="s">
        <v>3593</v>
      </c>
      <c r="F23" s="1182" t="s">
        <v>3592</v>
      </c>
      <c r="G23" s="1189"/>
      <c r="H23" s="1189"/>
      <c r="I23" s="1189"/>
      <c r="J23" s="1189"/>
      <c r="K23" s="1189"/>
      <c r="L23" s="1189"/>
      <c r="M23" s="1189"/>
      <c r="N23" s="1189"/>
      <c r="O23" s="1189"/>
      <c r="P23" s="1189"/>
    </row>
    <row r="24" spans="1:17" ht="16.5">
      <c r="A24" s="2429">
        <v>1</v>
      </c>
      <c r="B24" s="2429" t="s">
        <v>3594</v>
      </c>
      <c r="C24" s="2731"/>
      <c r="D24" s="2731"/>
      <c r="E24" s="2731"/>
      <c r="F24" s="2731"/>
      <c r="G24" s="1189"/>
      <c r="H24" s="1189"/>
      <c r="I24" s="2430"/>
      <c r="J24" s="2430"/>
      <c r="K24" s="2430"/>
      <c r="L24" s="2430"/>
      <c r="M24" s="1189"/>
      <c r="N24" s="1189"/>
      <c r="O24" s="1189"/>
      <c r="P24" s="1189"/>
    </row>
    <row r="25" spans="1:17" ht="16.5">
      <c r="A25" s="2429">
        <v>1.1000000000000001</v>
      </c>
      <c r="B25" s="2429" t="s">
        <v>3595</v>
      </c>
      <c r="C25" s="2731"/>
      <c r="D25" s="2731"/>
      <c r="E25" s="2731"/>
      <c r="F25" s="2731"/>
      <c r="G25" s="1189"/>
      <c r="H25" s="1189"/>
      <c r="I25" s="2430"/>
      <c r="J25" s="2430"/>
      <c r="K25" s="2430"/>
      <c r="L25" s="2430"/>
      <c r="M25" s="1189"/>
      <c r="N25" s="1189"/>
      <c r="O25" s="1189"/>
      <c r="P25" s="1189"/>
    </row>
    <row r="26" spans="1:17" ht="16.5">
      <c r="A26" s="2429">
        <v>2</v>
      </c>
      <c r="B26" s="2429" t="s">
        <v>3596</v>
      </c>
      <c r="C26" s="2731"/>
      <c r="D26" s="2731"/>
      <c r="E26" s="2731"/>
      <c r="F26" s="2731"/>
      <c r="G26" s="1189"/>
      <c r="H26" s="1189"/>
      <c r="I26" s="2430"/>
      <c r="J26" s="2430"/>
      <c r="K26" s="2430"/>
      <c r="L26" s="2430"/>
      <c r="M26" s="1189"/>
      <c r="N26" s="1189"/>
      <c r="O26" s="1189"/>
      <c r="P26" s="1189"/>
    </row>
    <row r="27" spans="1:17" ht="16.5">
      <c r="A27" s="2429">
        <v>3</v>
      </c>
      <c r="B27" s="2429" t="s">
        <v>3597</v>
      </c>
      <c r="C27" s="2731"/>
      <c r="D27" s="2731"/>
      <c r="E27" s="2731"/>
      <c r="F27" s="2731"/>
      <c r="G27" s="1189"/>
      <c r="H27" s="1189"/>
      <c r="I27" s="2430"/>
      <c r="J27" s="2430"/>
      <c r="K27" s="2430"/>
      <c r="L27" s="2430"/>
      <c r="M27" s="1189"/>
      <c r="N27" s="1189"/>
      <c r="O27" s="1189"/>
      <c r="P27" s="1189"/>
    </row>
    <row r="28" spans="1:17" ht="16.5">
      <c r="A28" s="2429">
        <v>4</v>
      </c>
      <c r="B28" s="2429" t="s">
        <v>3598</v>
      </c>
      <c r="C28" s="2731"/>
      <c r="D28" s="2731"/>
      <c r="E28" s="2731"/>
      <c r="F28" s="2731"/>
      <c r="G28" s="1189"/>
      <c r="H28" s="1189"/>
      <c r="I28" s="2430"/>
      <c r="J28" s="2430"/>
      <c r="K28" s="2430"/>
      <c r="L28" s="2430"/>
      <c r="M28" s="1189"/>
      <c r="N28" s="1189"/>
      <c r="O28" s="1189"/>
      <c r="P28" s="1189"/>
    </row>
    <row r="29" spans="1:17" ht="16.5">
      <c r="A29" s="2429">
        <v>5</v>
      </c>
      <c r="B29" s="2429" t="s">
        <v>3599</v>
      </c>
      <c r="C29" s="2731"/>
      <c r="D29" s="2731"/>
      <c r="E29" s="2731"/>
      <c r="F29" s="2731"/>
      <c r="G29" s="1189"/>
      <c r="H29" s="1189"/>
      <c r="I29" s="2430"/>
      <c r="J29" s="2430"/>
      <c r="K29" s="2430"/>
      <c r="L29" s="2430"/>
      <c r="M29" s="1189"/>
      <c r="N29" s="1189"/>
      <c r="O29" s="1189"/>
      <c r="P29" s="1189"/>
    </row>
    <row r="30" spans="1:17" ht="16.5">
      <c r="A30" s="2429">
        <v>6</v>
      </c>
      <c r="B30" s="2429" t="s">
        <v>3600</v>
      </c>
      <c r="C30" s="2731"/>
      <c r="D30" s="2731"/>
      <c r="E30" s="2731"/>
      <c r="F30" s="2731"/>
      <c r="G30" s="1189"/>
      <c r="H30" s="1189"/>
      <c r="I30" s="2430"/>
      <c r="J30" s="2430"/>
      <c r="K30" s="2430"/>
      <c r="L30" s="2430"/>
      <c r="M30" s="1189"/>
      <c r="N30" s="1189"/>
      <c r="O30" s="1189"/>
      <c r="P30" s="1189"/>
    </row>
    <row r="31" spans="1:17" ht="16.5">
      <c r="A31" s="2429">
        <v>7</v>
      </c>
      <c r="B31" s="2429" t="s">
        <v>3601</v>
      </c>
      <c r="C31" s="2731"/>
      <c r="D31" s="2731"/>
      <c r="E31" s="2731"/>
      <c r="F31" s="2731"/>
      <c r="G31" s="1189"/>
      <c r="H31" s="1189"/>
      <c r="I31" s="2430"/>
      <c r="J31" s="2430"/>
      <c r="K31" s="2430"/>
      <c r="L31" s="2430"/>
      <c r="M31" s="1189"/>
      <c r="N31" s="1189"/>
      <c r="O31" s="1189"/>
      <c r="P31" s="1189"/>
    </row>
    <row r="32" spans="1:17" ht="16.5">
      <c r="A32" s="2429">
        <v>8</v>
      </c>
      <c r="B32" s="2429" t="s">
        <v>3602</v>
      </c>
      <c r="C32" s="2731"/>
      <c r="D32" s="2731"/>
      <c r="E32" s="2731"/>
      <c r="F32" s="2731"/>
      <c r="G32" s="1189"/>
      <c r="H32" s="1189"/>
      <c r="I32" s="2430"/>
      <c r="J32" s="2430"/>
      <c r="K32" s="2430"/>
      <c r="L32" s="2430"/>
      <c r="M32" s="1189"/>
      <c r="N32" s="1189"/>
      <c r="O32" s="1189"/>
      <c r="P32" s="1189"/>
    </row>
    <row r="33" spans="1:16" ht="16.5">
      <c r="A33" s="2429">
        <v>9</v>
      </c>
      <c r="B33" s="2429" t="s">
        <v>3603</v>
      </c>
      <c r="C33" s="2731"/>
      <c r="D33" s="2731"/>
      <c r="E33" s="2731"/>
      <c r="F33" s="2731"/>
      <c r="G33" s="1189"/>
      <c r="H33" s="1189"/>
      <c r="I33" s="2430"/>
      <c r="J33" s="2430"/>
      <c r="K33" s="2430"/>
      <c r="L33" s="2430"/>
      <c r="M33" s="1189"/>
      <c r="N33" s="1189"/>
      <c r="O33" s="1189"/>
      <c r="P33" s="1189"/>
    </row>
    <row r="34" spans="1:16" ht="16.5">
      <c r="A34" s="2429">
        <v>10</v>
      </c>
      <c r="B34" s="2429" t="s">
        <v>3604</v>
      </c>
      <c r="C34" s="2731"/>
      <c r="D34" s="2731"/>
      <c r="E34" s="2731"/>
      <c r="F34" s="2731"/>
      <c r="G34" s="1189"/>
      <c r="H34" s="1189"/>
      <c r="I34" s="2430"/>
      <c r="J34" s="2430"/>
      <c r="K34" s="2430"/>
      <c r="L34" s="2430"/>
      <c r="M34" s="1189"/>
      <c r="N34" s="1189"/>
      <c r="O34" s="1189"/>
      <c r="P34" s="1189"/>
    </row>
    <row r="35" spans="1:16" ht="16.5">
      <c r="A35" s="2429">
        <v>11</v>
      </c>
      <c r="B35" s="2429" t="s">
        <v>3605</v>
      </c>
      <c r="C35" s="2731"/>
      <c r="D35" s="2731"/>
      <c r="E35" s="2731"/>
      <c r="F35" s="2731"/>
      <c r="G35" s="1189"/>
      <c r="H35" s="1189"/>
      <c r="I35" s="2430"/>
      <c r="J35" s="2430"/>
      <c r="K35" s="2430"/>
      <c r="L35" s="2430"/>
      <c r="M35" s="1189"/>
      <c r="N35" s="1189"/>
      <c r="O35" s="1189"/>
      <c r="P35" s="1189"/>
    </row>
    <row r="36" spans="1:16" ht="16.5">
      <c r="A36" s="2429">
        <v>12</v>
      </c>
      <c r="B36" s="2429" t="s">
        <v>3606</v>
      </c>
      <c r="C36" s="2731"/>
      <c r="D36" s="2731"/>
      <c r="E36" s="2731"/>
      <c r="F36" s="2731"/>
      <c r="G36" s="1189"/>
      <c r="H36" s="1189"/>
      <c r="I36" s="2430"/>
      <c r="J36" s="2430"/>
      <c r="K36" s="2430"/>
      <c r="L36" s="2430"/>
      <c r="M36" s="1189"/>
      <c r="N36" s="1189"/>
      <c r="O36" s="1189"/>
      <c r="P36" s="1189"/>
    </row>
    <row r="37" spans="1:16" ht="16.5">
      <c r="A37" s="2429">
        <v>13</v>
      </c>
      <c r="B37" s="2429" t="s">
        <v>3607</v>
      </c>
      <c r="C37" s="2731"/>
      <c r="D37" s="2731"/>
      <c r="E37" s="2731"/>
      <c r="F37" s="2731"/>
      <c r="G37" s="1189"/>
      <c r="H37" s="1189"/>
      <c r="I37" s="2430"/>
      <c r="J37" s="2430"/>
      <c r="K37" s="2430"/>
      <c r="L37" s="2430"/>
      <c r="M37" s="1189"/>
      <c r="N37" s="1189"/>
      <c r="O37" s="1189"/>
      <c r="P37" s="1189"/>
    </row>
    <row r="38" spans="1:16" ht="33.6" customHeight="1">
      <c r="A38" s="2429">
        <v>14</v>
      </c>
      <c r="B38" s="2431" t="s">
        <v>3608</v>
      </c>
      <c r="C38" s="2731"/>
      <c r="D38" s="2731"/>
      <c r="E38" s="2731"/>
      <c r="F38" s="2731"/>
      <c r="G38" s="1189"/>
      <c r="H38" s="1189"/>
      <c r="I38" s="2430"/>
      <c r="J38" s="2430"/>
      <c r="K38" s="2430"/>
      <c r="L38" s="2430"/>
      <c r="M38" s="1189"/>
      <c r="N38" s="1189"/>
      <c r="O38" s="1189"/>
      <c r="P38" s="1189"/>
    </row>
    <row r="39" spans="1:16" s="1189" customFormat="1" ht="16.5">
      <c r="A39" s="1189" t="s">
        <v>3609</v>
      </c>
      <c r="B39" s="2419"/>
    </row>
    <row r="40" spans="1:16" s="1189" customFormat="1">
      <c r="B40" s="2419"/>
    </row>
    <row r="41" spans="1:16" s="1189" customFormat="1">
      <c r="B41" s="2419"/>
    </row>
    <row r="42" spans="1:16" s="1189" customFormat="1" ht="16.5">
      <c r="A42" s="2722" t="s">
        <v>6034</v>
      </c>
      <c r="B42" s="2421"/>
      <c r="C42" s="2421"/>
      <c r="D42" s="2421"/>
      <c r="E42" s="2421"/>
      <c r="F42" s="2421"/>
      <c r="G42" s="2421"/>
      <c r="H42" s="2421"/>
      <c r="I42" s="2421"/>
      <c r="J42" s="2421"/>
      <c r="K42" s="2421"/>
      <c r="L42" s="2421"/>
      <c r="M42" s="2421"/>
      <c r="N42" s="2421"/>
      <c r="O42" s="2421"/>
      <c r="P42" s="2426" t="s">
        <v>3728</v>
      </c>
    </row>
    <row r="43" spans="1:16" ht="16.5" customHeight="1">
      <c r="A43" s="3652" t="s">
        <v>3588</v>
      </c>
      <c r="B43" s="3652" t="s">
        <v>5838</v>
      </c>
      <c r="C43" s="3653" t="s">
        <v>5839</v>
      </c>
      <c r="D43" s="3653"/>
      <c r="E43" s="3653"/>
      <c r="F43" s="3653"/>
      <c r="G43" s="3653"/>
      <c r="H43" s="3653"/>
      <c r="I43" s="3653"/>
      <c r="J43" s="3653"/>
      <c r="K43" s="3653"/>
      <c r="L43" s="3653"/>
      <c r="M43" s="3653"/>
      <c r="N43" s="3653"/>
      <c r="O43" s="3653"/>
      <c r="P43" s="3653"/>
    </row>
    <row r="44" spans="1:16" ht="16.5">
      <c r="A44" s="3652"/>
      <c r="B44" s="3652"/>
      <c r="C44" s="3652" t="s">
        <v>3729</v>
      </c>
      <c r="D44" s="3652"/>
      <c r="E44" s="3652"/>
      <c r="F44" s="3652"/>
      <c r="G44" s="3652"/>
      <c r="H44" s="3652"/>
      <c r="I44" s="3652"/>
      <c r="J44" s="3652" t="s">
        <v>3730</v>
      </c>
      <c r="K44" s="3652"/>
      <c r="L44" s="3652"/>
      <c r="M44" s="3652"/>
      <c r="N44" s="3652"/>
      <c r="O44" s="3652"/>
      <c r="P44" s="3652"/>
    </row>
    <row r="45" spans="1:16" ht="33">
      <c r="A45" s="3652"/>
      <c r="B45" s="3652"/>
      <c r="C45" s="2681" t="s">
        <v>3731</v>
      </c>
      <c r="D45" s="2681" t="s">
        <v>3732</v>
      </c>
      <c r="E45" s="2681" t="s">
        <v>3733</v>
      </c>
      <c r="F45" s="2681" t="s">
        <v>3734</v>
      </c>
      <c r="G45" s="2681" t="s">
        <v>3735</v>
      </c>
      <c r="H45" s="2681" t="s">
        <v>3736</v>
      </c>
      <c r="I45" s="2681" t="s">
        <v>3737</v>
      </c>
      <c r="J45" s="2681" t="s">
        <v>3731</v>
      </c>
      <c r="K45" s="2681" t="s">
        <v>3732</v>
      </c>
      <c r="L45" s="2681" t="s">
        <v>3733</v>
      </c>
      <c r="M45" s="2681" t="s">
        <v>3734</v>
      </c>
      <c r="N45" s="2681" t="s">
        <v>3735</v>
      </c>
      <c r="O45" s="2681" t="s">
        <v>3736</v>
      </c>
      <c r="P45" s="2681" t="s">
        <v>3737</v>
      </c>
    </row>
    <row r="46" spans="1:16" ht="16.5">
      <c r="A46" s="2429">
        <v>1</v>
      </c>
      <c r="B46" s="2432" t="s">
        <v>3594</v>
      </c>
      <c r="C46" s="2731"/>
      <c r="D46" s="2731"/>
      <c r="E46" s="2731"/>
      <c r="F46" s="2731"/>
      <c r="G46" s="2731"/>
      <c r="H46" s="2731"/>
      <c r="I46" s="2731"/>
      <c r="J46" s="2731"/>
      <c r="K46" s="2731"/>
      <c r="L46" s="2731"/>
      <c r="M46" s="2731"/>
      <c r="N46" s="2731"/>
      <c r="O46" s="2731"/>
      <c r="P46" s="2731"/>
    </row>
    <row r="47" spans="1:16" ht="16.5">
      <c r="A47" s="2429">
        <v>1.1000000000000001</v>
      </c>
      <c r="B47" s="2432" t="s">
        <v>3595</v>
      </c>
      <c r="C47" s="2731"/>
      <c r="D47" s="2731"/>
      <c r="E47" s="2731"/>
      <c r="F47" s="2731"/>
      <c r="G47" s="2731"/>
      <c r="H47" s="2731"/>
      <c r="I47" s="2731"/>
      <c r="J47" s="2731"/>
      <c r="K47" s="2731"/>
      <c r="L47" s="2731"/>
      <c r="M47" s="2731"/>
      <c r="N47" s="2731"/>
      <c r="O47" s="2731"/>
      <c r="P47" s="2731"/>
    </row>
    <row r="48" spans="1:16" ht="16.5">
      <c r="A48" s="2429">
        <v>2</v>
      </c>
      <c r="B48" s="2432" t="s">
        <v>3596</v>
      </c>
      <c r="C48" s="2731"/>
      <c r="D48" s="2731"/>
      <c r="E48" s="2731"/>
      <c r="F48" s="2731"/>
      <c r="G48" s="2731"/>
      <c r="H48" s="2731"/>
      <c r="I48" s="2731"/>
      <c r="J48" s="2731"/>
      <c r="K48" s="2731"/>
      <c r="L48" s="2731"/>
      <c r="M48" s="2731"/>
      <c r="N48" s="2731"/>
      <c r="O48" s="2731"/>
      <c r="P48" s="2731"/>
    </row>
    <row r="49" spans="1:16" ht="16.5">
      <c r="A49" s="2429">
        <v>3</v>
      </c>
      <c r="B49" s="2432" t="s">
        <v>3597</v>
      </c>
      <c r="C49" s="2731"/>
      <c r="D49" s="2731"/>
      <c r="E49" s="2731"/>
      <c r="F49" s="2731"/>
      <c r="G49" s="2731"/>
      <c r="H49" s="2731"/>
      <c r="I49" s="2731"/>
      <c r="J49" s="2731"/>
      <c r="K49" s="2731"/>
      <c r="L49" s="2731"/>
      <c r="M49" s="2731"/>
      <c r="N49" s="2731"/>
      <c r="O49" s="2731"/>
      <c r="P49" s="2731"/>
    </row>
    <row r="50" spans="1:16" ht="16.5">
      <c r="A50" s="2429">
        <v>4</v>
      </c>
      <c r="B50" s="2432" t="s">
        <v>3598</v>
      </c>
      <c r="C50" s="2731"/>
      <c r="D50" s="2731"/>
      <c r="E50" s="2731"/>
      <c r="F50" s="2731"/>
      <c r="G50" s="2731"/>
      <c r="H50" s="2731"/>
      <c r="I50" s="2731"/>
      <c r="J50" s="2731"/>
      <c r="K50" s="2731"/>
      <c r="L50" s="2731"/>
      <c r="M50" s="2731"/>
      <c r="N50" s="2731"/>
      <c r="O50" s="2731"/>
      <c r="P50" s="2731"/>
    </row>
    <row r="51" spans="1:16" ht="16.5">
      <c r="A51" s="2429">
        <v>5</v>
      </c>
      <c r="B51" s="2432" t="s">
        <v>3599</v>
      </c>
      <c r="C51" s="2731"/>
      <c r="D51" s="2731"/>
      <c r="E51" s="2731"/>
      <c r="F51" s="2731"/>
      <c r="G51" s="2731"/>
      <c r="H51" s="2731"/>
      <c r="I51" s="2731"/>
      <c r="J51" s="2731"/>
      <c r="K51" s="2731"/>
      <c r="L51" s="2731"/>
      <c r="M51" s="2731"/>
      <c r="N51" s="2731"/>
      <c r="O51" s="2731"/>
      <c r="P51" s="2731"/>
    </row>
    <row r="52" spans="1:16" ht="16.5">
      <c r="A52" s="2429">
        <v>6</v>
      </c>
      <c r="B52" s="2432" t="s">
        <v>3600</v>
      </c>
      <c r="C52" s="2731"/>
      <c r="D52" s="2731"/>
      <c r="E52" s="2731"/>
      <c r="F52" s="2731"/>
      <c r="G52" s="2731"/>
      <c r="H52" s="2731"/>
      <c r="I52" s="2731"/>
      <c r="J52" s="2731"/>
      <c r="K52" s="2731"/>
      <c r="L52" s="2731"/>
      <c r="M52" s="2731"/>
      <c r="N52" s="2731"/>
      <c r="O52" s="2731"/>
      <c r="P52" s="2731"/>
    </row>
    <row r="53" spans="1:16" ht="16.5">
      <c r="A53" s="2429">
        <v>7</v>
      </c>
      <c r="B53" s="2432" t="s">
        <v>3601</v>
      </c>
      <c r="C53" s="2731"/>
      <c r="D53" s="2731"/>
      <c r="E53" s="2731"/>
      <c r="F53" s="2731"/>
      <c r="G53" s="2731"/>
      <c r="H53" s="2731"/>
      <c r="I53" s="2731"/>
      <c r="J53" s="2731"/>
      <c r="K53" s="2731"/>
      <c r="L53" s="2731"/>
      <c r="M53" s="2731"/>
      <c r="N53" s="2731"/>
      <c r="O53" s="2731"/>
      <c r="P53" s="2731"/>
    </row>
    <row r="54" spans="1:16" ht="16.5">
      <c r="A54" s="2429">
        <v>8</v>
      </c>
      <c r="B54" s="2432" t="s">
        <v>3602</v>
      </c>
      <c r="C54" s="2731"/>
      <c r="D54" s="2731"/>
      <c r="E54" s="2731"/>
      <c r="F54" s="2731"/>
      <c r="G54" s="2731"/>
      <c r="H54" s="2731"/>
      <c r="I54" s="2731"/>
      <c r="J54" s="2731"/>
      <c r="K54" s="2731"/>
      <c r="L54" s="2731"/>
      <c r="M54" s="2731"/>
      <c r="N54" s="2731"/>
      <c r="O54" s="2731"/>
      <c r="P54" s="2731"/>
    </row>
    <row r="55" spans="1:16" ht="16.5">
      <c r="A55" s="2429">
        <v>9</v>
      </c>
      <c r="B55" s="2432" t="s">
        <v>3603</v>
      </c>
      <c r="C55" s="2731"/>
      <c r="D55" s="2731"/>
      <c r="E55" s="2731"/>
      <c r="F55" s="2731"/>
      <c r="G55" s="2731"/>
      <c r="H55" s="2731"/>
      <c r="I55" s="2731"/>
      <c r="J55" s="2731"/>
      <c r="K55" s="2731"/>
      <c r="L55" s="2731"/>
      <c r="M55" s="2731"/>
      <c r="N55" s="2731"/>
      <c r="O55" s="2731"/>
      <c r="P55" s="2731"/>
    </row>
    <row r="56" spans="1:16" ht="16.5">
      <c r="A56" s="2429">
        <v>10</v>
      </c>
      <c r="B56" s="2432" t="s">
        <v>3604</v>
      </c>
      <c r="C56" s="2731"/>
      <c r="D56" s="2731"/>
      <c r="E56" s="2731"/>
      <c r="F56" s="2731"/>
      <c r="G56" s="2731"/>
      <c r="H56" s="2731"/>
      <c r="I56" s="2731"/>
      <c r="J56" s="2731"/>
      <c r="K56" s="2731"/>
      <c r="L56" s="2731"/>
      <c r="M56" s="2731"/>
      <c r="N56" s="2731"/>
      <c r="O56" s="2731"/>
      <c r="P56" s="2731"/>
    </row>
    <row r="57" spans="1:16" ht="16.5">
      <c r="A57" s="2429">
        <v>11</v>
      </c>
      <c r="B57" s="2432" t="s">
        <v>3605</v>
      </c>
      <c r="C57" s="2731"/>
      <c r="D57" s="2731"/>
      <c r="E57" s="2731"/>
      <c r="F57" s="2731"/>
      <c r="G57" s="2731"/>
      <c r="H57" s="2731"/>
      <c r="I57" s="2731"/>
      <c r="J57" s="2731"/>
      <c r="K57" s="2731"/>
      <c r="L57" s="2731"/>
      <c r="M57" s="2731"/>
      <c r="N57" s="2731"/>
      <c r="O57" s="2731"/>
      <c r="P57" s="2731"/>
    </row>
    <row r="58" spans="1:16" ht="16.5">
      <c r="A58" s="2429">
        <v>12</v>
      </c>
      <c r="B58" s="2432" t="s">
        <v>3606</v>
      </c>
      <c r="C58" s="2731"/>
      <c r="D58" s="2731"/>
      <c r="E58" s="2731"/>
      <c r="F58" s="2731"/>
      <c r="G58" s="2731"/>
      <c r="H58" s="2731"/>
      <c r="I58" s="2731"/>
      <c r="J58" s="2731"/>
      <c r="K58" s="2731"/>
      <c r="L58" s="2731"/>
      <c r="M58" s="2731"/>
      <c r="N58" s="2731"/>
      <c r="O58" s="2731"/>
      <c r="P58" s="2731"/>
    </row>
    <row r="59" spans="1:16" ht="16.5">
      <c r="A59" s="2429">
        <v>13</v>
      </c>
      <c r="B59" s="2432" t="s">
        <v>3607</v>
      </c>
      <c r="C59" s="2731"/>
      <c r="D59" s="2731"/>
      <c r="E59" s="2731"/>
      <c r="F59" s="2731"/>
      <c r="G59" s="2731"/>
      <c r="H59" s="2731"/>
      <c r="I59" s="2731"/>
      <c r="J59" s="2731"/>
      <c r="K59" s="2731"/>
      <c r="L59" s="2731"/>
      <c r="M59" s="2731"/>
      <c r="N59" s="2731"/>
      <c r="O59" s="2731"/>
      <c r="P59" s="2731"/>
    </row>
    <row r="60" spans="1:16" ht="34.15" customHeight="1">
      <c r="A60" s="2429">
        <v>14</v>
      </c>
      <c r="B60" s="2433" t="s">
        <v>3610</v>
      </c>
      <c r="C60" s="2731"/>
      <c r="D60" s="2731"/>
      <c r="E60" s="2731"/>
      <c r="F60" s="2731"/>
      <c r="G60" s="2731"/>
      <c r="H60" s="2731"/>
      <c r="I60" s="2731"/>
      <c r="J60" s="2731"/>
      <c r="K60" s="2731"/>
      <c r="L60" s="2731"/>
      <c r="M60" s="2731"/>
      <c r="N60" s="2731"/>
      <c r="O60" s="2731"/>
      <c r="P60" s="2731"/>
    </row>
    <row r="61" spans="1:16" s="1189" customFormat="1">
      <c r="A61" s="2434"/>
      <c r="B61" s="2434"/>
      <c r="C61" s="2435"/>
      <c r="D61" s="2435"/>
      <c r="E61" s="2435"/>
      <c r="F61" s="2435"/>
      <c r="G61" s="2435"/>
      <c r="H61" s="2435"/>
      <c r="I61" s="2435"/>
      <c r="J61" s="2435"/>
      <c r="K61" s="2435"/>
      <c r="L61" s="2435"/>
      <c r="M61" s="2435"/>
      <c r="N61" s="2435"/>
      <c r="O61" s="2435"/>
      <c r="P61" s="2435"/>
    </row>
    <row r="62" spans="1:16" s="1189" customFormat="1">
      <c r="A62" s="2421"/>
      <c r="B62" s="2421"/>
      <c r="C62" s="2421"/>
      <c r="D62" s="2421"/>
      <c r="E62" s="2421"/>
      <c r="F62" s="2421"/>
      <c r="G62" s="2421"/>
      <c r="H62" s="2421"/>
      <c r="I62" s="2421"/>
      <c r="J62" s="2421"/>
      <c r="K62" s="2421"/>
      <c r="L62" s="2421"/>
      <c r="M62" s="2421"/>
      <c r="N62" s="2421"/>
      <c r="O62" s="2421"/>
      <c r="P62" s="2421"/>
    </row>
    <row r="63" spans="1:16" s="1189" customFormat="1" ht="16.5">
      <c r="A63" s="2722" t="s">
        <v>6035</v>
      </c>
      <c r="B63" s="2421"/>
      <c r="C63" s="2421"/>
      <c r="D63" s="2421"/>
      <c r="E63" s="2421"/>
      <c r="F63" s="2421"/>
      <c r="G63" s="2421"/>
      <c r="H63" s="2421"/>
      <c r="I63" s="2421"/>
      <c r="J63" s="2421"/>
      <c r="K63" s="2421"/>
      <c r="L63" s="2421"/>
      <c r="M63" s="2421"/>
      <c r="N63" s="2421"/>
      <c r="O63" s="2421"/>
      <c r="P63" s="2426" t="s">
        <v>3728</v>
      </c>
    </row>
    <row r="64" spans="1:16" ht="16.5" customHeight="1">
      <c r="A64" s="3653" t="s">
        <v>3611</v>
      </c>
      <c r="B64" s="3652" t="s">
        <v>5838</v>
      </c>
      <c r="C64" s="3653" t="s">
        <v>5840</v>
      </c>
      <c r="D64" s="3653"/>
      <c r="E64" s="3653"/>
      <c r="F64" s="3653"/>
      <c r="G64" s="3653"/>
      <c r="H64" s="3653"/>
      <c r="I64" s="3653"/>
      <c r="J64" s="3653"/>
      <c r="K64" s="3653"/>
      <c r="L64" s="3653"/>
      <c r="M64" s="3653"/>
      <c r="N64" s="3653"/>
      <c r="O64" s="3653"/>
      <c r="P64" s="3653"/>
    </row>
    <row r="65" spans="1:16" ht="16.5">
      <c r="A65" s="3653"/>
      <c r="B65" s="3652"/>
      <c r="C65" s="3652" t="s">
        <v>3729</v>
      </c>
      <c r="D65" s="3652"/>
      <c r="E65" s="3652"/>
      <c r="F65" s="3652"/>
      <c r="G65" s="3652"/>
      <c r="H65" s="3652"/>
      <c r="I65" s="3652"/>
      <c r="J65" s="3652" t="s">
        <v>3730</v>
      </c>
      <c r="K65" s="3652"/>
      <c r="L65" s="3652"/>
      <c r="M65" s="3652"/>
      <c r="N65" s="3652"/>
      <c r="O65" s="3652"/>
      <c r="P65" s="3652"/>
    </row>
    <row r="66" spans="1:16" ht="37.5" customHeight="1">
      <c r="A66" s="3653"/>
      <c r="B66" s="3652"/>
      <c r="C66" s="2681" t="s">
        <v>3731</v>
      </c>
      <c r="D66" s="2681" t="s">
        <v>3732</v>
      </c>
      <c r="E66" s="2681" t="s">
        <v>3733</v>
      </c>
      <c r="F66" s="2681" t="s">
        <v>3734</v>
      </c>
      <c r="G66" s="2681" t="s">
        <v>3735</v>
      </c>
      <c r="H66" s="2681" t="s">
        <v>3736</v>
      </c>
      <c r="I66" s="2681" t="s">
        <v>3737</v>
      </c>
      <c r="J66" s="2681" t="s">
        <v>3731</v>
      </c>
      <c r="K66" s="2681" t="s">
        <v>3732</v>
      </c>
      <c r="L66" s="2681" t="s">
        <v>3733</v>
      </c>
      <c r="M66" s="2681" t="s">
        <v>3734</v>
      </c>
      <c r="N66" s="2681" t="s">
        <v>3735</v>
      </c>
      <c r="O66" s="2681" t="s">
        <v>3736</v>
      </c>
      <c r="P66" s="2681" t="s">
        <v>3737</v>
      </c>
    </row>
    <row r="67" spans="1:16" ht="16.5">
      <c r="A67" s="2429">
        <v>1</v>
      </c>
      <c r="B67" s="2436" t="s">
        <v>3594</v>
      </c>
      <c r="C67" s="2731"/>
      <c r="D67" s="2731"/>
      <c r="E67" s="2731"/>
      <c r="F67" s="2731"/>
      <c r="G67" s="2731"/>
      <c r="H67" s="2731"/>
      <c r="I67" s="2731"/>
      <c r="J67" s="2731"/>
      <c r="K67" s="2731"/>
      <c r="L67" s="2731"/>
      <c r="M67" s="2731"/>
      <c r="N67" s="2731"/>
      <c r="O67" s="2731"/>
      <c r="P67" s="2731"/>
    </row>
    <row r="68" spans="1:16" ht="16.5">
      <c r="A68" s="2429">
        <v>1.1000000000000001</v>
      </c>
      <c r="B68" s="2436" t="s">
        <v>3595</v>
      </c>
      <c r="C68" s="2731"/>
      <c r="D68" s="2731"/>
      <c r="E68" s="2731"/>
      <c r="F68" s="2731"/>
      <c r="G68" s="2731"/>
      <c r="H68" s="2731"/>
      <c r="I68" s="2731"/>
      <c r="J68" s="2731"/>
      <c r="K68" s="2731"/>
      <c r="L68" s="2731"/>
      <c r="M68" s="2731"/>
      <c r="N68" s="2731"/>
      <c r="O68" s="2731"/>
      <c r="P68" s="2731"/>
    </row>
    <row r="69" spans="1:16" ht="16.5">
      <c r="A69" s="2429">
        <v>2</v>
      </c>
      <c r="B69" s="2436" t="s">
        <v>3596</v>
      </c>
      <c r="C69" s="2731"/>
      <c r="D69" s="2731"/>
      <c r="E69" s="2731"/>
      <c r="F69" s="2731"/>
      <c r="G69" s="2731"/>
      <c r="H69" s="2731"/>
      <c r="I69" s="2731"/>
      <c r="J69" s="2731"/>
      <c r="K69" s="2731"/>
      <c r="L69" s="2731"/>
      <c r="M69" s="2731"/>
      <c r="N69" s="2731"/>
      <c r="O69" s="2731"/>
      <c r="P69" s="2731"/>
    </row>
    <row r="70" spans="1:16" ht="16.5">
      <c r="A70" s="2429">
        <v>3</v>
      </c>
      <c r="B70" s="2436" t="s">
        <v>3597</v>
      </c>
      <c r="C70" s="2731"/>
      <c r="D70" s="2731"/>
      <c r="E70" s="2731"/>
      <c r="F70" s="2731"/>
      <c r="G70" s="2731"/>
      <c r="H70" s="2731"/>
      <c r="I70" s="2731"/>
      <c r="J70" s="2731"/>
      <c r="K70" s="2731"/>
      <c r="L70" s="2731"/>
      <c r="M70" s="2731"/>
      <c r="N70" s="2731"/>
      <c r="O70" s="2731"/>
      <c r="P70" s="2731"/>
    </row>
    <row r="71" spans="1:16" ht="16.5">
      <c r="A71" s="2429">
        <v>4</v>
      </c>
      <c r="B71" s="2436" t="s">
        <v>3598</v>
      </c>
      <c r="C71" s="2731"/>
      <c r="D71" s="2731"/>
      <c r="E71" s="2731"/>
      <c r="F71" s="2731"/>
      <c r="G71" s="2731"/>
      <c r="H71" s="2731"/>
      <c r="I71" s="2731"/>
      <c r="J71" s="2731"/>
      <c r="K71" s="2731"/>
      <c r="L71" s="2731"/>
      <c r="M71" s="2731"/>
      <c r="N71" s="2731"/>
      <c r="O71" s="2731"/>
      <c r="P71" s="2731"/>
    </row>
    <row r="72" spans="1:16" ht="16.5">
      <c r="A72" s="2429">
        <v>5</v>
      </c>
      <c r="B72" s="2436" t="s">
        <v>3599</v>
      </c>
      <c r="C72" s="2731"/>
      <c r="D72" s="2731"/>
      <c r="E72" s="2731"/>
      <c r="F72" s="2731"/>
      <c r="G72" s="2731"/>
      <c r="H72" s="2731"/>
      <c r="I72" s="2731"/>
      <c r="J72" s="2731"/>
      <c r="K72" s="2731"/>
      <c r="L72" s="2731"/>
      <c r="M72" s="2731"/>
      <c r="N72" s="2731"/>
      <c r="O72" s="2731"/>
      <c r="P72" s="2731"/>
    </row>
    <row r="73" spans="1:16" ht="16.5">
      <c r="A73" s="2429">
        <v>6</v>
      </c>
      <c r="B73" s="2436" t="s">
        <v>3600</v>
      </c>
      <c r="C73" s="2731"/>
      <c r="D73" s="2731"/>
      <c r="E73" s="2731"/>
      <c r="F73" s="2731"/>
      <c r="G73" s="2731"/>
      <c r="H73" s="2731"/>
      <c r="I73" s="2731"/>
      <c r="J73" s="2731"/>
      <c r="K73" s="2731"/>
      <c r="L73" s="2731"/>
      <c r="M73" s="2731"/>
      <c r="N73" s="2731"/>
      <c r="O73" s="2731"/>
      <c r="P73" s="2731"/>
    </row>
    <row r="74" spans="1:16" ht="16.5">
      <c r="A74" s="2429">
        <v>7</v>
      </c>
      <c r="B74" s="2436" t="s">
        <v>3601</v>
      </c>
      <c r="C74" s="2731"/>
      <c r="D74" s="2731"/>
      <c r="E74" s="2731"/>
      <c r="F74" s="2731"/>
      <c r="G74" s="2731"/>
      <c r="H74" s="2731"/>
      <c r="I74" s="2731"/>
      <c r="J74" s="2731"/>
      <c r="K74" s="2731"/>
      <c r="L74" s="2731"/>
      <c r="M74" s="2731"/>
      <c r="N74" s="2731"/>
      <c r="O74" s="2731"/>
      <c r="P74" s="2731"/>
    </row>
    <row r="75" spans="1:16" ht="16.5">
      <c r="A75" s="2429">
        <v>8</v>
      </c>
      <c r="B75" s="2436" t="s">
        <v>3602</v>
      </c>
      <c r="C75" s="2731"/>
      <c r="D75" s="2731"/>
      <c r="E75" s="2731"/>
      <c r="F75" s="2731"/>
      <c r="G75" s="2731"/>
      <c r="H75" s="2731"/>
      <c r="I75" s="2731"/>
      <c r="J75" s="2731"/>
      <c r="K75" s="2731"/>
      <c r="L75" s="2731"/>
      <c r="M75" s="2731"/>
      <c r="N75" s="2731"/>
      <c r="O75" s="2731"/>
      <c r="P75" s="2731"/>
    </row>
    <row r="76" spans="1:16" ht="16.5">
      <c r="A76" s="2429">
        <v>9</v>
      </c>
      <c r="B76" s="2436" t="s">
        <v>3603</v>
      </c>
      <c r="C76" s="2731"/>
      <c r="D76" s="2731"/>
      <c r="E76" s="2731"/>
      <c r="F76" s="2731"/>
      <c r="G76" s="2731"/>
      <c r="H76" s="2731"/>
      <c r="I76" s="2731"/>
      <c r="J76" s="2731"/>
      <c r="K76" s="2731"/>
      <c r="L76" s="2731"/>
      <c r="M76" s="2731"/>
      <c r="N76" s="2731"/>
      <c r="O76" s="2731"/>
      <c r="P76" s="2731"/>
    </row>
    <row r="77" spans="1:16" ht="16.5">
      <c r="A77" s="2429">
        <v>10</v>
      </c>
      <c r="B77" s="2436" t="s">
        <v>3604</v>
      </c>
      <c r="C77" s="2731"/>
      <c r="D77" s="2731"/>
      <c r="E77" s="2731"/>
      <c r="F77" s="2731"/>
      <c r="G77" s="2731"/>
      <c r="H77" s="2731"/>
      <c r="I77" s="2731"/>
      <c r="J77" s="2731"/>
      <c r="K77" s="2731"/>
      <c r="L77" s="2731"/>
      <c r="M77" s="2731"/>
      <c r="N77" s="2731"/>
      <c r="O77" s="2731"/>
      <c r="P77" s="2731"/>
    </row>
    <row r="78" spans="1:16" ht="16.5">
      <c r="A78" s="2429">
        <v>11</v>
      </c>
      <c r="B78" s="2436" t="s">
        <v>3605</v>
      </c>
      <c r="C78" s="2731"/>
      <c r="D78" s="2731"/>
      <c r="E78" s="2731"/>
      <c r="F78" s="2731"/>
      <c r="G78" s="2731"/>
      <c r="H78" s="2731"/>
      <c r="I78" s="2731"/>
      <c r="J78" s="2731"/>
      <c r="K78" s="2731"/>
      <c r="L78" s="2731"/>
      <c r="M78" s="2731"/>
      <c r="N78" s="2731"/>
      <c r="O78" s="2731"/>
      <c r="P78" s="2731"/>
    </row>
    <row r="79" spans="1:16" ht="16.5">
      <c r="A79" s="2429">
        <v>12</v>
      </c>
      <c r="B79" s="2436" t="s">
        <v>3606</v>
      </c>
      <c r="C79" s="2731"/>
      <c r="D79" s="2731"/>
      <c r="E79" s="2731"/>
      <c r="F79" s="2731"/>
      <c r="G79" s="2731"/>
      <c r="H79" s="2731"/>
      <c r="I79" s="2731"/>
      <c r="J79" s="2731"/>
      <c r="K79" s="2731"/>
      <c r="L79" s="2731"/>
      <c r="M79" s="2731"/>
      <c r="N79" s="2731"/>
      <c r="O79" s="2731"/>
      <c r="P79" s="2731"/>
    </row>
    <row r="80" spans="1:16" ht="16.5">
      <c r="A80" s="2429">
        <v>13</v>
      </c>
      <c r="B80" s="2436" t="s">
        <v>3607</v>
      </c>
      <c r="C80" s="2731"/>
      <c r="D80" s="2731"/>
      <c r="E80" s="2731"/>
      <c r="F80" s="2731"/>
      <c r="G80" s="2731"/>
      <c r="H80" s="2731"/>
      <c r="I80" s="2731"/>
      <c r="J80" s="2731"/>
      <c r="K80" s="2731"/>
      <c r="L80" s="2731"/>
      <c r="M80" s="2731"/>
      <c r="N80" s="2731"/>
      <c r="O80" s="2731"/>
      <c r="P80" s="2731"/>
    </row>
    <row r="81" spans="1:16" ht="33">
      <c r="A81" s="2429">
        <v>14</v>
      </c>
      <c r="B81" s="2437" t="s">
        <v>3610</v>
      </c>
      <c r="C81" s="2731"/>
      <c r="D81" s="2731"/>
      <c r="E81" s="2731"/>
      <c r="F81" s="2731"/>
      <c r="G81" s="2731"/>
      <c r="H81" s="2731"/>
      <c r="I81" s="2731"/>
      <c r="J81" s="2731"/>
      <c r="K81" s="2731"/>
      <c r="L81" s="2731"/>
      <c r="M81" s="2731"/>
      <c r="N81" s="2731"/>
      <c r="O81" s="2731"/>
      <c r="P81" s="2731"/>
    </row>
    <row r="82" spans="1:16" s="1189" customFormat="1">
      <c r="C82" s="2421"/>
      <c r="D82" s="2421"/>
      <c r="E82" s="2421"/>
      <c r="F82" s="2421"/>
      <c r="G82" s="2421"/>
      <c r="H82" s="2421"/>
      <c r="I82" s="2421"/>
      <c r="J82" s="2421"/>
      <c r="K82" s="2421"/>
      <c r="L82" s="2421"/>
      <c r="M82" s="2421"/>
      <c r="N82" s="2421"/>
      <c r="O82" s="2421"/>
      <c r="P82" s="2421"/>
    </row>
    <row r="83" spans="1:16" s="1189" customFormat="1">
      <c r="B83" s="2438"/>
      <c r="C83" s="2438"/>
    </row>
    <row r="84" spans="1:16" s="1189" customFormat="1" ht="16.5">
      <c r="A84" s="2722" t="s">
        <v>6036</v>
      </c>
      <c r="B84" s="2438"/>
      <c r="C84" s="2438"/>
      <c r="D84" s="2426"/>
      <c r="E84" s="2438"/>
      <c r="F84" s="2426" t="s">
        <v>3738</v>
      </c>
    </row>
    <row r="85" spans="1:16" ht="16.5">
      <c r="A85" s="3646" t="s">
        <v>5841</v>
      </c>
      <c r="B85" s="3647"/>
      <c r="C85" s="1182" t="s">
        <v>3593</v>
      </c>
      <c r="D85" s="1182" t="s">
        <v>3592</v>
      </c>
      <c r="E85" s="1182" t="s">
        <v>3593</v>
      </c>
      <c r="F85" s="1182" t="s">
        <v>3592</v>
      </c>
      <c r="G85" s="1189"/>
      <c r="H85" s="1189"/>
      <c r="I85" s="1189"/>
      <c r="J85" s="1189"/>
      <c r="K85" s="1189"/>
      <c r="L85" s="1189"/>
      <c r="M85" s="1189"/>
      <c r="N85" s="1189"/>
      <c r="O85" s="1189"/>
      <c r="P85" s="1189"/>
    </row>
    <row r="86" spans="1:16" ht="16.5">
      <c r="A86" s="3648"/>
      <c r="B86" s="3649"/>
      <c r="C86" s="3650" t="s">
        <v>3590</v>
      </c>
      <c r="D86" s="3651"/>
      <c r="E86" s="3650" t="s">
        <v>5842</v>
      </c>
      <c r="F86" s="3651"/>
      <c r="G86" s="1189"/>
      <c r="H86" s="1189"/>
      <c r="I86" s="1189"/>
      <c r="J86" s="1189"/>
      <c r="K86" s="1189"/>
      <c r="L86" s="1189"/>
      <c r="M86" s="1189"/>
      <c r="N86" s="1189"/>
      <c r="O86" s="1189"/>
      <c r="P86" s="1189"/>
    </row>
    <row r="87" spans="1:16" ht="30" customHeight="1">
      <c r="A87" s="3650" t="s">
        <v>5843</v>
      </c>
      <c r="B87" s="3651"/>
      <c r="C87" s="2731"/>
      <c r="D87" s="2731"/>
      <c r="E87" s="2731"/>
      <c r="F87" s="2731"/>
      <c r="G87" s="1189"/>
      <c r="H87" s="1189"/>
      <c r="I87" s="1189"/>
      <c r="J87" s="1189"/>
      <c r="K87" s="1189"/>
      <c r="L87" s="1189"/>
      <c r="M87" s="1189"/>
      <c r="N87" s="1189"/>
      <c r="O87" s="1189"/>
      <c r="P87" s="1189"/>
    </row>
    <row r="88" spans="1:16" s="1189" customFormat="1" ht="15.75" customHeight="1">
      <c r="A88" s="2434"/>
      <c r="B88" s="2434"/>
      <c r="C88" s="2439"/>
      <c r="D88" s="2439"/>
      <c r="E88" s="2440"/>
      <c r="F88" s="2440"/>
    </row>
    <row r="89" spans="1:16" s="1189" customFormat="1">
      <c r="B89" s="2419"/>
    </row>
    <row r="90" spans="1:16" s="1189" customFormat="1">
      <c r="B90" s="2419"/>
    </row>
  </sheetData>
  <mergeCells count="24">
    <mergeCell ref="A87:B87"/>
    <mergeCell ref="A43:A45"/>
    <mergeCell ref="B43:B45"/>
    <mergeCell ref="C43:P43"/>
    <mergeCell ref="C44:I44"/>
    <mergeCell ref="J44:P44"/>
    <mergeCell ref="A64:A66"/>
    <mergeCell ref="B64:B66"/>
    <mergeCell ref="C64:P64"/>
    <mergeCell ref="C65:I65"/>
    <mergeCell ref="H5:H6"/>
    <mergeCell ref="I5:L5"/>
    <mergeCell ref="M5:M6"/>
    <mergeCell ref="A85:B86"/>
    <mergeCell ref="C86:D86"/>
    <mergeCell ref="E86:F86"/>
    <mergeCell ref="J65:P65"/>
    <mergeCell ref="A21:A23"/>
    <mergeCell ref="B21:B23"/>
    <mergeCell ref="C21:F21"/>
    <mergeCell ref="C22:D22"/>
    <mergeCell ref="E22:F22"/>
    <mergeCell ref="A5:A6"/>
    <mergeCell ref="B5:G5"/>
  </mergeCells>
  <phoneticPr fontId="9" type="noConversion"/>
  <pageMargins left="0.70866141732283472" right="0.70866141732283472" top="0.74803149606299213" bottom="0.74803149606299213" header="0.31496062992125984" footer="0.31496062992125984"/>
  <pageSetup paperSize="9" scale="31" fitToWidth="0" orientation="landscape" r:id="rId1"/>
  <rowBreaks count="1" manualBreakCount="1">
    <brk id="41" max="16" man="1"/>
  </rowBreaks>
  <colBreaks count="1" manualBreakCount="1">
    <brk id="6" max="85" man="1"/>
  </colBreaks>
  <drawing r:id="rId2"/>
  <legacyDrawing r:id="rId3"/>
  <oleObjects>
    <mc:AlternateContent xmlns:mc="http://schemas.openxmlformats.org/markup-compatibility/2006">
      <mc:Choice Requires="x14">
        <oleObject progId="Equation.3" shapeId="225281" r:id="rId4">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1" r:id="rId4"/>
      </mc:Fallback>
    </mc:AlternateContent>
    <mc:AlternateContent xmlns:mc="http://schemas.openxmlformats.org/markup-compatibility/2006">
      <mc:Choice Requires="x14">
        <oleObject progId="Equation.3" shapeId="225282" r:id="rId6">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2" r:id="rId6"/>
      </mc:Fallback>
    </mc:AlternateContent>
    <mc:AlternateContent xmlns:mc="http://schemas.openxmlformats.org/markup-compatibility/2006">
      <mc:Choice Requires="x14">
        <oleObject progId="Equation.3" shapeId="225283" r:id="rId7">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3" r:id="rId7"/>
      </mc:Fallback>
    </mc:AlternateContent>
    <mc:AlternateContent xmlns:mc="http://schemas.openxmlformats.org/markup-compatibility/2006">
      <mc:Choice Requires="x14">
        <oleObject progId="Equation.3" shapeId="225284" r:id="rId8">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4" r:id="rId8"/>
      </mc:Fallback>
    </mc:AlternateContent>
    <mc:AlternateContent xmlns:mc="http://schemas.openxmlformats.org/markup-compatibility/2006">
      <mc:Choice Requires="x14">
        <oleObject progId="Equation.3" shapeId="225285" r:id="rId9">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5" r:id="rId9"/>
      </mc:Fallback>
    </mc:AlternateContent>
    <mc:AlternateContent xmlns:mc="http://schemas.openxmlformats.org/markup-compatibility/2006">
      <mc:Choice Requires="x14">
        <oleObject progId="Equation.3" shapeId="225286" r:id="rId10">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6" r:id="rId10"/>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28">
    <pageSetUpPr fitToPage="1"/>
  </sheetPr>
  <dimension ref="A1:L52"/>
  <sheetViews>
    <sheetView view="pageBreakPreview" zoomScale="80" zoomScaleNormal="100" zoomScaleSheetLayoutView="80" workbookViewId="0">
      <selection activeCell="G28" sqref="G28"/>
    </sheetView>
  </sheetViews>
  <sheetFormatPr defaultRowHeight="15.75"/>
  <cols>
    <col min="1" max="1" width="24.75" style="2428" customWidth="1"/>
    <col min="2" max="3" width="25.625" style="2428" customWidth="1"/>
    <col min="4" max="4" width="26.875" style="2428" customWidth="1"/>
    <col min="5" max="12" width="25.625" style="2428" customWidth="1"/>
    <col min="13" max="16384" width="9" style="2428"/>
  </cols>
  <sheetData>
    <row r="1" spans="1:5" s="2417" customFormat="1" ht="21">
      <c r="A1" s="2747" t="str">
        <f>+封面!A3&amp;" "&amp;封面!A2</f>
        <v xml:space="preserve">        保險股份有限公司(○○分公司) 年度(月、季、半年)報表</v>
      </c>
    </row>
    <row r="2" spans="1:5" s="2417" customFormat="1" ht="21">
      <c r="A2" s="2721" t="s">
        <v>6075</v>
      </c>
    </row>
    <row r="3" spans="1:5" s="2417" customFormat="1" ht="20.25">
      <c r="B3" s="2418"/>
    </row>
    <row r="4" spans="1:5" s="2417" customFormat="1" ht="21" thickBot="1">
      <c r="A4" s="2722" t="s">
        <v>6037</v>
      </c>
      <c r="B4" s="2418"/>
    </row>
    <row r="5" spans="1:5" s="2417" customFormat="1" ht="20.25">
      <c r="A5" s="2682" t="s">
        <v>5829</v>
      </c>
      <c r="B5" s="1182" t="s">
        <v>5844</v>
      </c>
      <c r="C5" s="1182" t="s">
        <v>5845</v>
      </c>
      <c r="D5" s="1182" t="s">
        <v>5846</v>
      </c>
      <c r="E5" s="1182" t="s">
        <v>5847</v>
      </c>
    </row>
    <row r="6" spans="1:5" s="2417" customFormat="1" ht="20.25">
      <c r="A6" s="1182" t="s">
        <v>5830</v>
      </c>
      <c r="B6" s="2685">
        <f ca="1">'表30-5-2-2-3'!B21</f>
        <v>0</v>
      </c>
      <c r="C6" s="2686">
        <f>C9</f>
        <v>0</v>
      </c>
      <c r="D6" s="2686">
        <f ca="1">'表30-5-2-2-3'!B57</f>
        <v>0</v>
      </c>
      <c r="E6" s="2731"/>
    </row>
    <row r="7" spans="1:5" s="2417" customFormat="1" ht="20.25">
      <c r="A7" s="1182" t="s">
        <v>5831</v>
      </c>
      <c r="B7" s="2731"/>
      <c r="C7" s="2731"/>
      <c r="D7" s="2731"/>
      <c r="E7" s="2731"/>
    </row>
    <row r="8" spans="1:5" s="2417" customFormat="1" ht="20.25">
      <c r="A8" s="1182" t="s">
        <v>5832</v>
      </c>
      <c r="B8" s="2685">
        <f ca="1">B6-B7</f>
        <v>0</v>
      </c>
      <c r="C8" s="2686">
        <f>C6-C7</f>
        <v>0</v>
      </c>
      <c r="D8" s="2686">
        <f ca="1">D6-D7</f>
        <v>0</v>
      </c>
      <c r="E8" s="2686">
        <f>E6-E7</f>
        <v>0</v>
      </c>
    </row>
    <row r="9" spans="1:5" s="2417" customFormat="1" ht="20.25">
      <c r="A9" s="1182" t="s">
        <v>5848</v>
      </c>
      <c r="B9" s="2685">
        <f ca="1">'表30-5-2-2-3'!B22</f>
        <v>0</v>
      </c>
      <c r="C9" s="2686">
        <f>'表30-5-2-2-3'!D37</f>
        <v>0</v>
      </c>
      <c r="D9" s="2686">
        <f ca="1">'表30-5-2-2-3'!B58</f>
        <v>0</v>
      </c>
      <c r="E9" s="2731"/>
    </row>
    <row r="10" spans="1:5" s="2417" customFormat="1" ht="20.25">
      <c r="A10" s="1182" t="s">
        <v>5834</v>
      </c>
      <c r="B10" s="2731"/>
      <c r="C10" s="2731"/>
      <c r="D10" s="2731"/>
      <c r="E10" s="2731"/>
    </row>
    <row r="11" spans="1:5" s="2417" customFormat="1" ht="20.25">
      <c r="A11" s="1182" t="s">
        <v>5849</v>
      </c>
      <c r="B11" s="2685">
        <f ca="1">B9+B10</f>
        <v>0</v>
      </c>
      <c r="C11" s="2686">
        <f>C9+C10</f>
        <v>0</v>
      </c>
      <c r="D11" s="2686">
        <f ca="1">D9+D10</f>
        <v>0</v>
      </c>
      <c r="E11" s="2686">
        <f>E9+E10</f>
        <v>0</v>
      </c>
    </row>
    <row r="12" spans="1:5" s="2417" customFormat="1" ht="20.25">
      <c r="A12" s="1182" t="s">
        <v>5835</v>
      </c>
      <c r="B12" s="2731"/>
      <c r="C12" s="2423"/>
      <c r="D12" s="2423"/>
      <c r="E12" s="2731"/>
    </row>
    <row r="13" spans="1:5" s="2417" customFormat="1" ht="20.25">
      <c r="A13" s="1182" t="s">
        <v>5836</v>
      </c>
      <c r="B13" s="2685">
        <f ca="1">B11-B12</f>
        <v>0</v>
      </c>
      <c r="C13" s="2685">
        <f>C11-C12</f>
        <v>0</v>
      </c>
      <c r="D13" s="2685">
        <f ca="1">D11-D12</f>
        <v>0</v>
      </c>
      <c r="E13" s="2685">
        <f>E11-E12</f>
        <v>0</v>
      </c>
    </row>
    <row r="14" spans="1:5" s="2417" customFormat="1" ht="20.25">
      <c r="B14" s="2418"/>
    </row>
    <row r="15" spans="1:5" s="2417" customFormat="1" ht="20.25">
      <c r="B15" s="2418"/>
    </row>
    <row r="16" spans="1:5" s="1189" customFormat="1" ht="16.5">
      <c r="A16" s="2722" t="s">
        <v>6038</v>
      </c>
      <c r="B16" s="2419"/>
    </row>
    <row r="17" spans="1:5" s="1189" customFormat="1" ht="33">
      <c r="A17" s="2681" t="s">
        <v>5850</v>
      </c>
      <c r="B17" s="2681" t="s">
        <v>5851</v>
      </c>
      <c r="C17" s="2681" t="s">
        <v>5852</v>
      </c>
    </row>
    <row r="18" spans="1:5" s="1189" customFormat="1" ht="16.5">
      <c r="A18" s="1182" t="s">
        <v>5853</v>
      </c>
      <c r="B18" s="2731"/>
      <c r="C18" s="2731"/>
    </row>
    <row r="19" spans="1:5" s="1189" customFormat="1" ht="16.5">
      <c r="A19" s="1182" t="s">
        <v>5854</v>
      </c>
      <c r="B19" s="2731"/>
      <c r="C19" s="2731"/>
    </row>
    <row r="20" spans="1:5" s="1189" customFormat="1" ht="16.5">
      <c r="A20" s="1189" t="s">
        <v>6071</v>
      </c>
      <c r="B20" s="2419"/>
    </row>
    <row r="21" spans="1:5" s="1189" customFormat="1">
      <c r="B21" s="2419"/>
    </row>
    <row r="22" spans="1:5" s="1189" customFormat="1" ht="16.5">
      <c r="A22" s="2722" t="s">
        <v>6039</v>
      </c>
      <c r="B22" s="2419"/>
    </row>
    <row r="23" spans="1:5" s="1189" customFormat="1" ht="33" customHeight="1">
      <c r="A23" s="3653" t="s">
        <v>5841</v>
      </c>
      <c r="B23" s="3653"/>
      <c r="C23" s="1182" t="s">
        <v>5855</v>
      </c>
      <c r="D23" s="1182" t="s">
        <v>5856</v>
      </c>
      <c r="E23" s="1182" t="s">
        <v>5857</v>
      </c>
    </row>
    <row r="24" spans="1:5" s="1189" customFormat="1">
      <c r="A24" s="3653" t="s">
        <v>5858</v>
      </c>
      <c r="B24" s="3653"/>
      <c r="C24" s="2684">
        <f>SUM(C25:C27)</f>
        <v>0</v>
      </c>
      <c r="D24" s="2684">
        <f>SUM(D25:D27)</f>
        <v>0</v>
      </c>
      <c r="E24" s="2684">
        <f>SUM(E25:E27)</f>
        <v>0</v>
      </c>
    </row>
    <row r="25" spans="1:5" s="1189" customFormat="1">
      <c r="A25" s="3653" t="s">
        <v>5859</v>
      </c>
      <c r="B25" s="1182" t="s">
        <v>5860</v>
      </c>
      <c r="C25" s="2731"/>
      <c r="D25" s="2731"/>
      <c r="E25" s="2731"/>
    </row>
    <row r="26" spans="1:5" s="1189" customFormat="1">
      <c r="A26" s="3653"/>
      <c r="B26" s="1182" t="s">
        <v>5861</v>
      </c>
      <c r="C26" s="2731"/>
      <c r="D26" s="2731"/>
      <c r="E26" s="2731"/>
    </row>
    <row r="27" spans="1:5" s="1189" customFormat="1">
      <c r="A27" s="3653"/>
      <c r="B27" s="1182" t="s">
        <v>5862</v>
      </c>
      <c r="C27" s="2731"/>
      <c r="D27" s="2731"/>
      <c r="E27" s="2731"/>
    </row>
    <row r="28" spans="1:5" s="1189" customFormat="1">
      <c r="A28" s="3653" t="s">
        <v>5863</v>
      </c>
      <c r="B28" s="3653"/>
      <c r="C28" s="2684">
        <f>SUM(C29:C31)</f>
        <v>0</v>
      </c>
      <c r="D28" s="2684">
        <f>SUM(D29:D31)</f>
        <v>0</v>
      </c>
      <c r="E28" s="2684">
        <f>SUM(E29:E31)</f>
        <v>0</v>
      </c>
    </row>
    <row r="29" spans="1:5" s="1189" customFormat="1">
      <c r="A29" s="3653" t="s">
        <v>5859</v>
      </c>
      <c r="B29" s="1182" t="s">
        <v>5860</v>
      </c>
      <c r="C29" s="2731"/>
      <c r="D29" s="2731"/>
      <c r="E29" s="2731"/>
    </row>
    <row r="30" spans="1:5" s="1189" customFormat="1">
      <c r="A30" s="3652"/>
      <c r="B30" s="1182" t="s">
        <v>5861</v>
      </c>
      <c r="C30" s="2731"/>
      <c r="D30" s="2731"/>
      <c r="E30" s="2731"/>
    </row>
    <row r="31" spans="1:5" s="1189" customFormat="1">
      <c r="A31" s="3652"/>
      <c r="B31" s="1182" t="s">
        <v>5862</v>
      </c>
      <c r="C31" s="2731"/>
      <c r="D31" s="2731"/>
      <c r="E31" s="2731"/>
    </row>
    <row r="32" spans="1:5" s="1189" customFormat="1">
      <c r="B32" s="2419"/>
    </row>
    <row r="33" spans="1:12" s="1189" customFormat="1">
      <c r="B33" s="2419"/>
    </row>
    <row r="34" spans="1:12" s="1189" customFormat="1" ht="16.5">
      <c r="A34" s="2722" t="s">
        <v>6040</v>
      </c>
      <c r="B34" s="2443"/>
      <c r="C34" s="2421"/>
    </row>
    <row r="35" spans="1:12" s="1189" customFormat="1" ht="16.5" customHeight="1">
      <c r="A35" s="3653" t="s">
        <v>5864</v>
      </c>
      <c r="B35" s="3659" t="s">
        <v>6072</v>
      </c>
    </row>
    <row r="36" spans="1:12" s="1189" customFormat="1" ht="16.5" customHeight="1">
      <c r="A36" s="3652"/>
      <c r="B36" s="3658"/>
    </row>
    <row r="37" spans="1:12" s="1189" customFormat="1">
      <c r="A37" s="1182">
        <v>1</v>
      </c>
      <c r="B37" s="2731"/>
    </row>
    <row r="38" spans="1:12" s="1189" customFormat="1">
      <c r="A38" s="1182">
        <v>2</v>
      </c>
      <c r="B38" s="2731"/>
      <c r="E38" s="1189" t="s">
        <v>6074</v>
      </c>
    </row>
    <row r="39" spans="1:12">
      <c r="A39" s="1182">
        <v>3</v>
      </c>
      <c r="B39" s="2731"/>
      <c r="C39" s="1189"/>
      <c r="D39" s="1189"/>
      <c r="E39" s="1189"/>
      <c r="F39" s="1189"/>
      <c r="G39" s="1189"/>
      <c r="H39" s="1189"/>
      <c r="I39" s="1189"/>
      <c r="J39" s="1189"/>
      <c r="K39" s="1189"/>
      <c r="L39" s="1189"/>
    </row>
    <row r="40" spans="1:12">
      <c r="A40" s="1182">
        <v>4</v>
      </c>
      <c r="B40" s="2731"/>
      <c r="C40" s="1189"/>
      <c r="D40" s="1189"/>
      <c r="E40" s="1189"/>
      <c r="F40" s="1189"/>
      <c r="G40" s="1189"/>
      <c r="H40" s="1189"/>
      <c r="I40" s="1189"/>
      <c r="J40" s="1189"/>
      <c r="K40" s="1189"/>
      <c r="L40" s="1189"/>
    </row>
    <row r="41" spans="1:12">
      <c r="A41" s="1182">
        <v>5</v>
      </c>
      <c r="B41" s="2731"/>
      <c r="C41" s="1189"/>
      <c r="D41" s="1189"/>
      <c r="E41" s="1189"/>
      <c r="F41" s="1189"/>
      <c r="G41" s="1189"/>
      <c r="H41" s="1189"/>
      <c r="I41" s="1189"/>
      <c r="J41" s="1189"/>
      <c r="K41" s="1189"/>
      <c r="L41" s="1189"/>
    </row>
    <row r="42" spans="1:12">
      <c r="A42" s="1182">
        <v>6</v>
      </c>
      <c r="B42" s="2731"/>
      <c r="C42" s="1189"/>
      <c r="D42" s="1189"/>
      <c r="E42" s="1189"/>
      <c r="F42" s="1189"/>
      <c r="G42" s="1189"/>
      <c r="H42" s="1189"/>
      <c r="I42" s="1189"/>
      <c r="J42" s="1189"/>
      <c r="K42" s="1189"/>
      <c r="L42" s="1189"/>
    </row>
    <row r="43" spans="1:12">
      <c r="A43" s="1182">
        <v>7</v>
      </c>
      <c r="B43" s="2731"/>
      <c r="C43" s="1189"/>
      <c r="D43" s="1189"/>
      <c r="E43" s="1189"/>
      <c r="F43" s="1189"/>
      <c r="G43" s="1189"/>
      <c r="H43" s="1189"/>
      <c r="I43" s="1189"/>
      <c r="J43" s="1189"/>
      <c r="K43" s="1189"/>
      <c r="L43" s="1189"/>
    </row>
    <row r="44" spans="1:12" ht="16.5">
      <c r="A44" s="1182" t="s">
        <v>5866</v>
      </c>
      <c r="B44" s="2731"/>
      <c r="C44" s="1189"/>
      <c r="D44" s="1189"/>
      <c r="E44" s="1189"/>
      <c r="F44" s="1189"/>
      <c r="G44" s="1189"/>
      <c r="H44" s="1189"/>
      <c r="I44" s="1189"/>
      <c r="J44" s="1189"/>
      <c r="K44" s="1189"/>
      <c r="L44" s="1189"/>
    </row>
    <row r="45" spans="1:12" ht="16.5">
      <c r="A45" s="1182" t="s">
        <v>5867</v>
      </c>
      <c r="B45" s="2683">
        <f>SUM(B37:B44)</f>
        <v>0</v>
      </c>
      <c r="C45" s="1189"/>
      <c r="D45" s="1189"/>
      <c r="E45" s="1189"/>
      <c r="F45" s="1189"/>
      <c r="G45" s="1189"/>
      <c r="H45" s="1189"/>
      <c r="I45" s="1189"/>
      <c r="J45" s="1189"/>
      <c r="K45" s="1189"/>
      <c r="L45" s="1189"/>
    </row>
    <row r="46" spans="1:12" ht="16.5">
      <c r="A46" s="1189" t="s">
        <v>6073</v>
      </c>
      <c r="B46" s="1189"/>
      <c r="C46" s="1189"/>
      <c r="D46" s="1189"/>
      <c r="E46" s="1189"/>
      <c r="F46" s="1189"/>
      <c r="G46" s="1189"/>
      <c r="H46" s="1189"/>
      <c r="I46" s="1189"/>
      <c r="J46" s="1189"/>
      <c r="K46" s="1189"/>
      <c r="L46" s="1189"/>
    </row>
    <row r="47" spans="1:12">
      <c r="A47" s="1189"/>
      <c r="B47" s="1189"/>
      <c r="C47" s="1189"/>
      <c r="D47" s="1189"/>
      <c r="E47" s="1189"/>
      <c r="F47" s="1189"/>
      <c r="G47" s="1189"/>
      <c r="H47" s="1189"/>
      <c r="I47" s="1189"/>
      <c r="J47" s="1189"/>
      <c r="K47" s="1189"/>
      <c r="L47" s="1189"/>
    </row>
    <row r="48" spans="1:12" ht="16.5">
      <c r="A48" s="2722" t="s">
        <v>6041</v>
      </c>
      <c r="B48" s="1189"/>
      <c r="C48" s="1189"/>
      <c r="D48" s="1189"/>
      <c r="E48" s="1189"/>
      <c r="F48" s="1189"/>
      <c r="G48" s="1189"/>
      <c r="H48" s="1189"/>
      <c r="I48" s="1189"/>
      <c r="J48" s="1189"/>
      <c r="K48" s="1189"/>
      <c r="L48" s="1189"/>
    </row>
    <row r="49" spans="1:12" ht="16.5">
      <c r="A49" s="3657" t="s">
        <v>5868</v>
      </c>
      <c r="B49" s="3652" t="s">
        <v>5869</v>
      </c>
      <c r="C49" s="3652"/>
      <c r="D49" s="3652"/>
      <c r="E49" s="3652"/>
      <c r="F49" s="3652"/>
      <c r="G49" s="3652"/>
      <c r="H49" s="3652"/>
      <c r="I49" s="3652"/>
      <c r="J49" s="3652"/>
      <c r="K49" s="3652"/>
      <c r="L49" s="1189"/>
    </row>
    <row r="50" spans="1:12" ht="16.5">
      <c r="A50" s="3658"/>
      <c r="B50" s="1182" t="s">
        <v>5870</v>
      </c>
      <c r="C50" s="1182" t="s">
        <v>5871</v>
      </c>
      <c r="D50" s="1182" t="s">
        <v>5872</v>
      </c>
      <c r="E50" s="1182" t="s">
        <v>5873</v>
      </c>
      <c r="F50" s="1182" t="s">
        <v>5874</v>
      </c>
      <c r="G50" s="1182" t="s">
        <v>5875</v>
      </c>
      <c r="H50" s="1182" t="s">
        <v>5876</v>
      </c>
      <c r="I50" s="1182" t="s">
        <v>5877</v>
      </c>
      <c r="J50" s="1182" t="s">
        <v>5878</v>
      </c>
      <c r="K50" s="1182" t="s">
        <v>5879</v>
      </c>
      <c r="L50" s="1189"/>
    </row>
    <row r="51" spans="1:12" ht="16.5" customHeight="1">
      <c r="A51" s="1182" t="s">
        <v>5880</v>
      </c>
      <c r="B51" s="2731"/>
      <c r="C51" s="2731"/>
      <c r="D51" s="2731"/>
      <c r="E51" s="2731"/>
      <c r="F51" s="2731"/>
      <c r="G51" s="2731"/>
      <c r="H51" s="2731"/>
      <c r="I51" s="2731"/>
      <c r="J51" s="2731"/>
      <c r="K51" s="2731"/>
      <c r="L51" s="1189"/>
    </row>
    <row r="52" spans="1:12" ht="16.5" customHeight="1">
      <c r="A52" s="1182" t="s">
        <v>5841</v>
      </c>
      <c r="B52" s="2731"/>
      <c r="C52" s="2731"/>
      <c r="D52" s="2731"/>
      <c r="E52" s="2731"/>
      <c r="F52" s="2731"/>
      <c r="G52" s="2731"/>
      <c r="H52" s="2731"/>
      <c r="I52" s="2731"/>
      <c r="J52" s="2731"/>
      <c r="K52" s="2731"/>
      <c r="L52" s="1189"/>
    </row>
  </sheetData>
  <mergeCells count="9">
    <mergeCell ref="A49:A50"/>
    <mergeCell ref="B49:K49"/>
    <mergeCell ref="A23:B23"/>
    <mergeCell ref="A24:B24"/>
    <mergeCell ref="A25:A27"/>
    <mergeCell ref="A28:B28"/>
    <mergeCell ref="A29:A31"/>
    <mergeCell ref="A35:A36"/>
    <mergeCell ref="B35:B36"/>
  </mergeCells>
  <phoneticPr fontId="9" type="noConversion"/>
  <pageMargins left="0.70866141732283472" right="0.70866141732283472" top="0.74803149606299213" bottom="0.74803149606299213" header="0.31496062992125984" footer="0.31496062992125984"/>
  <pageSetup paperSize="9" scale="42" orientation="landscape" r:id="rId1"/>
  <rowBreaks count="1" manualBreakCount="1">
    <brk id="21"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9">
    <tabColor rgb="FFFF0000"/>
  </sheetPr>
  <dimension ref="A1:Q97"/>
  <sheetViews>
    <sheetView view="pageBreakPreview" zoomScale="80" zoomScaleNormal="80" zoomScaleSheetLayoutView="80" workbookViewId="0">
      <selection activeCell="F5" sqref="F5:F6"/>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45.125" style="2428" customWidth="1"/>
    <col min="7" max="7" width="40" style="2428" customWidth="1"/>
    <col min="8" max="8" width="30.625" style="2428" customWidth="1"/>
    <col min="9" max="9" width="29.25" style="2428" customWidth="1"/>
    <col min="10" max="10" width="44.25" style="2428" customWidth="1"/>
    <col min="11" max="11" width="35.75" style="2428" customWidth="1"/>
    <col min="12" max="17" width="21.125" style="2428" customWidth="1"/>
    <col min="18" max="16384" width="9" style="2428"/>
  </cols>
  <sheetData>
    <row r="1" spans="1:17" s="1189" customFormat="1" ht="21">
      <c r="A1" s="2747" t="str">
        <f>+封面!A3&amp;" "&amp;封面!A2</f>
        <v xml:space="preserve">        保險股份有限公司(○○分公司) 年度(月、季、半年)報表</v>
      </c>
      <c r="C1" s="2417"/>
      <c r="D1" s="2444"/>
    </row>
    <row r="2" spans="1:17" s="1189" customFormat="1" ht="21">
      <c r="A2" s="2417" t="s">
        <v>6042</v>
      </c>
      <c r="C2" s="2417"/>
      <c r="D2" s="2444"/>
    </row>
    <row r="3" spans="1:17" s="1189" customFormat="1" ht="20.25">
      <c r="B3" s="2417"/>
    </row>
    <row r="4" spans="1:17" s="1189" customFormat="1" ht="17.25" thickBot="1">
      <c r="A4" s="1188"/>
      <c r="B4" s="2722" t="s">
        <v>6059</v>
      </c>
      <c r="C4" s="2419"/>
      <c r="D4" s="2419"/>
      <c r="E4" s="2419"/>
      <c r="F4" s="2419"/>
      <c r="G4" s="2419"/>
      <c r="H4" s="2426" t="s">
        <v>3614</v>
      </c>
      <c r="I4" s="2419"/>
    </row>
    <row r="5" spans="1:17" ht="16.5" customHeight="1">
      <c r="A5" s="3662" t="s">
        <v>3615</v>
      </c>
      <c r="B5" s="3663" t="s">
        <v>3588</v>
      </c>
      <c r="C5" s="3665" t="s">
        <v>3616</v>
      </c>
      <c r="D5" s="3667" t="s">
        <v>3617</v>
      </c>
      <c r="E5" s="3668" t="s">
        <v>3618</v>
      </c>
      <c r="F5" s="3670" t="s">
        <v>6308</v>
      </c>
      <c r="G5" s="3660" t="s">
        <v>5881</v>
      </c>
      <c r="H5" s="2687" t="s">
        <v>5882</v>
      </c>
      <c r="I5" s="1189"/>
      <c r="J5" s="1189"/>
      <c r="K5" s="1189"/>
      <c r="L5" s="1189"/>
      <c r="M5" s="1189"/>
      <c r="N5" s="1189"/>
      <c r="O5" s="1189"/>
      <c r="P5" s="1188"/>
      <c r="Q5" s="1188"/>
    </row>
    <row r="6" spans="1:17" ht="16.5">
      <c r="A6" s="3662"/>
      <c r="B6" s="3664"/>
      <c r="C6" s="3666"/>
      <c r="D6" s="3666"/>
      <c r="E6" s="3669"/>
      <c r="F6" s="3671"/>
      <c r="G6" s="3661"/>
      <c r="H6" s="2688" t="s">
        <v>3620</v>
      </c>
      <c r="I6" s="1189"/>
      <c r="J6" s="1189"/>
      <c r="K6" s="1189"/>
      <c r="L6" s="1189"/>
      <c r="M6" s="1189"/>
      <c r="N6" s="1189"/>
      <c r="O6" s="1189"/>
      <c r="P6" s="1188"/>
      <c r="Q6" s="1188"/>
    </row>
    <row r="7" spans="1:17" ht="16.5">
      <c r="A7" s="1188" t="s">
        <v>5883</v>
      </c>
      <c r="B7" s="2445">
        <v>1</v>
      </c>
      <c r="C7" s="2446" t="s">
        <v>3622</v>
      </c>
      <c r="D7" s="2447">
        <f>'表30-5-2-1-1'!C24</f>
        <v>0</v>
      </c>
      <c r="E7" s="2447">
        <f>SUMIF('表30-5-2-3-1'!$A:$A,"F"&amp;'表30-5-2-2-1'!$A7&amp;"Q",'表30-5-2-3-1'!$O:$O)</f>
        <v>0</v>
      </c>
      <c r="F7" s="2931">
        <f>SUMIF('表30-5-2-3-1'!$A:$A,"F"&amp;'表30-5-2-2-1'!$A7&amp;"Q",'表30-5-2-3-1'!$X:$X)</f>
        <v>0</v>
      </c>
      <c r="G7" s="2448">
        <f>SUMIF('表30-5-2-3-1'!$A:$A,"F"&amp;'表30-5-2-2-1'!$A7&amp;"L",'表30-5-2-3-1'!$V:$V)</f>
        <v>0</v>
      </c>
      <c r="H7" s="2713">
        <f>(($D7+$E7)*'表30-5-2-4-1'!$F7/1000*'表30-5-2-4-1'!F$23+
$G7*'表30-5-2-4-1'!$F30/1000*'表30-5-2-4-1'!F$46)*(1+'表30-5-2-4-1'!$B$47)*'表30-5-2-4-1'!$B$48</f>
        <v>0</v>
      </c>
      <c r="I7" s="1189"/>
      <c r="J7" s="1189"/>
      <c r="K7" s="1189"/>
      <c r="L7" s="1189"/>
      <c r="M7" s="1189"/>
      <c r="N7" s="1189"/>
      <c r="O7" s="1189"/>
      <c r="P7" s="1188"/>
      <c r="Q7" s="1188"/>
    </row>
    <row r="8" spans="1:17" ht="16.5">
      <c r="A8" s="1188" t="s">
        <v>5884</v>
      </c>
      <c r="B8" s="2445">
        <v>1.1000000000000001</v>
      </c>
      <c r="C8" s="2446" t="s">
        <v>3624</v>
      </c>
      <c r="D8" s="2447">
        <f>'表30-5-2-1-1'!C25</f>
        <v>0</v>
      </c>
      <c r="E8" s="2447">
        <f>SUMIF('表30-5-2-3-1'!$A:$A,"F"&amp;'表30-5-2-2-1'!$A8&amp;"Q",'表30-5-2-3-1'!$O:$O)</f>
        <v>0</v>
      </c>
      <c r="F8" s="2931">
        <f>SUMIF('表30-5-2-3-1'!$A:$A,"F"&amp;'表30-5-2-2-1'!$A8&amp;"Q",'表30-5-2-3-1'!$X:$X)</f>
        <v>0</v>
      </c>
      <c r="G8" s="2448">
        <f>SUMIF('表30-5-2-3-1'!$A:$A,"F"&amp;'表30-5-2-2-1'!$A8&amp;"L",'表30-5-2-3-1'!$V:$V)</f>
        <v>0</v>
      </c>
      <c r="H8" s="2713">
        <f>(($D8+$E8)*'表30-5-2-4-1'!$F8/1000*'表30-5-2-4-1'!F$23+
$G8*'表30-5-2-4-1'!$F31/1000*'表30-5-2-4-1'!F$46)*(1+'表30-5-2-4-1'!$B$47)*'表30-5-2-4-1'!$B$48</f>
        <v>0</v>
      </c>
      <c r="I8" s="1189"/>
      <c r="J8" s="1189"/>
      <c r="K8" s="1189"/>
      <c r="L8" s="1189"/>
      <c r="M8" s="1189"/>
      <c r="N8" s="1189"/>
      <c r="O8" s="1189"/>
      <c r="P8" s="1188"/>
      <c r="Q8" s="1188"/>
    </row>
    <row r="9" spans="1:17" ht="16.5">
      <c r="A9" s="1188" t="s">
        <v>3625</v>
      </c>
      <c r="B9" s="2445">
        <v>2</v>
      </c>
      <c r="C9" s="2446" t="s">
        <v>3626</v>
      </c>
      <c r="D9" s="2450">
        <f>'表30-5-2-1-1'!C26</f>
        <v>0</v>
      </c>
      <c r="E9" s="2447">
        <f>SUMIF('表30-5-2-3-1'!$A:$A,"F"&amp;'表30-5-2-2-1'!$A9&amp;"Q",'表30-5-2-3-1'!$O:$O)</f>
        <v>0</v>
      </c>
      <c r="F9" s="2931">
        <f>SUMIF('表30-5-2-3-1'!$A:$A,"F"&amp;'表30-5-2-2-1'!$A9&amp;"Q",'表30-5-2-3-1'!$X:$X)</f>
        <v>0</v>
      </c>
      <c r="G9" s="2448">
        <f>SUMIF('表30-5-2-3-1'!$A:$A,"F"&amp;'表30-5-2-2-1'!$A9&amp;"L",'表30-5-2-3-1'!$V:$V)</f>
        <v>0</v>
      </c>
      <c r="H9" s="2713">
        <f>(($D9+$E9)*'表30-5-2-4-1'!$F9/1000*'表30-5-2-4-1'!F$23+
$G9*'表30-5-2-4-1'!$F32/1000*'表30-5-2-4-1'!F$46)*(1+'表30-5-2-4-1'!$B$47)*'表30-5-2-4-1'!$B$48</f>
        <v>0</v>
      </c>
      <c r="I9" s="1189"/>
      <c r="J9" s="1189"/>
      <c r="K9" s="1189"/>
      <c r="L9" s="1189"/>
      <c r="M9" s="1189"/>
      <c r="N9" s="1189"/>
      <c r="O9" s="1189"/>
      <c r="P9" s="1188"/>
      <c r="Q9" s="1188"/>
    </row>
    <row r="10" spans="1:17" ht="16.5">
      <c r="A10" s="1188" t="s">
        <v>3627</v>
      </c>
      <c r="B10" s="2445">
        <v>3</v>
      </c>
      <c r="C10" s="2446" t="s">
        <v>3628</v>
      </c>
      <c r="D10" s="2447">
        <f>'表30-5-2-1-1'!C27</f>
        <v>0</v>
      </c>
      <c r="E10" s="2447">
        <f>SUMIF('表30-5-2-3-1'!$A:$A,"F"&amp;'表30-5-2-2-1'!$A10&amp;"Q",'表30-5-2-3-1'!$O:$O)</f>
        <v>0</v>
      </c>
      <c r="F10" s="2931">
        <f>SUMIF('表30-5-2-3-1'!$A:$A,"F"&amp;'表30-5-2-2-1'!$A10&amp;"Q",'表30-5-2-3-1'!$X:$X)</f>
        <v>0</v>
      </c>
      <c r="G10" s="2448">
        <f>SUMIF('表30-5-2-3-1'!$A:$A,"F"&amp;'表30-5-2-2-1'!$A10&amp;"L",'表30-5-2-3-1'!$V:$V)</f>
        <v>0</v>
      </c>
      <c r="H10" s="2713">
        <f>(($D10+$E10)*'表30-5-2-4-1'!$F10/1000*'表30-5-2-4-1'!F$23+
$G10*'表30-5-2-4-1'!$F33/1000*'表30-5-2-4-1'!F$46)*(1+'表30-5-2-4-1'!$B$47)*'表30-5-2-4-1'!$B$48</f>
        <v>0</v>
      </c>
      <c r="I10" s="1189"/>
      <c r="J10" s="1189"/>
      <c r="K10" s="1189"/>
      <c r="L10" s="1189"/>
      <c r="M10" s="1189"/>
      <c r="N10" s="1189"/>
      <c r="O10" s="1189"/>
      <c r="P10" s="1188"/>
      <c r="Q10" s="1188"/>
    </row>
    <row r="11" spans="1:17" ht="16.5">
      <c r="A11" s="1188" t="s">
        <v>3629</v>
      </c>
      <c r="B11" s="2445">
        <v>4</v>
      </c>
      <c r="C11" s="2446" t="s">
        <v>3630</v>
      </c>
      <c r="D11" s="2447">
        <f>'表30-5-2-1-1'!C28</f>
        <v>0</v>
      </c>
      <c r="E11" s="2447">
        <f>SUMIF('表30-5-2-3-1'!$A:$A,"F"&amp;'表30-5-2-2-1'!$A11&amp;"Q",'表30-5-2-3-1'!$O:$O)</f>
        <v>0</v>
      </c>
      <c r="F11" s="2931">
        <f>SUMIF('表30-5-2-3-1'!$A:$A,"F"&amp;'表30-5-2-2-1'!$A11&amp;"Q",'表30-5-2-3-1'!$X:$X)</f>
        <v>0</v>
      </c>
      <c r="G11" s="2448">
        <f>SUMIF('表30-5-2-3-1'!$A:$A,"F"&amp;'表30-5-2-2-1'!$A11&amp;"L",'表30-5-2-3-1'!$V:$V)</f>
        <v>0</v>
      </c>
      <c r="H11" s="2713">
        <f>(($D11+$E11)*'表30-5-2-4-1'!$F11/1000*'表30-5-2-4-1'!F$23+
$G11*'表30-5-2-4-1'!$F34/1000*'表30-5-2-4-1'!F$46)*(1+'表30-5-2-4-1'!$B$47)*'表30-5-2-4-1'!$B$48</f>
        <v>0</v>
      </c>
      <c r="I11" s="1189"/>
      <c r="J11" s="1189"/>
      <c r="K11" s="1189"/>
      <c r="L11" s="1189"/>
      <c r="M11" s="1189"/>
      <c r="N11" s="1189"/>
      <c r="O11" s="1189"/>
      <c r="P11" s="1188"/>
      <c r="Q11" s="1188"/>
    </row>
    <row r="12" spans="1:17" ht="16.5">
      <c r="A12" s="1188" t="s">
        <v>3631</v>
      </c>
      <c r="B12" s="2445">
        <v>5</v>
      </c>
      <c r="C12" s="2446" t="s">
        <v>3632</v>
      </c>
      <c r="D12" s="2447">
        <f>'表30-5-2-1-1'!C29</f>
        <v>0</v>
      </c>
      <c r="E12" s="2447">
        <f>SUMIF('表30-5-2-3-1'!$A:$A,"F"&amp;'表30-5-2-2-1'!$A12&amp;"Q",'表30-5-2-3-1'!$O:$O)</f>
        <v>0</v>
      </c>
      <c r="F12" s="2931">
        <f>SUMIF('表30-5-2-3-1'!$A:$A,"F"&amp;'表30-5-2-2-1'!$A12&amp;"Q",'表30-5-2-3-1'!$X:$X)</f>
        <v>0</v>
      </c>
      <c r="G12" s="2448">
        <f>SUMIF('表30-5-2-3-1'!$A:$A,"F"&amp;'表30-5-2-2-1'!$A12&amp;"L",'表30-5-2-3-1'!$V:$V)</f>
        <v>0</v>
      </c>
      <c r="H12" s="2713">
        <f>(($D12+$E12)*'表30-5-2-4-1'!$F12/1000*'表30-5-2-4-1'!F$23+
$G12*'表30-5-2-4-1'!$F35/1000*'表30-5-2-4-1'!F$46)*(1+'表30-5-2-4-1'!$B$47)*'表30-5-2-4-1'!$B$48</f>
        <v>0</v>
      </c>
      <c r="I12" s="1189"/>
      <c r="J12" s="1189"/>
      <c r="K12" s="1189"/>
      <c r="L12" s="1189"/>
      <c r="M12" s="1189"/>
      <c r="N12" s="1189"/>
      <c r="O12" s="1189"/>
      <c r="P12" s="1188"/>
      <c r="Q12" s="1188"/>
    </row>
    <row r="13" spans="1:17" ht="16.5">
      <c r="A13" s="1188" t="s">
        <v>3633</v>
      </c>
      <c r="B13" s="2445">
        <v>6</v>
      </c>
      <c r="C13" s="2446" t="s">
        <v>3634</v>
      </c>
      <c r="D13" s="2447">
        <f>'表30-5-2-1-1'!C30</f>
        <v>0</v>
      </c>
      <c r="E13" s="2447">
        <f>SUMIF('表30-5-2-3-1'!$A:$A,"F"&amp;'表30-5-2-2-1'!$A13&amp;"Q",'表30-5-2-3-1'!$O:$O)</f>
        <v>0</v>
      </c>
      <c r="F13" s="2931">
        <f>SUMIF('表30-5-2-3-1'!$A:$A,"F"&amp;'表30-5-2-2-1'!$A13&amp;"Q",'表30-5-2-3-1'!$X:$X)</f>
        <v>0</v>
      </c>
      <c r="G13" s="2448">
        <f>SUMIF('表30-5-2-3-1'!$A:$A,"F"&amp;'表30-5-2-2-1'!$A13&amp;"L",'表30-5-2-3-1'!$V:$V)</f>
        <v>0</v>
      </c>
      <c r="H13" s="2713">
        <f>(($D13+$E13)*'表30-5-2-4-1'!$F13/1000*'表30-5-2-4-1'!F$23+
$G13*'表30-5-2-4-1'!$F36/1000*'表30-5-2-4-1'!F$46)*(1+'表30-5-2-4-1'!$B$47)*'表30-5-2-4-1'!$B$48</f>
        <v>0</v>
      </c>
      <c r="I13" s="1189"/>
      <c r="J13" s="1189"/>
      <c r="K13" s="1189"/>
      <c r="L13" s="1189"/>
      <c r="M13" s="1189"/>
      <c r="N13" s="1189"/>
      <c r="O13" s="1189"/>
      <c r="P13" s="1188"/>
      <c r="Q13" s="1188"/>
    </row>
    <row r="14" spans="1:17" ht="16.5">
      <c r="A14" s="1188" t="s">
        <v>3635</v>
      </c>
      <c r="B14" s="2445">
        <v>7</v>
      </c>
      <c r="C14" s="2446" t="s">
        <v>3636</v>
      </c>
      <c r="D14" s="2447">
        <f>'表30-5-2-1-1'!C31</f>
        <v>0</v>
      </c>
      <c r="E14" s="2447">
        <f>SUMIF('表30-5-2-3-1'!$A:$A,"F"&amp;'表30-5-2-2-1'!$A14&amp;"Q",'表30-5-2-3-1'!$O:$O)</f>
        <v>0</v>
      </c>
      <c r="F14" s="2931">
        <f>SUMIF('表30-5-2-3-1'!$A:$A,"F"&amp;'表30-5-2-2-1'!$A14&amp;"Q",'表30-5-2-3-1'!$X:$X)</f>
        <v>0</v>
      </c>
      <c r="G14" s="2448">
        <f>SUMIF('表30-5-2-3-1'!$A:$A,"F"&amp;'表30-5-2-2-1'!$A14&amp;"L",'表30-5-2-3-1'!$V:$V)</f>
        <v>0</v>
      </c>
      <c r="H14" s="2713">
        <f>(($D14+$E14)*'表30-5-2-4-1'!$F14/1000*'表30-5-2-4-1'!F$23+
$G14*'表30-5-2-4-1'!$F37/1000*'表30-5-2-4-1'!F$46)*(1+'表30-5-2-4-1'!$B$47)*'表30-5-2-4-1'!$B$48</f>
        <v>0</v>
      </c>
      <c r="I14" s="1189"/>
      <c r="J14" s="1189"/>
      <c r="K14" s="1189"/>
      <c r="L14" s="1189"/>
      <c r="M14" s="1189"/>
      <c r="N14" s="1189"/>
      <c r="O14" s="1189"/>
      <c r="P14" s="1188"/>
      <c r="Q14" s="1188"/>
    </row>
    <row r="15" spans="1:17" ht="16.5">
      <c r="A15" s="1188" t="s">
        <v>3637</v>
      </c>
      <c r="B15" s="2445">
        <v>8</v>
      </c>
      <c r="C15" s="2446" t="s">
        <v>3638</v>
      </c>
      <c r="D15" s="2447">
        <f>'表30-5-2-1-1'!C32</f>
        <v>0</v>
      </c>
      <c r="E15" s="2447">
        <f>SUMIF('表30-5-2-3-1'!$A:$A,"F"&amp;'表30-5-2-2-1'!$A15&amp;"Q",'表30-5-2-3-1'!$O:$O)</f>
        <v>0</v>
      </c>
      <c r="F15" s="2931">
        <f>SUMIF('表30-5-2-3-1'!$A:$A,"F"&amp;'表30-5-2-2-1'!$A15&amp;"Q",'表30-5-2-3-1'!$X:$X)</f>
        <v>0</v>
      </c>
      <c r="G15" s="2448">
        <f>SUMIF('表30-5-2-3-1'!$A:$A,"F"&amp;'表30-5-2-2-1'!$A15&amp;"L",'表30-5-2-3-1'!$V:$V)</f>
        <v>0</v>
      </c>
      <c r="H15" s="2713">
        <f>(($D15+$E15)*'表30-5-2-4-1'!$F15/1000*'表30-5-2-4-1'!F$23+
$G15*'表30-5-2-4-1'!$F38/1000*'表30-5-2-4-1'!F$46)*(1+'表30-5-2-4-1'!$B$47)*'表30-5-2-4-1'!$B$48</f>
        <v>0</v>
      </c>
      <c r="I15" s="1189"/>
      <c r="J15" s="1189"/>
      <c r="K15" s="1189"/>
      <c r="L15" s="1189"/>
      <c r="M15" s="1189"/>
      <c r="N15" s="1189"/>
      <c r="O15" s="1189"/>
      <c r="P15" s="1188"/>
      <c r="Q15" s="1188"/>
    </row>
    <row r="16" spans="1:17" ht="16.5">
      <c r="A16" s="1188" t="s">
        <v>3639</v>
      </c>
      <c r="B16" s="2445">
        <v>9</v>
      </c>
      <c r="C16" s="2446" t="s">
        <v>3640</v>
      </c>
      <c r="D16" s="2447">
        <f>'表30-5-2-1-1'!C33</f>
        <v>0</v>
      </c>
      <c r="E16" s="2447">
        <f>SUMIF('表30-5-2-3-1'!$A:$A,"F"&amp;'表30-5-2-2-1'!$A16&amp;"Q",'表30-5-2-3-1'!$O:$O)</f>
        <v>0</v>
      </c>
      <c r="F16" s="2931">
        <f>SUMIF('表30-5-2-3-1'!$A:$A,"F"&amp;'表30-5-2-2-1'!$A16&amp;"Q",'表30-5-2-3-1'!$X:$X)</f>
        <v>0</v>
      </c>
      <c r="G16" s="2448">
        <f>SUMIF('表30-5-2-3-1'!$A:$A,"F"&amp;'表30-5-2-2-1'!$A16&amp;"L",'表30-5-2-3-1'!$V:$V)</f>
        <v>0</v>
      </c>
      <c r="H16" s="2713">
        <f>(($D16+$E16)*'表30-5-2-4-1'!$F16/1000*'表30-5-2-4-1'!F$23+
$G16*'表30-5-2-4-1'!$F39/1000*'表30-5-2-4-1'!F$46)*(1+'表30-5-2-4-1'!$B$47)*'表30-5-2-4-1'!$B$48</f>
        <v>0</v>
      </c>
      <c r="I16" s="1189"/>
      <c r="J16" s="1189"/>
      <c r="K16" s="1189"/>
      <c r="L16" s="1189"/>
      <c r="M16" s="1189"/>
      <c r="N16" s="1189"/>
      <c r="O16" s="1189"/>
      <c r="P16" s="1188"/>
      <c r="Q16" s="1188"/>
    </row>
    <row r="17" spans="1:17" ht="16.5">
      <c r="A17" s="1188" t="s">
        <v>3641</v>
      </c>
      <c r="B17" s="2445">
        <v>10</v>
      </c>
      <c r="C17" s="2446" t="s">
        <v>3642</v>
      </c>
      <c r="D17" s="2447">
        <f>'表30-5-2-1-1'!C34</f>
        <v>0</v>
      </c>
      <c r="E17" s="2447">
        <f>SUMIF('表30-5-2-3-1'!$A:$A,"F"&amp;'表30-5-2-2-1'!$A17&amp;"Q",'表30-5-2-3-1'!$O:$O)</f>
        <v>0</v>
      </c>
      <c r="F17" s="2931">
        <f>SUMIF('表30-5-2-3-1'!$A:$A,"F"&amp;'表30-5-2-2-1'!$A17&amp;"Q",'表30-5-2-3-1'!$X:$X)</f>
        <v>0</v>
      </c>
      <c r="G17" s="2448">
        <f>SUMIF('表30-5-2-3-1'!$A:$A,"F"&amp;'表30-5-2-2-1'!$A17&amp;"L",'表30-5-2-3-1'!$V:$V)</f>
        <v>0</v>
      </c>
      <c r="H17" s="2713">
        <f>(($D17+$E17)*'表30-5-2-4-1'!$F17/1000*'表30-5-2-4-1'!F$23+
$G17*'表30-5-2-4-1'!$F40/1000*'表30-5-2-4-1'!F$46)*(1+'表30-5-2-4-1'!$B$47)*'表30-5-2-4-1'!$B$48</f>
        <v>0</v>
      </c>
      <c r="I17" s="1189"/>
      <c r="J17" s="1189"/>
      <c r="K17" s="1189"/>
      <c r="L17" s="1189"/>
      <c r="M17" s="1189"/>
      <c r="N17" s="1189"/>
      <c r="O17" s="1189"/>
      <c r="P17" s="1188"/>
      <c r="Q17" s="1188"/>
    </row>
    <row r="18" spans="1:17" ht="16.5">
      <c r="A18" s="1188" t="s">
        <v>3643</v>
      </c>
      <c r="B18" s="2445">
        <v>11</v>
      </c>
      <c r="C18" s="2446" t="s">
        <v>3644</v>
      </c>
      <c r="D18" s="2447">
        <f>'表30-5-2-1-1'!C35</f>
        <v>0</v>
      </c>
      <c r="E18" s="2447">
        <f>SUMIF('表30-5-2-3-1'!$A:$A,"F"&amp;'表30-5-2-2-1'!$A18&amp;"Q",'表30-5-2-3-1'!$O:$O)</f>
        <v>0</v>
      </c>
      <c r="F18" s="2931">
        <f>SUMIF('表30-5-2-3-1'!$A:$A,"F"&amp;'表30-5-2-2-1'!$A18&amp;"Q",'表30-5-2-3-1'!$X:$X)</f>
        <v>0</v>
      </c>
      <c r="G18" s="2448">
        <f>SUMIF('表30-5-2-3-1'!$A:$A,"F"&amp;'表30-5-2-2-1'!$A18&amp;"L",'表30-5-2-3-1'!$V:$V)</f>
        <v>0</v>
      </c>
      <c r="H18" s="2713">
        <f>(($D18+$E18)*'表30-5-2-4-1'!$F18/1000*'表30-5-2-4-1'!F$23+
$G18*'表30-5-2-4-1'!$F41/1000*'表30-5-2-4-1'!F$46)*(1+'表30-5-2-4-1'!$B$47)*'表30-5-2-4-1'!$B$48</f>
        <v>0</v>
      </c>
      <c r="I18" s="1189"/>
      <c r="J18" s="1189"/>
      <c r="K18" s="1189"/>
      <c r="L18" s="1189"/>
      <c r="M18" s="1189"/>
      <c r="N18" s="1189"/>
      <c r="O18" s="1189"/>
      <c r="P18" s="1188"/>
      <c r="Q18" s="1188"/>
    </row>
    <row r="19" spans="1:17" ht="16.5">
      <c r="A19" s="1188" t="s">
        <v>3645</v>
      </c>
      <c r="B19" s="2445">
        <v>12</v>
      </c>
      <c r="C19" s="2446" t="s">
        <v>3646</v>
      </c>
      <c r="D19" s="2447">
        <f>'表30-5-2-1-1'!C36</f>
        <v>0</v>
      </c>
      <c r="E19" s="2447">
        <f>SUMIF('表30-5-2-3-1'!$A:$A,"F"&amp;'表30-5-2-2-1'!$A19&amp;"Q",'表30-5-2-3-1'!$O:$O)</f>
        <v>0</v>
      </c>
      <c r="F19" s="2931">
        <f>SUMIF('表30-5-2-3-1'!$A:$A,"F"&amp;'表30-5-2-2-1'!$A19&amp;"Q",'表30-5-2-3-1'!$X:$X)</f>
        <v>0</v>
      </c>
      <c r="G19" s="2448">
        <f>SUMIF('表30-5-2-3-1'!$A:$A,"F"&amp;'表30-5-2-2-1'!$A19&amp;"L",'表30-5-2-3-1'!$V:$V)</f>
        <v>0</v>
      </c>
      <c r="H19" s="2713">
        <f>(($D19+$E19)*'表30-5-2-4-1'!$F19/1000*'表30-5-2-4-1'!F$23+
$G19*'表30-5-2-4-1'!$F42/1000*'表30-5-2-4-1'!F$46)*(1+'表30-5-2-4-1'!$B$47)*'表30-5-2-4-1'!$B$48</f>
        <v>0</v>
      </c>
      <c r="I19" s="1189"/>
      <c r="J19" s="1189"/>
      <c r="K19" s="1189"/>
      <c r="L19" s="1189"/>
      <c r="M19" s="1189"/>
      <c r="N19" s="1189"/>
      <c r="O19" s="1189"/>
      <c r="P19" s="1188"/>
      <c r="Q19" s="1188"/>
    </row>
    <row r="20" spans="1:17" ht="16.5">
      <c r="A20" s="1188" t="s">
        <v>3647</v>
      </c>
      <c r="B20" s="2445">
        <v>13</v>
      </c>
      <c r="C20" s="2446" t="s">
        <v>3648</v>
      </c>
      <c r="D20" s="2447">
        <f>'表30-5-2-1-1'!C37</f>
        <v>0</v>
      </c>
      <c r="E20" s="2447">
        <f>SUMIF('表30-5-2-3-1'!$A:$A,"F"&amp;'表30-5-2-2-1'!$A20&amp;"Q",'表30-5-2-3-1'!$O:$O)</f>
        <v>0</v>
      </c>
      <c r="F20" s="2931">
        <f>SUMIF('表30-5-2-3-1'!$A:$A,"F"&amp;'表30-5-2-2-1'!$A20&amp;"Q",'表30-5-2-3-1'!$X:$X)</f>
        <v>0</v>
      </c>
      <c r="G20" s="2448">
        <f>SUMIF('表30-5-2-3-1'!$A:$A,"F"&amp;'表30-5-2-2-1'!$A20&amp;"L",'表30-5-2-3-1'!$V:$V)</f>
        <v>0</v>
      </c>
      <c r="H20" s="2713">
        <f>(($D20+$E20)*'表30-5-2-4-1'!$F20/1000*'表30-5-2-4-1'!F$23+
$G20*'表30-5-2-4-1'!$F43/1000*'表30-5-2-4-1'!F$46)*(1+'表30-5-2-4-1'!$B$47)*'表30-5-2-4-1'!$B$48</f>
        <v>0</v>
      </c>
      <c r="I20" s="1189"/>
      <c r="J20" s="1189"/>
      <c r="K20" s="1189"/>
      <c r="L20" s="1189"/>
      <c r="M20" s="1189"/>
      <c r="N20" s="1189"/>
      <c r="O20" s="1189"/>
      <c r="P20" s="1188"/>
      <c r="Q20" s="1188"/>
    </row>
    <row r="21" spans="1:17" ht="16.5">
      <c r="A21" s="1188" t="s">
        <v>3649</v>
      </c>
      <c r="B21" s="2445">
        <v>14</v>
      </c>
      <c r="C21" s="2451" t="s">
        <v>3650</v>
      </c>
      <c r="D21" s="2447">
        <f>'表30-5-2-1-1'!C38</f>
        <v>0</v>
      </c>
      <c r="E21" s="2447">
        <f>SUMIF('表30-5-2-3-1'!$A:$A,"F"&amp;'表30-5-2-2-1'!$A21&amp;"Q",'表30-5-2-3-1'!$O:$O)</f>
        <v>0</v>
      </c>
      <c r="F21" s="2931">
        <f>SUMIF('表30-5-2-3-1'!$A:$A,"F"&amp;'表30-5-2-2-1'!$A21&amp;"Q",'表30-5-2-3-1'!$X:$X)</f>
        <v>0</v>
      </c>
      <c r="G21" s="2448">
        <f>SUMIF('表30-5-2-3-1'!$A:$A,"F"&amp;'表30-5-2-2-1'!$A21&amp;"L",'表30-5-2-3-1'!$V:$V)</f>
        <v>0</v>
      </c>
      <c r="H21" s="2713">
        <f>(($D21+$E21)*'表30-5-2-4-1'!$F21/1000*'表30-5-2-4-1'!F$23+
$G21*'表30-5-2-4-1'!$F44/1000*'表30-5-2-4-1'!F$46)*(1+'表30-5-2-4-1'!$B$47)*'表30-5-2-4-1'!$B$48</f>
        <v>0</v>
      </c>
      <c r="I21" s="1189"/>
      <c r="J21" s="1189"/>
      <c r="K21" s="1189"/>
      <c r="L21" s="1189"/>
      <c r="M21" s="1189"/>
      <c r="N21" s="1189"/>
      <c r="O21" s="1189"/>
      <c r="P21" s="1188"/>
      <c r="Q21" s="1188"/>
    </row>
    <row r="22" spans="1:17" ht="17.25" thickBot="1">
      <c r="A22" s="1188">
        <v>99</v>
      </c>
      <c r="B22" s="3672" t="s">
        <v>5885</v>
      </c>
      <c r="C22" s="3673"/>
      <c r="D22" s="2689">
        <f>SUM(D7:D21)</f>
        <v>0</v>
      </c>
      <c r="E22" s="2689">
        <f>SUM(E7:E21)</f>
        <v>0</v>
      </c>
      <c r="F22" s="2930">
        <f>SUM(F7:F21)</f>
        <v>0</v>
      </c>
      <c r="G22" s="2690">
        <f>SUM(G7:G21)</f>
        <v>0</v>
      </c>
      <c r="H22" s="2691">
        <f>SUM(H7:H21)</f>
        <v>0</v>
      </c>
      <c r="I22" s="1189"/>
      <c r="J22" s="1189"/>
      <c r="K22" s="1189"/>
      <c r="L22" s="1189"/>
      <c r="M22" s="1189"/>
      <c r="N22" s="1189"/>
      <c r="O22" s="1189"/>
      <c r="P22" s="1188"/>
      <c r="Q22" s="1188"/>
    </row>
    <row r="23" spans="1:17" s="1189" customFormat="1">
      <c r="A23" s="1188"/>
    </row>
    <row r="24" spans="1:17" s="1189" customFormat="1" ht="17.25" thickBot="1">
      <c r="A24" s="1188"/>
      <c r="B24" s="2722" t="s">
        <v>6060</v>
      </c>
      <c r="C24" s="2419"/>
      <c r="D24" s="2419"/>
      <c r="E24" s="2419"/>
      <c r="F24" s="2419"/>
      <c r="G24" s="2419"/>
      <c r="H24" s="2426" t="s">
        <v>3614</v>
      </c>
      <c r="I24" s="2419"/>
    </row>
    <row r="25" spans="1:17" ht="16.5" customHeight="1">
      <c r="A25" s="3662" t="s">
        <v>3615</v>
      </c>
      <c r="B25" s="3663" t="s">
        <v>3588</v>
      </c>
      <c r="C25" s="3665" t="s">
        <v>3589</v>
      </c>
      <c r="D25" s="3667" t="s">
        <v>3617</v>
      </c>
      <c r="E25" s="3668" t="s">
        <v>3618</v>
      </c>
      <c r="F25" s="3677" t="s">
        <v>6308</v>
      </c>
      <c r="G25" s="3660" t="s">
        <v>5881</v>
      </c>
      <c r="H25" s="2687" t="s">
        <v>5882</v>
      </c>
      <c r="I25" s="1189"/>
      <c r="J25" s="1188"/>
      <c r="K25" s="2452"/>
      <c r="L25" s="2452"/>
      <c r="M25" s="2452"/>
      <c r="N25" s="2452"/>
      <c r="O25" s="2452"/>
      <c r="P25" s="1188"/>
      <c r="Q25" s="1188"/>
    </row>
    <row r="26" spans="1:17" ht="16.5">
      <c r="A26" s="3662"/>
      <c r="B26" s="3664"/>
      <c r="C26" s="3666"/>
      <c r="D26" s="3666"/>
      <c r="E26" s="3669"/>
      <c r="F26" s="3671"/>
      <c r="G26" s="3661"/>
      <c r="H26" s="2688" t="s">
        <v>3620</v>
      </c>
      <c r="I26" s="1189"/>
      <c r="J26" s="1188"/>
      <c r="K26" s="2452"/>
      <c r="L26" s="2452"/>
      <c r="M26" s="2452"/>
      <c r="N26" s="2452"/>
      <c r="O26" s="2452"/>
      <c r="P26" s="1188"/>
      <c r="Q26" s="1188"/>
    </row>
    <row r="27" spans="1:17" ht="16.5">
      <c r="A27" s="1188" t="s">
        <v>3621</v>
      </c>
      <c r="B27" s="2445">
        <v>1</v>
      </c>
      <c r="C27" s="2446" t="s">
        <v>3622</v>
      </c>
      <c r="D27" s="2447">
        <f>'表30-5-2-1-1'!D24</f>
        <v>0</v>
      </c>
      <c r="E27" s="2447">
        <f>SUMIF('表30-5-2-3-1'!$A:$A,"F"&amp;'表30-5-2-2-1'!$A27&amp;"Q",'表30-5-2-3-1'!$P:$P)</f>
        <v>0</v>
      </c>
      <c r="F27" s="2929">
        <f>SUMIF('表30-5-2-3-1'!$A:$A,"F"&amp;'表30-5-2-2-1'!$A27&amp;"Q",'表30-5-2-3-1'!$Y:$Y)</f>
        <v>0</v>
      </c>
      <c r="G27" s="2448">
        <f>SUMIF('表30-5-2-3-1'!$A:$A,"F"&amp;'表30-5-2-2-1'!$A27&amp;"L",'表30-5-2-3-1'!$W:$W)</f>
        <v>0</v>
      </c>
      <c r="H27" s="2713">
        <f>(($D27+$E27)*'表30-5-2-4-1'!$F7/1000*'表30-5-2-4-1'!F$23+
$G27*'表30-5-2-4-1'!$F30/1000*'表30-5-2-4-1'!F$46)*(1+'表30-5-2-4-1'!$B$47)*'表30-5-2-4-1'!$B$48</f>
        <v>0</v>
      </c>
      <c r="I27" s="1189"/>
      <c r="J27" s="1188"/>
      <c r="K27" s="2452"/>
      <c r="L27" s="2452"/>
      <c r="M27" s="2452"/>
      <c r="N27" s="2452"/>
      <c r="O27" s="2452"/>
      <c r="P27" s="2453"/>
      <c r="Q27" s="2453"/>
    </row>
    <row r="28" spans="1:17" ht="16.5">
      <c r="A28" s="1188" t="s">
        <v>3623</v>
      </c>
      <c r="B28" s="2445">
        <v>1.1000000000000001</v>
      </c>
      <c r="C28" s="2446" t="s">
        <v>3624</v>
      </c>
      <c r="D28" s="2447">
        <f>'表30-5-2-1-1'!D25</f>
        <v>0</v>
      </c>
      <c r="E28" s="2447">
        <f>SUMIF('表30-5-2-3-1'!$A:$A,"F"&amp;'表30-5-2-2-1'!$A28&amp;"Q",'表30-5-2-3-1'!$P:$P)</f>
        <v>0</v>
      </c>
      <c r="F28" s="2929">
        <f>SUMIF('表30-5-2-3-1'!$A:$A,"F"&amp;'表30-5-2-2-1'!$A28&amp;"Q",'表30-5-2-3-1'!$Y:$Y)</f>
        <v>0</v>
      </c>
      <c r="G28" s="2448">
        <f>SUMIF('表30-5-2-3-1'!$A:$A,"F"&amp;'表30-5-2-2-1'!$A28&amp;"L",'表30-5-2-3-1'!$W:$W)</f>
        <v>0</v>
      </c>
      <c r="H28" s="2713">
        <f>(($D28+$E28)*'表30-5-2-4-1'!$F8/1000*'表30-5-2-4-1'!F$23+
$G28*'表30-5-2-4-1'!$F31/1000*'表30-5-2-4-1'!F$46)*(1+'表30-5-2-4-1'!$B$47)*'表30-5-2-4-1'!$B$48</f>
        <v>0</v>
      </c>
      <c r="I28" s="1189"/>
      <c r="J28" s="1188"/>
      <c r="K28" s="2452"/>
      <c r="L28" s="2452"/>
      <c r="M28" s="2452"/>
      <c r="N28" s="2452"/>
      <c r="O28" s="2452"/>
      <c r="P28" s="1188"/>
      <c r="Q28" s="1188"/>
    </row>
    <row r="29" spans="1:17" ht="16.5">
      <c r="A29" s="1188" t="s">
        <v>3625</v>
      </c>
      <c r="B29" s="2445">
        <v>2</v>
      </c>
      <c r="C29" s="2446" t="s">
        <v>3626</v>
      </c>
      <c r="D29" s="2447">
        <f>'表30-5-2-1-1'!D26</f>
        <v>0</v>
      </c>
      <c r="E29" s="2447">
        <f>SUMIF('表30-5-2-3-1'!$A:$A,"F"&amp;'表30-5-2-2-1'!$A29&amp;"Q",'表30-5-2-3-1'!$P:$P)</f>
        <v>0</v>
      </c>
      <c r="F29" s="2929">
        <f>SUMIF('表30-5-2-3-1'!$A:$A,"F"&amp;'表30-5-2-2-1'!$A29&amp;"Q",'表30-5-2-3-1'!$Y:$Y)</f>
        <v>0</v>
      </c>
      <c r="G29" s="2448">
        <f>SUMIF('表30-5-2-3-1'!$A:$A,"F"&amp;'表30-5-2-2-1'!$A29&amp;"L",'表30-5-2-3-1'!$W:$W)</f>
        <v>0</v>
      </c>
      <c r="H29" s="2713">
        <f>(($D29+$E29)*'表30-5-2-4-1'!$F9/1000*'表30-5-2-4-1'!F$23+
$G29*'表30-5-2-4-1'!$F32/1000*'表30-5-2-4-1'!F$46)*(1+'表30-5-2-4-1'!$B$47)*'表30-5-2-4-1'!$B$48</f>
        <v>0</v>
      </c>
      <c r="I29" s="1189"/>
      <c r="J29" s="1188"/>
      <c r="K29" s="2452"/>
      <c r="L29" s="2452"/>
      <c r="M29" s="2452"/>
      <c r="N29" s="2452"/>
      <c r="O29" s="2452"/>
      <c r="P29" s="1188"/>
      <c r="Q29" s="1188"/>
    </row>
    <row r="30" spans="1:17" ht="16.5">
      <c r="A30" s="1188" t="s">
        <v>3627</v>
      </c>
      <c r="B30" s="2445">
        <v>3</v>
      </c>
      <c r="C30" s="2446" t="s">
        <v>3628</v>
      </c>
      <c r="D30" s="2447">
        <f>'表30-5-2-1-1'!D27</f>
        <v>0</v>
      </c>
      <c r="E30" s="2447">
        <f>SUMIF('表30-5-2-3-1'!$A:$A,"F"&amp;'表30-5-2-2-1'!$A30&amp;"Q",'表30-5-2-3-1'!$P:$P)</f>
        <v>0</v>
      </c>
      <c r="F30" s="2929">
        <f>SUMIF('表30-5-2-3-1'!$A:$A,"F"&amp;'表30-5-2-2-1'!$A30&amp;"Q",'表30-5-2-3-1'!$Y:$Y)</f>
        <v>0</v>
      </c>
      <c r="G30" s="2448">
        <f>SUMIF('表30-5-2-3-1'!$A:$A,"F"&amp;'表30-5-2-2-1'!$A30&amp;"L",'表30-5-2-3-1'!$W:$W)</f>
        <v>0</v>
      </c>
      <c r="H30" s="2713">
        <f>(($D30+$E30)*'表30-5-2-4-1'!$F10/1000*'表30-5-2-4-1'!F$23+
$G30*'表30-5-2-4-1'!$F33/1000*'表30-5-2-4-1'!F$46)*(1+'表30-5-2-4-1'!$B$47)*'表30-5-2-4-1'!$B$48</f>
        <v>0</v>
      </c>
      <c r="I30" s="1189"/>
      <c r="J30" s="1188"/>
      <c r="K30" s="2452"/>
      <c r="L30" s="2452"/>
      <c r="M30" s="2452"/>
      <c r="N30" s="2452"/>
      <c r="O30" s="2452"/>
      <c r="P30" s="1188"/>
      <c r="Q30" s="1188"/>
    </row>
    <row r="31" spans="1:17" ht="16.5">
      <c r="A31" s="1188" t="s">
        <v>3629</v>
      </c>
      <c r="B31" s="2445">
        <v>4</v>
      </c>
      <c r="C31" s="2446" t="s">
        <v>3630</v>
      </c>
      <c r="D31" s="2447">
        <f>'表30-5-2-1-1'!D28</f>
        <v>0</v>
      </c>
      <c r="E31" s="2447">
        <f>SUMIF('表30-5-2-3-1'!$A:$A,"F"&amp;'表30-5-2-2-1'!$A31&amp;"Q",'表30-5-2-3-1'!$P:$P)</f>
        <v>0</v>
      </c>
      <c r="F31" s="2929">
        <f>SUMIF('表30-5-2-3-1'!$A:$A,"F"&amp;'表30-5-2-2-1'!$A31&amp;"Q",'表30-5-2-3-1'!$Y:$Y)</f>
        <v>0</v>
      </c>
      <c r="G31" s="2448">
        <f>SUMIF('表30-5-2-3-1'!$A:$A,"F"&amp;'表30-5-2-2-1'!$A31&amp;"L",'表30-5-2-3-1'!$W:$W)</f>
        <v>0</v>
      </c>
      <c r="H31" s="2713">
        <f>(($D31+$E31)*'表30-5-2-4-1'!$F11/1000*'表30-5-2-4-1'!F$23+
$G31*'表30-5-2-4-1'!$F34/1000*'表30-5-2-4-1'!F$46)*(1+'表30-5-2-4-1'!$B$47)*'表30-5-2-4-1'!$B$48</f>
        <v>0</v>
      </c>
      <c r="I31" s="1189"/>
      <c r="J31" s="1188"/>
      <c r="K31" s="2452"/>
      <c r="L31" s="2452"/>
      <c r="M31" s="2452"/>
      <c r="N31" s="2452"/>
      <c r="O31" s="2452"/>
      <c r="P31" s="1188"/>
      <c r="Q31" s="1188"/>
    </row>
    <row r="32" spans="1:17" ht="16.5">
      <c r="A32" s="1188" t="s">
        <v>3631</v>
      </c>
      <c r="B32" s="2445">
        <v>5</v>
      </c>
      <c r="C32" s="2446" t="s">
        <v>3632</v>
      </c>
      <c r="D32" s="2447">
        <f>'表30-5-2-1-1'!D29</f>
        <v>0</v>
      </c>
      <c r="E32" s="2447">
        <f>SUMIF('表30-5-2-3-1'!$A:$A,"F"&amp;'表30-5-2-2-1'!$A32&amp;"Q",'表30-5-2-3-1'!$P:$P)</f>
        <v>0</v>
      </c>
      <c r="F32" s="2929">
        <f>SUMIF('表30-5-2-3-1'!$A:$A,"F"&amp;'表30-5-2-2-1'!$A32&amp;"Q",'表30-5-2-3-1'!$Y:$Y)</f>
        <v>0</v>
      </c>
      <c r="G32" s="2448">
        <f>SUMIF('表30-5-2-3-1'!$A:$A,"F"&amp;'表30-5-2-2-1'!$A32&amp;"L",'表30-5-2-3-1'!$W:$W)</f>
        <v>0</v>
      </c>
      <c r="H32" s="2713">
        <f>(($D32+$E32)*'表30-5-2-4-1'!$F12/1000*'表30-5-2-4-1'!F$23+
$G32*'表30-5-2-4-1'!$F35/1000*'表30-5-2-4-1'!F$46)*(1+'表30-5-2-4-1'!$B$47)*'表30-5-2-4-1'!$B$48</f>
        <v>0</v>
      </c>
      <c r="I32" s="1189"/>
      <c r="J32" s="1188"/>
      <c r="K32" s="2452"/>
      <c r="L32" s="2452"/>
      <c r="M32" s="2452"/>
      <c r="N32" s="2452"/>
      <c r="O32" s="2452"/>
      <c r="P32" s="1188"/>
      <c r="Q32" s="1188"/>
    </row>
    <row r="33" spans="1:17" ht="16.5">
      <c r="A33" s="1188" t="s">
        <v>3633</v>
      </c>
      <c r="B33" s="2445">
        <v>6</v>
      </c>
      <c r="C33" s="2446" t="s">
        <v>3634</v>
      </c>
      <c r="D33" s="2447">
        <f>'表30-5-2-1-1'!D30</f>
        <v>0</v>
      </c>
      <c r="E33" s="2447">
        <f>SUMIF('表30-5-2-3-1'!$A:$A,"F"&amp;'表30-5-2-2-1'!$A33&amp;"Q",'表30-5-2-3-1'!$P:$P)</f>
        <v>0</v>
      </c>
      <c r="F33" s="2929">
        <f>SUMIF('表30-5-2-3-1'!$A:$A,"F"&amp;'表30-5-2-2-1'!$A33&amp;"Q",'表30-5-2-3-1'!$Y:$Y)</f>
        <v>0</v>
      </c>
      <c r="G33" s="2448">
        <f>SUMIF('表30-5-2-3-1'!$A:$A,"F"&amp;'表30-5-2-2-1'!$A33&amp;"L",'表30-5-2-3-1'!$W:$W)</f>
        <v>0</v>
      </c>
      <c r="H33" s="2713">
        <f>(($D33+$E33)*'表30-5-2-4-1'!$F13/1000*'表30-5-2-4-1'!F$23+
$G33*'表30-5-2-4-1'!$F36/1000*'表30-5-2-4-1'!F$46)*(1+'表30-5-2-4-1'!$B$47)*'表30-5-2-4-1'!$B$48</f>
        <v>0</v>
      </c>
      <c r="I33" s="1189"/>
      <c r="J33" s="1188"/>
      <c r="K33" s="2452"/>
      <c r="L33" s="2452"/>
      <c r="M33" s="2452"/>
      <c r="N33" s="2452"/>
      <c r="O33" s="2452"/>
      <c r="P33" s="1188"/>
      <c r="Q33" s="1188"/>
    </row>
    <row r="34" spans="1:17" ht="16.5">
      <c r="A34" s="1188" t="s">
        <v>3635</v>
      </c>
      <c r="B34" s="2445">
        <v>7</v>
      </c>
      <c r="C34" s="2446" t="s">
        <v>3636</v>
      </c>
      <c r="D34" s="2447">
        <f>'表30-5-2-1-1'!D31</f>
        <v>0</v>
      </c>
      <c r="E34" s="2447">
        <f>SUMIF('表30-5-2-3-1'!$A:$A,"F"&amp;'表30-5-2-2-1'!$A34&amp;"Q",'表30-5-2-3-1'!$P:$P)</f>
        <v>0</v>
      </c>
      <c r="F34" s="2929">
        <f>SUMIF('表30-5-2-3-1'!$A:$A,"F"&amp;'表30-5-2-2-1'!$A34&amp;"Q",'表30-5-2-3-1'!$Y:$Y)</f>
        <v>0</v>
      </c>
      <c r="G34" s="2448">
        <f>SUMIF('表30-5-2-3-1'!$A:$A,"F"&amp;'表30-5-2-2-1'!$A34&amp;"L",'表30-5-2-3-1'!$W:$W)</f>
        <v>0</v>
      </c>
      <c r="H34" s="2713">
        <f>(($D34+$E34)*'表30-5-2-4-1'!$F14/1000*'表30-5-2-4-1'!F$23+
$G34*'表30-5-2-4-1'!$F37/1000*'表30-5-2-4-1'!F$46)*(1+'表30-5-2-4-1'!$B$47)*'表30-5-2-4-1'!$B$48</f>
        <v>0</v>
      </c>
      <c r="I34" s="1189"/>
      <c r="J34" s="1188"/>
      <c r="K34" s="2452"/>
      <c r="L34" s="2452"/>
      <c r="M34" s="2452"/>
      <c r="N34" s="2452"/>
      <c r="O34" s="2452"/>
      <c r="P34" s="1188"/>
      <c r="Q34" s="1188"/>
    </row>
    <row r="35" spans="1:17" ht="16.5">
      <c r="A35" s="1188" t="s">
        <v>3637</v>
      </c>
      <c r="B35" s="2445">
        <v>8</v>
      </c>
      <c r="C35" s="2446" t="s">
        <v>3638</v>
      </c>
      <c r="D35" s="2447">
        <f>'表30-5-2-1-1'!D32</f>
        <v>0</v>
      </c>
      <c r="E35" s="2447">
        <f>SUMIF('表30-5-2-3-1'!$A:$A,"F"&amp;'表30-5-2-2-1'!$A35&amp;"Q",'表30-5-2-3-1'!$P:$P)</f>
        <v>0</v>
      </c>
      <c r="F35" s="2929">
        <f>SUMIF('表30-5-2-3-1'!$A:$A,"F"&amp;'表30-5-2-2-1'!$A35&amp;"Q",'表30-5-2-3-1'!$Y:$Y)</f>
        <v>0</v>
      </c>
      <c r="G35" s="2448">
        <f>SUMIF('表30-5-2-3-1'!$A:$A,"F"&amp;'表30-5-2-2-1'!$A35&amp;"L",'表30-5-2-3-1'!$W:$W)</f>
        <v>0</v>
      </c>
      <c r="H35" s="2713">
        <f>(($D35+$E35)*'表30-5-2-4-1'!$F15/1000*'表30-5-2-4-1'!F$23+
$G35*'表30-5-2-4-1'!$F38/1000*'表30-5-2-4-1'!F$46)*(1+'表30-5-2-4-1'!$B$47)*'表30-5-2-4-1'!$B$48</f>
        <v>0</v>
      </c>
      <c r="I35" s="1189"/>
      <c r="J35" s="1188"/>
      <c r="K35" s="2452"/>
      <c r="L35" s="2452"/>
      <c r="M35" s="2452"/>
      <c r="N35" s="2452"/>
      <c r="O35" s="2452"/>
      <c r="P35" s="1188"/>
      <c r="Q35" s="1188"/>
    </row>
    <row r="36" spans="1:17" ht="16.5">
      <c r="A36" s="1188" t="s">
        <v>3639</v>
      </c>
      <c r="B36" s="2445">
        <v>9</v>
      </c>
      <c r="C36" s="2446" t="s">
        <v>3640</v>
      </c>
      <c r="D36" s="2447">
        <f>'表30-5-2-1-1'!D33</f>
        <v>0</v>
      </c>
      <c r="E36" s="2447">
        <f>SUMIF('表30-5-2-3-1'!$A:$A,"F"&amp;'表30-5-2-2-1'!$A36&amp;"Q",'表30-5-2-3-1'!$P:$P)</f>
        <v>0</v>
      </c>
      <c r="F36" s="2929">
        <f>SUMIF('表30-5-2-3-1'!$A:$A,"F"&amp;'表30-5-2-2-1'!$A36&amp;"Q",'表30-5-2-3-1'!$Y:$Y)</f>
        <v>0</v>
      </c>
      <c r="G36" s="2448">
        <f>SUMIF('表30-5-2-3-1'!$A:$A,"F"&amp;'表30-5-2-2-1'!$A36&amp;"L",'表30-5-2-3-1'!$W:$W)</f>
        <v>0</v>
      </c>
      <c r="H36" s="2713">
        <f>(($D36+$E36)*'表30-5-2-4-1'!$F16/1000*'表30-5-2-4-1'!F$23+
$G36*'表30-5-2-4-1'!$F39/1000*'表30-5-2-4-1'!F$46)*(1+'表30-5-2-4-1'!$B$47)*'表30-5-2-4-1'!$B$48</f>
        <v>0</v>
      </c>
      <c r="I36" s="1189"/>
      <c r="J36" s="1188"/>
      <c r="K36" s="2452"/>
      <c r="L36" s="2452"/>
      <c r="M36" s="2452"/>
      <c r="N36" s="2452"/>
      <c r="O36" s="2452"/>
      <c r="P36" s="1188"/>
      <c r="Q36" s="1188"/>
    </row>
    <row r="37" spans="1:17" ht="16.5">
      <c r="A37" s="1188" t="s">
        <v>3641</v>
      </c>
      <c r="B37" s="2445">
        <v>10</v>
      </c>
      <c r="C37" s="2446" t="s">
        <v>3642</v>
      </c>
      <c r="D37" s="2447">
        <f>'表30-5-2-1-1'!D34</f>
        <v>0</v>
      </c>
      <c r="E37" s="2447">
        <f>SUMIF('表30-5-2-3-1'!$A:$A,"F"&amp;'表30-5-2-2-1'!$A37&amp;"Q",'表30-5-2-3-1'!$P:$P)</f>
        <v>0</v>
      </c>
      <c r="F37" s="2929">
        <f>SUMIF('表30-5-2-3-1'!$A:$A,"F"&amp;'表30-5-2-2-1'!$A37&amp;"Q",'表30-5-2-3-1'!$Y:$Y)</f>
        <v>0</v>
      </c>
      <c r="G37" s="2448">
        <f>SUMIF('表30-5-2-3-1'!$A:$A,"F"&amp;'表30-5-2-2-1'!$A37&amp;"L",'表30-5-2-3-1'!$W:$W)</f>
        <v>0</v>
      </c>
      <c r="H37" s="2713">
        <f>(($D37+$E37)*'表30-5-2-4-1'!$F17/1000*'表30-5-2-4-1'!F$23+
$G37*'表30-5-2-4-1'!$F40/1000*'表30-5-2-4-1'!F$46)*(1+'表30-5-2-4-1'!$B$47)*'表30-5-2-4-1'!$B$48</f>
        <v>0</v>
      </c>
      <c r="I37" s="1189"/>
      <c r="J37" s="1188"/>
      <c r="K37" s="2452"/>
      <c r="L37" s="2452"/>
      <c r="M37" s="2452"/>
      <c r="N37" s="2452"/>
      <c r="O37" s="2452"/>
      <c r="P37" s="1188"/>
      <c r="Q37" s="1188"/>
    </row>
    <row r="38" spans="1:17" ht="16.5">
      <c r="A38" s="1188" t="s">
        <v>3643</v>
      </c>
      <c r="B38" s="2445">
        <v>11</v>
      </c>
      <c r="C38" s="2446" t="s">
        <v>3644</v>
      </c>
      <c r="D38" s="2447">
        <f>'表30-5-2-1-1'!D35</f>
        <v>0</v>
      </c>
      <c r="E38" s="2447">
        <f>SUMIF('表30-5-2-3-1'!$A:$A,"F"&amp;'表30-5-2-2-1'!$A38&amp;"Q",'表30-5-2-3-1'!$P:$P)</f>
        <v>0</v>
      </c>
      <c r="F38" s="2929">
        <f>SUMIF('表30-5-2-3-1'!$A:$A,"F"&amp;'表30-5-2-2-1'!$A38&amp;"Q",'表30-5-2-3-1'!$Y:$Y)</f>
        <v>0</v>
      </c>
      <c r="G38" s="2448">
        <f>SUMIF('表30-5-2-3-1'!$A:$A,"F"&amp;'表30-5-2-2-1'!$A38&amp;"L",'表30-5-2-3-1'!$W:$W)</f>
        <v>0</v>
      </c>
      <c r="H38" s="2713">
        <f>(($D38+$E38)*'表30-5-2-4-1'!$F18/1000*'表30-5-2-4-1'!F$23+
$G38*'表30-5-2-4-1'!$F41/1000*'表30-5-2-4-1'!F$46)*(1+'表30-5-2-4-1'!$B$47)*'表30-5-2-4-1'!$B$48</f>
        <v>0</v>
      </c>
      <c r="I38" s="1189"/>
      <c r="J38" s="1188"/>
      <c r="K38" s="2452"/>
      <c r="L38" s="2452"/>
      <c r="M38" s="2452"/>
      <c r="N38" s="2452"/>
      <c r="O38" s="2452"/>
      <c r="P38" s="1188"/>
      <c r="Q38" s="1188"/>
    </row>
    <row r="39" spans="1:17" ht="16.5">
      <c r="A39" s="1188" t="s">
        <v>3645</v>
      </c>
      <c r="B39" s="2445">
        <v>12</v>
      </c>
      <c r="C39" s="2446" t="s">
        <v>3646</v>
      </c>
      <c r="D39" s="2447">
        <f>'表30-5-2-1-1'!D36</f>
        <v>0</v>
      </c>
      <c r="E39" s="2447">
        <f>SUMIF('表30-5-2-3-1'!$A:$A,"F"&amp;'表30-5-2-2-1'!$A39&amp;"Q",'表30-5-2-3-1'!$P:$P)</f>
        <v>0</v>
      </c>
      <c r="F39" s="2929">
        <f>SUMIF('表30-5-2-3-1'!$A:$A,"F"&amp;'表30-5-2-2-1'!$A39&amp;"Q",'表30-5-2-3-1'!$Y:$Y)</f>
        <v>0</v>
      </c>
      <c r="G39" s="2448">
        <f>SUMIF('表30-5-2-3-1'!$A:$A,"F"&amp;'表30-5-2-2-1'!$A39&amp;"L",'表30-5-2-3-1'!$W:$W)</f>
        <v>0</v>
      </c>
      <c r="H39" s="2713">
        <f>(($D39+$E39)*'表30-5-2-4-1'!$F19/1000*'表30-5-2-4-1'!F$23+
$G39*'表30-5-2-4-1'!$F42/1000*'表30-5-2-4-1'!F$46)*(1+'表30-5-2-4-1'!$B$47)*'表30-5-2-4-1'!$B$48</f>
        <v>0</v>
      </c>
      <c r="I39" s="1189"/>
      <c r="J39" s="1188"/>
      <c r="K39" s="2452"/>
      <c r="L39" s="2452"/>
      <c r="M39" s="2452"/>
      <c r="N39" s="2452"/>
      <c r="O39" s="2452"/>
      <c r="P39" s="1188"/>
      <c r="Q39" s="1188"/>
    </row>
    <row r="40" spans="1:17" ht="16.5">
      <c r="A40" s="1188" t="s">
        <v>3647</v>
      </c>
      <c r="B40" s="2445">
        <v>13</v>
      </c>
      <c r="C40" s="2446" t="s">
        <v>3648</v>
      </c>
      <c r="D40" s="2447">
        <f>'表30-5-2-1-1'!D37</f>
        <v>0</v>
      </c>
      <c r="E40" s="2447">
        <f>SUMIF('表30-5-2-3-1'!$A:$A,"F"&amp;'表30-5-2-2-1'!$A40&amp;"Q",'表30-5-2-3-1'!$P:$P)</f>
        <v>0</v>
      </c>
      <c r="F40" s="2929">
        <f>SUMIF('表30-5-2-3-1'!$A:$A,"F"&amp;'表30-5-2-2-1'!$A40&amp;"Q",'表30-5-2-3-1'!$Y:$Y)</f>
        <v>0</v>
      </c>
      <c r="G40" s="2448">
        <f>SUMIF('表30-5-2-3-1'!$A:$A,"F"&amp;'表30-5-2-2-1'!$A40&amp;"L",'表30-5-2-3-1'!$W:$W)</f>
        <v>0</v>
      </c>
      <c r="H40" s="2713">
        <f>(($D40+$E40)*'表30-5-2-4-1'!$F20/1000*'表30-5-2-4-1'!F$23+
$G40*'表30-5-2-4-1'!$F43/1000*'表30-5-2-4-1'!F$46)*(1+'表30-5-2-4-1'!$B$47)*'表30-5-2-4-1'!$B$48</f>
        <v>0</v>
      </c>
      <c r="I40" s="1189"/>
      <c r="J40" s="1189"/>
      <c r="K40" s="1189"/>
      <c r="L40" s="1189"/>
      <c r="M40" s="1189"/>
      <c r="N40" s="1189"/>
      <c r="O40" s="1189"/>
      <c r="P40" s="1188"/>
      <c r="Q40" s="1188"/>
    </row>
    <row r="41" spans="1:17" ht="16.5">
      <c r="A41" s="1188" t="s">
        <v>3649</v>
      </c>
      <c r="B41" s="2445">
        <v>14</v>
      </c>
      <c r="C41" s="2451" t="s">
        <v>3650</v>
      </c>
      <c r="D41" s="2447">
        <f>'表30-5-2-1-1'!D38</f>
        <v>0</v>
      </c>
      <c r="E41" s="2447">
        <f>SUMIF('表30-5-2-3-1'!$A:$A,"F"&amp;'表30-5-2-2-1'!$A41&amp;"Q",'表30-5-2-3-1'!$P:$P)</f>
        <v>0</v>
      </c>
      <c r="F41" s="2929">
        <f>SUMIF('表30-5-2-3-1'!$A:$A,"F"&amp;'表30-5-2-2-1'!$A41&amp;"Q",'表30-5-2-3-1'!$Y:$Y)</f>
        <v>0</v>
      </c>
      <c r="G41" s="2448">
        <f>SUMIF('表30-5-2-3-1'!$A:$A,"F"&amp;'表30-5-2-2-1'!$A41&amp;"L",'表30-5-2-3-1'!$W:$W)</f>
        <v>0</v>
      </c>
      <c r="H41" s="2713">
        <f>(($D41+$E41)*'表30-5-2-4-1'!$F21/1000*'表30-5-2-4-1'!F$23+
$G41*'表30-5-2-4-1'!$F44/1000*'表30-5-2-4-1'!F$46)*(1+'表30-5-2-4-1'!$B$47)*'表30-5-2-4-1'!$B$48</f>
        <v>0</v>
      </c>
      <c r="I41" s="1189"/>
      <c r="J41" s="1189"/>
      <c r="K41" s="1189"/>
      <c r="L41" s="1189"/>
      <c r="M41" s="1189"/>
      <c r="N41" s="1189"/>
      <c r="O41" s="1189"/>
      <c r="P41" s="1188"/>
      <c r="Q41" s="1188"/>
    </row>
    <row r="42" spans="1:17" ht="17.25" thickBot="1">
      <c r="A42" s="1188" t="s">
        <v>3651</v>
      </c>
      <c r="B42" s="3674" t="s">
        <v>5886</v>
      </c>
      <c r="C42" s="3675"/>
      <c r="D42" s="2689">
        <f>SUM(D27:D41)</f>
        <v>0</v>
      </c>
      <c r="E42" s="2689">
        <f>SUM(E27:E41)</f>
        <v>0</v>
      </c>
      <c r="F42" s="2930">
        <f>SUM(F27:F41)</f>
        <v>0</v>
      </c>
      <c r="G42" s="2690">
        <f>SUM(G27:G41)</f>
        <v>0</v>
      </c>
      <c r="H42" s="2691">
        <f>SUM(H27:H41)</f>
        <v>0</v>
      </c>
      <c r="I42" s="1189"/>
      <c r="J42" s="1189"/>
      <c r="K42" s="1189"/>
      <c r="L42" s="1189"/>
      <c r="M42" s="1189"/>
      <c r="N42" s="1189"/>
      <c r="O42" s="1189"/>
      <c r="P42" s="1188"/>
      <c r="Q42" s="1188"/>
    </row>
    <row r="43" spans="1:17" s="1189" customFormat="1">
      <c r="A43" s="1188"/>
      <c r="B43" s="3676"/>
      <c r="C43" s="3676"/>
      <c r="D43" s="1188"/>
    </row>
    <row r="44" spans="1:17" s="1189" customFormat="1">
      <c r="A44" s="1188"/>
    </row>
    <row r="45" spans="1:17" s="1189" customFormat="1" ht="17.25" thickBot="1">
      <c r="A45" s="1188"/>
      <c r="B45" s="2722" t="s">
        <v>3857</v>
      </c>
      <c r="C45" s="2419"/>
      <c r="D45" s="2419"/>
      <c r="E45" s="2419"/>
      <c r="F45" s="2419"/>
      <c r="G45" s="2419"/>
      <c r="H45" s="2419"/>
      <c r="I45" s="2419"/>
      <c r="J45" s="2419"/>
      <c r="K45" s="2419"/>
      <c r="L45" s="2419"/>
      <c r="M45" s="2419"/>
      <c r="N45" s="2419"/>
      <c r="O45" s="2419"/>
      <c r="P45" s="2419"/>
      <c r="Q45" s="2426" t="s">
        <v>3614</v>
      </c>
    </row>
    <row r="46" spans="1:17" ht="16.5" customHeight="1">
      <c r="A46" s="3662" t="s">
        <v>3615</v>
      </c>
      <c r="B46" s="3663" t="s">
        <v>3588</v>
      </c>
      <c r="C46" s="3665" t="s">
        <v>5838</v>
      </c>
      <c r="D46" s="3678" t="s">
        <v>3739</v>
      </c>
      <c r="E46" s="3679"/>
      <c r="F46" s="3679"/>
      <c r="G46" s="3679"/>
      <c r="H46" s="3679"/>
      <c r="I46" s="3679"/>
      <c r="J46" s="3679"/>
      <c r="K46" s="3679"/>
      <c r="L46" s="3679"/>
      <c r="M46" s="3679"/>
      <c r="N46" s="3679"/>
      <c r="O46" s="3679"/>
      <c r="P46" s="3680"/>
      <c r="Q46" s="2692" t="s">
        <v>5882</v>
      </c>
    </row>
    <row r="47" spans="1:17" ht="47.25" customHeight="1">
      <c r="A47" s="3662"/>
      <c r="B47" s="3664"/>
      <c r="C47" s="3666"/>
      <c r="D47" s="2693" t="s">
        <v>5887</v>
      </c>
      <c r="E47" s="2694" t="s">
        <v>3740</v>
      </c>
      <c r="F47" s="2925" t="s">
        <v>6312</v>
      </c>
      <c r="G47" s="2694" t="s">
        <v>3741</v>
      </c>
      <c r="H47" s="2694" t="s">
        <v>5888</v>
      </c>
      <c r="I47" s="2694" t="s">
        <v>3742</v>
      </c>
      <c r="J47" s="2925" t="s">
        <v>6313</v>
      </c>
      <c r="K47" s="2694" t="s">
        <v>3743</v>
      </c>
      <c r="L47" s="2681" t="s">
        <v>3733</v>
      </c>
      <c r="M47" s="2681" t="s">
        <v>3734</v>
      </c>
      <c r="N47" s="2681" t="s">
        <v>3735</v>
      </c>
      <c r="O47" s="2681" t="s">
        <v>3736</v>
      </c>
      <c r="P47" s="2695" t="s">
        <v>3737</v>
      </c>
      <c r="Q47" s="2696" t="s">
        <v>3620</v>
      </c>
    </row>
    <row r="48" spans="1:17" ht="16.5">
      <c r="A48" s="1188" t="s">
        <v>3621</v>
      </c>
      <c r="B48" s="2445">
        <v>1</v>
      </c>
      <c r="C48" s="2446" t="s">
        <v>3622</v>
      </c>
      <c r="D48" s="2454">
        <f>'表30-5-2-1-1'!C46</f>
        <v>0</v>
      </c>
      <c r="E48" s="2455">
        <f>SUMIF('表30-5-2-3-1'!$A:$A,"E1"&amp;'表30-5-2-2-1'!$A48&amp;"Q",'表30-5-2-3-1'!$O:$O)</f>
        <v>0</v>
      </c>
      <c r="F48" s="2926">
        <f>SUMIF('表30-5-2-3-1'!$A:$A,"E1"&amp;'表30-5-2-2-1'!$A48&amp;"Q",'表30-5-2-3-1'!$X:$X)</f>
        <v>0</v>
      </c>
      <c r="G48" s="2455">
        <f>SUMIF('表30-5-2-3-1'!$A:$A,"E1"&amp;'表30-5-2-2-1'!$A48&amp;"L",'表30-5-2-3-1'!$V:$V)</f>
        <v>0</v>
      </c>
      <c r="H48" s="2455">
        <f>'表30-5-2-1-1'!D46</f>
        <v>0</v>
      </c>
      <c r="I48" s="2455">
        <f>SUMIF('表30-5-2-3-1'!$A:$A,"E2"&amp;'表30-5-2-2-1'!$A48&amp;"Q",'表30-5-2-3-1'!$O:$O)</f>
        <v>0</v>
      </c>
      <c r="J48" s="2926">
        <f>SUMIF('表30-5-2-3-1'!$A:$A,"E2"&amp;'表30-5-2-2-1'!$A48&amp;"Q",'表30-5-2-3-1'!$X:$X)</f>
        <v>0</v>
      </c>
      <c r="K48" s="2455">
        <f>SUMIF('表30-5-2-3-1'!$A:$A,"E2"&amp;'表30-5-2-2-1'!$A48&amp;"L",'表30-5-2-3-1'!$V:$V)</f>
        <v>0</v>
      </c>
      <c r="L48" s="2454">
        <f>'表30-5-2-1-1'!E46</f>
        <v>0</v>
      </c>
      <c r="M48" s="2454">
        <f>'表30-5-2-1-1'!F46</f>
        <v>0</v>
      </c>
      <c r="N48" s="2454">
        <f>'表30-5-2-1-1'!G46</f>
        <v>0</v>
      </c>
      <c r="O48" s="2454">
        <f>'表30-5-2-1-1'!H46</f>
        <v>0</v>
      </c>
      <c r="P48" s="2456">
        <f>'表30-5-2-1-1'!I46</f>
        <v>0</v>
      </c>
      <c r="Q48" s="2712">
        <f>((($D48+$E48)*'表30-5-2-4-2'!$G8+$G48*'表30-5-2-4-2'!$AL8)*'表30-5-2-4-2'!$B$82+(($H48+$I48)*'表30-5-2-4-2'!$N8+$K48*'表30-5-2-4-2'!$AL27)*'表30-5-2-4-2'!$C$82+$L48*'表30-5-2-4-2'!$G46*'表30-5-2-4-2'!$D$82+$M48*'表30-5-2-4-2'!$N46*'表30-5-2-4-2'!$E$82+$N48*'表30-5-2-4-2'!$N27*'表30-5-2-4-2'!$F$82+$O48*'表30-5-2-4-2'!$G27*'表30-5-2-4-2'!$G$82+$P48*'表30-5-2-4-2'!$G65*'表30-5-2-4-2'!$H$82)/1000*(1+'表30-5-2-4-2'!$B$83)*'表30-5-2-4-1'!$B$48</f>
        <v>0</v>
      </c>
    </row>
    <row r="49" spans="1:17" ht="16.5">
      <c r="A49" s="1188" t="s">
        <v>3623</v>
      </c>
      <c r="B49" s="2445">
        <v>1.1000000000000001</v>
      </c>
      <c r="C49" s="2446" t="s">
        <v>3624</v>
      </c>
      <c r="D49" s="2454">
        <f>'表30-5-2-1-1'!C47</f>
        <v>0</v>
      </c>
      <c r="E49" s="2455">
        <f>SUMIF('表30-5-2-3-1'!$A:$A,"E1"&amp;'表30-5-2-2-1'!$A49&amp;"Q",'表30-5-2-3-1'!$O:$O)</f>
        <v>0</v>
      </c>
      <c r="F49" s="2926">
        <f>SUMIF('表30-5-2-3-1'!$A:$A,"E1"&amp;'表30-5-2-2-1'!$A49&amp;"Q",'表30-5-2-3-1'!$X:$X)</f>
        <v>0</v>
      </c>
      <c r="G49" s="2455">
        <f>SUMIF('表30-5-2-3-1'!$A:$A,"E1"&amp;'表30-5-2-2-1'!$A49&amp;"L",'表30-5-2-3-1'!$V:$V)</f>
        <v>0</v>
      </c>
      <c r="H49" s="2455">
        <f>'表30-5-2-1-1'!D47</f>
        <v>0</v>
      </c>
      <c r="I49" s="2455">
        <f>SUMIF('表30-5-2-3-1'!$A:$A,"E2"&amp;'表30-5-2-2-1'!$A49&amp;"Q",'表30-5-2-3-1'!$O:$O)</f>
        <v>0</v>
      </c>
      <c r="J49" s="2926">
        <f>SUMIF('表30-5-2-3-1'!$A:$A,"E2"&amp;'表30-5-2-2-1'!$A49&amp;"Q",'表30-5-2-3-1'!$X:$X)</f>
        <v>0</v>
      </c>
      <c r="K49" s="2455">
        <f>SUMIF('表30-5-2-3-1'!$A:$A,"E2"&amp;'表30-5-2-2-1'!$A49&amp;"L",'表30-5-2-3-1'!$V:$V)</f>
        <v>0</v>
      </c>
      <c r="L49" s="2454">
        <f>'表30-5-2-1-1'!E47</f>
        <v>0</v>
      </c>
      <c r="M49" s="2454">
        <f>'表30-5-2-1-1'!F47</f>
        <v>0</v>
      </c>
      <c r="N49" s="2454">
        <f>'表30-5-2-1-1'!G47</f>
        <v>0</v>
      </c>
      <c r="O49" s="2454">
        <f>'表30-5-2-1-1'!H47</f>
        <v>0</v>
      </c>
      <c r="P49" s="2456">
        <f>'表30-5-2-1-1'!I47</f>
        <v>0</v>
      </c>
      <c r="Q49" s="2712">
        <f>((($D49+$E49)*'表30-5-2-4-2'!$G9+$G49*'表30-5-2-4-2'!$AL9)*'表30-5-2-4-2'!$B$82+(($H49+$I49)*'表30-5-2-4-2'!$N9+$K49*'表30-5-2-4-2'!$AL28)*'表30-5-2-4-2'!$C$82+$L49*'表30-5-2-4-2'!$G47*'表30-5-2-4-2'!$D$82+$M49*'表30-5-2-4-2'!$N47*'表30-5-2-4-2'!$E$82+$N49*'表30-5-2-4-2'!$N28*'表30-5-2-4-2'!$F$82+$O49*'表30-5-2-4-2'!$G28*'表30-5-2-4-2'!$G$82+$P49*'表30-5-2-4-2'!$G66*'表30-5-2-4-2'!$H$82)/1000*(1+'表30-5-2-4-2'!$B$83)*'表30-5-2-4-1'!$B$48</f>
        <v>0</v>
      </c>
    </row>
    <row r="50" spans="1:17" ht="16.5">
      <c r="A50" s="1188" t="s">
        <v>3625</v>
      </c>
      <c r="B50" s="2445">
        <v>2</v>
      </c>
      <c r="C50" s="2446" t="s">
        <v>3626</v>
      </c>
      <c r="D50" s="2454">
        <f>'表30-5-2-1-1'!C48</f>
        <v>0</v>
      </c>
      <c r="E50" s="2455">
        <f>SUMIF('表30-5-2-3-1'!$A:$A,"E1"&amp;'表30-5-2-2-1'!$A50&amp;"Q",'表30-5-2-3-1'!$O:$O)</f>
        <v>0</v>
      </c>
      <c r="F50" s="2926">
        <f>SUMIF('表30-5-2-3-1'!$A:$A,"E1"&amp;'表30-5-2-2-1'!$A50&amp;"Q",'表30-5-2-3-1'!$X:$X)</f>
        <v>0</v>
      </c>
      <c r="G50" s="2455">
        <f>SUMIF('表30-5-2-3-1'!$A:$A,"E1"&amp;'表30-5-2-2-1'!$A50&amp;"L",'表30-5-2-3-1'!$V:$V)</f>
        <v>0</v>
      </c>
      <c r="H50" s="2455">
        <f>'表30-5-2-1-1'!D48</f>
        <v>0</v>
      </c>
      <c r="I50" s="2455">
        <f>SUMIF('表30-5-2-3-1'!$A:$A,"E2"&amp;'表30-5-2-2-1'!$A50&amp;"Q",'表30-5-2-3-1'!$O:$O)</f>
        <v>0</v>
      </c>
      <c r="J50" s="2926">
        <f>SUMIF('表30-5-2-3-1'!$A:$A,"E2"&amp;'表30-5-2-2-1'!$A50&amp;"Q",'表30-5-2-3-1'!$X:$X)</f>
        <v>0</v>
      </c>
      <c r="K50" s="2455">
        <f>SUMIF('表30-5-2-3-1'!$A:$A,"E2"&amp;'表30-5-2-2-1'!$A50&amp;"L",'表30-5-2-3-1'!$V:$V)</f>
        <v>0</v>
      </c>
      <c r="L50" s="2454">
        <f>'表30-5-2-1-1'!E48</f>
        <v>0</v>
      </c>
      <c r="M50" s="2454">
        <f>'表30-5-2-1-1'!F48</f>
        <v>0</v>
      </c>
      <c r="N50" s="2454">
        <f>'表30-5-2-1-1'!G48</f>
        <v>0</v>
      </c>
      <c r="O50" s="2454">
        <f>'表30-5-2-1-1'!H48</f>
        <v>0</v>
      </c>
      <c r="P50" s="2456">
        <f>'表30-5-2-1-1'!I48</f>
        <v>0</v>
      </c>
      <c r="Q50" s="2712">
        <f>((($D50+$E50)*'表30-5-2-4-2'!$G10+$G50*'表30-5-2-4-2'!$AL10)*'表30-5-2-4-2'!$B$82+(($H50+$I50)*'表30-5-2-4-2'!$N10+$K50*'表30-5-2-4-2'!$AL29)*'表30-5-2-4-2'!$C$82+$L50*'表30-5-2-4-2'!$G48*'表30-5-2-4-2'!$D$82+$M50*'表30-5-2-4-2'!$N48*'表30-5-2-4-2'!$E$82+$N50*'表30-5-2-4-2'!$N29*'表30-5-2-4-2'!$F$82+$O50*'表30-5-2-4-2'!$G29*'表30-5-2-4-2'!$G$82+$P50*'表30-5-2-4-2'!$G67*'表30-5-2-4-2'!$H$82)/1000*(1+'表30-5-2-4-2'!$B$83)*'表30-5-2-4-1'!$B$48</f>
        <v>0</v>
      </c>
    </row>
    <row r="51" spans="1:17" ht="16.5">
      <c r="A51" s="1188" t="s">
        <v>3627</v>
      </c>
      <c r="B51" s="2445">
        <v>3</v>
      </c>
      <c r="C51" s="2446" t="s">
        <v>3628</v>
      </c>
      <c r="D51" s="2454">
        <f>'表30-5-2-1-1'!C49</f>
        <v>0</v>
      </c>
      <c r="E51" s="2455">
        <f>SUMIF('表30-5-2-3-1'!$A:$A,"E1"&amp;'表30-5-2-2-1'!$A51&amp;"Q",'表30-5-2-3-1'!$O:$O)</f>
        <v>0</v>
      </c>
      <c r="F51" s="2926">
        <f>SUMIF('表30-5-2-3-1'!$A:$A,"E1"&amp;'表30-5-2-2-1'!$A51&amp;"Q",'表30-5-2-3-1'!$X:$X)</f>
        <v>0</v>
      </c>
      <c r="G51" s="2455">
        <f>SUMIF('表30-5-2-3-1'!$A:$A,"E1"&amp;'表30-5-2-2-1'!$A51&amp;"L",'表30-5-2-3-1'!$V:$V)</f>
        <v>0</v>
      </c>
      <c r="H51" s="2455">
        <f>'表30-5-2-1-1'!D49</f>
        <v>0</v>
      </c>
      <c r="I51" s="2455">
        <f>SUMIF('表30-5-2-3-1'!$A:$A,"E2"&amp;'表30-5-2-2-1'!$A51&amp;"Q",'表30-5-2-3-1'!$O:$O)</f>
        <v>0</v>
      </c>
      <c r="J51" s="2926">
        <f>SUMIF('表30-5-2-3-1'!$A:$A,"E2"&amp;'表30-5-2-2-1'!$A51&amp;"Q",'表30-5-2-3-1'!$X:$X)</f>
        <v>0</v>
      </c>
      <c r="K51" s="2455">
        <f>SUMIF('表30-5-2-3-1'!$A:$A,"E2"&amp;'表30-5-2-2-1'!$A51&amp;"L",'表30-5-2-3-1'!$V:$V)</f>
        <v>0</v>
      </c>
      <c r="L51" s="2454">
        <f>'表30-5-2-1-1'!E49</f>
        <v>0</v>
      </c>
      <c r="M51" s="2454">
        <f>'表30-5-2-1-1'!F49</f>
        <v>0</v>
      </c>
      <c r="N51" s="2454">
        <f>'表30-5-2-1-1'!G49</f>
        <v>0</v>
      </c>
      <c r="O51" s="2454">
        <f>'表30-5-2-1-1'!H49</f>
        <v>0</v>
      </c>
      <c r="P51" s="2456">
        <f>'表30-5-2-1-1'!I49</f>
        <v>0</v>
      </c>
      <c r="Q51" s="2712">
        <f>((($D51+$E51)*'表30-5-2-4-2'!$G11+$G51*'表30-5-2-4-2'!$AL11)*'表30-5-2-4-2'!$B$82+(($H51+$I51)*'表30-5-2-4-2'!$N11+$K51*'表30-5-2-4-2'!$AL30)*'表30-5-2-4-2'!$C$82+$L51*'表30-5-2-4-2'!$G49*'表30-5-2-4-2'!$D$82+$M51*'表30-5-2-4-2'!$N49*'表30-5-2-4-2'!$E$82+$N51*'表30-5-2-4-2'!$N30*'表30-5-2-4-2'!$F$82+$O51*'表30-5-2-4-2'!$G30*'表30-5-2-4-2'!$G$82+$P51*'表30-5-2-4-2'!$G68*'表30-5-2-4-2'!$H$82)/1000*(1+'表30-5-2-4-2'!$B$83)*'表30-5-2-4-1'!$B$48</f>
        <v>0</v>
      </c>
    </row>
    <row r="52" spans="1:17" ht="16.5">
      <c r="A52" s="1188" t="s">
        <v>3629</v>
      </c>
      <c r="B52" s="2445">
        <v>4</v>
      </c>
      <c r="C52" s="2446" t="s">
        <v>3630</v>
      </c>
      <c r="D52" s="2454">
        <f>'表30-5-2-1-1'!C50</f>
        <v>0</v>
      </c>
      <c r="E52" s="2455">
        <f>SUMIF('表30-5-2-3-1'!$A:$A,"E1"&amp;'表30-5-2-2-1'!$A52&amp;"Q",'表30-5-2-3-1'!$O:$O)</f>
        <v>0</v>
      </c>
      <c r="F52" s="2926">
        <f>SUMIF('表30-5-2-3-1'!$A:$A,"E1"&amp;'表30-5-2-2-1'!$A52&amp;"Q",'表30-5-2-3-1'!$X:$X)</f>
        <v>0</v>
      </c>
      <c r="G52" s="2455">
        <f>SUMIF('表30-5-2-3-1'!$A:$A,"E1"&amp;'表30-5-2-2-1'!$A52&amp;"L",'表30-5-2-3-1'!$V:$V)</f>
        <v>0</v>
      </c>
      <c r="H52" s="2455">
        <f>'表30-5-2-1-1'!D50</f>
        <v>0</v>
      </c>
      <c r="I52" s="2455">
        <f>SUMIF('表30-5-2-3-1'!$A:$A,"E2"&amp;'表30-5-2-2-1'!$A52&amp;"Q",'表30-5-2-3-1'!$O:$O)</f>
        <v>0</v>
      </c>
      <c r="J52" s="2926">
        <f>SUMIF('表30-5-2-3-1'!$A:$A,"E2"&amp;'表30-5-2-2-1'!$A52&amp;"Q",'表30-5-2-3-1'!$X:$X)</f>
        <v>0</v>
      </c>
      <c r="K52" s="2455">
        <f>SUMIF('表30-5-2-3-1'!$A:$A,"E2"&amp;'表30-5-2-2-1'!$A52&amp;"L",'表30-5-2-3-1'!$V:$V)</f>
        <v>0</v>
      </c>
      <c r="L52" s="2454">
        <f>'表30-5-2-1-1'!E50</f>
        <v>0</v>
      </c>
      <c r="M52" s="2454">
        <f>'表30-5-2-1-1'!F50</f>
        <v>0</v>
      </c>
      <c r="N52" s="2454">
        <f>'表30-5-2-1-1'!G50</f>
        <v>0</v>
      </c>
      <c r="O52" s="2454">
        <f>'表30-5-2-1-1'!H50</f>
        <v>0</v>
      </c>
      <c r="P52" s="2456">
        <f>'表30-5-2-1-1'!I50</f>
        <v>0</v>
      </c>
      <c r="Q52" s="2712">
        <f>((($D52+$E52)*'表30-5-2-4-2'!$G12+$G52*'表30-5-2-4-2'!$AL12)*'表30-5-2-4-2'!$B$82+(($H52+$I52)*'表30-5-2-4-2'!$N12+$K52*'表30-5-2-4-2'!$AL31)*'表30-5-2-4-2'!$C$82+$L52*'表30-5-2-4-2'!$G50*'表30-5-2-4-2'!$D$82+$M52*'表30-5-2-4-2'!$N50*'表30-5-2-4-2'!$E$82+$N52*'表30-5-2-4-2'!$N31*'表30-5-2-4-2'!$F$82+$O52*'表30-5-2-4-2'!$G31*'表30-5-2-4-2'!$G$82+$P52*'表30-5-2-4-2'!$G69*'表30-5-2-4-2'!$H$82)/1000*(1+'表30-5-2-4-2'!$B$83)*'表30-5-2-4-1'!$B$48</f>
        <v>0</v>
      </c>
    </row>
    <row r="53" spans="1:17" ht="16.5">
      <c r="A53" s="1188" t="s">
        <v>3631</v>
      </c>
      <c r="B53" s="2445">
        <v>5</v>
      </c>
      <c r="C53" s="2446" t="s">
        <v>3632</v>
      </c>
      <c r="D53" s="2454">
        <f>'表30-5-2-1-1'!C51</f>
        <v>0</v>
      </c>
      <c r="E53" s="2455">
        <f>SUMIF('表30-5-2-3-1'!$A:$A,"E1"&amp;'表30-5-2-2-1'!$A53&amp;"Q",'表30-5-2-3-1'!$O:$O)</f>
        <v>0</v>
      </c>
      <c r="F53" s="2926">
        <f>SUMIF('表30-5-2-3-1'!$A:$A,"E1"&amp;'表30-5-2-2-1'!$A53&amp;"Q",'表30-5-2-3-1'!$X:$X)</f>
        <v>0</v>
      </c>
      <c r="G53" s="2455">
        <f>SUMIF('表30-5-2-3-1'!$A:$A,"E1"&amp;'表30-5-2-2-1'!$A53&amp;"L",'表30-5-2-3-1'!$V:$V)</f>
        <v>0</v>
      </c>
      <c r="H53" s="2455">
        <f>'表30-5-2-1-1'!D51</f>
        <v>0</v>
      </c>
      <c r="I53" s="2455">
        <f>SUMIF('表30-5-2-3-1'!$A:$A,"E2"&amp;'表30-5-2-2-1'!$A53&amp;"Q",'表30-5-2-3-1'!$O:$O)</f>
        <v>0</v>
      </c>
      <c r="J53" s="2926">
        <f>SUMIF('表30-5-2-3-1'!$A:$A,"E2"&amp;'表30-5-2-2-1'!$A53&amp;"Q",'表30-5-2-3-1'!$X:$X)</f>
        <v>0</v>
      </c>
      <c r="K53" s="2455">
        <f>SUMIF('表30-5-2-3-1'!$A:$A,"E2"&amp;'表30-5-2-2-1'!$A53&amp;"L",'表30-5-2-3-1'!$V:$V)</f>
        <v>0</v>
      </c>
      <c r="L53" s="2454">
        <f>'表30-5-2-1-1'!E51</f>
        <v>0</v>
      </c>
      <c r="M53" s="2454">
        <f>'表30-5-2-1-1'!F51</f>
        <v>0</v>
      </c>
      <c r="N53" s="2454">
        <f>'表30-5-2-1-1'!G51</f>
        <v>0</v>
      </c>
      <c r="O53" s="2454">
        <f>'表30-5-2-1-1'!H51</f>
        <v>0</v>
      </c>
      <c r="P53" s="2456">
        <f>'表30-5-2-1-1'!I51</f>
        <v>0</v>
      </c>
      <c r="Q53" s="2712">
        <f>((($D53+$E53)*'表30-5-2-4-2'!$G13+$G53*'表30-5-2-4-2'!$AL13)*'表30-5-2-4-2'!$B$82+(($H53+$I53)*'表30-5-2-4-2'!$N13+$K53*'表30-5-2-4-2'!$AL32)*'表30-5-2-4-2'!$C$82+$L53*'表30-5-2-4-2'!$G51*'表30-5-2-4-2'!$D$82+$M53*'表30-5-2-4-2'!$N51*'表30-5-2-4-2'!$E$82+$N53*'表30-5-2-4-2'!$N32*'表30-5-2-4-2'!$F$82+$O53*'表30-5-2-4-2'!$G32*'表30-5-2-4-2'!$G$82+$P53*'表30-5-2-4-2'!$G70*'表30-5-2-4-2'!$H$82)/1000*(1+'表30-5-2-4-2'!$B$83)*'表30-5-2-4-1'!$B$48</f>
        <v>0</v>
      </c>
    </row>
    <row r="54" spans="1:17" ht="16.5">
      <c r="A54" s="1188" t="s">
        <v>3633</v>
      </c>
      <c r="B54" s="2445">
        <v>6</v>
      </c>
      <c r="C54" s="2446" t="s">
        <v>3634</v>
      </c>
      <c r="D54" s="2454">
        <f>'表30-5-2-1-1'!C52</f>
        <v>0</v>
      </c>
      <c r="E54" s="2455">
        <f>SUMIF('表30-5-2-3-1'!$A:$A,"E1"&amp;'表30-5-2-2-1'!$A54&amp;"Q",'表30-5-2-3-1'!$O:$O)</f>
        <v>0</v>
      </c>
      <c r="F54" s="2926">
        <f>SUMIF('表30-5-2-3-1'!$A:$A,"E1"&amp;'表30-5-2-2-1'!$A54&amp;"Q",'表30-5-2-3-1'!$X:$X)</f>
        <v>0</v>
      </c>
      <c r="G54" s="2455">
        <f>SUMIF('表30-5-2-3-1'!$A:$A,"E1"&amp;'表30-5-2-2-1'!$A54&amp;"L",'表30-5-2-3-1'!$V:$V)</f>
        <v>0</v>
      </c>
      <c r="H54" s="2455">
        <f>'表30-5-2-1-1'!D52</f>
        <v>0</v>
      </c>
      <c r="I54" s="2455">
        <f>SUMIF('表30-5-2-3-1'!$A:$A,"E2"&amp;'表30-5-2-2-1'!$A54&amp;"Q",'表30-5-2-3-1'!$O:$O)</f>
        <v>0</v>
      </c>
      <c r="J54" s="2926">
        <f>SUMIF('表30-5-2-3-1'!$A:$A,"E2"&amp;'表30-5-2-2-1'!$A54&amp;"Q",'表30-5-2-3-1'!$X:$X)</f>
        <v>0</v>
      </c>
      <c r="K54" s="2455">
        <f>SUMIF('表30-5-2-3-1'!$A:$A,"E2"&amp;'表30-5-2-2-1'!$A54&amp;"L",'表30-5-2-3-1'!$V:$V)</f>
        <v>0</v>
      </c>
      <c r="L54" s="2454">
        <f>'表30-5-2-1-1'!E52</f>
        <v>0</v>
      </c>
      <c r="M54" s="2454">
        <f>'表30-5-2-1-1'!F52</f>
        <v>0</v>
      </c>
      <c r="N54" s="2454">
        <f>'表30-5-2-1-1'!G52</f>
        <v>0</v>
      </c>
      <c r="O54" s="2454">
        <f>'表30-5-2-1-1'!H52</f>
        <v>0</v>
      </c>
      <c r="P54" s="2456">
        <f>'表30-5-2-1-1'!I52</f>
        <v>0</v>
      </c>
      <c r="Q54" s="2712">
        <f>((($D54+$E54)*'表30-5-2-4-2'!$G14+$G54*'表30-5-2-4-2'!$AL14)*'表30-5-2-4-2'!$B$82+(($H54+$I54)*'表30-5-2-4-2'!$N14+$K54*'表30-5-2-4-2'!$AL33)*'表30-5-2-4-2'!$C$82+$L54*'表30-5-2-4-2'!$G52*'表30-5-2-4-2'!$D$82+$M54*'表30-5-2-4-2'!$N52*'表30-5-2-4-2'!$E$82+$N54*'表30-5-2-4-2'!$N33*'表30-5-2-4-2'!$F$82+$O54*'表30-5-2-4-2'!$G33*'表30-5-2-4-2'!$G$82+$P54*'表30-5-2-4-2'!$G71*'表30-5-2-4-2'!$H$82)/1000*(1+'表30-5-2-4-2'!$B$83)*'表30-5-2-4-1'!$B$48</f>
        <v>0</v>
      </c>
    </row>
    <row r="55" spans="1:17" ht="16.5">
      <c r="A55" s="1188" t="s">
        <v>3635</v>
      </c>
      <c r="B55" s="2445">
        <v>7</v>
      </c>
      <c r="C55" s="2446" t="s">
        <v>3636</v>
      </c>
      <c r="D55" s="2454">
        <f>'表30-5-2-1-1'!C53</f>
        <v>0</v>
      </c>
      <c r="E55" s="2455">
        <f>SUMIF('表30-5-2-3-1'!$A:$A,"E1"&amp;'表30-5-2-2-1'!$A55&amp;"Q",'表30-5-2-3-1'!$O:$O)</f>
        <v>0</v>
      </c>
      <c r="F55" s="2926">
        <f>SUMIF('表30-5-2-3-1'!$A:$A,"E1"&amp;'表30-5-2-2-1'!$A55&amp;"Q",'表30-5-2-3-1'!$X:$X)</f>
        <v>0</v>
      </c>
      <c r="G55" s="2455">
        <f>SUMIF('表30-5-2-3-1'!$A:$A,"E1"&amp;'表30-5-2-2-1'!$A55&amp;"L",'表30-5-2-3-1'!$V:$V)</f>
        <v>0</v>
      </c>
      <c r="H55" s="2455">
        <f>'表30-5-2-1-1'!D53</f>
        <v>0</v>
      </c>
      <c r="I55" s="2455">
        <f>SUMIF('表30-5-2-3-1'!$A:$A,"E2"&amp;'表30-5-2-2-1'!$A55&amp;"Q",'表30-5-2-3-1'!$O:$O)</f>
        <v>0</v>
      </c>
      <c r="J55" s="2926">
        <f>SUMIF('表30-5-2-3-1'!$A:$A,"E2"&amp;'表30-5-2-2-1'!$A55&amp;"Q",'表30-5-2-3-1'!$X:$X)</f>
        <v>0</v>
      </c>
      <c r="K55" s="2455">
        <f>SUMIF('表30-5-2-3-1'!$A:$A,"E2"&amp;'表30-5-2-2-1'!$A55&amp;"L",'表30-5-2-3-1'!$V:$V)</f>
        <v>0</v>
      </c>
      <c r="L55" s="2454">
        <f>'表30-5-2-1-1'!E53</f>
        <v>0</v>
      </c>
      <c r="M55" s="2454">
        <f>'表30-5-2-1-1'!F53</f>
        <v>0</v>
      </c>
      <c r="N55" s="2454">
        <f>'表30-5-2-1-1'!G53</f>
        <v>0</v>
      </c>
      <c r="O55" s="2454">
        <f>'表30-5-2-1-1'!H53</f>
        <v>0</v>
      </c>
      <c r="P55" s="2456">
        <f>'表30-5-2-1-1'!I53</f>
        <v>0</v>
      </c>
      <c r="Q55" s="2712">
        <f>((($D55+$E55)*'表30-5-2-4-2'!$G15+$G55*'表30-5-2-4-2'!$AL15)*'表30-5-2-4-2'!$B$82+(($H55+$I55)*'表30-5-2-4-2'!$N15+$K55*'表30-5-2-4-2'!$AL34)*'表30-5-2-4-2'!$C$82+$L55*'表30-5-2-4-2'!$G53*'表30-5-2-4-2'!$D$82+$M55*'表30-5-2-4-2'!$N53*'表30-5-2-4-2'!$E$82+$N55*'表30-5-2-4-2'!$N34*'表30-5-2-4-2'!$F$82+$O55*'表30-5-2-4-2'!$G34*'表30-5-2-4-2'!$G$82+$P55*'表30-5-2-4-2'!$G72*'表30-5-2-4-2'!$H$82)/1000*(1+'表30-5-2-4-2'!$B$83)*'表30-5-2-4-1'!$B$48</f>
        <v>0</v>
      </c>
    </row>
    <row r="56" spans="1:17" ht="16.5">
      <c r="A56" s="1188" t="s">
        <v>3637</v>
      </c>
      <c r="B56" s="2445">
        <v>8</v>
      </c>
      <c r="C56" s="2446" t="s">
        <v>3638</v>
      </c>
      <c r="D56" s="2454">
        <f>'表30-5-2-1-1'!C54</f>
        <v>0</v>
      </c>
      <c r="E56" s="2455">
        <f>SUMIF('表30-5-2-3-1'!$A:$A,"E1"&amp;'表30-5-2-2-1'!$A56&amp;"Q",'表30-5-2-3-1'!$O:$O)</f>
        <v>0</v>
      </c>
      <c r="F56" s="2926">
        <f>SUMIF('表30-5-2-3-1'!$A:$A,"E1"&amp;'表30-5-2-2-1'!$A56&amp;"Q",'表30-5-2-3-1'!$X:$X)</f>
        <v>0</v>
      </c>
      <c r="G56" s="2455">
        <f>SUMIF('表30-5-2-3-1'!$A:$A,"E1"&amp;'表30-5-2-2-1'!$A56&amp;"L",'表30-5-2-3-1'!$V:$V)</f>
        <v>0</v>
      </c>
      <c r="H56" s="2455">
        <f>'表30-5-2-1-1'!D54</f>
        <v>0</v>
      </c>
      <c r="I56" s="2455">
        <f>SUMIF('表30-5-2-3-1'!$A:$A,"E2"&amp;'表30-5-2-2-1'!$A56&amp;"Q",'表30-5-2-3-1'!$O:$O)</f>
        <v>0</v>
      </c>
      <c r="J56" s="2926">
        <f>SUMIF('表30-5-2-3-1'!$A:$A,"E2"&amp;'表30-5-2-2-1'!$A56&amp;"Q",'表30-5-2-3-1'!$X:$X)</f>
        <v>0</v>
      </c>
      <c r="K56" s="2455">
        <f>SUMIF('表30-5-2-3-1'!$A:$A,"E2"&amp;'表30-5-2-2-1'!$A56&amp;"L",'表30-5-2-3-1'!$V:$V)</f>
        <v>0</v>
      </c>
      <c r="L56" s="2454">
        <f>'表30-5-2-1-1'!E54</f>
        <v>0</v>
      </c>
      <c r="M56" s="2454">
        <f>'表30-5-2-1-1'!F54</f>
        <v>0</v>
      </c>
      <c r="N56" s="2454">
        <f>'表30-5-2-1-1'!G54</f>
        <v>0</v>
      </c>
      <c r="O56" s="2454">
        <f>'表30-5-2-1-1'!H54</f>
        <v>0</v>
      </c>
      <c r="P56" s="2456">
        <f>'表30-5-2-1-1'!I54</f>
        <v>0</v>
      </c>
      <c r="Q56" s="2712">
        <f>((($D56+$E56)*'表30-5-2-4-2'!$G16+$G56*'表30-5-2-4-2'!$AL16)*'表30-5-2-4-2'!$B$82+(($H56+$I56)*'表30-5-2-4-2'!$N16+$K56*'表30-5-2-4-2'!$AL35)*'表30-5-2-4-2'!$C$82+$L56*'表30-5-2-4-2'!$G54*'表30-5-2-4-2'!$D$82+$M56*'表30-5-2-4-2'!$N54*'表30-5-2-4-2'!$E$82+$N56*'表30-5-2-4-2'!$N35*'表30-5-2-4-2'!$F$82+$O56*'表30-5-2-4-2'!$G35*'表30-5-2-4-2'!$G$82+$P56*'表30-5-2-4-2'!$G73*'表30-5-2-4-2'!$H$82)/1000*(1+'表30-5-2-4-2'!$B$83)*'表30-5-2-4-1'!$B$48</f>
        <v>0</v>
      </c>
    </row>
    <row r="57" spans="1:17" ht="16.5">
      <c r="A57" s="1188" t="s">
        <v>3639</v>
      </c>
      <c r="B57" s="2445">
        <v>9</v>
      </c>
      <c r="C57" s="2446" t="s">
        <v>3640</v>
      </c>
      <c r="D57" s="2454">
        <f>'表30-5-2-1-1'!C55</f>
        <v>0</v>
      </c>
      <c r="E57" s="2455">
        <f>SUMIF('表30-5-2-3-1'!$A:$A,"E1"&amp;'表30-5-2-2-1'!$A57&amp;"Q",'表30-5-2-3-1'!$O:$O)</f>
        <v>0</v>
      </c>
      <c r="F57" s="2926">
        <f>SUMIF('表30-5-2-3-1'!$A:$A,"E1"&amp;'表30-5-2-2-1'!$A57&amp;"Q",'表30-5-2-3-1'!$X:$X)</f>
        <v>0</v>
      </c>
      <c r="G57" s="2455">
        <f>SUMIF('表30-5-2-3-1'!$A:$A,"E1"&amp;'表30-5-2-2-1'!$A57&amp;"L",'表30-5-2-3-1'!$V:$V)</f>
        <v>0</v>
      </c>
      <c r="H57" s="2455">
        <f>'表30-5-2-1-1'!D55</f>
        <v>0</v>
      </c>
      <c r="I57" s="2455">
        <f>SUMIF('表30-5-2-3-1'!$A:$A,"E2"&amp;'表30-5-2-2-1'!$A57&amp;"Q",'表30-5-2-3-1'!$O:$O)</f>
        <v>0</v>
      </c>
      <c r="J57" s="2926">
        <f>SUMIF('表30-5-2-3-1'!$A:$A,"E2"&amp;'表30-5-2-2-1'!$A57&amp;"Q",'表30-5-2-3-1'!$X:$X)</f>
        <v>0</v>
      </c>
      <c r="K57" s="2455">
        <f>SUMIF('表30-5-2-3-1'!$A:$A,"E2"&amp;'表30-5-2-2-1'!$A57&amp;"L",'表30-5-2-3-1'!$V:$V)</f>
        <v>0</v>
      </c>
      <c r="L57" s="2454">
        <f>'表30-5-2-1-1'!E55</f>
        <v>0</v>
      </c>
      <c r="M57" s="2454">
        <f>'表30-5-2-1-1'!F55</f>
        <v>0</v>
      </c>
      <c r="N57" s="2454">
        <f>'表30-5-2-1-1'!G55</f>
        <v>0</v>
      </c>
      <c r="O57" s="2454">
        <f>'表30-5-2-1-1'!H55</f>
        <v>0</v>
      </c>
      <c r="P57" s="2456">
        <f>'表30-5-2-1-1'!I55</f>
        <v>0</v>
      </c>
      <c r="Q57" s="2712">
        <f>((($D57+$E57)*'表30-5-2-4-2'!$G17+$G57*'表30-5-2-4-2'!$AL17)*'表30-5-2-4-2'!$B$82+(($H57+$I57)*'表30-5-2-4-2'!$N17+$K57*'表30-5-2-4-2'!$AL36)*'表30-5-2-4-2'!$C$82+$L57*'表30-5-2-4-2'!$G55*'表30-5-2-4-2'!$D$82+$M57*'表30-5-2-4-2'!$N55*'表30-5-2-4-2'!$E$82+$N57*'表30-5-2-4-2'!$N36*'表30-5-2-4-2'!$F$82+$O57*'表30-5-2-4-2'!$G36*'表30-5-2-4-2'!$G$82+$P57*'表30-5-2-4-2'!$G74*'表30-5-2-4-2'!$H$82)/1000*(1+'表30-5-2-4-2'!$B$83)*'表30-5-2-4-1'!$B$48</f>
        <v>0</v>
      </c>
    </row>
    <row r="58" spans="1:17" ht="16.5">
      <c r="A58" s="1188" t="s">
        <v>3641</v>
      </c>
      <c r="B58" s="2445">
        <v>10</v>
      </c>
      <c r="C58" s="2446" t="s">
        <v>3642</v>
      </c>
      <c r="D58" s="2454">
        <f>'表30-5-2-1-1'!C56</f>
        <v>0</v>
      </c>
      <c r="E58" s="2455">
        <f>SUMIF('表30-5-2-3-1'!$A:$A,"E1"&amp;'表30-5-2-2-1'!$A58&amp;"Q",'表30-5-2-3-1'!$O:$O)</f>
        <v>0</v>
      </c>
      <c r="F58" s="2926">
        <f>SUMIF('表30-5-2-3-1'!$A:$A,"E1"&amp;'表30-5-2-2-1'!$A58&amp;"Q",'表30-5-2-3-1'!$X:$X)</f>
        <v>0</v>
      </c>
      <c r="G58" s="2455">
        <f>SUMIF('表30-5-2-3-1'!$A:$A,"E1"&amp;'表30-5-2-2-1'!$A58&amp;"L",'表30-5-2-3-1'!$V:$V)</f>
        <v>0</v>
      </c>
      <c r="H58" s="2455">
        <f>'表30-5-2-1-1'!D56</f>
        <v>0</v>
      </c>
      <c r="I58" s="2455">
        <f>SUMIF('表30-5-2-3-1'!$A:$A,"E2"&amp;'表30-5-2-2-1'!$A58&amp;"Q",'表30-5-2-3-1'!$O:$O)</f>
        <v>0</v>
      </c>
      <c r="J58" s="2926">
        <f>SUMIF('表30-5-2-3-1'!$A:$A,"E2"&amp;'表30-5-2-2-1'!$A58&amp;"Q",'表30-5-2-3-1'!$X:$X)</f>
        <v>0</v>
      </c>
      <c r="K58" s="2455">
        <f>SUMIF('表30-5-2-3-1'!$A:$A,"E2"&amp;'表30-5-2-2-1'!$A58&amp;"L",'表30-5-2-3-1'!$V:$V)</f>
        <v>0</v>
      </c>
      <c r="L58" s="2454">
        <f>'表30-5-2-1-1'!E56</f>
        <v>0</v>
      </c>
      <c r="M58" s="2454">
        <f>'表30-5-2-1-1'!F56</f>
        <v>0</v>
      </c>
      <c r="N58" s="2454">
        <f>'表30-5-2-1-1'!G56</f>
        <v>0</v>
      </c>
      <c r="O58" s="2454">
        <f>'表30-5-2-1-1'!H56</f>
        <v>0</v>
      </c>
      <c r="P58" s="2456">
        <f>'表30-5-2-1-1'!I56</f>
        <v>0</v>
      </c>
      <c r="Q58" s="2712">
        <f>((($D58+$E58)*'表30-5-2-4-2'!$G18+$G58*'表30-5-2-4-2'!$AL18)*'表30-5-2-4-2'!$B$82+(($H58+$I58)*'表30-5-2-4-2'!$N18+$K58*'表30-5-2-4-2'!$AL37)*'表30-5-2-4-2'!$C$82+$L58*'表30-5-2-4-2'!$G56*'表30-5-2-4-2'!$D$82+$M58*'表30-5-2-4-2'!$N56*'表30-5-2-4-2'!$E$82+$N58*'表30-5-2-4-2'!$N37*'表30-5-2-4-2'!$F$82+$O58*'表30-5-2-4-2'!$G37*'表30-5-2-4-2'!$G$82+$P58*'表30-5-2-4-2'!$G75*'表30-5-2-4-2'!$H$82)/1000*(1+'表30-5-2-4-2'!$B$83)*'表30-5-2-4-1'!$B$48</f>
        <v>0</v>
      </c>
    </row>
    <row r="59" spans="1:17" ht="16.5">
      <c r="A59" s="1188" t="s">
        <v>3643</v>
      </c>
      <c r="B59" s="2445">
        <v>11</v>
      </c>
      <c r="C59" s="2446" t="s">
        <v>3644</v>
      </c>
      <c r="D59" s="2454">
        <f>'表30-5-2-1-1'!C57</f>
        <v>0</v>
      </c>
      <c r="E59" s="2455">
        <f>SUMIF('表30-5-2-3-1'!$A:$A,"E1"&amp;'表30-5-2-2-1'!$A59&amp;"Q",'表30-5-2-3-1'!$O:$O)</f>
        <v>0</v>
      </c>
      <c r="F59" s="2926">
        <f>SUMIF('表30-5-2-3-1'!$A:$A,"E1"&amp;'表30-5-2-2-1'!$A59&amp;"Q",'表30-5-2-3-1'!$X:$X)</f>
        <v>0</v>
      </c>
      <c r="G59" s="2455">
        <f>SUMIF('表30-5-2-3-1'!$A:$A,"E1"&amp;'表30-5-2-2-1'!$A59&amp;"L",'表30-5-2-3-1'!$V:$V)</f>
        <v>0</v>
      </c>
      <c r="H59" s="2455">
        <f>'表30-5-2-1-1'!D57</f>
        <v>0</v>
      </c>
      <c r="I59" s="2455">
        <f>SUMIF('表30-5-2-3-1'!$A:$A,"E2"&amp;'表30-5-2-2-1'!$A59&amp;"Q",'表30-5-2-3-1'!$O:$O)</f>
        <v>0</v>
      </c>
      <c r="J59" s="2926">
        <f>SUMIF('表30-5-2-3-1'!$A:$A,"E2"&amp;'表30-5-2-2-1'!$A59&amp;"Q",'表30-5-2-3-1'!$X:$X)</f>
        <v>0</v>
      </c>
      <c r="K59" s="2455">
        <f>SUMIF('表30-5-2-3-1'!$A:$A,"E2"&amp;'表30-5-2-2-1'!$A59&amp;"L",'表30-5-2-3-1'!$V:$V)</f>
        <v>0</v>
      </c>
      <c r="L59" s="2454">
        <f>'表30-5-2-1-1'!E57</f>
        <v>0</v>
      </c>
      <c r="M59" s="2454">
        <f>'表30-5-2-1-1'!F57</f>
        <v>0</v>
      </c>
      <c r="N59" s="2454">
        <f>'表30-5-2-1-1'!G57</f>
        <v>0</v>
      </c>
      <c r="O59" s="2454">
        <f>'表30-5-2-1-1'!H57</f>
        <v>0</v>
      </c>
      <c r="P59" s="2456">
        <f>'表30-5-2-1-1'!I57</f>
        <v>0</v>
      </c>
      <c r="Q59" s="2712">
        <f>((($D59+$E59)*'表30-5-2-4-2'!$G19+$G59*'表30-5-2-4-2'!$AL19)*'表30-5-2-4-2'!$B$82+(($H59+$I59)*'表30-5-2-4-2'!$N19+$K59*'表30-5-2-4-2'!$AL38)*'表30-5-2-4-2'!$C$82+$L59*'表30-5-2-4-2'!$G57*'表30-5-2-4-2'!$D$82+$M59*'表30-5-2-4-2'!$N57*'表30-5-2-4-2'!$E$82+$N59*'表30-5-2-4-2'!$N38*'表30-5-2-4-2'!$F$82+$O59*'表30-5-2-4-2'!$G38*'表30-5-2-4-2'!$G$82+$P59*'表30-5-2-4-2'!$G76*'表30-5-2-4-2'!$H$82)/1000*(1+'表30-5-2-4-2'!$B$83)*'表30-5-2-4-1'!$B$48</f>
        <v>0</v>
      </c>
    </row>
    <row r="60" spans="1:17" ht="16.5">
      <c r="A60" s="1188" t="s">
        <v>3645</v>
      </c>
      <c r="B60" s="2445">
        <v>12</v>
      </c>
      <c r="C60" s="2446" t="s">
        <v>3646</v>
      </c>
      <c r="D60" s="2454">
        <f>'表30-5-2-1-1'!C58</f>
        <v>0</v>
      </c>
      <c r="E60" s="2455">
        <f>SUMIF('表30-5-2-3-1'!$A:$A,"E1"&amp;'表30-5-2-2-1'!$A60&amp;"Q",'表30-5-2-3-1'!$O:$O)</f>
        <v>0</v>
      </c>
      <c r="F60" s="2926">
        <f>SUMIF('表30-5-2-3-1'!$A:$A,"E1"&amp;'表30-5-2-2-1'!$A60&amp;"Q",'表30-5-2-3-1'!$X:$X)</f>
        <v>0</v>
      </c>
      <c r="G60" s="2455">
        <f>SUMIF('表30-5-2-3-1'!$A:$A,"E1"&amp;'表30-5-2-2-1'!$A60&amp;"L",'表30-5-2-3-1'!$V:$V)</f>
        <v>0</v>
      </c>
      <c r="H60" s="2455">
        <f>'表30-5-2-1-1'!D58</f>
        <v>0</v>
      </c>
      <c r="I60" s="2455">
        <f>SUMIF('表30-5-2-3-1'!$A:$A,"E2"&amp;'表30-5-2-2-1'!$A60&amp;"Q",'表30-5-2-3-1'!$O:$O)</f>
        <v>0</v>
      </c>
      <c r="J60" s="2926">
        <f>SUMIF('表30-5-2-3-1'!$A:$A,"E2"&amp;'表30-5-2-2-1'!$A60&amp;"Q",'表30-5-2-3-1'!$X:$X)</f>
        <v>0</v>
      </c>
      <c r="K60" s="2455">
        <f>SUMIF('表30-5-2-3-1'!$A:$A,"E2"&amp;'表30-5-2-2-1'!$A60&amp;"L",'表30-5-2-3-1'!$V:$V)</f>
        <v>0</v>
      </c>
      <c r="L60" s="2454">
        <f>'表30-5-2-1-1'!E58</f>
        <v>0</v>
      </c>
      <c r="M60" s="2454">
        <f>'表30-5-2-1-1'!F58</f>
        <v>0</v>
      </c>
      <c r="N60" s="2454">
        <f>'表30-5-2-1-1'!G58</f>
        <v>0</v>
      </c>
      <c r="O60" s="2454">
        <f>'表30-5-2-1-1'!H58</f>
        <v>0</v>
      </c>
      <c r="P60" s="2456">
        <f>'表30-5-2-1-1'!I58</f>
        <v>0</v>
      </c>
      <c r="Q60" s="2712">
        <f>((($D60+$E60)*'表30-5-2-4-2'!$G20+$G60*'表30-5-2-4-2'!$AL20)*'表30-5-2-4-2'!$B$82+(($H60+$I60)*'表30-5-2-4-2'!$N20+$K60*'表30-5-2-4-2'!$AL39)*'表30-5-2-4-2'!$C$82+$L60*'表30-5-2-4-2'!$G58*'表30-5-2-4-2'!$D$82+$M60*'表30-5-2-4-2'!$N58*'表30-5-2-4-2'!$E$82+$N60*'表30-5-2-4-2'!$N39*'表30-5-2-4-2'!$F$82+$O60*'表30-5-2-4-2'!$G39*'表30-5-2-4-2'!$G$82+$P60*'表30-5-2-4-2'!$G77*'表30-5-2-4-2'!$H$82)/1000*(1+'表30-5-2-4-2'!$B$83)*'表30-5-2-4-1'!$B$48</f>
        <v>0</v>
      </c>
    </row>
    <row r="61" spans="1:17" ht="16.5">
      <c r="A61" s="1188" t="s">
        <v>3647</v>
      </c>
      <c r="B61" s="2445">
        <v>13</v>
      </c>
      <c r="C61" s="2446" t="s">
        <v>3648</v>
      </c>
      <c r="D61" s="2454">
        <f>'表30-5-2-1-1'!C59</f>
        <v>0</v>
      </c>
      <c r="E61" s="2455">
        <f>SUMIF('表30-5-2-3-1'!$A:$A,"E1"&amp;'表30-5-2-2-1'!$A61&amp;"Q",'表30-5-2-3-1'!$O:$O)</f>
        <v>0</v>
      </c>
      <c r="F61" s="2926">
        <f>SUMIF('表30-5-2-3-1'!$A:$A,"E1"&amp;'表30-5-2-2-1'!$A61&amp;"Q",'表30-5-2-3-1'!$X:$X)</f>
        <v>0</v>
      </c>
      <c r="G61" s="2455">
        <f>SUMIF('表30-5-2-3-1'!$A:$A,"E1"&amp;'表30-5-2-2-1'!$A61&amp;"L",'表30-5-2-3-1'!$V:$V)</f>
        <v>0</v>
      </c>
      <c r="H61" s="2455">
        <f>'表30-5-2-1-1'!D59</f>
        <v>0</v>
      </c>
      <c r="I61" s="2455">
        <f>SUMIF('表30-5-2-3-1'!$A:$A,"E2"&amp;'表30-5-2-2-1'!$A61&amp;"Q",'表30-5-2-3-1'!$O:$O)</f>
        <v>0</v>
      </c>
      <c r="J61" s="2926">
        <f>SUMIF('表30-5-2-3-1'!$A:$A,"E2"&amp;'表30-5-2-2-1'!$A61&amp;"Q",'表30-5-2-3-1'!$X:$X)</f>
        <v>0</v>
      </c>
      <c r="K61" s="2455">
        <f>SUMIF('表30-5-2-3-1'!$A:$A,"E2"&amp;'表30-5-2-2-1'!$A61&amp;"L",'表30-5-2-3-1'!$V:$V)</f>
        <v>0</v>
      </c>
      <c r="L61" s="2454">
        <f>'表30-5-2-1-1'!E59</f>
        <v>0</v>
      </c>
      <c r="M61" s="2454">
        <f>'表30-5-2-1-1'!F59</f>
        <v>0</v>
      </c>
      <c r="N61" s="2454">
        <f>'表30-5-2-1-1'!G59</f>
        <v>0</v>
      </c>
      <c r="O61" s="2454">
        <f>'表30-5-2-1-1'!H59</f>
        <v>0</v>
      </c>
      <c r="P61" s="2456">
        <f>'表30-5-2-1-1'!I59</f>
        <v>0</v>
      </c>
      <c r="Q61" s="2712">
        <f>((($D61+$E61)*'表30-5-2-4-2'!$G21+$G61*'表30-5-2-4-2'!$AL21)*'表30-5-2-4-2'!$B$82+(($H61+$I61)*'表30-5-2-4-2'!$N21+$K61*'表30-5-2-4-2'!$AL40)*'表30-5-2-4-2'!$C$82+$L61*'表30-5-2-4-2'!$G59*'表30-5-2-4-2'!$D$82+$M61*'表30-5-2-4-2'!$N59*'表30-5-2-4-2'!$E$82+$N61*'表30-5-2-4-2'!$N40*'表30-5-2-4-2'!$F$82+$O61*'表30-5-2-4-2'!$G40*'表30-5-2-4-2'!$G$82+$P61*'表30-5-2-4-2'!$G78*'表30-5-2-4-2'!$H$82)/1000*(1+'表30-5-2-4-2'!$B$83)*'表30-5-2-4-1'!$B$48</f>
        <v>0</v>
      </c>
    </row>
    <row r="62" spans="1:17" ht="16.5">
      <c r="A62" s="1188" t="s">
        <v>3649</v>
      </c>
      <c r="B62" s="2445">
        <v>14</v>
      </c>
      <c r="C62" s="2451" t="s">
        <v>3650</v>
      </c>
      <c r="D62" s="2454">
        <f>'表30-5-2-1-1'!C60</f>
        <v>0</v>
      </c>
      <c r="E62" s="2455">
        <f>SUMIF('表30-5-2-3-1'!$A:$A,"E1"&amp;'表30-5-2-2-1'!$A62&amp;"Q",'表30-5-2-3-1'!$O:$O)</f>
        <v>0</v>
      </c>
      <c r="F62" s="2926">
        <f>SUMIF('表30-5-2-3-1'!$A:$A,"E1"&amp;'表30-5-2-2-1'!$A62&amp;"Q",'表30-5-2-3-1'!$X:$X)</f>
        <v>0</v>
      </c>
      <c r="G62" s="2455">
        <f>SUMIF('表30-5-2-3-1'!$A:$A,"E1"&amp;'表30-5-2-2-1'!$A62&amp;"L",'表30-5-2-3-1'!$V:$V)</f>
        <v>0</v>
      </c>
      <c r="H62" s="2455">
        <f>'表30-5-2-1-1'!D60</f>
        <v>0</v>
      </c>
      <c r="I62" s="2455">
        <f>SUMIF('表30-5-2-3-1'!$A:$A,"E2"&amp;'表30-5-2-2-1'!$A62&amp;"Q",'表30-5-2-3-1'!$O:$O)</f>
        <v>0</v>
      </c>
      <c r="J62" s="2926">
        <f>SUMIF('表30-5-2-3-1'!$A:$A,"E2"&amp;'表30-5-2-2-1'!$A62&amp;"Q",'表30-5-2-3-1'!$X:$X)</f>
        <v>0</v>
      </c>
      <c r="K62" s="2455">
        <f>SUMIF('表30-5-2-3-1'!$A:$A,"E2"&amp;'表30-5-2-2-1'!$A62&amp;"L",'表30-5-2-3-1'!$V:$V)</f>
        <v>0</v>
      </c>
      <c r="L62" s="2454">
        <f>'表30-5-2-1-1'!E60</f>
        <v>0</v>
      </c>
      <c r="M62" s="2454">
        <f>'表30-5-2-1-1'!F60</f>
        <v>0</v>
      </c>
      <c r="N62" s="2454">
        <f>'表30-5-2-1-1'!G60</f>
        <v>0</v>
      </c>
      <c r="O62" s="2454">
        <f>'表30-5-2-1-1'!H60</f>
        <v>0</v>
      </c>
      <c r="P62" s="2456">
        <f>'表30-5-2-1-1'!I60</f>
        <v>0</v>
      </c>
      <c r="Q62" s="2712">
        <f>((($D62+$E62)*'表30-5-2-4-2'!$G22+$G62*'表30-5-2-4-2'!$AL22)*'表30-5-2-4-2'!$B$82+(($H62+$I62)*'表30-5-2-4-2'!$N22+$K62*'表30-5-2-4-2'!$AL41)*'表30-5-2-4-2'!$C$82+$L62*'表30-5-2-4-2'!$G60*'表30-5-2-4-2'!$D$82+$M62*'表30-5-2-4-2'!$N60*'表30-5-2-4-2'!$E$82+$N62*'表30-5-2-4-2'!$N41*'表30-5-2-4-2'!$F$82+$O62*'表30-5-2-4-2'!$G41*'表30-5-2-4-2'!$G$82+$P62*'表30-5-2-4-2'!$G79*'表30-5-2-4-2'!$H$82)/1000*(1+'表30-5-2-4-2'!$B$83)*'表30-5-2-4-1'!$B$48</f>
        <v>0</v>
      </c>
    </row>
    <row r="63" spans="1:17" ht="17.25" thickBot="1">
      <c r="A63" s="1188">
        <v>99</v>
      </c>
      <c r="B63" s="3672" t="s">
        <v>5885</v>
      </c>
      <c r="C63" s="3673"/>
      <c r="D63" s="2697">
        <f>SUM(D48:D62)</f>
        <v>0</v>
      </c>
      <c r="E63" s="2698">
        <f t="shared" ref="E63:Q63" si="0">SUM(E48:E62)</f>
        <v>0</v>
      </c>
      <c r="F63" s="2927">
        <f t="shared" si="0"/>
        <v>0</v>
      </c>
      <c r="G63" s="2698">
        <f t="shared" si="0"/>
        <v>0</v>
      </c>
      <c r="H63" s="2698">
        <f t="shared" si="0"/>
        <v>0</v>
      </c>
      <c r="I63" s="2698">
        <f t="shared" si="0"/>
        <v>0</v>
      </c>
      <c r="J63" s="2927">
        <f t="shared" si="0"/>
        <v>0</v>
      </c>
      <c r="K63" s="2698">
        <f t="shared" si="0"/>
        <v>0</v>
      </c>
      <c r="L63" s="2698">
        <f t="shared" si="0"/>
        <v>0</v>
      </c>
      <c r="M63" s="2697">
        <f t="shared" si="0"/>
        <v>0</v>
      </c>
      <c r="N63" s="2697">
        <f t="shared" si="0"/>
        <v>0</v>
      </c>
      <c r="O63" s="2699">
        <f t="shared" si="0"/>
        <v>0</v>
      </c>
      <c r="P63" s="2700">
        <f t="shared" si="0"/>
        <v>0</v>
      </c>
      <c r="Q63" s="2701">
        <f t="shared" si="0"/>
        <v>0</v>
      </c>
    </row>
    <row r="64" spans="1:17" s="1189" customFormat="1">
      <c r="A64" s="1188"/>
    </row>
    <row r="65" spans="1:17" s="1189" customFormat="1" ht="17.25" thickBot="1">
      <c r="A65" s="1188"/>
      <c r="B65" s="2722" t="s">
        <v>3858</v>
      </c>
      <c r="C65" s="2419"/>
      <c r="D65" s="2419"/>
      <c r="E65" s="2419"/>
      <c r="F65" s="2419"/>
      <c r="G65" s="2419"/>
      <c r="H65" s="2419"/>
      <c r="I65" s="2419"/>
      <c r="J65" s="2419"/>
      <c r="K65" s="2419"/>
      <c r="L65" s="2419"/>
      <c r="M65" s="2419"/>
      <c r="N65" s="2419"/>
      <c r="O65" s="2419"/>
      <c r="P65" s="2419"/>
      <c r="Q65" s="2426" t="s">
        <v>3614</v>
      </c>
    </row>
    <row r="66" spans="1:17" ht="16.5" customHeight="1">
      <c r="A66" s="3662" t="s">
        <v>3615</v>
      </c>
      <c r="B66" s="3663" t="s">
        <v>3588</v>
      </c>
      <c r="C66" s="3665" t="s">
        <v>5838</v>
      </c>
      <c r="D66" s="3678" t="s">
        <v>3739</v>
      </c>
      <c r="E66" s="3679"/>
      <c r="F66" s="3679"/>
      <c r="G66" s="3679"/>
      <c r="H66" s="3679"/>
      <c r="I66" s="3679"/>
      <c r="J66" s="3679"/>
      <c r="K66" s="3679"/>
      <c r="L66" s="3679"/>
      <c r="M66" s="3679"/>
      <c r="N66" s="3679"/>
      <c r="O66" s="3679"/>
      <c r="P66" s="3680"/>
      <c r="Q66" s="2692" t="s">
        <v>5882</v>
      </c>
    </row>
    <row r="67" spans="1:17" ht="57.75" customHeight="1">
      <c r="A67" s="3662"/>
      <c r="B67" s="3664"/>
      <c r="C67" s="3666"/>
      <c r="D67" s="2693" t="s">
        <v>5889</v>
      </c>
      <c r="E67" s="2694" t="s">
        <v>5890</v>
      </c>
      <c r="F67" s="2925" t="s">
        <v>6312</v>
      </c>
      <c r="G67" s="2694" t="s">
        <v>5891</v>
      </c>
      <c r="H67" s="2694" t="s">
        <v>5892</v>
      </c>
      <c r="I67" s="2694" t="s">
        <v>5893</v>
      </c>
      <c r="J67" s="2925" t="s">
        <v>6313</v>
      </c>
      <c r="K67" s="2694" t="s">
        <v>5894</v>
      </c>
      <c r="L67" s="2681" t="s">
        <v>3733</v>
      </c>
      <c r="M67" s="2681" t="s">
        <v>3734</v>
      </c>
      <c r="N67" s="2681" t="s">
        <v>3735</v>
      </c>
      <c r="O67" s="2681" t="s">
        <v>3736</v>
      </c>
      <c r="P67" s="2695" t="s">
        <v>3737</v>
      </c>
      <c r="Q67" s="2696" t="s">
        <v>3620</v>
      </c>
    </row>
    <row r="68" spans="1:17" ht="16.5">
      <c r="A68" s="1188" t="s">
        <v>3621</v>
      </c>
      <c r="B68" s="2445">
        <v>1</v>
      </c>
      <c r="C68" s="2446" t="s">
        <v>3622</v>
      </c>
      <c r="D68" s="2454">
        <f>'表30-5-2-1-1'!C67</f>
        <v>0</v>
      </c>
      <c r="E68" s="2455">
        <f>SUMIF('表30-5-2-3-1'!$A:$A,"E1"&amp;'表30-5-2-2-1'!$A68&amp;"Q",'表30-5-2-3-1'!$P:$P)</f>
        <v>0</v>
      </c>
      <c r="F68" s="2926">
        <f>SUMIF('表30-5-2-3-1'!$A:$A,"E1"&amp;'表30-5-2-2-1'!$A68&amp;"Q",'表30-5-2-3-1'!$Y:$Y)</f>
        <v>0</v>
      </c>
      <c r="G68" s="2455">
        <f>SUMIF('表30-5-2-3-1'!$A:$A,"E1"&amp;'表30-5-2-2-1'!$A68&amp;"L",'表30-5-2-3-1'!$W:$W)</f>
        <v>0</v>
      </c>
      <c r="H68" s="2455">
        <f>'表30-5-2-1-1'!D67</f>
        <v>0</v>
      </c>
      <c r="I68" s="2455">
        <f>SUMIF('表30-5-2-3-1'!$A:$A,"E2"&amp;'表30-5-2-2-1'!$A68&amp;"Q",'表30-5-2-3-1'!$P:$P)</f>
        <v>0</v>
      </c>
      <c r="J68" s="2926">
        <f>SUMIF('表30-5-2-3-1'!$A:$A,"E2"&amp;'表30-5-2-2-1'!$A68&amp;"Q",'表30-5-2-3-1'!$Y:$Y)</f>
        <v>0</v>
      </c>
      <c r="K68" s="2455">
        <f>SUMIF('表30-5-2-3-1'!$A:$A,"E2"&amp;'表30-5-2-2-1'!$A68&amp;"L",'表30-5-2-3-1'!$W:$W)</f>
        <v>0</v>
      </c>
      <c r="L68" s="2454">
        <f>'表30-5-2-1-1'!E67</f>
        <v>0</v>
      </c>
      <c r="M68" s="2447">
        <f>'表30-5-2-1-1'!F67</f>
        <v>0</v>
      </c>
      <c r="N68" s="2447">
        <f>'表30-5-2-1-1'!G67</f>
        <v>0</v>
      </c>
      <c r="O68" s="2457">
        <f>'表30-5-2-1-1'!H67</f>
        <v>0</v>
      </c>
      <c r="P68" s="2458">
        <f>'表30-5-2-1-1'!I67</f>
        <v>0</v>
      </c>
      <c r="Q68" s="2712">
        <f>(((D68+$E68)*'表30-5-2-4-2'!G8+G68*'表30-5-2-4-2'!AL8)*'表30-5-2-4-2'!$B$82+((H68+$I68)*'表30-5-2-4-2'!N8+K68*'表30-5-2-4-2'!AL27)*'表30-5-2-4-2'!$C$82+$L68*'表30-5-2-4-2'!G46*'表30-5-2-4-2'!$D$82+$M68*'表30-5-2-4-2'!N46*'表30-5-2-4-2'!$E$82+$N68*'表30-5-2-4-2'!N27*'表30-5-2-4-2'!$F$82+$O68*'表30-5-2-4-2'!G27*'表30-5-2-4-2'!$G$82+$P68*'表30-5-2-4-2'!G65*'表30-5-2-4-2'!$H$82)/1000*(1+'表30-5-2-4-2'!$B$83)*'表30-5-2-4-1'!$B$48</f>
        <v>0</v>
      </c>
    </row>
    <row r="69" spans="1:17" ht="16.5">
      <c r="A69" s="1188" t="s">
        <v>3623</v>
      </c>
      <c r="B69" s="2445">
        <v>1.1000000000000001</v>
      </c>
      <c r="C69" s="2446" t="s">
        <v>3624</v>
      </c>
      <c r="D69" s="2454">
        <f>'表30-5-2-1-1'!C68</f>
        <v>0</v>
      </c>
      <c r="E69" s="2455">
        <f>SUMIF('表30-5-2-3-1'!$A:$A,"E1"&amp;'表30-5-2-2-1'!$A69&amp;"Q",'表30-5-2-3-1'!$P:$P)</f>
        <v>0</v>
      </c>
      <c r="F69" s="2926">
        <f>SUMIF('表30-5-2-3-1'!$A:$A,"E1"&amp;'表30-5-2-2-1'!$A69&amp;"Q",'表30-5-2-3-1'!$Y:$Y)</f>
        <v>0</v>
      </c>
      <c r="G69" s="2455">
        <f>SUMIF('表30-5-2-3-1'!$A:$A,"E1"&amp;'表30-5-2-2-1'!$A69&amp;"L",'表30-5-2-3-1'!$W:$W)</f>
        <v>0</v>
      </c>
      <c r="H69" s="2455">
        <f>'表30-5-2-1-1'!D68</f>
        <v>0</v>
      </c>
      <c r="I69" s="2455">
        <f>SUMIF('表30-5-2-3-1'!$A:$A,"E2"&amp;'表30-5-2-2-1'!$A69&amp;"Q",'表30-5-2-3-1'!$P:$P)</f>
        <v>0</v>
      </c>
      <c r="J69" s="2926">
        <f>SUMIF('表30-5-2-3-1'!$A:$A,"E2"&amp;'表30-5-2-2-1'!$A69&amp;"Q",'表30-5-2-3-1'!$Y:$Y)</f>
        <v>0</v>
      </c>
      <c r="K69" s="2455">
        <f>SUMIF('表30-5-2-3-1'!$A:$A,"E2"&amp;'表30-5-2-2-1'!$A69&amp;"L",'表30-5-2-3-1'!$W:$W)</f>
        <v>0</v>
      </c>
      <c r="L69" s="2454">
        <f>'表30-5-2-1-1'!E68</f>
        <v>0</v>
      </c>
      <c r="M69" s="2447">
        <f>'表30-5-2-1-1'!F68</f>
        <v>0</v>
      </c>
      <c r="N69" s="2447">
        <f>'表30-5-2-1-1'!G68</f>
        <v>0</v>
      </c>
      <c r="O69" s="2457">
        <f>'表30-5-2-1-1'!H68</f>
        <v>0</v>
      </c>
      <c r="P69" s="2458">
        <f>'表30-5-2-1-1'!I68</f>
        <v>0</v>
      </c>
      <c r="Q69" s="2712">
        <f>(((D69+$E69)*'表30-5-2-4-2'!G9+G69*'表30-5-2-4-2'!AL9)*'表30-5-2-4-2'!$B$82+((H69+$I69)*'表30-5-2-4-2'!N9+K69*'表30-5-2-4-2'!AL28)*'表30-5-2-4-2'!$C$82+$L69*'表30-5-2-4-2'!G47*'表30-5-2-4-2'!$D$82+$M69*'表30-5-2-4-2'!N47*'表30-5-2-4-2'!$E$82+$N69*'表30-5-2-4-2'!N28*'表30-5-2-4-2'!$F$82+$O69*'表30-5-2-4-2'!G28*'表30-5-2-4-2'!$G$82+$P69*'表30-5-2-4-2'!G66*'表30-5-2-4-2'!$H$82)/1000*(1+'表30-5-2-4-2'!$B$83)*'表30-5-2-4-1'!$B$48</f>
        <v>0</v>
      </c>
    </row>
    <row r="70" spans="1:17" ht="16.5">
      <c r="A70" s="1188" t="s">
        <v>3625</v>
      </c>
      <c r="B70" s="2445">
        <v>2</v>
      </c>
      <c r="C70" s="2446" t="s">
        <v>3626</v>
      </c>
      <c r="D70" s="2454">
        <f>'表30-5-2-1-1'!C69</f>
        <v>0</v>
      </c>
      <c r="E70" s="2455">
        <f>SUMIF('表30-5-2-3-1'!$A:$A,"E1"&amp;'表30-5-2-2-1'!$A70&amp;"Q",'表30-5-2-3-1'!$P:$P)</f>
        <v>0</v>
      </c>
      <c r="F70" s="2926">
        <f>SUMIF('表30-5-2-3-1'!$A:$A,"E1"&amp;'表30-5-2-2-1'!$A70&amp;"Q",'表30-5-2-3-1'!$Y:$Y)</f>
        <v>0</v>
      </c>
      <c r="G70" s="2455">
        <f>SUMIF('表30-5-2-3-1'!$A:$A,"E1"&amp;'表30-5-2-2-1'!$A70&amp;"L",'表30-5-2-3-1'!$W:$W)</f>
        <v>0</v>
      </c>
      <c r="H70" s="2455">
        <f>'表30-5-2-1-1'!D69</f>
        <v>0</v>
      </c>
      <c r="I70" s="2455">
        <f>SUMIF('表30-5-2-3-1'!$A:$A,"E2"&amp;'表30-5-2-2-1'!$A70&amp;"Q",'表30-5-2-3-1'!$P:$P)</f>
        <v>0</v>
      </c>
      <c r="J70" s="2926">
        <f>SUMIF('表30-5-2-3-1'!$A:$A,"E2"&amp;'表30-5-2-2-1'!$A70&amp;"Q",'表30-5-2-3-1'!$Y:$Y)</f>
        <v>0</v>
      </c>
      <c r="K70" s="2455">
        <f>SUMIF('表30-5-2-3-1'!$A:$A,"E2"&amp;'表30-5-2-2-1'!$A70&amp;"L",'表30-5-2-3-1'!$W:$W)</f>
        <v>0</v>
      </c>
      <c r="L70" s="2454">
        <f>'表30-5-2-1-1'!E69</f>
        <v>0</v>
      </c>
      <c r="M70" s="2447">
        <f>'表30-5-2-1-1'!F69</f>
        <v>0</v>
      </c>
      <c r="N70" s="2447">
        <f>'表30-5-2-1-1'!G69</f>
        <v>0</v>
      </c>
      <c r="O70" s="2457">
        <f>'表30-5-2-1-1'!H69</f>
        <v>0</v>
      </c>
      <c r="P70" s="2458">
        <f>'表30-5-2-1-1'!I69</f>
        <v>0</v>
      </c>
      <c r="Q70" s="2712">
        <f>(((D70+$E70)*'表30-5-2-4-2'!G10+G70*'表30-5-2-4-2'!AL10)*'表30-5-2-4-2'!$B$82+((H70+$I70)*'表30-5-2-4-2'!N10+K70*'表30-5-2-4-2'!AL29)*'表30-5-2-4-2'!$C$82+$L70*'表30-5-2-4-2'!G48*'表30-5-2-4-2'!$D$82+$M70*'表30-5-2-4-2'!N48*'表30-5-2-4-2'!$E$82+$N70*'表30-5-2-4-2'!N29*'表30-5-2-4-2'!$F$82+$O70*'表30-5-2-4-2'!G29*'表30-5-2-4-2'!$G$82+$P70*'表30-5-2-4-2'!G67*'表30-5-2-4-2'!$H$82)/1000*(1+'表30-5-2-4-2'!$B$83)*'表30-5-2-4-1'!$B$48</f>
        <v>0</v>
      </c>
    </row>
    <row r="71" spans="1:17" ht="16.5">
      <c r="A71" s="1188" t="s">
        <v>3627</v>
      </c>
      <c r="B71" s="2445">
        <v>3</v>
      </c>
      <c r="C71" s="2446" t="s">
        <v>3628</v>
      </c>
      <c r="D71" s="2454">
        <f>'表30-5-2-1-1'!C70</f>
        <v>0</v>
      </c>
      <c r="E71" s="2455">
        <f>SUMIF('表30-5-2-3-1'!$A:$A,"E1"&amp;'表30-5-2-2-1'!$A71&amp;"Q",'表30-5-2-3-1'!$P:$P)</f>
        <v>0</v>
      </c>
      <c r="F71" s="2926">
        <f>SUMIF('表30-5-2-3-1'!$A:$A,"E1"&amp;'表30-5-2-2-1'!$A71&amp;"Q",'表30-5-2-3-1'!$Y:$Y)</f>
        <v>0</v>
      </c>
      <c r="G71" s="2455">
        <f>SUMIF('表30-5-2-3-1'!$A:$A,"E1"&amp;'表30-5-2-2-1'!$A71&amp;"L",'表30-5-2-3-1'!$W:$W)</f>
        <v>0</v>
      </c>
      <c r="H71" s="2455">
        <f>'表30-5-2-1-1'!D70</f>
        <v>0</v>
      </c>
      <c r="I71" s="2455">
        <f>SUMIF('表30-5-2-3-1'!$A:$A,"E2"&amp;'表30-5-2-2-1'!$A71&amp;"Q",'表30-5-2-3-1'!$P:$P)</f>
        <v>0</v>
      </c>
      <c r="J71" s="2926">
        <f>SUMIF('表30-5-2-3-1'!$A:$A,"E2"&amp;'表30-5-2-2-1'!$A71&amp;"Q",'表30-5-2-3-1'!$Y:$Y)</f>
        <v>0</v>
      </c>
      <c r="K71" s="2455">
        <f>SUMIF('表30-5-2-3-1'!$A:$A,"E2"&amp;'表30-5-2-2-1'!$A71&amp;"L",'表30-5-2-3-1'!$W:$W)</f>
        <v>0</v>
      </c>
      <c r="L71" s="2454">
        <f>'表30-5-2-1-1'!E70</f>
        <v>0</v>
      </c>
      <c r="M71" s="2447">
        <f>'表30-5-2-1-1'!F70</f>
        <v>0</v>
      </c>
      <c r="N71" s="2447">
        <f>'表30-5-2-1-1'!G70</f>
        <v>0</v>
      </c>
      <c r="O71" s="2457">
        <f>'表30-5-2-1-1'!H70</f>
        <v>0</v>
      </c>
      <c r="P71" s="2458">
        <f>'表30-5-2-1-1'!I70</f>
        <v>0</v>
      </c>
      <c r="Q71" s="2712">
        <f>(((D71+$E71)*'表30-5-2-4-2'!G11+G71*'表30-5-2-4-2'!AL11)*'表30-5-2-4-2'!$B$82+((H71+$I71)*'表30-5-2-4-2'!N11+K71*'表30-5-2-4-2'!AL30)*'表30-5-2-4-2'!$C$82+$L71*'表30-5-2-4-2'!G49*'表30-5-2-4-2'!$D$82+$M71*'表30-5-2-4-2'!N49*'表30-5-2-4-2'!$E$82+$N71*'表30-5-2-4-2'!N30*'表30-5-2-4-2'!$F$82+$O71*'表30-5-2-4-2'!G30*'表30-5-2-4-2'!$G$82+$P71*'表30-5-2-4-2'!G68*'表30-5-2-4-2'!$H$82)/1000*(1+'表30-5-2-4-2'!$B$83)*'表30-5-2-4-1'!$B$48</f>
        <v>0</v>
      </c>
    </row>
    <row r="72" spans="1:17" ht="16.5">
      <c r="A72" s="1188" t="s">
        <v>3629</v>
      </c>
      <c r="B72" s="2445">
        <v>4</v>
      </c>
      <c r="C72" s="2446" t="s">
        <v>3630</v>
      </c>
      <c r="D72" s="2454">
        <f>'表30-5-2-1-1'!C71</f>
        <v>0</v>
      </c>
      <c r="E72" s="2455">
        <f>SUMIF('表30-5-2-3-1'!$A:$A,"E1"&amp;'表30-5-2-2-1'!$A72&amp;"Q",'表30-5-2-3-1'!$P:$P)</f>
        <v>0</v>
      </c>
      <c r="F72" s="2926">
        <f>SUMIF('表30-5-2-3-1'!$A:$A,"E1"&amp;'表30-5-2-2-1'!$A72&amp;"Q",'表30-5-2-3-1'!$Y:$Y)</f>
        <v>0</v>
      </c>
      <c r="G72" s="2455">
        <f>SUMIF('表30-5-2-3-1'!$A:$A,"E1"&amp;'表30-5-2-2-1'!$A72&amp;"L",'表30-5-2-3-1'!$W:$W)</f>
        <v>0</v>
      </c>
      <c r="H72" s="2455">
        <f>'表30-5-2-1-1'!D71</f>
        <v>0</v>
      </c>
      <c r="I72" s="2455">
        <f>SUMIF('表30-5-2-3-1'!$A:$A,"E2"&amp;'表30-5-2-2-1'!$A72&amp;"Q",'表30-5-2-3-1'!$P:$P)</f>
        <v>0</v>
      </c>
      <c r="J72" s="2926">
        <f>SUMIF('表30-5-2-3-1'!$A:$A,"E2"&amp;'表30-5-2-2-1'!$A72&amp;"Q",'表30-5-2-3-1'!$Y:$Y)</f>
        <v>0</v>
      </c>
      <c r="K72" s="2455">
        <f>SUMIF('表30-5-2-3-1'!$A:$A,"E2"&amp;'表30-5-2-2-1'!$A72&amp;"L",'表30-5-2-3-1'!$W:$W)</f>
        <v>0</v>
      </c>
      <c r="L72" s="2454">
        <f>'表30-5-2-1-1'!E71</f>
        <v>0</v>
      </c>
      <c r="M72" s="2447">
        <f>'表30-5-2-1-1'!F71</f>
        <v>0</v>
      </c>
      <c r="N72" s="2447">
        <f>'表30-5-2-1-1'!G71</f>
        <v>0</v>
      </c>
      <c r="O72" s="2457">
        <f>'表30-5-2-1-1'!H71</f>
        <v>0</v>
      </c>
      <c r="P72" s="2458">
        <f>'表30-5-2-1-1'!I71</f>
        <v>0</v>
      </c>
      <c r="Q72" s="2712">
        <f>(((D72+$E72)*'表30-5-2-4-2'!G12+G72*'表30-5-2-4-2'!AL12)*'表30-5-2-4-2'!$B$82+((H72+$I72)*'表30-5-2-4-2'!N12+K72*'表30-5-2-4-2'!AL31)*'表30-5-2-4-2'!$C$82+$L72*'表30-5-2-4-2'!G50*'表30-5-2-4-2'!$D$82+$M72*'表30-5-2-4-2'!N50*'表30-5-2-4-2'!$E$82+$N72*'表30-5-2-4-2'!N31*'表30-5-2-4-2'!$F$82+$O72*'表30-5-2-4-2'!G31*'表30-5-2-4-2'!$G$82+$P72*'表30-5-2-4-2'!G69*'表30-5-2-4-2'!$H$82)/1000*(1+'表30-5-2-4-2'!$B$83)*'表30-5-2-4-1'!$B$48</f>
        <v>0</v>
      </c>
    </row>
    <row r="73" spans="1:17" ht="16.5">
      <c r="A73" s="1188" t="s">
        <v>3631</v>
      </c>
      <c r="B73" s="2445">
        <v>5</v>
      </c>
      <c r="C73" s="2446" t="s">
        <v>3632</v>
      </c>
      <c r="D73" s="2454">
        <f>'表30-5-2-1-1'!C72</f>
        <v>0</v>
      </c>
      <c r="E73" s="2455">
        <f>SUMIF('表30-5-2-3-1'!$A:$A,"E1"&amp;'表30-5-2-2-1'!$A73&amp;"Q",'表30-5-2-3-1'!$P:$P)</f>
        <v>0</v>
      </c>
      <c r="F73" s="2926">
        <f>SUMIF('表30-5-2-3-1'!$A:$A,"E1"&amp;'表30-5-2-2-1'!$A73&amp;"Q",'表30-5-2-3-1'!$Y:$Y)</f>
        <v>0</v>
      </c>
      <c r="G73" s="2455">
        <f>SUMIF('表30-5-2-3-1'!$A:$A,"E1"&amp;'表30-5-2-2-1'!$A73&amp;"L",'表30-5-2-3-1'!$W:$W)</f>
        <v>0</v>
      </c>
      <c r="H73" s="2455">
        <f>'表30-5-2-1-1'!D72</f>
        <v>0</v>
      </c>
      <c r="I73" s="2455">
        <f>SUMIF('表30-5-2-3-1'!$A:$A,"E2"&amp;'表30-5-2-2-1'!$A73&amp;"Q",'表30-5-2-3-1'!$P:$P)</f>
        <v>0</v>
      </c>
      <c r="J73" s="2926">
        <f>SUMIF('表30-5-2-3-1'!$A:$A,"E2"&amp;'表30-5-2-2-1'!$A73&amp;"Q",'表30-5-2-3-1'!$Y:$Y)</f>
        <v>0</v>
      </c>
      <c r="K73" s="2455">
        <f>SUMIF('表30-5-2-3-1'!$A:$A,"E2"&amp;'表30-5-2-2-1'!$A73&amp;"L",'表30-5-2-3-1'!$W:$W)</f>
        <v>0</v>
      </c>
      <c r="L73" s="2454">
        <f>'表30-5-2-1-1'!E72</f>
        <v>0</v>
      </c>
      <c r="M73" s="2447">
        <f>'表30-5-2-1-1'!F72</f>
        <v>0</v>
      </c>
      <c r="N73" s="2447">
        <f>'表30-5-2-1-1'!G72</f>
        <v>0</v>
      </c>
      <c r="O73" s="2457">
        <f>'表30-5-2-1-1'!H72</f>
        <v>0</v>
      </c>
      <c r="P73" s="2458">
        <f>'表30-5-2-1-1'!I72</f>
        <v>0</v>
      </c>
      <c r="Q73" s="2712">
        <f>(((D73+$E73)*'表30-5-2-4-2'!G13+G73*'表30-5-2-4-2'!AL13)*'表30-5-2-4-2'!$B$82+((H73+$I73)*'表30-5-2-4-2'!N13+K73*'表30-5-2-4-2'!AL32)*'表30-5-2-4-2'!$C$82+$L73*'表30-5-2-4-2'!G51*'表30-5-2-4-2'!$D$82+$M73*'表30-5-2-4-2'!N51*'表30-5-2-4-2'!$E$82+$N73*'表30-5-2-4-2'!N32*'表30-5-2-4-2'!$F$82+$O73*'表30-5-2-4-2'!G32*'表30-5-2-4-2'!$G$82+$P73*'表30-5-2-4-2'!G70*'表30-5-2-4-2'!$H$82)/1000*(1+'表30-5-2-4-2'!$B$83)*'表30-5-2-4-1'!$B$48</f>
        <v>0</v>
      </c>
    </row>
    <row r="74" spans="1:17" ht="16.5">
      <c r="A74" s="1188" t="s">
        <v>3633</v>
      </c>
      <c r="B74" s="2445">
        <v>6</v>
      </c>
      <c r="C74" s="2446" t="s">
        <v>3634</v>
      </c>
      <c r="D74" s="2454">
        <f>'表30-5-2-1-1'!C73</f>
        <v>0</v>
      </c>
      <c r="E74" s="2455">
        <f>SUMIF('表30-5-2-3-1'!$A:$A,"E1"&amp;'表30-5-2-2-1'!$A74&amp;"Q",'表30-5-2-3-1'!$P:$P)</f>
        <v>0</v>
      </c>
      <c r="F74" s="2926">
        <f>SUMIF('表30-5-2-3-1'!$A:$A,"E1"&amp;'表30-5-2-2-1'!$A74&amp;"Q",'表30-5-2-3-1'!$Y:$Y)</f>
        <v>0</v>
      </c>
      <c r="G74" s="2455">
        <f>SUMIF('表30-5-2-3-1'!$A:$A,"E1"&amp;'表30-5-2-2-1'!$A74&amp;"L",'表30-5-2-3-1'!$W:$W)</f>
        <v>0</v>
      </c>
      <c r="H74" s="2455">
        <f>'表30-5-2-1-1'!D73</f>
        <v>0</v>
      </c>
      <c r="I74" s="2455">
        <f>SUMIF('表30-5-2-3-1'!$A:$A,"E2"&amp;'表30-5-2-2-1'!$A74&amp;"Q",'表30-5-2-3-1'!$P:$P)</f>
        <v>0</v>
      </c>
      <c r="J74" s="2926">
        <f>SUMIF('表30-5-2-3-1'!$A:$A,"E2"&amp;'表30-5-2-2-1'!$A74&amp;"Q",'表30-5-2-3-1'!$Y:$Y)</f>
        <v>0</v>
      </c>
      <c r="K74" s="2455">
        <f>SUMIF('表30-5-2-3-1'!$A:$A,"E2"&amp;'表30-5-2-2-1'!$A74&amp;"L",'表30-5-2-3-1'!$W:$W)</f>
        <v>0</v>
      </c>
      <c r="L74" s="2454">
        <f>'表30-5-2-1-1'!E73</f>
        <v>0</v>
      </c>
      <c r="M74" s="2447">
        <f>'表30-5-2-1-1'!F73</f>
        <v>0</v>
      </c>
      <c r="N74" s="2447">
        <f>'表30-5-2-1-1'!G73</f>
        <v>0</v>
      </c>
      <c r="O74" s="2457">
        <f>'表30-5-2-1-1'!H73</f>
        <v>0</v>
      </c>
      <c r="P74" s="2458">
        <f>'表30-5-2-1-1'!I73</f>
        <v>0</v>
      </c>
      <c r="Q74" s="2712">
        <f>(((D74+$E74)*'表30-5-2-4-2'!G14+G74*'表30-5-2-4-2'!AL14)*'表30-5-2-4-2'!$B$82+((H74+$I74)*'表30-5-2-4-2'!N14+K74*'表30-5-2-4-2'!AL33)*'表30-5-2-4-2'!$C$82+$L74*'表30-5-2-4-2'!G52*'表30-5-2-4-2'!$D$82+$M74*'表30-5-2-4-2'!N52*'表30-5-2-4-2'!$E$82+$N74*'表30-5-2-4-2'!N33*'表30-5-2-4-2'!$F$82+$O74*'表30-5-2-4-2'!G33*'表30-5-2-4-2'!$G$82+$P74*'表30-5-2-4-2'!G71*'表30-5-2-4-2'!$H$82)/1000*(1+'表30-5-2-4-2'!$B$83)*'表30-5-2-4-1'!$B$48</f>
        <v>0</v>
      </c>
    </row>
    <row r="75" spans="1:17" ht="16.5">
      <c r="A75" s="1188" t="s">
        <v>3635</v>
      </c>
      <c r="B75" s="2445">
        <v>7</v>
      </c>
      <c r="C75" s="2446" t="s">
        <v>3636</v>
      </c>
      <c r="D75" s="2454">
        <f>'表30-5-2-1-1'!C74</f>
        <v>0</v>
      </c>
      <c r="E75" s="2455">
        <f>SUMIF('表30-5-2-3-1'!$A:$A,"E1"&amp;'表30-5-2-2-1'!$A75&amp;"Q",'表30-5-2-3-1'!$P:$P)</f>
        <v>0</v>
      </c>
      <c r="F75" s="2926">
        <f>SUMIF('表30-5-2-3-1'!$A:$A,"E1"&amp;'表30-5-2-2-1'!$A75&amp;"Q",'表30-5-2-3-1'!$Y:$Y)</f>
        <v>0</v>
      </c>
      <c r="G75" s="2455">
        <f>SUMIF('表30-5-2-3-1'!$A:$A,"E1"&amp;'表30-5-2-2-1'!$A75&amp;"L",'表30-5-2-3-1'!$W:$W)</f>
        <v>0</v>
      </c>
      <c r="H75" s="2455">
        <f>'表30-5-2-1-1'!D74</f>
        <v>0</v>
      </c>
      <c r="I75" s="2455">
        <f>SUMIF('表30-5-2-3-1'!$A:$A,"E2"&amp;'表30-5-2-2-1'!$A75&amp;"Q",'表30-5-2-3-1'!$P:$P)</f>
        <v>0</v>
      </c>
      <c r="J75" s="2926">
        <f>SUMIF('表30-5-2-3-1'!$A:$A,"E2"&amp;'表30-5-2-2-1'!$A75&amp;"Q",'表30-5-2-3-1'!$Y:$Y)</f>
        <v>0</v>
      </c>
      <c r="K75" s="2455">
        <f>SUMIF('表30-5-2-3-1'!$A:$A,"E2"&amp;'表30-5-2-2-1'!$A75&amp;"L",'表30-5-2-3-1'!$W:$W)</f>
        <v>0</v>
      </c>
      <c r="L75" s="2454">
        <f>'表30-5-2-1-1'!E74</f>
        <v>0</v>
      </c>
      <c r="M75" s="2447">
        <f>'表30-5-2-1-1'!F74</f>
        <v>0</v>
      </c>
      <c r="N75" s="2447">
        <f>'表30-5-2-1-1'!G74</f>
        <v>0</v>
      </c>
      <c r="O75" s="2457">
        <f>'表30-5-2-1-1'!H74</f>
        <v>0</v>
      </c>
      <c r="P75" s="2458">
        <f>'表30-5-2-1-1'!I74</f>
        <v>0</v>
      </c>
      <c r="Q75" s="2712">
        <f>(((D75+$E75)*'表30-5-2-4-2'!G15+G75*'表30-5-2-4-2'!AL15)*'表30-5-2-4-2'!$B$82+((H75+$I75)*'表30-5-2-4-2'!N15+K75*'表30-5-2-4-2'!AL34)*'表30-5-2-4-2'!$C$82+$L75*'表30-5-2-4-2'!G53*'表30-5-2-4-2'!$D$82+$M75*'表30-5-2-4-2'!N53*'表30-5-2-4-2'!$E$82+$N75*'表30-5-2-4-2'!N34*'表30-5-2-4-2'!$F$82+$O75*'表30-5-2-4-2'!G34*'表30-5-2-4-2'!$G$82+$P75*'表30-5-2-4-2'!G72*'表30-5-2-4-2'!$H$82)/1000*(1+'表30-5-2-4-2'!$B$83)*'表30-5-2-4-1'!$B$48</f>
        <v>0</v>
      </c>
    </row>
    <row r="76" spans="1:17" ht="16.5">
      <c r="A76" s="1188" t="s">
        <v>3637</v>
      </c>
      <c r="B76" s="2445">
        <v>8</v>
      </c>
      <c r="C76" s="2446" t="s">
        <v>3638</v>
      </c>
      <c r="D76" s="2454">
        <f>'表30-5-2-1-1'!C75</f>
        <v>0</v>
      </c>
      <c r="E76" s="2455">
        <f>SUMIF('表30-5-2-3-1'!$A:$A,"E1"&amp;'表30-5-2-2-1'!$A76&amp;"Q",'表30-5-2-3-1'!$P:$P)</f>
        <v>0</v>
      </c>
      <c r="F76" s="2926">
        <f>SUMIF('表30-5-2-3-1'!$A:$A,"E1"&amp;'表30-5-2-2-1'!$A76&amp;"Q",'表30-5-2-3-1'!$Y:$Y)</f>
        <v>0</v>
      </c>
      <c r="G76" s="2455">
        <f>SUMIF('表30-5-2-3-1'!$A:$A,"E1"&amp;'表30-5-2-2-1'!$A76&amp;"L",'表30-5-2-3-1'!$W:$W)</f>
        <v>0</v>
      </c>
      <c r="H76" s="2455">
        <f>'表30-5-2-1-1'!D75</f>
        <v>0</v>
      </c>
      <c r="I76" s="2455">
        <f>SUMIF('表30-5-2-3-1'!$A:$A,"E2"&amp;'表30-5-2-2-1'!$A76&amp;"Q",'表30-5-2-3-1'!$P:$P)</f>
        <v>0</v>
      </c>
      <c r="J76" s="2926">
        <f>SUMIF('表30-5-2-3-1'!$A:$A,"E2"&amp;'表30-5-2-2-1'!$A76&amp;"Q",'表30-5-2-3-1'!$Y:$Y)</f>
        <v>0</v>
      </c>
      <c r="K76" s="2455">
        <f>SUMIF('表30-5-2-3-1'!$A:$A,"E2"&amp;'表30-5-2-2-1'!$A76&amp;"L",'表30-5-2-3-1'!$W:$W)</f>
        <v>0</v>
      </c>
      <c r="L76" s="2454">
        <f>'表30-5-2-1-1'!E75</f>
        <v>0</v>
      </c>
      <c r="M76" s="2447">
        <f>'表30-5-2-1-1'!F75</f>
        <v>0</v>
      </c>
      <c r="N76" s="2447">
        <f>'表30-5-2-1-1'!G75</f>
        <v>0</v>
      </c>
      <c r="O76" s="2457">
        <f>'表30-5-2-1-1'!H75</f>
        <v>0</v>
      </c>
      <c r="P76" s="2458">
        <f>'表30-5-2-1-1'!I75</f>
        <v>0</v>
      </c>
      <c r="Q76" s="2712">
        <f>(((D76+$E76)*'表30-5-2-4-2'!G16+G76*'表30-5-2-4-2'!AL16)*'表30-5-2-4-2'!$B$82+((H76+$I76)*'表30-5-2-4-2'!N16+K76*'表30-5-2-4-2'!AL35)*'表30-5-2-4-2'!$C$82+$L76*'表30-5-2-4-2'!G54*'表30-5-2-4-2'!$D$82+$M76*'表30-5-2-4-2'!N54*'表30-5-2-4-2'!$E$82+$N76*'表30-5-2-4-2'!N35*'表30-5-2-4-2'!$F$82+$O76*'表30-5-2-4-2'!G35*'表30-5-2-4-2'!$G$82+$P76*'表30-5-2-4-2'!G73*'表30-5-2-4-2'!$H$82)/1000*(1+'表30-5-2-4-2'!$B$83)*'表30-5-2-4-1'!$B$48</f>
        <v>0</v>
      </c>
    </row>
    <row r="77" spans="1:17" ht="16.5">
      <c r="A77" s="1188" t="s">
        <v>3639</v>
      </c>
      <c r="B77" s="2445">
        <v>9</v>
      </c>
      <c r="C77" s="2446" t="s">
        <v>3640</v>
      </c>
      <c r="D77" s="2454">
        <f>'表30-5-2-1-1'!C76</f>
        <v>0</v>
      </c>
      <c r="E77" s="2455">
        <f>SUMIF('表30-5-2-3-1'!$A:$A,"E1"&amp;'表30-5-2-2-1'!$A77&amp;"Q",'表30-5-2-3-1'!$P:$P)</f>
        <v>0</v>
      </c>
      <c r="F77" s="2926">
        <f>SUMIF('表30-5-2-3-1'!$A:$A,"E1"&amp;'表30-5-2-2-1'!$A77&amp;"Q",'表30-5-2-3-1'!$Y:$Y)</f>
        <v>0</v>
      </c>
      <c r="G77" s="2455">
        <f>SUMIF('表30-5-2-3-1'!$A:$A,"E1"&amp;'表30-5-2-2-1'!$A77&amp;"L",'表30-5-2-3-1'!$W:$W)</f>
        <v>0</v>
      </c>
      <c r="H77" s="2455">
        <f>'表30-5-2-1-1'!D76</f>
        <v>0</v>
      </c>
      <c r="I77" s="2455">
        <f>SUMIF('表30-5-2-3-1'!$A:$A,"E2"&amp;'表30-5-2-2-1'!$A77&amp;"Q",'表30-5-2-3-1'!$P:$P)</f>
        <v>0</v>
      </c>
      <c r="J77" s="2926">
        <f>SUMIF('表30-5-2-3-1'!$A:$A,"E2"&amp;'表30-5-2-2-1'!$A77&amp;"Q",'表30-5-2-3-1'!$Y:$Y)</f>
        <v>0</v>
      </c>
      <c r="K77" s="2455">
        <f>SUMIF('表30-5-2-3-1'!$A:$A,"E2"&amp;'表30-5-2-2-1'!$A77&amp;"L",'表30-5-2-3-1'!$W:$W)</f>
        <v>0</v>
      </c>
      <c r="L77" s="2454">
        <f>'表30-5-2-1-1'!E76</f>
        <v>0</v>
      </c>
      <c r="M77" s="2447">
        <f>'表30-5-2-1-1'!F76</f>
        <v>0</v>
      </c>
      <c r="N77" s="2447">
        <f>'表30-5-2-1-1'!G76</f>
        <v>0</v>
      </c>
      <c r="O77" s="2457">
        <f>'表30-5-2-1-1'!H76</f>
        <v>0</v>
      </c>
      <c r="P77" s="2458">
        <f>'表30-5-2-1-1'!I76</f>
        <v>0</v>
      </c>
      <c r="Q77" s="2712">
        <f>(((D77+$E77)*'表30-5-2-4-2'!G17+G77*'表30-5-2-4-2'!AL17)*'表30-5-2-4-2'!$B$82+((H77+$I77)*'表30-5-2-4-2'!N17+K77*'表30-5-2-4-2'!AL36)*'表30-5-2-4-2'!$C$82+$L77*'表30-5-2-4-2'!G55*'表30-5-2-4-2'!$D$82+$M77*'表30-5-2-4-2'!N55*'表30-5-2-4-2'!$E$82+$N77*'表30-5-2-4-2'!N36*'表30-5-2-4-2'!$F$82+$O77*'表30-5-2-4-2'!G36*'表30-5-2-4-2'!$G$82+$P77*'表30-5-2-4-2'!G74*'表30-5-2-4-2'!$H$82)/1000*(1+'表30-5-2-4-2'!$B$83)*'表30-5-2-4-1'!$B$48</f>
        <v>0</v>
      </c>
    </row>
    <row r="78" spans="1:17" ht="16.5">
      <c r="A78" s="1188" t="s">
        <v>3641</v>
      </c>
      <c r="B78" s="2445">
        <v>10</v>
      </c>
      <c r="C78" s="2446" t="s">
        <v>3642</v>
      </c>
      <c r="D78" s="2454">
        <f>'表30-5-2-1-1'!C77</f>
        <v>0</v>
      </c>
      <c r="E78" s="2455">
        <f>SUMIF('表30-5-2-3-1'!$A:$A,"E1"&amp;'表30-5-2-2-1'!$A78&amp;"Q",'表30-5-2-3-1'!$P:$P)</f>
        <v>0</v>
      </c>
      <c r="F78" s="2926">
        <f>SUMIF('表30-5-2-3-1'!$A:$A,"E1"&amp;'表30-5-2-2-1'!$A78&amp;"Q",'表30-5-2-3-1'!$Y:$Y)</f>
        <v>0</v>
      </c>
      <c r="G78" s="2455">
        <f>SUMIF('表30-5-2-3-1'!$A:$A,"E1"&amp;'表30-5-2-2-1'!$A78&amp;"L",'表30-5-2-3-1'!$W:$W)</f>
        <v>0</v>
      </c>
      <c r="H78" s="2455">
        <f>'表30-5-2-1-1'!D77</f>
        <v>0</v>
      </c>
      <c r="I78" s="2455">
        <f>SUMIF('表30-5-2-3-1'!$A:$A,"E2"&amp;'表30-5-2-2-1'!$A78&amp;"Q",'表30-5-2-3-1'!$P:$P)</f>
        <v>0</v>
      </c>
      <c r="J78" s="2926">
        <f>SUMIF('表30-5-2-3-1'!$A:$A,"E2"&amp;'表30-5-2-2-1'!$A78&amp;"Q",'表30-5-2-3-1'!$Y:$Y)</f>
        <v>0</v>
      </c>
      <c r="K78" s="2455">
        <f>SUMIF('表30-5-2-3-1'!$A:$A,"E2"&amp;'表30-5-2-2-1'!$A78&amp;"L",'表30-5-2-3-1'!$W:$W)</f>
        <v>0</v>
      </c>
      <c r="L78" s="2454">
        <f>'表30-5-2-1-1'!E77</f>
        <v>0</v>
      </c>
      <c r="M78" s="2447">
        <f>'表30-5-2-1-1'!F77</f>
        <v>0</v>
      </c>
      <c r="N78" s="2447">
        <f>'表30-5-2-1-1'!G77</f>
        <v>0</v>
      </c>
      <c r="O78" s="2457">
        <f>'表30-5-2-1-1'!H77</f>
        <v>0</v>
      </c>
      <c r="P78" s="2458">
        <f>'表30-5-2-1-1'!I77</f>
        <v>0</v>
      </c>
      <c r="Q78" s="2712">
        <f>(((D78+$E78)*'表30-5-2-4-2'!G18+G78*'表30-5-2-4-2'!AL18)*'表30-5-2-4-2'!$B$82+((H78+$I78)*'表30-5-2-4-2'!N18+K78*'表30-5-2-4-2'!AL37)*'表30-5-2-4-2'!$C$82+$L78*'表30-5-2-4-2'!G56*'表30-5-2-4-2'!$D$82+$M78*'表30-5-2-4-2'!N56*'表30-5-2-4-2'!$E$82+$N78*'表30-5-2-4-2'!N37*'表30-5-2-4-2'!$F$82+$O78*'表30-5-2-4-2'!G37*'表30-5-2-4-2'!$G$82+$P78*'表30-5-2-4-2'!G75*'表30-5-2-4-2'!$H$82)/1000*(1+'表30-5-2-4-2'!$B$83)*'表30-5-2-4-1'!$B$48</f>
        <v>0</v>
      </c>
    </row>
    <row r="79" spans="1:17" ht="16.5">
      <c r="A79" s="1188" t="s">
        <v>3643</v>
      </c>
      <c r="B79" s="2445">
        <v>11</v>
      </c>
      <c r="C79" s="2446" t="s">
        <v>3644</v>
      </c>
      <c r="D79" s="2454">
        <f>'表30-5-2-1-1'!C78</f>
        <v>0</v>
      </c>
      <c r="E79" s="2455">
        <f>SUMIF('表30-5-2-3-1'!$A:$A,"E1"&amp;'表30-5-2-2-1'!$A79&amp;"Q",'表30-5-2-3-1'!$P:$P)</f>
        <v>0</v>
      </c>
      <c r="F79" s="2926">
        <f>SUMIF('表30-5-2-3-1'!$A:$A,"E1"&amp;'表30-5-2-2-1'!$A79&amp;"Q",'表30-5-2-3-1'!$Y:$Y)</f>
        <v>0</v>
      </c>
      <c r="G79" s="2455">
        <f>SUMIF('表30-5-2-3-1'!$A:$A,"E1"&amp;'表30-5-2-2-1'!$A79&amp;"L",'表30-5-2-3-1'!$W:$W)</f>
        <v>0</v>
      </c>
      <c r="H79" s="2455">
        <f>'表30-5-2-1-1'!D78</f>
        <v>0</v>
      </c>
      <c r="I79" s="2455">
        <f>SUMIF('表30-5-2-3-1'!$A:$A,"E2"&amp;'表30-5-2-2-1'!$A79&amp;"Q",'表30-5-2-3-1'!$P:$P)</f>
        <v>0</v>
      </c>
      <c r="J79" s="2926">
        <f>SUMIF('表30-5-2-3-1'!$A:$A,"E2"&amp;'表30-5-2-2-1'!$A79&amp;"Q",'表30-5-2-3-1'!$Y:$Y)</f>
        <v>0</v>
      </c>
      <c r="K79" s="2455">
        <f>SUMIF('表30-5-2-3-1'!$A:$A,"E2"&amp;'表30-5-2-2-1'!$A79&amp;"L",'表30-5-2-3-1'!$W:$W)</f>
        <v>0</v>
      </c>
      <c r="L79" s="2454">
        <f>'表30-5-2-1-1'!E78</f>
        <v>0</v>
      </c>
      <c r="M79" s="2447">
        <f>'表30-5-2-1-1'!F78</f>
        <v>0</v>
      </c>
      <c r="N79" s="2447">
        <f>'表30-5-2-1-1'!G78</f>
        <v>0</v>
      </c>
      <c r="O79" s="2457">
        <f>'表30-5-2-1-1'!H78</f>
        <v>0</v>
      </c>
      <c r="P79" s="2458">
        <f>'表30-5-2-1-1'!I78</f>
        <v>0</v>
      </c>
      <c r="Q79" s="2712">
        <f>(((D79+$E79)*'表30-5-2-4-2'!G19+G79*'表30-5-2-4-2'!AL19)*'表30-5-2-4-2'!$B$82+((H79+$I79)*'表30-5-2-4-2'!N19+K79*'表30-5-2-4-2'!AL38)*'表30-5-2-4-2'!$C$82+$L79*'表30-5-2-4-2'!G57*'表30-5-2-4-2'!$D$82+$M79*'表30-5-2-4-2'!N57*'表30-5-2-4-2'!$E$82+$N79*'表30-5-2-4-2'!N38*'表30-5-2-4-2'!$F$82+$O79*'表30-5-2-4-2'!G38*'表30-5-2-4-2'!$G$82+$P79*'表30-5-2-4-2'!G76*'表30-5-2-4-2'!$H$82)/1000*(1+'表30-5-2-4-2'!$B$83)*'表30-5-2-4-1'!$B$48</f>
        <v>0</v>
      </c>
    </row>
    <row r="80" spans="1:17" ht="16.5">
      <c r="A80" s="1188" t="s">
        <v>3645</v>
      </c>
      <c r="B80" s="2445">
        <v>12</v>
      </c>
      <c r="C80" s="2446" t="s">
        <v>3646</v>
      </c>
      <c r="D80" s="2454">
        <f>'表30-5-2-1-1'!C79</f>
        <v>0</v>
      </c>
      <c r="E80" s="2455">
        <f>SUMIF('表30-5-2-3-1'!$A:$A,"E1"&amp;'表30-5-2-2-1'!$A80&amp;"Q",'表30-5-2-3-1'!$P:$P)</f>
        <v>0</v>
      </c>
      <c r="F80" s="2926">
        <f>SUMIF('表30-5-2-3-1'!$A:$A,"E1"&amp;'表30-5-2-2-1'!$A80&amp;"Q",'表30-5-2-3-1'!$Y:$Y)</f>
        <v>0</v>
      </c>
      <c r="G80" s="2455">
        <f>SUMIF('表30-5-2-3-1'!$A:$A,"E1"&amp;'表30-5-2-2-1'!$A80&amp;"L",'表30-5-2-3-1'!$W:$W)</f>
        <v>0</v>
      </c>
      <c r="H80" s="2455">
        <f>'表30-5-2-1-1'!D79</f>
        <v>0</v>
      </c>
      <c r="I80" s="2455">
        <f>SUMIF('表30-5-2-3-1'!$A:$A,"E2"&amp;'表30-5-2-2-1'!$A80&amp;"Q",'表30-5-2-3-1'!$P:$P)</f>
        <v>0</v>
      </c>
      <c r="J80" s="2926">
        <f>SUMIF('表30-5-2-3-1'!$A:$A,"E2"&amp;'表30-5-2-2-1'!$A80&amp;"Q",'表30-5-2-3-1'!$Y:$Y)</f>
        <v>0</v>
      </c>
      <c r="K80" s="2455">
        <f>SUMIF('表30-5-2-3-1'!$A:$A,"E2"&amp;'表30-5-2-2-1'!$A80&amp;"L",'表30-5-2-3-1'!$W:$W)</f>
        <v>0</v>
      </c>
      <c r="L80" s="2454">
        <f>'表30-5-2-1-1'!E79</f>
        <v>0</v>
      </c>
      <c r="M80" s="2447">
        <f>'表30-5-2-1-1'!F79</f>
        <v>0</v>
      </c>
      <c r="N80" s="2447">
        <f>'表30-5-2-1-1'!G79</f>
        <v>0</v>
      </c>
      <c r="O80" s="2457">
        <f>'表30-5-2-1-1'!H79</f>
        <v>0</v>
      </c>
      <c r="P80" s="2458">
        <f>'表30-5-2-1-1'!I79</f>
        <v>0</v>
      </c>
      <c r="Q80" s="2712">
        <f>(((D80+$E80)*'表30-5-2-4-2'!G20+G80*'表30-5-2-4-2'!AL20)*'表30-5-2-4-2'!$B$82+((H80+$I80)*'表30-5-2-4-2'!N20+K80*'表30-5-2-4-2'!AL39)*'表30-5-2-4-2'!$C$82+$L80*'表30-5-2-4-2'!G58*'表30-5-2-4-2'!$D$82+$M80*'表30-5-2-4-2'!N58*'表30-5-2-4-2'!$E$82+$N80*'表30-5-2-4-2'!N39*'表30-5-2-4-2'!$F$82+$O80*'表30-5-2-4-2'!G39*'表30-5-2-4-2'!$G$82+$P80*'表30-5-2-4-2'!G77*'表30-5-2-4-2'!$H$82)/1000*(1+'表30-5-2-4-2'!$B$83)*'表30-5-2-4-1'!$B$48</f>
        <v>0</v>
      </c>
    </row>
    <row r="81" spans="1:17" ht="16.5">
      <c r="A81" s="1188" t="s">
        <v>3647</v>
      </c>
      <c r="B81" s="2445">
        <v>13</v>
      </c>
      <c r="C81" s="2446" t="s">
        <v>3648</v>
      </c>
      <c r="D81" s="2454">
        <f>'表30-5-2-1-1'!C80</f>
        <v>0</v>
      </c>
      <c r="E81" s="2455">
        <f>SUMIF('表30-5-2-3-1'!$A:$A,"E1"&amp;'表30-5-2-2-1'!$A81&amp;"Q",'表30-5-2-3-1'!$P:$P)</f>
        <v>0</v>
      </c>
      <c r="F81" s="2926">
        <f>SUMIF('表30-5-2-3-1'!$A:$A,"E1"&amp;'表30-5-2-2-1'!$A81&amp;"Q",'表30-5-2-3-1'!$Y:$Y)</f>
        <v>0</v>
      </c>
      <c r="G81" s="2455">
        <f>SUMIF('表30-5-2-3-1'!$A:$A,"E1"&amp;'表30-5-2-2-1'!$A81&amp;"L",'表30-5-2-3-1'!$W:$W)</f>
        <v>0</v>
      </c>
      <c r="H81" s="2455">
        <f>'表30-5-2-1-1'!D80</f>
        <v>0</v>
      </c>
      <c r="I81" s="2455">
        <f>SUMIF('表30-5-2-3-1'!$A:$A,"E2"&amp;'表30-5-2-2-1'!$A81&amp;"Q",'表30-5-2-3-1'!$P:$P)</f>
        <v>0</v>
      </c>
      <c r="J81" s="2926">
        <f>SUMIF('表30-5-2-3-1'!$A:$A,"E2"&amp;'表30-5-2-2-1'!$A81&amp;"Q",'表30-5-2-3-1'!$Y:$Y)</f>
        <v>0</v>
      </c>
      <c r="K81" s="2455">
        <f>SUMIF('表30-5-2-3-1'!$A:$A,"E2"&amp;'表30-5-2-2-1'!$A81&amp;"L",'表30-5-2-3-1'!$W:$W)</f>
        <v>0</v>
      </c>
      <c r="L81" s="2454">
        <f>'表30-5-2-1-1'!E80</f>
        <v>0</v>
      </c>
      <c r="M81" s="2447">
        <f>'表30-5-2-1-1'!F80</f>
        <v>0</v>
      </c>
      <c r="N81" s="2447">
        <f>'表30-5-2-1-1'!G80</f>
        <v>0</v>
      </c>
      <c r="O81" s="2457">
        <f>'表30-5-2-1-1'!H80</f>
        <v>0</v>
      </c>
      <c r="P81" s="2458">
        <f>'表30-5-2-1-1'!I80</f>
        <v>0</v>
      </c>
      <c r="Q81" s="2712">
        <f>(((D81+$E81)*'表30-5-2-4-2'!G21+G81*'表30-5-2-4-2'!AL21)*'表30-5-2-4-2'!$B$82+((H81+$I81)*'表30-5-2-4-2'!N21+K81*'表30-5-2-4-2'!AL40)*'表30-5-2-4-2'!$C$82+$L81*'表30-5-2-4-2'!G59*'表30-5-2-4-2'!$D$82+$M81*'表30-5-2-4-2'!N59*'表30-5-2-4-2'!$E$82+$N81*'表30-5-2-4-2'!N40*'表30-5-2-4-2'!$F$82+$O81*'表30-5-2-4-2'!G40*'表30-5-2-4-2'!$G$82+$P81*'表30-5-2-4-2'!G78*'表30-5-2-4-2'!$H$82)/1000*(1+'表30-5-2-4-2'!$B$83)*'表30-5-2-4-1'!$B$48</f>
        <v>0</v>
      </c>
    </row>
    <row r="82" spans="1:17" ht="16.5">
      <c r="A82" s="1188" t="s">
        <v>3649</v>
      </c>
      <c r="B82" s="2445">
        <v>14</v>
      </c>
      <c r="C82" s="2451" t="s">
        <v>3650</v>
      </c>
      <c r="D82" s="2454">
        <f>'表30-5-2-1-1'!C81</f>
        <v>0</v>
      </c>
      <c r="E82" s="2455">
        <f>SUMIF('表30-5-2-3-1'!$A:$A,"E1"&amp;'表30-5-2-2-1'!$A82&amp;"Q",'表30-5-2-3-1'!$P:$P)</f>
        <v>0</v>
      </c>
      <c r="F82" s="2926">
        <f>SUMIF('表30-5-2-3-1'!$A:$A,"E1"&amp;'表30-5-2-2-1'!$A82&amp;"Q",'表30-5-2-3-1'!$Y:$Y)</f>
        <v>0</v>
      </c>
      <c r="G82" s="2455">
        <f>SUMIF('表30-5-2-3-1'!$A:$A,"E1"&amp;'表30-5-2-2-1'!$A82&amp;"L",'表30-5-2-3-1'!$W:$W)</f>
        <v>0</v>
      </c>
      <c r="H82" s="2455">
        <f>'表30-5-2-1-1'!D81</f>
        <v>0</v>
      </c>
      <c r="I82" s="2455">
        <f>SUMIF('表30-5-2-3-1'!$A:$A,"E2"&amp;'表30-5-2-2-1'!$A82&amp;"Q",'表30-5-2-3-1'!$P:$P)</f>
        <v>0</v>
      </c>
      <c r="J82" s="2926">
        <f>SUMIF('表30-5-2-3-1'!$A:$A,"E2"&amp;'表30-5-2-2-1'!$A82&amp;"Q",'表30-5-2-3-1'!$Y:$Y)</f>
        <v>0</v>
      </c>
      <c r="K82" s="2455">
        <f>SUMIF('表30-5-2-3-1'!$A:$A,"E2"&amp;'表30-5-2-2-1'!$A82&amp;"L",'表30-5-2-3-1'!$W:$W)</f>
        <v>0</v>
      </c>
      <c r="L82" s="2454">
        <f>'表30-5-2-1-1'!E81</f>
        <v>0</v>
      </c>
      <c r="M82" s="2447">
        <f>'表30-5-2-1-1'!F81</f>
        <v>0</v>
      </c>
      <c r="N82" s="2447">
        <f>'表30-5-2-1-1'!G81</f>
        <v>0</v>
      </c>
      <c r="O82" s="2457">
        <f>'表30-5-2-1-1'!H81</f>
        <v>0</v>
      </c>
      <c r="P82" s="2458">
        <f>'表30-5-2-1-1'!I81</f>
        <v>0</v>
      </c>
      <c r="Q82" s="2712">
        <f>(((D82+$E82)*'表30-5-2-4-2'!G22+G82*'表30-5-2-4-2'!AL22)*'表30-5-2-4-2'!$B$82+((H82+$I82)*'表30-5-2-4-2'!N22+K82*'表30-5-2-4-2'!AL41)*'表30-5-2-4-2'!$C$82+$L82*'表30-5-2-4-2'!G60*'表30-5-2-4-2'!$D$82+$M82*'表30-5-2-4-2'!N60*'表30-5-2-4-2'!$E$82+$N82*'表30-5-2-4-2'!N41*'表30-5-2-4-2'!$F$82+$O82*'表30-5-2-4-2'!G41*'表30-5-2-4-2'!$G$82+$P82*'表30-5-2-4-2'!G79*'表30-5-2-4-2'!$H$82)/1000*(1+'表30-5-2-4-2'!$B$83)*'表30-5-2-4-1'!$B$48</f>
        <v>0</v>
      </c>
    </row>
    <row r="83" spans="1:17" ht="17.25" thickBot="1">
      <c r="A83" s="1188" t="s">
        <v>3651</v>
      </c>
      <c r="B83" s="3672" t="s">
        <v>5886</v>
      </c>
      <c r="C83" s="3673"/>
      <c r="D83" s="2702">
        <f t="shared" ref="D83:P83" si="1">SUM(D68:D82)</f>
        <v>0</v>
      </c>
      <c r="E83" s="2703">
        <f t="shared" si="1"/>
        <v>0</v>
      </c>
      <c r="F83" s="2928">
        <f t="shared" si="1"/>
        <v>0</v>
      </c>
      <c r="G83" s="2703">
        <f t="shared" si="1"/>
        <v>0</v>
      </c>
      <c r="H83" s="2703">
        <f t="shared" si="1"/>
        <v>0</v>
      </c>
      <c r="I83" s="2703">
        <f t="shared" si="1"/>
        <v>0</v>
      </c>
      <c r="J83" s="2928">
        <f t="shared" si="1"/>
        <v>0</v>
      </c>
      <c r="K83" s="2703">
        <f t="shared" si="1"/>
        <v>0</v>
      </c>
      <c r="L83" s="2703">
        <f t="shared" si="1"/>
        <v>0</v>
      </c>
      <c r="M83" s="2697">
        <f t="shared" si="1"/>
        <v>0</v>
      </c>
      <c r="N83" s="2697">
        <f t="shared" si="1"/>
        <v>0</v>
      </c>
      <c r="O83" s="2699">
        <f t="shared" si="1"/>
        <v>0</v>
      </c>
      <c r="P83" s="2700">
        <f t="shared" si="1"/>
        <v>0</v>
      </c>
      <c r="Q83" s="2704">
        <f>SUM(Q68:Q82)</f>
        <v>0</v>
      </c>
    </row>
    <row r="84" spans="1:17">
      <c r="B84" s="1188"/>
      <c r="C84" s="1188"/>
      <c r="D84" s="2459"/>
      <c r="E84" s="2459"/>
      <c r="F84" s="2459"/>
      <c r="G84" s="2459"/>
      <c r="H84" s="2460"/>
      <c r="I84" s="2460"/>
      <c r="J84" s="2460"/>
      <c r="K84" s="2460"/>
      <c r="L84" s="2460"/>
      <c r="M84" s="2460"/>
      <c r="N84" s="2460"/>
      <c r="O84" s="2460"/>
      <c r="P84" s="2460"/>
      <c r="Q84" s="2460"/>
    </row>
    <row r="85" spans="1:17">
      <c r="B85" s="1188"/>
      <c r="C85" s="1188"/>
      <c r="D85" s="2459"/>
      <c r="E85" s="2459"/>
      <c r="F85" s="2459"/>
      <c r="G85" s="2460"/>
      <c r="H85" s="2460"/>
      <c r="I85" s="2460"/>
      <c r="J85" s="2460"/>
      <c r="K85" s="2460"/>
      <c r="L85" s="2460"/>
      <c r="M85" s="2460"/>
      <c r="N85" s="2460"/>
      <c r="O85" s="2460"/>
      <c r="P85" s="2460"/>
      <c r="Q85" s="2460"/>
    </row>
    <row r="86" spans="1:17" ht="17.25" thickBot="1">
      <c r="B86" s="2722" t="s">
        <v>6061</v>
      </c>
      <c r="C86" s="2419"/>
      <c r="D86" s="2426" t="s">
        <v>5895</v>
      </c>
      <c r="F86" s="2459"/>
      <c r="G86" s="2460"/>
      <c r="H86" s="2460"/>
      <c r="I86" s="2460"/>
      <c r="J86" s="2460"/>
      <c r="K86" s="2460"/>
      <c r="L86" s="2460"/>
      <c r="M86" s="2460"/>
      <c r="N86" s="2460"/>
      <c r="O86" s="2460"/>
      <c r="P86" s="2460"/>
      <c r="Q86" s="2460"/>
    </row>
    <row r="87" spans="1:17" ht="16.5">
      <c r="B87" s="3686" t="s">
        <v>3612</v>
      </c>
      <c r="C87" s="3687"/>
      <c r="D87" s="2533" t="s">
        <v>3613</v>
      </c>
      <c r="E87" s="2459"/>
      <c r="F87" s="2460"/>
      <c r="G87" s="2460"/>
      <c r="H87" s="2460"/>
      <c r="I87" s="2460"/>
      <c r="J87" s="2460"/>
      <c r="K87" s="2460"/>
      <c r="L87" s="2460"/>
      <c r="M87" s="2460"/>
      <c r="N87" s="2460"/>
      <c r="O87" s="2460"/>
      <c r="P87" s="2460"/>
      <c r="Q87" s="2460"/>
    </row>
    <row r="88" spans="1:17">
      <c r="A88" s="1188">
        <v>99</v>
      </c>
      <c r="B88" s="3688" t="s">
        <v>5896</v>
      </c>
      <c r="C88" s="3689"/>
      <c r="D88" s="2710">
        <f>SUMIF($A$7:$A$22,$A88,H7:H22)+SUMIF($A$48:$A$63,$A88,Q48:Q63)</f>
        <v>0</v>
      </c>
      <c r="E88" s="2459"/>
      <c r="F88" s="2460"/>
      <c r="G88" s="2460"/>
      <c r="H88" s="2460"/>
      <c r="I88" s="2460"/>
      <c r="J88" s="2460"/>
      <c r="K88" s="2460"/>
      <c r="L88" s="2460"/>
      <c r="M88" s="2460"/>
      <c r="N88" s="2460"/>
      <c r="O88" s="1189"/>
      <c r="P88" s="1189"/>
      <c r="Q88" s="1189"/>
    </row>
    <row r="89" spans="1:17" ht="20.100000000000001" customHeight="1" thickBot="1">
      <c r="A89" s="1188" t="s">
        <v>5897</v>
      </c>
      <c r="B89" s="3690" t="s">
        <v>5898</v>
      </c>
      <c r="C89" s="3691"/>
      <c r="D89" s="2711">
        <f>SUMIF($A$27:$A$42,$A89,H27:H42)+SUMIF($A$68:$A$83,$A89,Q68:Q83)</f>
        <v>0</v>
      </c>
      <c r="E89" s="2460"/>
      <c r="F89" s="2460"/>
      <c r="G89" s="2460"/>
      <c r="H89" s="2460"/>
      <c r="I89" s="2460"/>
      <c r="J89" s="2460"/>
      <c r="K89" s="2460"/>
      <c r="L89" s="2460"/>
      <c r="M89" s="1189"/>
      <c r="N89" s="1189"/>
      <c r="O89" s="2460"/>
      <c r="P89" s="2460"/>
      <c r="Q89" s="2460"/>
    </row>
    <row r="90" spans="1:17" ht="20.100000000000001" customHeight="1">
      <c r="B90" s="2461"/>
      <c r="C90" s="2461"/>
      <c r="D90" s="2462"/>
      <c r="E90" s="2462"/>
      <c r="F90" s="2462"/>
      <c r="G90" s="2462"/>
      <c r="H90" s="2460"/>
      <c r="I90" s="2460"/>
      <c r="J90" s="2460"/>
      <c r="K90" s="2460"/>
      <c r="L90" s="2460"/>
      <c r="M90" s="2460"/>
      <c r="N90" s="2460"/>
      <c r="O90" s="2460"/>
      <c r="P90" s="2460"/>
      <c r="Q90" s="2460"/>
    </row>
    <row r="91" spans="1:17">
      <c r="B91" s="1188"/>
      <c r="C91" s="1188"/>
      <c r="D91" s="2459"/>
      <c r="E91" s="2459"/>
      <c r="F91" s="2459"/>
      <c r="G91" s="2460"/>
      <c r="H91" s="2460"/>
      <c r="I91" s="2460"/>
      <c r="J91" s="2460"/>
      <c r="K91" s="2460"/>
      <c r="L91" s="2460"/>
      <c r="M91" s="2460"/>
      <c r="N91" s="2460"/>
      <c r="O91" s="1189"/>
      <c r="P91" s="1189"/>
      <c r="Q91" s="1189"/>
    </row>
    <row r="92" spans="1:17" s="1189" customFormat="1" ht="17.25" thickBot="1">
      <c r="B92" s="2722" t="s">
        <v>6062</v>
      </c>
      <c r="C92" s="2438"/>
      <c r="D92" s="2426"/>
      <c r="E92" s="2426" t="s">
        <v>5895</v>
      </c>
    </row>
    <row r="93" spans="1:17" ht="16.5">
      <c r="A93" s="1189"/>
      <c r="B93" s="3692" t="s">
        <v>3589</v>
      </c>
      <c r="C93" s="3693"/>
      <c r="D93" s="3681" t="s">
        <v>5899</v>
      </c>
      <c r="E93" s="2705" t="s">
        <v>3619</v>
      </c>
      <c r="F93" s="1189"/>
      <c r="G93" s="1189"/>
      <c r="H93" s="1189"/>
      <c r="I93" s="1189"/>
      <c r="J93" s="1189"/>
      <c r="K93" s="1189"/>
      <c r="L93" s="1189"/>
      <c r="M93" s="1189"/>
      <c r="N93" s="1189"/>
      <c r="O93" s="1189"/>
      <c r="P93" s="1189"/>
      <c r="Q93" s="1189"/>
    </row>
    <row r="94" spans="1:17" ht="16.5">
      <c r="A94" s="1189"/>
      <c r="B94" s="3682" t="s">
        <v>5843</v>
      </c>
      <c r="C94" s="3647"/>
      <c r="D94" s="3648"/>
      <c r="E94" s="2696" t="s">
        <v>3620</v>
      </c>
      <c r="F94" s="1189"/>
      <c r="G94" s="1189"/>
      <c r="H94" s="1189"/>
      <c r="I94" s="1189"/>
      <c r="J94" s="1189"/>
      <c r="K94" s="1189"/>
      <c r="L94" s="1189"/>
      <c r="M94" s="1189"/>
      <c r="N94" s="1189"/>
      <c r="O94" s="1189"/>
      <c r="P94" s="1189"/>
      <c r="Q94" s="1189"/>
    </row>
    <row r="95" spans="1:17" ht="20.100000000000001" customHeight="1">
      <c r="A95" s="1188">
        <v>99</v>
      </c>
      <c r="B95" s="3683" t="s">
        <v>5900</v>
      </c>
      <c r="C95" s="3651"/>
      <c r="D95" s="2706">
        <f>'表30-5-2-1-1'!$C$87</f>
        <v>0</v>
      </c>
      <c r="E95" s="2707">
        <f>$D95*'表30-5-2-4-2'!F$89/1000*(1+'表30-5-2-4-2'!$B$92)*'表30-5-2-4-1'!$B$48</f>
        <v>0</v>
      </c>
      <c r="F95" s="1189"/>
      <c r="G95" s="1189"/>
      <c r="H95" s="1189"/>
      <c r="I95" s="1189"/>
      <c r="J95" s="1189"/>
      <c r="K95" s="1189"/>
      <c r="L95" s="1189"/>
      <c r="M95" s="1189"/>
      <c r="N95" s="1189"/>
      <c r="O95" s="1189"/>
      <c r="P95" s="1189"/>
      <c r="Q95" s="1189"/>
    </row>
    <row r="96" spans="1:17" ht="20.100000000000001" customHeight="1" thickBot="1">
      <c r="A96" s="1188" t="s">
        <v>3651</v>
      </c>
      <c r="B96" s="3684" t="s">
        <v>5886</v>
      </c>
      <c r="C96" s="3685"/>
      <c r="D96" s="2708">
        <f>'表30-5-2-1-1'!$D$87</f>
        <v>0</v>
      </c>
      <c r="E96" s="2709">
        <f>$D96*'表30-5-2-4-2'!F$89/1000*(1+'表30-5-2-4-2'!$B$92)*'表30-5-2-4-1'!$B$48</f>
        <v>0</v>
      </c>
      <c r="F96" s="1189"/>
      <c r="G96" s="1189"/>
      <c r="H96" s="1189"/>
      <c r="I96" s="1189"/>
      <c r="J96" s="1189"/>
      <c r="K96" s="1189"/>
      <c r="L96" s="1189"/>
      <c r="M96" s="1189"/>
      <c r="N96" s="1189"/>
      <c r="O96" s="2460"/>
      <c r="P96" s="2460"/>
      <c r="Q96" s="2460"/>
    </row>
    <row r="97" spans="1:17" s="1189" customFormat="1">
      <c r="A97" s="1188"/>
      <c r="O97" s="2460"/>
      <c r="P97" s="2460"/>
      <c r="Q97" s="2460"/>
    </row>
  </sheetData>
  <mergeCells count="35">
    <mergeCell ref="B95:C95"/>
    <mergeCell ref="B96:C96"/>
    <mergeCell ref="B87:C87"/>
    <mergeCell ref="B88:C88"/>
    <mergeCell ref="B89:C89"/>
    <mergeCell ref="B93:C93"/>
    <mergeCell ref="D93:D94"/>
    <mergeCell ref="B94:C94"/>
    <mergeCell ref="B63:C63"/>
    <mergeCell ref="A66:A67"/>
    <mergeCell ref="B66:B67"/>
    <mergeCell ref="C66:C67"/>
    <mergeCell ref="B83:C83"/>
    <mergeCell ref="D66:P66"/>
    <mergeCell ref="G25:G26"/>
    <mergeCell ref="E25:E26"/>
    <mergeCell ref="B42:C42"/>
    <mergeCell ref="B43:C43"/>
    <mergeCell ref="A46:A47"/>
    <mergeCell ref="B46:B47"/>
    <mergeCell ref="C46:C47"/>
    <mergeCell ref="F25:F26"/>
    <mergeCell ref="D46:P46"/>
    <mergeCell ref="B22:C22"/>
    <mergeCell ref="A25:A26"/>
    <mergeCell ref="B25:B26"/>
    <mergeCell ref="C25:C26"/>
    <mergeCell ref="D25:D26"/>
    <mergeCell ref="G5:G6"/>
    <mergeCell ref="A5:A6"/>
    <mergeCell ref="B5:B6"/>
    <mergeCell ref="C5:C6"/>
    <mergeCell ref="D5:D6"/>
    <mergeCell ref="E5:E6"/>
    <mergeCell ref="F5:F6"/>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30">
    <tabColor rgb="FFFF0000"/>
  </sheetPr>
  <dimension ref="A1:R98"/>
  <sheetViews>
    <sheetView view="pageBreakPreview" zoomScale="80" zoomScaleNormal="100" zoomScaleSheetLayoutView="80" workbookViewId="0">
      <selection activeCell="A2" sqref="A2"/>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45.125" style="2428" customWidth="1"/>
    <col min="7" max="7" width="40" style="2428" customWidth="1"/>
    <col min="8" max="8" width="30.625" style="2428" customWidth="1"/>
    <col min="9" max="9" width="29.25" style="2428" customWidth="1"/>
    <col min="10" max="10" width="44.25" style="2428" customWidth="1"/>
    <col min="11" max="11" width="35.75" style="2428" customWidth="1"/>
    <col min="12" max="15" width="21.125" style="2428" customWidth="1"/>
    <col min="16" max="16" width="21.125" style="1189" customWidth="1"/>
    <col min="17" max="17" width="21.125" style="2428" customWidth="1"/>
    <col min="18" max="16384" width="9" style="2428"/>
  </cols>
  <sheetData>
    <row r="1" spans="1:17" s="1189" customFormat="1" ht="21">
      <c r="A1" s="2747" t="str">
        <f>+封面!A3&amp;" "&amp;封面!A2</f>
        <v xml:space="preserve">        保險股份有限公司(○○分公司) 年度(月、季、半年)報表</v>
      </c>
      <c r="C1" s="2417"/>
      <c r="D1" s="2444"/>
    </row>
    <row r="2" spans="1:17" s="1189" customFormat="1" ht="21">
      <c r="A2" s="2417" t="s">
        <v>6043</v>
      </c>
      <c r="C2" s="2417"/>
      <c r="D2" s="2444"/>
    </row>
    <row r="3" spans="1:17" s="1189" customFormat="1" ht="20.25">
      <c r="B3" s="2417"/>
    </row>
    <row r="4" spans="1:17" s="1189" customFormat="1" ht="17.25" thickBot="1">
      <c r="A4" s="1188"/>
      <c r="B4" s="2722" t="s">
        <v>6055</v>
      </c>
      <c r="C4" s="2419"/>
      <c r="D4" s="2419"/>
      <c r="E4" s="2419"/>
      <c r="F4" s="2419"/>
      <c r="G4" s="2419"/>
      <c r="H4" s="2426" t="s">
        <v>3614</v>
      </c>
      <c r="P4" s="2463"/>
    </row>
    <row r="5" spans="1:17" ht="16.5" customHeight="1">
      <c r="A5" s="3662" t="s">
        <v>3615</v>
      </c>
      <c r="B5" s="3663" t="s">
        <v>3588</v>
      </c>
      <c r="C5" s="3665" t="s">
        <v>3589</v>
      </c>
      <c r="D5" s="3667" t="s">
        <v>3617</v>
      </c>
      <c r="E5" s="3668" t="s">
        <v>3618</v>
      </c>
      <c r="F5" s="3670" t="s">
        <v>6308</v>
      </c>
      <c r="G5" s="3660" t="s">
        <v>5881</v>
      </c>
      <c r="H5" s="2705" t="s">
        <v>3619</v>
      </c>
      <c r="I5" s="1189"/>
      <c r="J5" s="1189"/>
      <c r="K5" s="1189"/>
      <c r="L5" s="1189"/>
      <c r="M5" s="1189"/>
      <c r="N5" s="1189"/>
      <c r="O5" s="1189"/>
      <c r="P5" s="2463"/>
      <c r="Q5" s="1189"/>
    </row>
    <row r="6" spans="1:17" ht="16.5" customHeight="1">
      <c r="A6" s="3662"/>
      <c r="B6" s="3664"/>
      <c r="C6" s="3666"/>
      <c r="D6" s="3666"/>
      <c r="E6" s="3669"/>
      <c r="F6" s="3671"/>
      <c r="G6" s="3661"/>
      <c r="H6" s="2696" t="s">
        <v>3620</v>
      </c>
      <c r="I6" s="1189"/>
      <c r="J6" s="1189"/>
      <c r="K6" s="1189"/>
      <c r="L6" s="1189"/>
      <c r="M6" s="1189"/>
      <c r="N6" s="1189"/>
      <c r="O6" s="1189"/>
      <c r="P6" s="2463"/>
      <c r="Q6" s="1189"/>
    </row>
    <row r="7" spans="1:17" ht="16.5">
      <c r="A7" s="1188" t="s">
        <v>3621</v>
      </c>
      <c r="B7" s="2445">
        <v>1</v>
      </c>
      <c r="C7" s="2446" t="s">
        <v>3622</v>
      </c>
      <c r="D7" s="2447">
        <f>'表30-5-2-1-1'!E24</f>
        <v>0</v>
      </c>
      <c r="E7" s="2447">
        <f>SUMIF('表30-5-2-3-2'!$A:$A,"F"&amp;'表30-5-2-2-2'!$A7&amp;"Q",'表30-5-2-3-2'!$O:$O)</f>
        <v>0</v>
      </c>
      <c r="F7" s="2931">
        <f>SUMIF('表30-5-2-3-2'!$A:$A,"F"&amp;'表30-5-2-2-2'!$A7&amp;"Q",'表30-5-2-3-2'!$X:$X)</f>
        <v>0</v>
      </c>
      <c r="G7" s="2448">
        <f>SUMIF('表30-5-2-3-2'!$A:$A,"F"&amp;'表30-5-2-2-2'!$A7&amp;"L",'表30-5-2-3-2'!$V:$V)</f>
        <v>0</v>
      </c>
      <c r="H7" s="2712">
        <f>(($D7+$E7)*'表30-5-2-4-1'!N7/1000*'表30-5-2-4-1'!N$23+
$G7*'表30-5-2-4-1'!$N30/1000*'表30-5-2-4-1'!N$46)*(1+'表30-5-2-4-1'!$J$47)*'表30-5-2-4-1'!$J$48</f>
        <v>0</v>
      </c>
      <c r="I7" s="2430"/>
      <c r="J7" s="1189"/>
      <c r="K7" s="1189"/>
      <c r="L7" s="1189"/>
      <c r="M7" s="1189"/>
      <c r="N7" s="1189"/>
      <c r="O7" s="1189"/>
      <c r="P7" s="2463"/>
      <c r="Q7" s="2449"/>
    </row>
    <row r="8" spans="1:17" ht="16.5">
      <c r="A8" s="1188" t="s">
        <v>3623</v>
      </c>
      <c r="B8" s="2445">
        <v>1.1000000000000001</v>
      </c>
      <c r="C8" s="2446" t="s">
        <v>3624</v>
      </c>
      <c r="D8" s="2447">
        <f>'表30-5-2-1-1'!E25</f>
        <v>0</v>
      </c>
      <c r="E8" s="2447">
        <f>SUMIF('表30-5-2-3-2'!$A:$A,"F"&amp;'表30-5-2-2-2'!$A8&amp;"Q",'表30-5-2-3-2'!$O:$O)</f>
        <v>0</v>
      </c>
      <c r="F8" s="2931">
        <f>SUMIF('表30-5-2-3-2'!$A:$A,"F"&amp;'表30-5-2-2-2'!$A8&amp;"Q",'表30-5-2-3-2'!$X:$X)</f>
        <v>0</v>
      </c>
      <c r="G8" s="2448">
        <f>SUMIF('表30-5-2-3-2'!$A:$A,"F"&amp;'表30-5-2-2-2'!$A8&amp;"L",'表30-5-2-3-2'!$V:$V)</f>
        <v>0</v>
      </c>
      <c r="H8" s="2712">
        <f>(($D8+$E8)*'表30-5-2-4-1'!N8/1000*'表30-5-2-4-1'!N$23+
$G8*'表30-5-2-4-1'!$N31/1000*'表30-5-2-4-1'!N$46)*(1+'表30-5-2-4-1'!$J$47)*'表30-5-2-4-1'!$J$48</f>
        <v>0</v>
      </c>
      <c r="I8" s="2430"/>
      <c r="J8" s="1189"/>
      <c r="K8" s="1189"/>
      <c r="L8" s="1189"/>
      <c r="M8" s="1189"/>
      <c r="N8" s="1189"/>
      <c r="O8" s="1189"/>
      <c r="P8" s="2463"/>
      <c r="Q8" s="1189"/>
    </row>
    <row r="9" spans="1:17" ht="16.5">
      <c r="A9" s="1188" t="s">
        <v>3625</v>
      </c>
      <c r="B9" s="2445">
        <v>2</v>
      </c>
      <c r="C9" s="2446" t="s">
        <v>3626</v>
      </c>
      <c r="D9" s="2447">
        <f>'表30-5-2-1-1'!E26</f>
        <v>0</v>
      </c>
      <c r="E9" s="2447">
        <f>SUMIF('表30-5-2-3-2'!$A:$A,"F"&amp;'表30-5-2-2-2'!$A9&amp;"Q",'表30-5-2-3-2'!$O:$O)</f>
        <v>0</v>
      </c>
      <c r="F9" s="2931">
        <f>SUMIF('表30-5-2-3-2'!$A:$A,"F"&amp;'表30-5-2-2-2'!$A9&amp;"Q",'表30-5-2-3-2'!$X:$X)</f>
        <v>0</v>
      </c>
      <c r="G9" s="2448">
        <f>SUMIF('表30-5-2-3-2'!$A:$A,"F"&amp;'表30-5-2-2-2'!$A9&amp;"L",'表30-5-2-3-2'!$V:$V)</f>
        <v>0</v>
      </c>
      <c r="H9" s="2712">
        <f>(($D9+$E9)*'表30-5-2-4-1'!N9/1000*'表30-5-2-4-1'!N$23+
$G9*'表30-5-2-4-1'!$N32/1000*'表30-5-2-4-1'!N$46)*(1+'表30-5-2-4-1'!$J$47)*'表30-5-2-4-1'!$J$48</f>
        <v>0</v>
      </c>
      <c r="I9" s="2430"/>
      <c r="J9" s="1189"/>
      <c r="K9" s="1189"/>
      <c r="L9" s="1189"/>
      <c r="M9" s="1189"/>
      <c r="N9" s="1189"/>
      <c r="O9" s="1189"/>
      <c r="P9" s="2463"/>
      <c r="Q9" s="1189"/>
    </row>
    <row r="10" spans="1:17" ht="16.5">
      <c r="A10" s="1188" t="s">
        <v>3627</v>
      </c>
      <c r="B10" s="2445">
        <v>3</v>
      </c>
      <c r="C10" s="2446" t="s">
        <v>3628</v>
      </c>
      <c r="D10" s="2447">
        <f>'表30-5-2-1-1'!E27</f>
        <v>0</v>
      </c>
      <c r="E10" s="2447">
        <f>SUMIF('表30-5-2-3-2'!$A:$A,"F"&amp;'表30-5-2-2-2'!$A10&amp;"Q",'表30-5-2-3-2'!$O:$O)</f>
        <v>0</v>
      </c>
      <c r="F10" s="2931">
        <f>SUMIF('表30-5-2-3-2'!$A:$A,"F"&amp;'表30-5-2-2-2'!$A10&amp;"Q",'表30-5-2-3-2'!$X:$X)</f>
        <v>0</v>
      </c>
      <c r="G10" s="2448">
        <f>SUMIF('表30-5-2-3-2'!$A:$A,"F"&amp;'表30-5-2-2-2'!$A10&amp;"L",'表30-5-2-3-2'!$V:$V)</f>
        <v>0</v>
      </c>
      <c r="H10" s="2712">
        <f>(($D10+$E10)*'表30-5-2-4-1'!N10/1000*'表30-5-2-4-1'!N$23+
$G10*'表30-5-2-4-1'!$N33/1000*'表30-5-2-4-1'!N$46)*(1+'表30-5-2-4-1'!$J$47)*'表30-5-2-4-1'!$J$48</f>
        <v>0</v>
      </c>
      <c r="I10" s="2430"/>
      <c r="J10" s="1189"/>
      <c r="K10" s="1189"/>
      <c r="L10" s="1189"/>
      <c r="M10" s="1189"/>
      <c r="N10" s="1189"/>
      <c r="O10" s="1189"/>
      <c r="P10" s="2463"/>
      <c r="Q10" s="1189"/>
    </row>
    <row r="11" spans="1:17" ht="16.5">
      <c r="A11" s="1188" t="s">
        <v>3629</v>
      </c>
      <c r="B11" s="2445">
        <v>4</v>
      </c>
      <c r="C11" s="2446" t="s">
        <v>3630</v>
      </c>
      <c r="D11" s="2447">
        <f>'表30-5-2-1-1'!E28</f>
        <v>0</v>
      </c>
      <c r="E11" s="2447">
        <f>SUMIF('表30-5-2-3-2'!$A:$A,"F"&amp;'表30-5-2-2-2'!$A11&amp;"Q",'表30-5-2-3-2'!$O:$O)</f>
        <v>0</v>
      </c>
      <c r="F11" s="2931">
        <f>SUMIF('表30-5-2-3-2'!$A:$A,"F"&amp;'表30-5-2-2-2'!$A11&amp;"Q",'表30-5-2-3-2'!$X:$X)</f>
        <v>0</v>
      </c>
      <c r="G11" s="2448">
        <f>SUMIF('表30-5-2-3-2'!$A:$A,"F"&amp;'表30-5-2-2-2'!$A11&amp;"L",'表30-5-2-3-2'!$V:$V)</f>
        <v>0</v>
      </c>
      <c r="H11" s="2712">
        <f>(($D11+$E11)*'表30-5-2-4-1'!N11/1000*'表30-5-2-4-1'!N$23+
$G11*'表30-5-2-4-1'!$N34/1000*'表30-5-2-4-1'!N$46)*(1+'表30-5-2-4-1'!$J$47)*'表30-5-2-4-1'!$J$48</f>
        <v>0</v>
      </c>
      <c r="I11" s="2430"/>
      <c r="J11" s="1189"/>
      <c r="K11" s="1189"/>
      <c r="L11" s="1189"/>
      <c r="M11" s="1189"/>
      <c r="N11" s="1189"/>
      <c r="O11" s="1189"/>
      <c r="P11" s="2463"/>
      <c r="Q11" s="1189"/>
    </row>
    <row r="12" spans="1:17" ht="16.5">
      <c r="A12" s="1188" t="s">
        <v>3631</v>
      </c>
      <c r="B12" s="2445">
        <v>5</v>
      </c>
      <c r="C12" s="2446" t="s">
        <v>3632</v>
      </c>
      <c r="D12" s="2447">
        <f>'表30-5-2-1-1'!E29</f>
        <v>0</v>
      </c>
      <c r="E12" s="2447">
        <f>SUMIF('表30-5-2-3-2'!$A:$A,"F"&amp;'表30-5-2-2-2'!$A12&amp;"Q",'表30-5-2-3-2'!$O:$O)</f>
        <v>0</v>
      </c>
      <c r="F12" s="2931">
        <f>SUMIF('表30-5-2-3-2'!$A:$A,"F"&amp;'表30-5-2-2-2'!$A12&amp;"Q",'表30-5-2-3-2'!$X:$X)</f>
        <v>0</v>
      </c>
      <c r="G12" s="2448">
        <f>SUMIF('表30-5-2-3-2'!$A:$A,"F"&amp;'表30-5-2-2-2'!$A12&amp;"L",'表30-5-2-3-2'!$V:$V)</f>
        <v>0</v>
      </c>
      <c r="H12" s="2712">
        <f>(($D12+$E12)*'表30-5-2-4-1'!N12/1000*'表30-5-2-4-1'!N$23+
$G12*'表30-5-2-4-1'!$N35/1000*'表30-5-2-4-1'!N$46)*(1+'表30-5-2-4-1'!$J$47)*'表30-5-2-4-1'!$J$48</f>
        <v>0</v>
      </c>
      <c r="I12" s="2430"/>
      <c r="J12" s="1189"/>
      <c r="K12" s="1189"/>
      <c r="L12" s="1189"/>
      <c r="M12" s="1189"/>
      <c r="N12" s="1189"/>
      <c r="O12" s="1189"/>
      <c r="P12" s="2463"/>
      <c r="Q12" s="1189"/>
    </row>
    <row r="13" spans="1:17" ht="16.5">
      <c r="A13" s="1188" t="s">
        <v>3633</v>
      </c>
      <c r="B13" s="2445">
        <v>6</v>
      </c>
      <c r="C13" s="2446" t="s">
        <v>3634</v>
      </c>
      <c r="D13" s="2447">
        <f>'表30-5-2-1-1'!E30</f>
        <v>0</v>
      </c>
      <c r="E13" s="2447">
        <f>SUMIF('表30-5-2-3-2'!$A:$A,"F"&amp;'表30-5-2-2-2'!$A13&amp;"Q",'表30-5-2-3-2'!$O:$O)</f>
        <v>0</v>
      </c>
      <c r="F13" s="2931">
        <f>SUMIF('表30-5-2-3-2'!$A:$A,"F"&amp;'表30-5-2-2-2'!$A13&amp;"Q",'表30-5-2-3-2'!$X:$X)</f>
        <v>0</v>
      </c>
      <c r="G13" s="2448">
        <f>SUMIF('表30-5-2-3-2'!$A:$A,"F"&amp;'表30-5-2-2-2'!$A13&amp;"L",'表30-5-2-3-2'!$V:$V)</f>
        <v>0</v>
      </c>
      <c r="H13" s="2712">
        <f>(($D13+$E13)*'表30-5-2-4-1'!N13/1000*'表30-5-2-4-1'!N$23+
$G13*'表30-5-2-4-1'!$N36/1000*'表30-5-2-4-1'!N$46)*(1+'表30-5-2-4-1'!$J$47)*'表30-5-2-4-1'!$J$48</f>
        <v>0</v>
      </c>
      <c r="I13" s="2430"/>
      <c r="J13" s="1189"/>
      <c r="K13" s="1189"/>
      <c r="L13" s="1189"/>
      <c r="M13" s="1189"/>
      <c r="N13" s="1189"/>
      <c r="O13" s="1189"/>
      <c r="P13" s="2463"/>
      <c r="Q13" s="1189"/>
    </row>
    <row r="14" spans="1:17" ht="16.5">
      <c r="A14" s="1188" t="s">
        <v>3635</v>
      </c>
      <c r="B14" s="2445">
        <v>7</v>
      </c>
      <c r="C14" s="2446" t="s">
        <v>3636</v>
      </c>
      <c r="D14" s="2447">
        <f>'表30-5-2-1-1'!E31</f>
        <v>0</v>
      </c>
      <c r="E14" s="2447">
        <f>SUMIF('表30-5-2-3-2'!$A:$A,"F"&amp;'表30-5-2-2-2'!$A14&amp;"Q",'表30-5-2-3-2'!$O:$O)</f>
        <v>0</v>
      </c>
      <c r="F14" s="2931">
        <f>SUMIF('表30-5-2-3-2'!$A:$A,"F"&amp;'表30-5-2-2-2'!$A14&amp;"Q",'表30-5-2-3-2'!$X:$X)</f>
        <v>0</v>
      </c>
      <c r="G14" s="2448">
        <f>SUMIF('表30-5-2-3-2'!$A:$A,"F"&amp;'表30-5-2-2-2'!$A14&amp;"L",'表30-5-2-3-2'!$V:$V)</f>
        <v>0</v>
      </c>
      <c r="H14" s="2712">
        <f>(($D14+$E14)*'表30-5-2-4-1'!N14/1000*'表30-5-2-4-1'!N$23+
$G14*'表30-5-2-4-1'!$N37/1000*'表30-5-2-4-1'!N$46)*(1+'表30-5-2-4-1'!$J$47)*'表30-5-2-4-1'!$J$48</f>
        <v>0</v>
      </c>
      <c r="I14" s="2430"/>
      <c r="J14" s="1189"/>
      <c r="K14" s="1189"/>
      <c r="L14" s="1189"/>
      <c r="M14" s="1189"/>
      <c r="N14" s="1189"/>
      <c r="O14" s="1189"/>
      <c r="P14" s="2463"/>
      <c r="Q14" s="1189"/>
    </row>
    <row r="15" spans="1:17" ht="16.5">
      <c r="A15" s="1188" t="s">
        <v>3637</v>
      </c>
      <c r="B15" s="2445">
        <v>8</v>
      </c>
      <c r="C15" s="2446" t="s">
        <v>3638</v>
      </c>
      <c r="D15" s="2447">
        <f>'表30-5-2-1-1'!E32</f>
        <v>0</v>
      </c>
      <c r="E15" s="2447">
        <f>SUMIF('表30-5-2-3-2'!$A:$A,"F"&amp;'表30-5-2-2-2'!$A15&amp;"Q",'表30-5-2-3-2'!$O:$O)</f>
        <v>0</v>
      </c>
      <c r="F15" s="2931">
        <f>SUMIF('表30-5-2-3-2'!$A:$A,"F"&amp;'表30-5-2-2-2'!$A15&amp;"Q",'表30-5-2-3-2'!$X:$X)</f>
        <v>0</v>
      </c>
      <c r="G15" s="2448">
        <f>SUMIF('表30-5-2-3-2'!$A:$A,"F"&amp;'表30-5-2-2-2'!$A15&amp;"L",'表30-5-2-3-2'!$V:$V)</f>
        <v>0</v>
      </c>
      <c r="H15" s="2712">
        <f>(($D15+$E15)*'表30-5-2-4-1'!N15/1000*'表30-5-2-4-1'!N$23+
$G15*'表30-5-2-4-1'!$N38/1000*'表30-5-2-4-1'!N$46)*(1+'表30-5-2-4-1'!$J$47)*'表30-5-2-4-1'!$J$48</f>
        <v>0</v>
      </c>
      <c r="I15" s="2430"/>
      <c r="J15" s="1189"/>
      <c r="K15" s="1189"/>
      <c r="L15" s="1189"/>
      <c r="M15" s="1189"/>
      <c r="N15" s="1189"/>
      <c r="O15" s="1189"/>
      <c r="P15" s="2463"/>
      <c r="Q15" s="1189"/>
    </row>
    <row r="16" spans="1:17" ht="16.5">
      <c r="A16" s="1188" t="s">
        <v>3639</v>
      </c>
      <c r="B16" s="2445">
        <v>9</v>
      </c>
      <c r="C16" s="2446" t="s">
        <v>3640</v>
      </c>
      <c r="D16" s="2447">
        <f>'表30-5-2-1-1'!E33</f>
        <v>0</v>
      </c>
      <c r="E16" s="2447">
        <f>SUMIF('表30-5-2-3-2'!$A:$A,"F"&amp;'表30-5-2-2-2'!$A16&amp;"Q",'表30-5-2-3-2'!$O:$O)</f>
        <v>0</v>
      </c>
      <c r="F16" s="2931">
        <f>SUMIF('表30-5-2-3-2'!$A:$A,"F"&amp;'表30-5-2-2-2'!$A16&amp;"Q",'表30-5-2-3-2'!$X:$X)</f>
        <v>0</v>
      </c>
      <c r="G16" s="2448">
        <f>SUMIF('表30-5-2-3-2'!$A:$A,"F"&amp;'表30-5-2-2-2'!$A16&amp;"L",'表30-5-2-3-2'!$V:$V)</f>
        <v>0</v>
      </c>
      <c r="H16" s="2712">
        <f>(($D16+$E16)*'表30-5-2-4-1'!N16/1000*'表30-5-2-4-1'!N$23+
$G16*'表30-5-2-4-1'!$N39/1000*'表30-5-2-4-1'!N$46)*(1+'表30-5-2-4-1'!$J$47)*'表30-5-2-4-1'!$J$48</f>
        <v>0</v>
      </c>
      <c r="I16" s="2430"/>
      <c r="J16" s="1189"/>
      <c r="K16" s="1189"/>
      <c r="L16" s="1189"/>
      <c r="M16" s="1189"/>
      <c r="N16" s="1189"/>
      <c r="O16" s="1189"/>
      <c r="P16" s="2463"/>
      <c r="Q16" s="1189"/>
    </row>
    <row r="17" spans="1:17" ht="16.5">
      <c r="A17" s="1188" t="s">
        <v>3641</v>
      </c>
      <c r="B17" s="2445">
        <v>10</v>
      </c>
      <c r="C17" s="2446" t="s">
        <v>3642</v>
      </c>
      <c r="D17" s="2447">
        <f>'表30-5-2-1-1'!E34</f>
        <v>0</v>
      </c>
      <c r="E17" s="2447">
        <f>SUMIF('表30-5-2-3-2'!$A:$A,"F"&amp;'表30-5-2-2-2'!$A17&amp;"Q",'表30-5-2-3-2'!$O:$O)</f>
        <v>0</v>
      </c>
      <c r="F17" s="2931">
        <f>SUMIF('表30-5-2-3-2'!$A:$A,"F"&amp;'表30-5-2-2-2'!$A17&amp;"Q",'表30-5-2-3-2'!$X:$X)</f>
        <v>0</v>
      </c>
      <c r="G17" s="2448">
        <f>SUMIF('表30-5-2-3-2'!$A:$A,"F"&amp;'表30-5-2-2-2'!$A17&amp;"L",'表30-5-2-3-2'!$V:$V)</f>
        <v>0</v>
      </c>
      <c r="H17" s="2712">
        <f>(($D17+$E17)*'表30-5-2-4-1'!N17/1000*'表30-5-2-4-1'!N$23+
$G17*'表30-5-2-4-1'!$N40/1000*'表30-5-2-4-1'!N$46)*(1+'表30-5-2-4-1'!$J$47)*'表30-5-2-4-1'!$J$48</f>
        <v>0</v>
      </c>
      <c r="I17" s="2430"/>
      <c r="J17" s="1189"/>
      <c r="K17" s="1189"/>
      <c r="L17" s="1189"/>
      <c r="M17" s="1189"/>
      <c r="N17" s="1189"/>
      <c r="O17" s="1189"/>
      <c r="P17" s="2463"/>
      <c r="Q17" s="1189"/>
    </row>
    <row r="18" spans="1:17" ht="16.5">
      <c r="A18" s="1188" t="s">
        <v>3643</v>
      </c>
      <c r="B18" s="2445">
        <v>11</v>
      </c>
      <c r="C18" s="2446" t="s">
        <v>3644</v>
      </c>
      <c r="D18" s="2447">
        <f>'表30-5-2-1-1'!E35</f>
        <v>0</v>
      </c>
      <c r="E18" s="2447">
        <f>SUMIF('表30-5-2-3-2'!$A:$A,"F"&amp;'表30-5-2-2-2'!$A18&amp;"Q",'表30-5-2-3-2'!$O:$O)</f>
        <v>0</v>
      </c>
      <c r="F18" s="2931">
        <f>SUMIF('表30-5-2-3-2'!$A:$A,"F"&amp;'表30-5-2-2-2'!$A18&amp;"Q",'表30-5-2-3-2'!$X:$X)</f>
        <v>0</v>
      </c>
      <c r="G18" s="2448">
        <f>SUMIF('表30-5-2-3-2'!$A:$A,"F"&amp;'表30-5-2-2-2'!$A18&amp;"L",'表30-5-2-3-2'!$V:$V)</f>
        <v>0</v>
      </c>
      <c r="H18" s="2712">
        <f>(($D18+$E18)*'表30-5-2-4-1'!N18/1000*'表30-5-2-4-1'!N$23+
$G18*'表30-5-2-4-1'!$N41/1000*'表30-5-2-4-1'!N$46)*(1+'表30-5-2-4-1'!$J$47)*'表30-5-2-4-1'!$J$48</f>
        <v>0</v>
      </c>
      <c r="I18" s="2430"/>
      <c r="J18" s="1189"/>
      <c r="K18" s="1189"/>
      <c r="L18" s="1189"/>
      <c r="M18" s="1189"/>
      <c r="N18" s="1189"/>
      <c r="O18" s="1189"/>
      <c r="P18" s="2463"/>
      <c r="Q18" s="1189"/>
    </row>
    <row r="19" spans="1:17" ht="16.5">
      <c r="A19" s="1188" t="s">
        <v>3645</v>
      </c>
      <c r="B19" s="2445">
        <v>12</v>
      </c>
      <c r="C19" s="2446" t="s">
        <v>3646</v>
      </c>
      <c r="D19" s="2447">
        <f>'表30-5-2-1-1'!E36</f>
        <v>0</v>
      </c>
      <c r="E19" s="2447">
        <f>SUMIF('表30-5-2-3-2'!$A:$A,"F"&amp;'表30-5-2-2-2'!$A19&amp;"Q",'表30-5-2-3-2'!$O:$O)</f>
        <v>0</v>
      </c>
      <c r="F19" s="2931">
        <f>SUMIF('表30-5-2-3-2'!$A:$A,"F"&amp;'表30-5-2-2-2'!$A19&amp;"Q",'表30-5-2-3-2'!$X:$X)</f>
        <v>0</v>
      </c>
      <c r="G19" s="2448">
        <f>SUMIF('表30-5-2-3-2'!$A:$A,"F"&amp;'表30-5-2-2-2'!$A19&amp;"L",'表30-5-2-3-2'!$V:$V)</f>
        <v>0</v>
      </c>
      <c r="H19" s="2712">
        <f>(($D19+$E19)*'表30-5-2-4-1'!N19/1000*'表30-5-2-4-1'!N$23+
$G19*'表30-5-2-4-1'!$N42/1000*'表30-5-2-4-1'!N$46)*(1+'表30-5-2-4-1'!$J$47)*'表30-5-2-4-1'!$J$48</f>
        <v>0</v>
      </c>
      <c r="I19" s="2430"/>
      <c r="J19" s="1189"/>
      <c r="K19" s="1189"/>
      <c r="L19" s="1189"/>
      <c r="M19" s="1189"/>
      <c r="N19" s="1189"/>
      <c r="O19" s="1189"/>
      <c r="P19" s="2463"/>
      <c r="Q19" s="1189"/>
    </row>
    <row r="20" spans="1:17" ht="16.5">
      <c r="A20" s="1188" t="s">
        <v>3716</v>
      </c>
      <c r="B20" s="2445">
        <v>13</v>
      </c>
      <c r="C20" s="2446" t="s">
        <v>3648</v>
      </c>
      <c r="D20" s="2447">
        <f>'表30-5-2-1-1'!E37</f>
        <v>0</v>
      </c>
      <c r="E20" s="2447">
        <f>SUMIF('表30-5-2-3-2'!$A:$A,"F"&amp;'表30-5-2-2-2'!$A20&amp;"Q",'表30-5-2-3-2'!$O:$O)</f>
        <v>0</v>
      </c>
      <c r="F20" s="2931">
        <f>SUMIF('表30-5-2-3-2'!$A:$A,"F"&amp;'表30-5-2-2-2'!$A20&amp;"Q",'表30-5-2-3-2'!$X:$X)</f>
        <v>0</v>
      </c>
      <c r="G20" s="2448">
        <f>SUMIF('表30-5-2-3-2'!$A:$A,"F"&amp;'表30-5-2-2-2'!$A20&amp;"L",'表30-5-2-3-2'!$V:$V)</f>
        <v>0</v>
      </c>
      <c r="H20" s="2712">
        <f>(($D20+$E20)*'表30-5-2-4-1'!N20/1000*'表30-5-2-4-1'!N$23+
$G20*'表30-5-2-4-1'!$N43/1000*'表30-5-2-4-1'!N$46)*(1+'表30-5-2-4-1'!$J$47)*'表30-5-2-4-1'!$J$48</f>
        <v>0</v>
      </c>
      <c r="I20" s="2430"/>
      <c r="J20" s="1189"/>
      <c r="K20" s="1189"/>
      <c r="L20" s="1189"/>
      <c r="M20" s="1189"/>
      <c r="N20" s="1189"/>
      <c r="O20" s="1189"/>
      <c r="P20" s="2463"/>
      <c r="Q20" s="1189"/>
    </row>
    <row r="21" spans="1:17" ht="16.5">
      <c r="A21" s="1188" t="s">
        <v>3717</v>
      </c>
      <c r="B21" s="2445">
        <v>14</v>
      </c>
      <c r="C21" s="2451" t="s">
        <v>3650</v>
      </c>
      <c r="D21" s="2447">
        <f>'表30-5-2-1-1'!E38</f>
        <v>0</v>
      </c>
      <c r="E21" s="2447">
        <f>SUMIF('表30-5-2-3-2'!$A:$A,"F"&amp;'表30-5-2-2-2'!$A21&amp;"Q",'表30-5-2-3-2'!$O:$O)</f>
        <v>0</v>
      </c>
      <c r="F21" s="2931">
        <f>SUMIF('表30-5-2-3-2'!$A:$A,"F"&amp;'表30-5-2-2-2'!$A21&amp;"Q",'表30-5-2-3-2'!$X:$X)</f>
        <v>0</v>
      </c>
      <c r="G21" s="2448">
        <f>SUMIF('表30-5-2-3-2'!$A:$A,"F"&amp;'表30-5-2-2-2'!$A21&amp;"L",'表30-5-2-3-2'!$V:$V)</f>
        <v>0</v>
      </c>
      <c r="H21" s="2712">
        <f>(($D21+$E21)*'表30-5-2-4-1'!N21/1000*'表30-5-2-4-1'!N$23+
$G21*'表30-5-2-4-1'!$N44/1000*'表30-5-2-4-1'!N$46)*(1+'表30-5-2-4-1'!$J$47)*'表30-5-2-4-1'!$J$48</f>
        <v>0</v>
      </c>
      <c r="I21" s="2430"/>
      <c r="J21" s="1189"/>
      <c r="K21" s="1189"/>
      <c r="L21" s="1189"/>
      <c r="M21" s="1189"/>
      <c r="N21" s="1189"/>
      <c r="O21" s="1189"/>
      <c r="P21" s="2463"/>
      <c r="Q21" s="1189"/>
    </row>
    <row r="22" spans="1:17" ht="17.25" thickBot="1">
      <c r="A22" s="1188">
        <v>99</v>
      </c>
      <c r="B22" s="3672" t="s">
        <v>5885</v>
      </c>
      <c r="C22" s="3673"/>
      <c r="D22" s="2689">
        <f>SUM(D7:D21)</f>
        <v>0</v>
      </c>
      <c r="E22" s="2689">
        <f>SUM(E7:E21)</f>
        <v>0</v>
      </c>
      <c r="F22" s="2932">
        <f>SUM(F7:F21)</f>
        <v>0</v>
      </c>
      <c r="G22" s="2690">
        <f>SUM(G7:G21)</f>
        <v>0</v>
      </c>
      <c r="H22" s="2717">
        <f>SUM(H7:H21)</f>
        <v>0</v>
      </c>
      <c r="I22" s="2430"/>
      <c r="J22" s="1189"/>
      <c r="K22" s="1189"/>
      <c r="L22" s="1189"/>
      <c r="M22" s="1189"/>
      <c r="N22" s="1189"/>
      <c r="O22" s="1189"/>
      <c r="P22" s="2463"/>
      <c r="Q22" s="1189"/>
    </row>
    <row r="23" spans="1:17" s="1189" customFormat="1">
      <c r="A23" s="1188"/>
    </row>
    <row r="24" spans="1:17" s="1189" customFormat="1" ht="17.25" thickBot="1">
      <c r="A24" s="1188"/>
      <c r="B24" s="2722" t="s">
        <v>6056</v>
      </c>
      <c r="C24" s="2419"/>
      <c r="D24" s="2419"/>
      <c r="E24" s="2419"/>
      <c r="F24" s="2419"/>
      <c r="G24" s="2419"/>
      <c r="H24" s="2426" t="s">
        <v>3614</v>
      </c>
      <c r="Q24" s="2463"/>
    </row>
    <row r="25" spans="1:17" ht="16.5" customHeight="1">
      <c r="A25" s="3662" t="s">
        <v>3615</v>
      </c>
      <c r="B25" s="3663" t="s">
        <v>3588</v>
      </c>
      <c r="C25" s="3665" t="s">
        <v>3589</v>
      </c>
      <c r="D25" s="3667" t="s">
        <v>3617</v>
      </c>
      <c r="E25" s="3668" t="s">
        <v>3618</v>
      </c>
      <c r="F25" s="3670" t="s">
        <v>6308</v>
      </c>
      <c r="G25" s="3660" t="s">
        <v>5881</v>
      </c>
      <c r="H25" s="2705" t="s">
        <v>3619</v>
      </c>
      <c r="I25" s="1189"/>
      <c r="J25" s="1188"/>
      <c r="K25" s="2452"/>
      <c r="L25" s="2452"/>
      <c r="M25" s="2452"/>
      <c r="N25" s="2452"/>
      <c r="O25" s="2452"/>
      <c r="P25" s="2463"/>
      <c r="Q25" s="1189"/>
    </row>
    <row r="26" spans="1:17" ht="16.5">
      <c r="A26" s="3662"/>
      <c r="B26" s="3664"/>
      <c r="C26" s="3666"/>
      <c r="D26" s="3666"/>
      <c r="E26" s="3669"/>
      <c r="F26" s="3671"/>
      <c r="G26" s="3661"/>
      <c r="H26" s="2696" t="s">
        <v>3620</v>
      </c>
      <c r="I26" s="1189"/>
      <c r="J26" s="1188"/>
      <c r="K26" s="2452"/>
      <c r="L26" s="2452"/>
      <c r="M26" s="2452"/>
      <c r="N26" s="2452"/>
      <c r="O26" s="2452"/>
      <c r="P26" s="2463"/>
      <c r="Q26" s="1189"/>
    </row>
    <row r="27" spans="1:17" ht="16.5">
      <c r="A27" s="1188" t="s">
        <v>3621</v>
      </c>
      <c r="B27" s="2445">
        <v>1</v>
      </c>
      <c r="C27" s="2446" t="s">
        <v>3622</v>
      </c>
      <c r="D27" s="2447">
        <f>'表30-5-2-1-1'!F24</f>
        <v>0</v>
      </c>
      <c r="E27" s="2447">
        <f>SUMIF('表30-5-2-3-2'!$A:$A,"F"&amp;'表30-5-2-2-2'!$A27&amp;"Q",'表30-5-2-3-2'!$P:$P)</f>
        <v>0</v>
      </c>
      <c r="F27" s="2931">
        <f>SUMIF('表30-5-2-3-2'!$A:$A,"F"&amp;'表30-5-2-2-2'!$A27&amp;"Q",'表30-5-2-3-2'!$Y:$Y)</f>
        <v>0</v>
      </c>
      <c r="G27" s="2448">
        <f>SUMIF('表30-5-2-3-2'!$A:$A,"F"&amp;'表30-5-2-2-2'!$A27&amp;"L",'表30-5-2-3-2'!$W:$W)</f>
        <v>0</v>
      </c>
      <c r="H27" s="2712">
        <f>(($D27+$E27)*'表30-5-2-4-1'!N7/1000*'表30-5-2-4-1'!N$23+
$G27*'表30-5-2-4-1'!$N30/1000*'表30-5-2-4-1'!N$46)*(1+'表30-5-2-4-1'!$J$47)*'表30-5-2-4-1'!$J$48</f>
        <v>0</v>
      </c>
      <c r="I27" s="2430"/>
      <c r="J27" s="1188"/>
      <c r="K27" s="2452"/>
      <c r="L27" s="2452"/>
      <c r="M27" s="2452"/>
      <c r="N27" s="2452"/>
      <c r="O27" s="2452"/>
      <c r="P27" s="2464"/>
      <c r="Q27" s="2449"/>
    </row>
    <row r="28" spans="1:17" ht="16.5">
      <c r="A28" s="1188" t="s">
        <v>3623</v>
      </c>
      <c r="B28" s="2445">
        <v>1.1000000000000001</v>
      </c>
      <c r="C28" s="2446" t="s">
        <v>3624</v>
      </c>
      <c r="D28" s="2447">
        <f>'表30-5-2-1-1'!F25</f>
        <v>0</v>
      </c>
      <c r="E28" s="2447">
        <f>SUMIF('表30-5-2-3-2'!$A:$A,"F"&amp;'表30-5-2-2-2'!$A28&amp;"Q",'表30-5-2-3-2'!$P:$P)</f>
        <v>0</v>
      </c>
      <c r="F28" s="2931">
        <f>SUMIF('表30-5-2-3-2'!$A:$A,"F"&amp;'表30-5-2-2-2'!$A28&amp;"Q",'表30-5-2-3-2'!$Y:$Y)</f>
        <v>0</v>
      </c>
      <c r="G28" s="2448">
        <f>SUMIF('表30-5-2-3-2'!$A:$A,"F"&amp;'表30-5-2-2-2'!$A28&amp;"L",'表30-5-2-3-2'!$W:$W)</f>
        <v>0</v>
      </c>
      <c r="H28" s="2712">
        <f>(($D28+$E28)*'表30-5-2-4-1'!N8/1000*'表30-5-2-4-1'!N$23+
$G28*'表30-5-2-4-1'!$N31/1000*'表30-5-2-4-1'!N$46)*(1+'表30-5-2-4-1'!$J$47)*'表30-5-2-4-1'!$J$48</f>
        <v>0</v>
      </c>
      <c r="I28" s="2430"/>
      <c r="J28" s="1188"/>
      <c r="K28" s="2452"/>
      <c r="L28" s="2452"/>
      <c r="M28" s="2452"/>
      <c r="N28" s="2452"/>
      <c r="O28" s="2452"/>
      <c r="P28" s="2463"/>
      <c r="Q28" s="1189"/>
    </row>
    <row r="29" spans="1:17" ht="16.5">
      <c r="A29" s="1188" t="s">
        <v>3625</v>
      </c>
      <c r="B29" s="2445">
        <v>2</v>
      </c>
      <c r="C29" s="2446" t="s">
        <v>3626</v>
      </c>
      <c r="D29" s="2447">
        <f>'表30-5-2-1-1'!F26</f>
        <v>0</v>
      </c>
      <c r="E29" s="2447">
        <f>SUMIF('表30-5-2-3-2'!$A:$A,"F"&amp;'表30-5-2-2-2'!$A29&amp;"Q",'表30-5-2-3-2'!$P:$P)</f>
        <v>0</v>
      </c>
      <c r="F29" s="2931">
        <f>SUMIF('表30-5-2-3-2'!$A:$A,"F"&amp;'表30-5-2-2-2'!$A29&amp;"Q",'表30-5-2-3-2'!$Y:$Y)</f>
        <v>0</v>
      </c>
      <c r="G29" s="2448">
        <f>SUMIF('表30-5-2-3-2'!$A:$A,"F"&amp;'表30-5-2-2-2'!$A29&amp;"L",'表30-5-2-3-2'!$W:$W)</f>
        <v>0</v>
      </c>
      <c r="H29" s="2712">
        <f>(($D29+$E29)*'表30-5-2-4-1'!N9/1000*'表30-5-2-4-1'!N$23+
$G29*'表30-5-2-4-1'!$N32/1000*'表30-5-2-4-1'!N$46)*(1+'表30-5-2-4-1'!$J$47)*'表30-5-2-4-1'!$J$48</f>
        <v>0</v>
      </c>
      <c r="I29" s="2430"/>
      <c r="J29" s="1188"/>
      <c r="K29" s="2452"/>
      <c r="L29" s="2452"/>
      <c r="M29" s="2452"/>
      <c r="N29" s="2452"/>
      <c r="O29" s="2452"/>
      <c r="P29" s="2463"/>
      <c r="Q29" s="1189"/>
    </row>
    <row r="30" spans="1:17" ht="16.5">
      <c r="A30" s="1188" t="s">
        <v>3627</v>
      </c>
      <c r="B30" s="2445">
        <v>3</v>
      </c>
      <c r="C30" s="2446" t="s">
        <v>3628</v>
      </c>
      <c r="D30" s="2447">
        <f>'表30-5-2-1-1'!F27</f>
        <v>0</v>
      </c>
      <c r="E30" s="2447">
        <f>SUMIF('表30-5-2-3-2'!$A:$A,"F"&amp;'表30-5-2-2-2'!$A30&amp;"Q",'表30-5-2-3-2'!$P:$P)</f>
        <v>0</v>
      </c>
      <c r="F30" s="2931">
        <f>SUMIF('表30-5-2-3-2'!$A:$A,"F"&amp;'表30-5-2-2-2'!$A30&amp;"Q",'表30-5-2-3-2'!$Y:$Y)</f>
        <v>0</v>
      </c>
      <c r="G30" s="2448">
        <f>SUMIF('表30-5-2-3-2'!$A:$A,"F"&amp;'表30-5-2-2-2'!$A30&amp;"L",'表30-5-2-3-2'!$W:$W)</f>
        <v>0</v>
      </c>
      <c r="H30" s="2712">
        <f>(($D30+$E30)*'表30-5-2-4-1'!N10/1000*'表30-5-2-4-1'!N$23+
$G30*'表30-5-2-4-1'!$N33/1000*'表30-5-2-4-1'!N$46)*(1+'表30-5-2-4-1'!$J$47)*'表30-5-2-4-1'!$J$48</f>
        <v>0</v>
      </c>
      <c r="I30" s="2430"/>
      <c r="J30" s="1188"/>
      <c r="K30" s="2452"/>
      <c r="L30" s="2452"/>
      <c r="M30" s="2452"/>
      <c r="N30" s="2452"/>
      <c r="O30" s="2452"/>
      <c r="P30" s="2463"/>
      <c r="Q30" s="2449"/>
    </row>
    <row r="31" spans="1:17" ht="16.5">
      <c r="A31" s="1188" t="s">
        <v>3629</v>
      </c>
      <c r="B31" s="2445">
        <v>4</v>
      </c>
      <c r="C31" s="2446" t="s">
        <v>3630</v>
      </c>
      <c r="D31" s="2447">
        <f>'表30-5-2-1-1'!F28</f>
        <v>0</v>
      </c>
      <c r="E31" s="2447">
        <f>SUMIF('表30-5-2-3-2'!$A:$A,"F"&amp;'表30-5-2-2-2'!$A31&amp;"Q",'表30-5-2-3-2'!$P:$P)</f>
        <v>0</v>
      </c>
      <c r="F31" s="2931">
        <f>SUMIF('表30-5-2-3-2'!$A:$A,"F"&amp;'表30-5-2-2-2'!$A31&amp;"Q",'表30-5-2-3-2'!$Y:$Y)</f>
        <v>0</v>
      </c>
      <c r="G31" s="2448">
        <f>SUMIF('表30-5-2-3-2'!$A:$A,"F"&amp;'表30-5-2-2-2'!$A31&amp;"L",'表30-5-2-3-2'!$W:$W)</f>
        <v>0</v>
      </c>
      <c r="H31" s="2712">
        <f>(($D31+$E31)*'表30-5-2-4-1'!N11/1000*'表30-5-2-4-1'!N$23+
$G31*'表30-5-2-4-1'!$N34/1000*'表30-5-2-4-1'!N$46)*(1+'表30-5-2-4-1'!$J$47)*'表30-5-2-4-1'!$J$48</f>
        <v>0</v>
      </c>
      <c r="I31" s="2430"/>
      <c r="J31" s="1188"/>
      <c r="K31" s="2452"/>
      <c r="L31" s="2452"/>
      <c r="M31" s="2452"/>
      <c r="N31" s="2452"/>
      <c r="O31" s="2452"/>
      <c r="P31" s="2463"/>
      <c r="Q31" s="1189"/>
    </row>
    <row r="32" spans="1:17" ht="16.5">
      <c r="A32" s="1188" t="s">
        <v>3631</v>
      </c>
      <c r="B32" s="2445">
        <v>5</v>
      </c>
      <c r="C32" s="2446" t="s">
        <v>3632</v>
      </c>
      <c r="D32" s="2447">
        <f>'表30-5-2-1-1'!F29</f>
        <v>0</v>
      </c>
      <c r="E32" s="2447">
        <f>SUMIF('表30-5-2-3-2'!$A:$A,"F"&amp;'表30-5-2-2-2'!$A32&amp;"Q",'表30-5-2-3-2'!$P:$P)</f>
        <v>0</v>
      </c>
      <c r="F32" s="2931">
        <f>SUMIF('表30-5-2-3-2'!$A:$A,"F"&amp;'表30-5-2-2-2'!$A32&amp;"Q",'表30-5-2-3-2'!$Y:$Y)</f>
        <v>0</v>
      </c>
      <c r="G32" s="2448">
        <f>SUMIF('表30-5-2-3-2'!$A:$A,"F"&amp;'表30-5-2-2-2'!$A32&amp;"L",'表30-5-2-3-2'!$W:$W)</f>
        <v>0</v>
      </c>
      <c r="H32" s="2712">
        <f>(($D32+$E32)*'表30-5-2-4-1'!N12/1000*'表30-5-2-4-1'!N$23+
$G32*'表30-5-2-4-1'!$N35/1000*'表30-5-2-4-1'!N$46)*(1+'表30-5-2-4-1'!$J$47)*'表30-5-2-4-1'!$J$48</f>
        <v>0</v>
      </c>
      <c r="I32" s="2430"/>
      <c r="J32" s="1188"/>
      <c r="K32" s="2452"/>
      <c r="L32" s="2452"/>
      <c r="M32" s="2452"/>
      <c r="N32" s="2452"/>
      <c r="O32" s="2452"/>
      <c r="P32" s="2463"/>
      <c r="Q32" s="1189"/>
    </row>
    <row r="33" spans="1:18" ht="16.5">
      <c r="A33" s="1188" t="s">
        <v>3633</v>
      </c>
      <c r="B33" s="2445">
        <v>6</v>
      </c>
      <c r="C33" s="2446" t="s">
        <v>3634</v>
      </c>
      <c r="D33" s="2447">
        <f>'表30-5-2-1-1'!F30</f>
        <v>0</v>
      </c>
      <c r="E33" s="2447">
        <f>SUMIF('表30-5-2-3-2'!$A:$A,"F"&amp;'表30-5-2-2-2'!$A33&amp;"Q",'表30-5-2-3-2'!$P:$P)</f>
        <v>0</v>
      </c>
      <c r="F33" s="2931">
        <f>SUMIF('表30-5-2-3-2'!$A:$A,"F"&amp;'表30-5-2-2-2'!$A33&amp;"Q",'表30-5-2-3-2'!$Y:$Y)</f>
        <v>0</v>
      </c>
      <c r="G33" s="2448">
        <f>SUMIF('表30-5-2-3-2'!$A:$A,"F"&amp;'表30-5-2-2-2'!$A33&amp;"L",'表30-5-2-3-2'!$W:$W)</f>
        <v>0</v>
      </c>
      <c r="H33" s="2712">
        <f>(($D33+$E33)*'表30-5-2-4-1'!N13/1000*'表30-5-2-4-1'!N$23+
$G33*'表30-5-2-4-1'!$N36/1000*'表30-5-2-4-1'!N$46)*(1+'表30-5-2-4-1'!$J$47)*'表30-5-2-4-1'!$J$48</f>
        <v>0</v>
      </c>
      <c r="I33" s="2430"/>
      <c r="J33" s="1188"/>
      <c r="K33" s="2452"/>
      <c r="L33" s="2452"/>
      <c r="M33" s="2452"/>
      <c r="N33" s="2452"/>
      <c r="O33" s="2452"/>
      <c r="P33" s="2463"/>
      <c r="Q33" s="1189"/>
    </row>
    <row r="34" spans="1:18" ht="16.5">
      <c r="A34" s="1188" t="s">
        <v>3635</v>
      </c>
      <c r="B34" s="2445">
        <v>7</v>
      </c>
      <c r="C34" s="2446" t="s">
        <v>3636</v>
      </c>
      <c r="D34" s="2447">
        <f>'表30-5-2-1-1'!F31</f>
        <v>0</v>
      </c>
      <c r="E34" s="2447">
        <f>SUMIF('表30-5-2-3-2'!$A:$A,"F"&amp;'表30-5-2-2-2'!$A34&amp;"Q",'表30-5-2-3-2'!$P:$P)</f>
        <v>0</v>
      </c>
      <c r="F34" s="2931">
        <f>SUMIF('表30-5-2-3-2'!$A:$A,"F"&amp;'表30-5-2-2-2'!$A34&amp;"Q",'表30-5-2-3-2'!$Y:$Y)</f>
        <v>0</v>
      </c>
      <c r="G34" s="2448">
        <f>SUMIF('表30-5-2-3-2'!$A:$A,"F"&amp;'表30-5-2-2-2'!$A34&amp;"L",'表30-5-2-3-2'!$W:$W)</f>
        <v>0</v>
      </c>
      <c r="H34" s="2712">
        <f>(($D34+$E34)*'表30-5-2-4-1'!N14/1000*'表30-5-2-4-1'!N$23+
$G34*'表30-5-2-4-1'!$N37/1000*'表30-5-2-4-1'!N$46)*(1+'表30-5-2-4-1'!$J$47)*'表30-5-2-4-1'!$J$48</f>
        <v>0</v>
      </c>
      <c r="I34" s="2430"/>
      <c r="J34" s="1188"/>
      <c r="K34" s="2452"/>
      <c r="L34" s="2452"/>
      <c r="M34" s="2452"/>
      <c r="N34" s="2452"/>
      <c r="O34" s="2452"/>
      <c r="P34" s="2463"/>
      <c r="Q34" s="1189"/>
    </row>
    <row r="35" spans="1:18" ht="16.5">
      <c r="A35" s="1188" t="s">
        <v>3637</v>
      </c>
      <c r="B35" s="2445">
        <v>8</v>
      </c>
      <c r="C35" s="2446" t="s">
        <v>3638</v>
      </c>
      <c r="D35" s="2447">
        <f>'表30-5-2-1-1'!F32</f>
        <v>0</v>
      </c>
      <c r="E35" s="2447">
        <f>SUMIF('表30-5-2-3-2'!$A:$A,"F"&amp;'表30-5-2-2-2'!$A35&amp;"Q",'表30-5-2-3-2'!$P:$P)</f>
        <v>0</v>
      </c>
      <c r="F35" s="2931">
        <f>SUMIF('表30-5-2-3-2'!$A:$A,"F"&amp;'表30-5-2-2-2'!$A35&amp;"Q",'表30-5-2-3-2'!$Y:$Y)</f>
        <v>0</v>
      </c>
      <c r="G35" s="2448">
        <f>SUMIF('表30-5-2-3-2'!$A:$A,"F"&amp;'表30-5-2-2-2'!$A35&amp;"L",'表30-5-2-3-2'!$W:$W)</f>
        <v>0</v>
      </c>
      <c r="H35" s="2712">
        <f>(($D35+$E35)*'表30-5-2-4-1'!N15/1000*'表30-5-2-4-1'!N$23+
$G35*'表30-5-2-4-1'!$N38/1000*'表30-5-2-4-1'!N$46)*(1+'表30-5-2-4-1'!$J$47)*'表30-5-2-4-1'!$J$48</f>
        <v>0</v>
      </c>
      <c r="I35" s="2430"/>
      <c r="J35" s="1188"/>
      <c r="K35" s="2452"/>
      <c r="L35" s="2452"/>
      <c r="M35" s="2452"/>
      <c r="N35" s="2452"/>
      <c r="O35" s="2452"/>
      <c r="P35" s="2463"/>
      <c r="Q35" s="1189"/>
    </row>
    <row r="36" spans="1:18" ht="16.5">
      <c r="A36" s="1188" t="s">
        <v>3639</v>
      </c>
      <c r="B36" s="2445">
        <v>9</v>
      </c>
      <c r="C36" s="2446" t="s">
        <v>3640</v>
      </c>
      <c r="D36" s="2447">
        <f>'表30-5-2-1-1'!F33</f>
        <v>0</v>
      </c>
      <c r="E36" s="2447">
        <f>SUMIF('表30-5-2-3-2'!$A:$A,"F"&amp;'表30-5-2-2-2'!$A36&amp;"Q",'表30-5-2-3-2'!$P:$P)</f>
        <v>0</v>
      </c>
      <c r="F36" s="2931">
        <f>SUMIF('表30-5-2-3-2'!$A:$A,"F"&amp;'表30-5-2-2-2'!$A36&amp;"Q",'表30-5-2-3-2'!$Y:$Y)</f>
        <v>0</v>
      </c>
      <c r="G36" s="2448">
        <f>SUMIF('表30-5-2-3-2'!$A:$A,"F"&amp;'表30-5-2-2-2'!$A36&amp;"L",'表30-5-2-3-2'!$W:$W)</f>
        <v>0</v>
      </c>
      <c r="H36" s="2712">
        <f>(($D36+$E36)*'表30-5-2-4-1'!N16/1000*'表30-5-2-4-1'!N$23+
$G36*'表30-5-2-4-1'!$N39/1000*'表30-5-2-4-1'!N$46)*(1+'表30-5-2-4-1'!$J$47)*'表30-5-2-4-1'!$J$48</f>
        <v>0</v>
      </c>
      <c r="I36" s="2430"/>
      <c r="J36" s="1188"/>
      <c r="K36" s="2452"/>
      <c r="L36" s="2452"/>
      <c r="M36" s="2452"/>
      <c r="N36" s="2452"/>
      <c r="O36" s="2452"/>
      <c r="P36" s="2463"/>
      <c r="Q36" s="1189"/>
    </row>
    <row r="37" spans="1:18" ht="16.5">
      <c r="A37" s="1188" t="s">
        <v>3641</v>
      </c>
      <c r="B37" s="2445">
        <v>10</v>
      </c>
      <c r="C37" s="2446" t="s">
        <v>3642</v>
      </c>
      <c r="D37" s="2447">
        <f>'表30-5-2-1-1'!F34</f>
        <v>0</v>
      </c>
      <c r="E37" s="2447">
        <f>SUMIF('表30-5-2-3-2'!$A:$A,"F"&amp;'表30-5-2-2-2'!$A37&amp;"Q",'表30-5-2-3-2'!$P:$P)</f>
        <v>0</v>
      </c>
      <c r="F37" s="2931">
        <f>SUMIF('表30-5-2-3-2'!$A:$A,"F"&amp;'表30-5-2-2-2'!$A37&amp;"Q",'表30-5-2-3-2'!$Y:$Y)</f>
        <v>0</v>
      </c>
      <c r="G37" s="2448">
        <f>SUMIF('表30-5-2-3-2'!$A:$A,"F"&amp;'表30-5-2-2-2'!$A37&amp;"L",'表30-5-2-3-2'!$W:$W)</f>
        <v>0</v>
      </c>
      <c r="H37" s="2712">
        <f>(($D37+$E37)*'表30-5-2-4-1'!N17/1000*'表30-5-2-4-1'!N$23+
$G37*'表30-5-2-4-1'!$N40/1000*'表30-5-2-4-1'!N$46)*(1+'表30-5-2-4-1'!$J$47)*'表30-5-2-4-1'!$J$48</f>
        <v>0</v>
      </c>
      <c r="I37" s="2430"/>
      <c r="J37" s="1188"/>
      <c r="K37" s="2452"/>
      <c r="L37" s="2452"/>
      <c r="M37" s="2452"/>
      <c r="N37" s="2452"/>
      <c r="O37" s="2452"/>
      <c r="P37" s="2463"/>
      <c r="Q37" s="1189"/>
    </row>
    <row r="38" spans="1:18" ht="16.5">
      <c r="A38" s="1188" t="s">
        <v>3643</v>
      </c>
      <c r="B38" s="2445">
        <v>11</v>
      </c>
      <c r="C38" s="2446" t="s">
        <v>3644</v>
      </c>
      <c r="D38" s="2447">
        <f>'表30-5-2-1-1'!F35</f>
        <v>0</v>
      </c>
      <c r="E38" s="2447">
        <f>SUMIF('表30-5-2-3-2'!$A:$A,"F"&amp;'表30-5-2-2-2'!$A38&amp;"Q",'表30-5-2-3-2'!$P:$P)</f>
        <v>0</v>
      </c>
      <c r="F38" s="2931">
        <f>SUMIF('表30-5-2-3-2'!$A:$A,"F"&amp;'表30-5-2-2-2'!$A38&amp;"Q",'表30-5-2-3-2'!$Y:$Y)</f>
        <v>0</v>
      </c>
      <c r="G38" s="2448">
        <f>SUMIF('表30-5-2-3-2'!$A:$A,"F"&amp;'表30-5-2-2-2'!$A38&amp;"L",'表30-5-2-3-2'!$W:$W)</f>
        <v>0</v>
      </c>
      <c r="H38" s="2712">
        <f>(($D38+$E38)*'表30-5-2-4-1'!N18/1000*'表30-5-2-4-1'!N$23+
$G38*'表30-5-2-4-1'!$N41/1000*'表30-5-2-4-1'!N$46)*(1+'表30-5-2-4-1'!$J$47)*'表30-5-2-4-1'!$J$48</f>
        <v>0</v>
      </c>
      <c r="I38" s="2430"/>
      <c r="J38" s="1188"/>
      <c r="K38" s="2452"/>
      <c r="L38" s="2452"/>
      <c r="M38" s="2452"/>
      <c r="N38" s="2452"/>
      <c r="O38" s="2452"/>
      <c r="P38" s="2463"/>
      <c r="Q38" s="1189"/>
    </row>
    <row r="39" spans="1:18" ht="16.5">
      <c r="A39" s="1188" t="s">
        <v>3645</v>
      </c>
      <c r="B39" s="2445">
        <v>12</v>
      </c>
      <c r="C39" s="2446" t="s">
        <v>3646</v>
      </c>
      <c r="D39" s="2447">
        <f>'表30-5-2-1-1'!F36</f>
        <v>0</v>
      </c>
      <c r="E39" s="2447">
        <f>SUMIF('表30-5-2-3-2'!$A:$A,"F"&amp;'表30-5-2-2-2'!$A39&amp;"Q",'表30-5-2-3-2'!$P:$P)</f>
        <v>0</v>
      </c>
      <c r="F39" s="2931">
        <f>SUMIF('表30-5-2-3-2'!$A:$A,"F"&amp;'表30-5-2-2-2'!$A39&amp;"Q",'表30-5-2-3-2'!$Y:$Y)</f>
        <v>0</v>
      </c>
      <c r="G39" s="2448">
        <f>SUMIF('表30-5-2-3-2'!$A:$A,"F"&amp;'表30-5-2-2-2'!$A39&amp;"L",'表30-5-2-3-2'!$W:$W)</f>
        <v>0</v>
      </c>
      <c r="H39" s="2712">
        <f>(($D39+$E39)*'表30-5-2-4-1'!N19/1000*'表30-5-2-4-1'!N$23+
$G39*'表30-5-2-4-1'!$N42/1000*'表30-5-2-4-1'!N$46)*(1+'表30-5-2-4-1'!$J$47)*'表30-5-2-4-1'!$J$48</f>
        <v>0</v>
      </c>
      <c r="I39" s="2430"/>
      <c r="J39" s="1188"/>
      <c r="K39" s="2452"/>
      <c r="L39" s="2452"/>
      <c r="M39" s="2452"/>
      <c r="N39" s="2452"/>
      <c r="O39" s="2452"/>
      <c r="P39" s="2463"/>
      <c r="Q39" s="1189"/>
    </row>
    <row r="40" spans="1:18" ht="16.5">
      <c r="A40" s="1188" t="s">
        <v>3716</v>
      </c>
      <c r="B40" s="2445">
        <v>13</v>
      </c>
      <c r="C40" s="2446" t="s">
        <v>3648</v>
      </c>
      <c r="D40" s="2447">
        <f>'表30-5-2-1-1'!F37</f>
        <v>0</v>
      </c>
      <c r="E40" s="2447">
        <f>SUMIF('表30-5-2-3-2'!$A:$A,"F"&amp;'表30-5-2-2-2'!$A40&amp;"Q",'表30-5-2-3-2'!$P:$P)</f>
        <v>0</v>
      </c>
      <c r="F40" s="2931">
        <f>SUMIF('表30-5-2-3-2'!$A:$A,"F"&amp;'表30-5-2-2-2'!$A40&amp;"Q",'表30-5-2-3-2'!$Y:$Y)</f>
        <v>0</v>
      </c>
      <c r="G40" s="2448">
        <f>SUMIF('表30-5-2-3-2'!$A:$A,"F"&amp;'表30-5-2-2-2'!$A40&amp;"L",'表30-5-2-3-2'!$W:$W)</f>
        <v>0</v>
      </c>
      <c r="H40" s="2712">
        <f>(($D40+$E40)*'表30-5-2-4-1'!N20/1000*'表30-5-2-4-1'!N$23+
$G40*'表30-5-2-4-1'!$N43/1000*'表30-5-2-4-1'!N$46)*(1+'表30-5-2-4-1'!$J$47)*'表30-5-2-4-1'!$J$48</f>
        <v>0</v>
      </c>
      <c r="I40" s="2430"/>
      <c r="J40" s="1189"/>
      <c r="K40" s="1189"/>
      <c r="L40" s="1189"/>
      <c r="M40" s="1189"/>
      <c r="N40" s="1189"/>
      <c r="O40" s="1189"/>
      <c r="P40" s="2463"/>
      <c r="Q40" s="1189"/>
    </row>
    <row r="41" spans="1:18" ht="16.5">
      <c r="A41" s="1188" t="s">
        <v>3717</v>
      </c>
      <c r="B41" s="2445">
        <v>14</v>
      </c>
      <c r="C41" s="2451" t="s">
        <v>3650</v>
      </c>
      <c r="D41" s="2447">
        <f>'表30-5-2-1-1'!F38</f>
        <v>0</v>
      </c>
      <c r="E41" s="2447">
        <f>SUMIF('表30-5-2-3-2'!$A:$A,"F"&amp;'表30-5-2-2-2'!$A41&amp;"Q",'表30-5-2-3-2'!$P:$P)</f>
        <v>0</v>
      </c>
      <c r="F41" s="2931">
        <f>SUMIF('表30-5-2-3-2'!$A:$A,"F"&amp;'表30-5-2-2-2'!$A41&amp;"Q",'表30-5-2-3-2'!$Y:$Y)</f>
        <v>0</v>
      </c>
      <c r="G41" s="2448">
        <f>SUMIF('表30-5-2-3-2'!$A:$A,"F"&amp;'表30-5-2-2-2'!$A41&amp;"L",'表30-5-2-3-2'!$W:$W)</f>
        <v>0</v>
      </c>
      <c r="H41" s="2712">
        <f>(($D41+$E41)*'表30-5-2-4-1'!N21/1000*'表30-5-2-4-1'!N$23+
$G41*'表30-5-2-4-1'!$N44/1000*'表30-5-2-4-1'!N$46)*(1+'表30-5-2-4-1'!$J$47)*'表30-5-2-4-1'!$J$48</f>
        <v>0</v>
      </c>
      <c r="I41" s="2430"/>
      <c r="J41" s="1189"/>
      <c r="K41" s="1189"/>
      <c r="L41" s="1189"/>
      <c r="M41" s="1189"/>
      <c r="N41" s="1189"/>
      <c r="O41" s="1189"/>
      <c r="P41" s="2463"/>
      <c r="Q41" s="1189"/>
    </row>
    <row r="42" spans="1:18" ht="17.25" thickBot="1">
      <c r="A42" s="1188" t="s">
        <v>3651</v>
      </c>
      <c r="B42" s="3674" t="s">
        <v>5886</v>
      </c>
      <c r="C42" s="3675"/>
      <c r="D42" s="2689">
        <f>SUM(D27:D41)</f>
        <v>0</v>
      </c>
      <c r="E42" s="2689">
        <f>SUM(E27:E41)</f>
        <v>0</v>
      </c>
      <c r="F42" s="2932">
        <f>SUM(F27:F41)</f>
        <v>0</v>
      </c>
      <c r="G42" s="2690">
        <f>SUM(G27:G41)</f>
        <v>0</v>
      </c>
      <c r="H42" s="2717">
        <f>SUM(H27:H41)</f>
        <v>0</v>
      </c>
      <c r="I42" s="2430"/>
      <c r="J42" s="1189"/>
      <c r="K42" s="1189"/>
      <c r="L42" s="1189"/>
      <c r="M42" s="1189"/>
      <c r="N42" s="1189"/>
      <c r="O42" s="1189"/>
      <c r="P42" s="2463"/>
      <c r="Q42" s="1189"/>
    </row>
    <row r="43" spans="1:18" s="1189" customFormat="1">
      <c r="A43" s="1188"/>
      <c r="B43" s="2465"/>
      <c r="C43" s="2465"/>
    </row>
    <row r="44" spans="1:18" s="1189" customFormat="1">
      <c r="A44" s="1188"/>
    </row>
    <row r="45" spans="1:18" s="1189" customFormat="1" ht="17.25" thickBot="1">
      <c r="A45" s="1188"/>
      <c r="B45" s="2722" t="s">
        <v>3859</v>
      </c>
      <c r="C45" s="2419"/>
      <c r="D45" s="2419"/>
      <c r="E45" s="2419"/>
      <c r="F45" s="2419"/>
      <c r="G45" s="2419"/>
      <c r="H45" s="2419"/>
      <c r="I45" s="2419"/>
      <c r="J45" s="2419"/>
      <c r="K45" s="2419"/>
      <c r="L45" s="2419"/>
      <c r="M45" s="2419"/>
      <c r="N45" s="2419"/>
      <c r="O45" s="2419"/>
      <c r="P45" s="2419"/>
      <c r="Q45" s="2426" t="s">
        <v>3614</v>
      </c>
    </row>
    <row r="46" spans="1:18" ht="16.5" customHeight="1">
      <c r="A46" s="3662" t="s">
        <v>3615</v>
      </c>
      <c r="B46" s="3663" t="s">
        <v>3588</v>
      </c>
      <c r="C46" s="3665" t="s">
        <v>5838</v>
      </c>
      <c r="D46" s="2918" t="s">
        <v>3739</v>
      </c>
      <c r="E46" s="2919"/>
      <c r="F46" s="2919"/>
      <c r="G46" s="2919"/>
      <c r="H46" s="2919"/>
      <c r="I46" s="2919"/>
      <c r="J46" s="2919"/>
      <c r="K46" s="2919"/>
      <c r="L46" s="2919"/>
      <c r="M46" s="2919"/>
      <c r="N46" s="2919"/>
      <c r="O46" s="2919"/>
      <c r="P46" s="2919"/>
      <c r="Q46" s="2705" t="s">
        <v>3619</v>
      </c>
      <c r="R46" s="1189"/>
    </row>
    <row r="47" spans="1:18" ht="47.25" customHeight="1">
      <c r="A47" s="3662"/>
      <c r="B47" s="3664"/>
      <c r="C47" s="3666"/>
      <c r="D47" s="2693" t="s">
        <v>5887</v>
      </c>
      <c r="E47" s="2694" t="s">
        <v>3740</v>
      </c>
      <c r="F47" s="2925" t="s">
        <v>6312</v>
      </c>
      <c r="G47" s="2694" t="s">
        <v>3741</v>
      </c>
      <c r="H47" s="2694" t="s">
        <v>5888</v>
      </c>
      <c r="I47" s="2694" t="s">
        <v>3742</v>
      </c>
      <c r="J47" s="2925" t="s">
        <v>6313</v>
      </c>
      <c r="K47" s="2694" t="s">
        <v>3743</v>
      </c>
      <c r="L47" s="2681" t="s">
        <v>3733</v>
      </c>
      <c r="M47" s="2681" t="s">
        <v>3734</v>
      </c>
      <c r="N47" s="2681" t="s">
        <v>3735</v>
      </c>
      <c r="O47" s="2681" t="s">
        <v>3736</v>
      </c>
      <c r="P47" s="2695" t="s">
        <v>3737</v>
      </c>
      <c r="Q47" s="2696" t="s">
        <v>3620</v>
      </c>
      <c r="R47" s="1189"/>
    </row>
    <row r="48" spans="1:18" ht="16.5">
      <c r="A48" s="1188" t="s">
        <v>3621</v>
      </c>
      <c r="B48" s="2445">
        <v>1</v>
      </c>
      <c r="C48" s="2446" t="s">
        <v>3622</v>
      </c>
      <c r="D48" s="2454">
        <f>'表30-5-2-1-1'!J46</f>
        <v>0</v>
      </c>
      <c r="E48" s="2455">
        <f>SUMIF('表30-5-2-3-2'!$A:$A,"E1"&amp;'表30-5-2-2-2'!$A48&amp;"Q",'表30-5-2-3-2'!$O:$O)</f>
        <v>0</v>
      </c>
      <c r="F48" s="2926">
        <f>SUMIF('表30-5-2-3-2'!$A:$A,"E1"&amp;'表30-5-2-2-2'!$A51&amp;"Q",'表30-5-2-3-2'!$X:$X)</f>
        <v>0</v>
      </c>
      <c r="G48" s="2455">
        <f>SUMIF('表30-5-2-3-2'!$A:$A,"E1"&amp;'表30-5-2-2-2'!$A48&amp;"L",'表30-5-2-3-2'!$V:$V)</f>
        <v>0</v>
      </c>
      <c r="H48" s="2455">
        <f>'表30-5-2-1-1'!K46</f>
        <v>0</v>
      </c>
      <c r="I48" s="2455">
        <f>SUMIF('表30-5-2-3-2'!$A:$A,"E2"&amp;'表30-5-2-2-2'!$A48&amp;"Q",'表30-5-2-3-2'!$O:$O)</f>
        <v>0</v>
      </c>
      <c r="J48" s="2926">
        <f>SUMIF('表30-5-2-3-2'!$A:$A,"E2"&amp;'表30-5-2-2-2'!$A48&amp;"Q",'表30-5-2-3-2'!$X:$X)</f>
        <v>0</v>
      </c>
      <c r="K48" s="2455">
        <f>SUMIF('表30-5-2-3-2'!$A:$A,"E2"&amp;'表30-5-2-2-2'!$A48&amp;"L",'表30-5-2-3-2'!$V:$V)</f>
        <v>0</v>
      </c>
      <c r="L48" s="2454">
        <f>'表30-5-2-1-1'!L46</f>
        <v>0</v>
      </c>
      <c r="M48" s="2454">
        <f>'表30-5-2-1-1'!M46</f>
        <v>0</v>
      </c>
      <c r="N48" s="2454">
        <f>'表30-5-2-1-1'!N46</f>
        <v>0</v>
      </c>
      <c r="O48" s="2454">
        <f>'表30-5-2-1-1'!O46</f>
        <v>0</v>
      </c>
      <c r="P48" s="2456">
        <f>'表30-5-2-1-1'!P46</f>
        <v>0</v>
      </c>
      <c r="Q48" s="2712">
        <f>((($D48+$E48)*'表30-5-2-4-2'!$V8+$G48*'表30-5-2-4-2'!$AU8)*'表30-5-2-4-2'!$Q$82+((H48+$I48)*'表30-5-2-4-2'!$AC8+$K48*'表30-5-2-4-2'!$AU27)*'表30-5-2-4-2'!$R$82+$L48*'表30-5-2-4-2'!$V46*'表30-5-2-4-2'!$S$82+$M48*'表30-5-2-4-2'!$AC46*'表30-5-2-4-2'!$T$82+$N48*'表30-5-2-4-2'!$AC27*'表30-5-2-4-2'!$U$82+$O48*'表30-5-2-4-2'!$V27*'表30-5-2-4-2'!$V$82+$P48*'表30-5-2-4-2'!$V65*'表30-5-2-4-2'!$W$82)/1000*
(1+'表30-5-2-4-2'!$Q$83)*'表30-5-2-4-1'!$J$48</f>
        <v>0</v>
      </c>
      <c r="R48" s="2430"/>
    </row>
    <row r="49" spans="1:18" ht="16.5">
      <c r="A49" s="1188" t="s">
        <v>3623</v>
      </c>
      <c r="B49" s="2445">
        <v>1.1000000000000001</v>
      </c>
      <c r="C49" s="2446" t="s">
        <v>3624</v>
      </c>
      <c r="D49" s="2454">
        <f>'表30-5-2-1-1'!J47</f>
        <v>0</v>
      </c>
      <c r="E49" s="2455">
        <f>SUMIF('表30-5-2-3-2'!$A:$A,"E1"&amp;'表30-5-2-2-2'!$A49&amp;"Q",'表30-5-2-3-2'!$O:$O)</f>
        <v>0</v>
      </c>
      <c r="F49" s="2926">
        <f>SUMIF('表30-5-2-3-2'!$A:$A,"E1"&amp;'表30-5-2-2-2'!$A52&amp;"Q",'表30-5-2-3-2'!$X:$X)</f>
        <v>0</v>
      </c>
      <c r="G49" s="2455">
        <f>SUMIF('表30-5-2-3-2'!$A:$A,"E1"&amp;'表30-5-2-2-2'!$A49&amp;"L",'表30-5-2-3-2'!$V:$V)</f>
        <v>0</v>
      </c>
      <c r="H49" s="2455">
        <f>'表30-5-2-1-1'!K47</f>
        <v>0</v>
      </c>
      <c r="I49" s="2455">
        <f>SUMIF('表30-5-2-3-2'!$A:$A,"E2"&amp;'表30-5-2-2-2'!$A49&amp;"Q",'表30-5-2-3-2'!$O:$O)</f>
        <v>0</v>
      </c>
      <c r="J49" s="2926">
        <f>SUMIF('表30-5-2-3-2'!$A:$A,"E2"&amp;'表30-5-2-2-2'!$A49&amp;"Q",'表30-5-2-3-2'!$X:$X)</f>
        <v>0</v>
      </c>
      <c r="K49" s="2455">
        <f>SUMIF('表30-5-2-3-2'!$A:$A,"E2"&amp;'表30-5-2-2-2'!$A49&amp;"L",'表30-5-2-3-2'!$V:$V)</f>
        <v>0</v>
      </c>
      <c r="L49" s="2454">
        <f>'表30-5-2-1-1'!L47</f>
        <v>0</v>
      </c>
      <c r="M49" s="2454">
        <f>'表30-5-2-1-1'!M47</f>
        <v>0</v>
      </c>
      <c r="N49" s="2454">
        <f>'表30-5-2-1-1'!N47</f>
        <v>0</v>
      </c>
      <c r="O49" s="2454">
        <f>'表30-5-2-1-1'!O47</f>
        <v>0</v>
      </c>
      <c r="P49" s="2456">
        <f>'表30-5-2-1-1'!P47</f>
        <v>0</v>
      </c>
      <c r="Q49" s="2712">
        <f>((($D49+$E49)*'表30-5-2-4-2'!$V9+$G49*'表30-5-2-4-2'!$AU9)*'表30-5-2-4-2'!$Q$82+((H49+$I49)*'表30-5-2-4-2'!$AC9+$K49*'表30-5-2-4-2'!$AU28)*'表30-5-2-4-2'!$R$82+$L49*'表30-5-2-4-2'!$V47*'表30-5-2-4-2'!$S$82+$M49*'表30-5-2-4-2'!$AC47*'表30-5-2-4-2'!$T$82+$N49*'表30-5-2-4-2'!$AC28*'表30-5-2-4-2'!$U$82+$O49*'表30-5-2-4-2'!$V28*'表30-5-2-4-2'!$V$82+$P49*'表30-5-2-4-2'!$V66*'表30-5-2-4-2'!$W$82)/1000*
(1+'表30-5-2-4-2'!$Q$83)*'表30-5-2-4-1'!$J$48</f>
        <v>0</v>
      </c>
      <c r="R49" s="2430"/>
    </row>
    <row r="50" spans="1:18" s="1189" customFormat="1" ht="16.5">
      <c r="A50" s="1188" t="s">
        <v>3625</v>
      </c>
      <c r="B50" s="2445">
        <v>2</v>
      </c>
      <c r="C50" s="2446" t="s">
        <v>3626</v>
      </c>
      <c r="D50" s="2454">
        <f>'表30-5-2-1-1'!J48</f>
        <v>0</v>
      </c>
      <c r="E50" s="2455">
        <f>SUMIF('表30-5-2-3-2'!$A:$A,"E1"&amp;'表30-5-2-2-2'!$A50&amp;"Q",'表30-5-2-3-2'!$O:$O)</f>
        <v>0</v>
      </c>
      <c r="F50" s="2926">
        <f>SUMIF('表30-5-2-3-2'!$A:$A,"E1"&amp;'表30-5-2-2-2'!$A53&amp;"Q",'表30-5-2-3-2'!$X:$X)</f>
        <v>0</v>
      </c>
      <c r="G50" s="2455">
        <f>SUMIF('表30-5-2-3-2'!$A:$A,"E1"&amp;'表30-5-2-2-2'!$A50&amp;"L",'表30-5-2-3-2'!$V:$V)</f>
        <v>0</v>
      </c>
      <c r="H50" s="2455">
        <f>'表30-5-2-1-1'!K48</f>
        <v>0</v>
      </c>
      <c r="I50" s="2455">
        <f>SUMIF('表30-5-2-3-2'!$A:$A,"E2"&amp;'表30-5-2-2-2'!$A50&amp;"Q",'表30-5-2-3-2'!$O:$O)</f>
        <v>0</v>
      </c>
      <c r="J50" s="2926">
        <f>SUMIF('表30-5-2-3-2'!$A:$A,"E2"&amp;'表30-5-2-2-2'!$A50&amp;"Q",'表30-5-2-3-2'!$X:$X)</f>
        <v>0</v>
      </c>
      <c r="K50" s="2455">
        <f>SUMIF('表30-5-2-3-2'!$A:$A,"E2"&amp;'表30-5-2-2-2'!$A50&amp;"L",'表30-5-2-3-2'!$V:$V)</f>
        <v>0</v>
      </c>
      <c r="L50" s="2454">
        <f>'表30-5-2-1-1'!L48</f>
        <v>0</v>
      </c>
      <c r="M50" s="2454">
        <f>'表30-5-2-1-1'!M48</f>
        <v>0</v>
      </c>
      <c r="N50" s="2454">
        <f>'表30-5-2-1-1'!N48</f>
        <v>0</v>
      </c>
      <c r="O50" s="2454">
        <f>'表30-5-2-1-1'!O48</f>
        <v>0</v>
      </c>
      <c r="P50" s="2456">
        <f>'表30-5-2-1-1'!P48</f>
        <v>0</v>
      </c>
      <c r="Q50" s="2712">
        <f>((($D50+$E50)*'表30-5-2-4-2'!$V10+$G50*'表30-5-2-4-2'!$AU10)*'表30-5-2-4-2'!$Q$82+((H50+$I50)*'表30-5-2-4-2'!$AC10+$K50*'表30-5-2-4-2'!$AU29)*'表30-5-2-4-2'!$R$82+$L50*'表30-5-2-4-2'!$V48*'表30-5-2-4-2'!$S$82+$M50*'表30-5-2-4-2'!$AC48*'表30-5-2-4-2'!$T$82+$N50*'表30-5-2-4-2'!$AC29*'表30-5-2-4-2'!$U$82+$O50*'表30-5-2-4-2'!$V29*'表30-5-2-4-2'!$V$82+$P50*'表30-5-2-4-2'!$V67*'表30-5-2-4-2'!$W$82)/1000*
(1+'表30-5-2-4-2'!$Q$83)*'表30-5-2-4-1'!$J$48</f>
        <v>0</v>
      </c>
      <c r="R50" s="2430"/>
    </row>
    <row r="51" spans="1:18" s="1189" customFormat="1" ht="16.5">
      <c r="A51" s="1188" t="s">
        <v>3627</v>
      </c>
      <c r="B51" s="2445">
        <v>3</v>
      </c>
      <c r="C51" s="2446" t="s">
        <v>3628</v>
      </c>
      <c r="D51" s="2454">
        <f>'表30-5-2-1-1'!J49</f>
        <v>0</v>
      </c>
      <c r="E51" s="2455">
        <f>SUMIF('表30-5-2-3-2'!$A:$A,"E1"&amp;'表30-5-2-2-2'!$A51&amp;"Q",'表30-5-2-3-2'!$O:$O)</f>
        <v>0</v>
      </c>
      <c r="F51" s="2926">
        <f>SUMIF('表30-5-2-3-2'!$A:$A,"E1"&amp;'表30-5-2-2-2'!$A54&amp;"Q",'表30-5-2-3-2'!$X:$X)</f>
        <v>0</v>
      </c>
      <c r="G51" s="2455">
        <f>SUMIF('表30-5-2-3-2'!$A:$A,"E1"&amp;'表30-5-2-2-2'!$A51&amp;"L",'表30-5-2-3-2'!$V:$V)</f>
        <v>0</v>
      </c>
      <c r="H51" s="2455">
        <f>'表30-5-2-1-1'!K49</f>
        <v>0</v>
      </c>
      <c r="I51" s="2455">
        <f>SUMIF('表30-5-2-3-2'!$A:$A,"E2"&amp;'表30-5-2-2-2'!$A51&amp;"Q",'表30-5-2-3-2'!$O:$O)</f>
        <v>0</v>
      </c>
      <c r="J51" s="2926">
        <f>SUMIF('表30-5-2-3-2'!$A:$A,"E2"&amp;'表30-5-2-2-2'!$A51&amp;"Q",'表30-5-2-3-2'!$X:$X)</f>
        <v>0</v>
      </c>
      <c r="K51" s="2455">
        <f>SUMIF('表30-5-2-3-2'!$A:$A,"E2"&amp;'表30-5-2-2-2'!$A51&amp;"L",'表30-5-2-3-2'!$V:$V)</f>
        <v>0</v>
      </c>
      <c r="L51" s="2454">
        <f>'表30-5-2-1-1'!L49</f>
        <v>0</v>
      </c>
      <c r="M51" s="2454">
        <f>'表30-5-2-1-1'!M49</f>
        <v>0</v>
      </c>
      <c r="N51" s="2454">
        <f>'表30-5-2-1-1'!N49</f>
        <v>0</v>
      </c>
      <c r="O51" s="2454">
        <f>'表30-5-2-1-1'!O49</f>
        <v>0</v>
      </c>
      <c r="P51" s="2456">
        <f>'表30-5-2-1-1'!P49</f>
        <v>0</v>
      </c>
      <c r="Q51" s="2712">
        <f>((($D51+$E51)*'表30-5-2-4-2'!$V11+$G51*'表30-5-2-4-2'!$AU11)*'表30-5-2-4-2'!$Q$82+((H51+$I51)*'表30-5-2-4-2'!$AC11+$K51*'表30-5-2-4-2'!$AU30)*'表30-5-2-4-2'!$R$82+$L51*'表30-5-2-4-2'!$V49*'表30-5-2-4-2'!$S$82+$M51*'表30-5-2-4-2'!$AC49*'表30-5-2-4-2'!$T$82+$N51*'表30-5-2-4-2'!$AC30*'表30-5-2-4-2'!$U$82+$O51*'表30-5-2-4-2'!$V30*'表30-5-2-4-2'!$V$82+$P51*'表30-5-2-4-2'!$V68*'表30-5-2-4-2'!$W$82)/1000*
(1+'表30-5-2-4-2'!$Q$83)*'表30-5-2-4-1'!$J$48</f>
        <v>0</v>
      </c>
      <c r="R51" s="2430"/>
    </row>
    <row r="52" spans="1:18" s="1189" customFormat="1" ht="16.5">
      <c r="A52" s="1188" t="s">
        <v>3629</v>
      </c>
      <c r="B52" s="2445">
        <v>4</v>
      </c>
      <c r="C52" s="2446" t="s">
        <v>3630</v>
      </c>
      <c r="D52" s="2454">
        <f>'表30-5-2-1-1'!J50</f>
        <v>0</v>
      </c>
      <c r="E52" s="2455">
        <f>SUMIF('表30-5-2-3-2'!$A:$A,"E1"&amp;'表30-5-2-2-2'!$A52&amp;"Q",'表30-5-2-3-2'!$O:$O)</f>
        <v>0</v>
      </c>
      <c r="F52" s="2926">
        <f>SUMIF('表30-5-2-3-2'!$A:$A,"E1"&amp;'表30-5-2-2-2'!$A55&amp;"Q",'表30-5-2-3-2'!$X:$X)</f>
        <v>0</v>
      </c>
      <c r="G52" s="2455">
        <f>SUMIF('表30-5-2-3-2'!$A:$A,"E1"&amp;'表30-5-2-2-2'!$A52&amp;"L",'表30-5-2-3-2'!$V:$V)</f>
        <v>0</v>
      </c>
      <c r="H52" s="2455">
        <f>'表30-5-2-1-1'!K50</f>
        <v>0</v>
      </c>
      <c r="I52" s="2455">
        <f>SUMIF('表30-5-2-3-2'!$A:$A,"E2"&amp;'表30-5-2-2-2'!$A52&amp;"Q",'表30-5-2-3-2'!$O:$O)</f>
        <v>0</v>
      </c>
      <c r="J52" s="2926">
        <f>SUMIF('表30-5-2-3-2'!$A:$A,"E2"&amp;'表30-5-2-2-2'!$A52&amp;"Q",'表30-5-2-3-2'!$X:$X)</f>
        <v>0</v>
      </c>
      <c r="K52" s="2455">
        <f>SUMIF('表30-5-2-3-2'!$A:$A,"E2"&amp;'表30-5-2-2-2'!$A52&amp;"L",'表30-5-2-3-2'!$V:$V)</f>
        <v>0</v>
      </c>
      <c r="L52" s="2454">
        <f>'表30-5-2-1-1'!L50</f>
        <v>0</v>
      </c>
      <c r="M52" s="2454">
        <f>'表30-5-2-1-1'!M50</f>
        <v>0</v>
      </c>
      <c r="N52" s="2454">
        <f>'表30-5-2-1-1'!N50</f>
        <v>0</v>
      </c>
      <c r="O52" s="2454">
        <f>'表30-5-2-1-1'!O50</f>
        <v>0</v>
      </c>
      <c r="P52" s="2456">
        <f>'表30-5-2-1-1'!P50</f>
        <v>0</v>
      </c>
      <c r="Q52" s="2712">
        <f>((($D52+$E52)*'表30-5-2-4-2'!$V12+$G52*'表30-5-2-4-2'!$AU12)*'表30-5-2-4-2'!$Q$82+((H52+$I52)*'表30-5-2-4-2'!$AC12+$K52*'表30-5-2-4-2'!$AU31)*'表30-5-2-4-2'!$R$82+$L52*'表30-5-2-4-2'!$V50*'表30-5-2-4-2'!$S$82+$M52*'表30-5-2-4-2'!$AC50*'表30-5-2-4-2'!$T$82+$N52*'表30-5-2-4-2'!$AC31*'表30-5-2-4-2'!$U$82+$O52*'表30-5-2-4-2'!$V31*'表30-5-2-4-2'!$V$82+$P52*'表30-5-2-4-2'!$V69*'表30-5-2-4-2'!$W$82)/1000*
(1+'表30-5-2-4-2'!$Q$83)*'表30-5-2-4-1'!$J$48</f>
        <v>0</v>
      </c>
      <c r="R52" s="2430"/>
    </row>
    <row r="53" spans="1:18" s="1189" customFormat="1" ht="16.5">
      <c r="A53" s="1188" t="s">
        <v>3631</v>
      </c>
      <c r="B53" s="2445">
        <v>5</v>
      </c>
      <c r="C53" s="2446" t="s">
        <v>3632</v>
      </c>
      <c r="D53" s="2454">
        <f>'表30-5-2-1-1'!J51</f>
        <v>0</v>
      </c>
      <c r="E53" s="2455">
        <f>SUMIF('表30-5-2-3-2'!$A:$A,"E1"&amp;'表30-5-2-2-2'!$A53&amp;"Q",'表30-5-2-3-2'!$O:$O)</f>
        <v>0</v>
      </c>
      <c r="F53" s="2926">
        <f>SUMIF('表30-5-2-3-2'!$A:$A,"E1"&amp;'表30-5-2-2-2'!$A56&amp;"Q",'表30-5-2-3-2'!$X:$X)</f>
        <v>0</v>
      </c>
      <c r="G53" s="2455">
        <f>SUMIF('表30-5-2-3-2'!$A:$A,"E1"&amp;'表30-5-2-2-2'!$A53&amp;"L",'表30-5-2-3-2'!$V:$V)</f>
        <v>0</v>
      </c>
      <c r="H53" s="2455">
        <f>'表30-5-2-1-1'!K51</f>
        <v>0</v>
      </c>
      <c r="I53" s="2455">
        <f>SUMIF('表30-5-2-3-2'!$A:$A,"E2"&amp;'表30-5-2-2-2'!$A53&amp;"Q",'表30-5-2-3-2'!$O:$O)</f>
        <v>0</v>
      </c>
      <c r="J53" s="2926">
        <f>SUMIF('表30-5-2-3-2'!$A:$A,"E2"&amp;'表30-5-2-2-2'!$A53&amp;"Q",'表30-5-2-3-2'!$X:$X)</f>
        <v>0</v>
      </c>
      <c r="K53" s="2455">
        <f>SUMIF('表30-5-2-3-2'!$A:$A,"E2"&amp;'表30-5-2-2-2'!$A53&amp;"L",'表30-5-2-3-2'!$V:$V)</f>
        <v>0</v>
      </c>
      <c r="L53" s="2454">
        <f>'表30-5-2-1-1'!L51</f>
        <v>0</v>
      </c>
      <c r="M53" s="2454">
        <f>'表30-5-2-1-1'!M51</f>
        <v>0</v>
      </c>
      <c r="N53" s="2454">
        <f>'表30-5-2-1-1'!N51</f>
        <v>0</v>
      </c>
      <c r="O53" s="2454">
        <f>'表30-5-2-1-1'!O51</f>
        <v>0</v>
      </c>
      <c r="P53" s="2456">
        <f>'表30-5-2-1-1'!P51</f>
        <v>0</v>
      </c>
      <c r="Q53" s="2712">
        <f>((($D53+$E53)*'表30-5-2-4-2'!$V13+$G53*'表30-5-2-4-2'!$AU13)*'表30-5-2-4-2'!$Q$82+((H53+$I53)*'表30-5-2-4-2'!$AC13+$K53*'表30-5-2-4-2'!$AU32)*'表30-5-2-4-2'!$R$82+$L53*'表30-5-2-4-2'!$V51*'表30-5-2-4-2'!$S$82+$M53*'表30-5-2-4-2'!$AC51*'表30-5-2-4-2'!$T$82+$N53*'表30-5-2-4-2'!$AC32*'表30-5-2-4-2'!$U$82+$O53*'表30-5-2-4-2'!$V32*'表30-5-2-4-2'!$V$82+$P53*'表30-5-2-4-2'!$V70*'表30-5-2-4-2'!$W$82)/1000*
(1+'表30-5-2-4-2'!$Q$83)*'表30-5-2-4-1'!$J$48</f>
        <v>0</v>
      </c>
      <c r="R53" s="2430"/>
    </row>
    <row r="54" spans="1:18" s="1189" customFormat="1" ht="16.5">
      <c r="A54" s="1188" t="s">
        <v>3633</v>
      </c>
      <c r="B54" s="2445">
        <v>6</v>
      </c>
      <c r="C54" s="2446" t="s">
        <v>3634</v>
      </c>
      <c r="D54" s="2454">
        <f>'表30-5-2-1-1'!J52</f>
        <v>0</v>
      </c>
      <c r="E54" s="2455">
        <f>SUMIF('表30-5-2-3-2'!$A:$A,"E1"&amp;'表30-5-2-2-2'!$A54&amp;"Q",'表30-5-2-3-2'!$O:$O)</f>
        <v>0</v>
      </c>
      <c r="F54" s="2926">
        <f>SUMIF('表30-5-2-3-2'!$A:$A,"E1"&amp;'表30-5-2-2-2'!$A57&amp;"Q",'表30-5-2-3-2'!$X:$X)</f>
        <v>0</v>
      </c>
      <c r="G54" s="2455">
        <f>SUMIF('表30-5-2-3-2'!$A:$A,"E1"&amp;'表30-5-2-2-2'!$A54&amp;"L",'表30-5-2-3-2'!$V:$V)</f>
        <v>0</v>
      </c>
      <c r="H54" s="2455">
        <f>'表30-5-2-1-1'!K52</f>
        <v>0</v>
      </c>
      <c r="I54" s="2455">
        <f>SUMIF('表30-5-2-3-2'!$A:$A,"E2"&amp;'表30-5-2-2-2'!$A54&amp;"Q",'表30-5-2-3-2'!$O:$O)</f>
        <v>0</v>
      </c>
      <c r="J54" s="2926">
        <f>SUMIF('表30-5-2-3-2'!$A:$A,"E2"&amp;'表30-5-2-2-2'!$A54&amp;"Q",'表30-5-2-3-2'!$X:$X)</f>
        <v>0</v>
      </c>
      <c r="K54" s="2455">
        <f>SUMIF('表30-5-2-3-2'!$A:$A,"E2"&amp;'表30-5-2-2-2'!$A54&amp;"L",'表30-5-2-3-2'!$V:$V)</f>
        <v>0</v>
      </c>
      <c r="L54" s="2454">
        <f>'表30-5-2-1-1'!L52</f>
        <v>0</v>
      </c>
      <c r="M54" s="2454">
        <f>'表30-5-2-1-1'!M52</f>
        <v>0</v>
      </c>
      <c r="N54" s="2454">
        <f>'表30-5-2-1-1'!N52</f>
        <v>0</v>
      </c>
      <c r="O54" s="2454">
        <f>'表30-5-2-1-1'!O52</f>
        <v>0</v>
      </c>
      <c r="P54" s="2456">
        <f>'表30-5-2-1-1'!P52</f>
        <v>0</v>
      </c>
      <c r="Q54" s="2712">
        <f>((($D54+$E54)*'表30-5-2-4-2'!$V14+$G54*'表30-5-2-4-2'!$AU14)*'表30-5-2-4-2'!$Q$82+((H54+$I54)*'表30-5-2-4-2'!$AC14+$K54*'表30-5-2-4-2'!$AU33)*'表30-5-2-4-2'!$R$82+$L54*'表30-5-2-4-2'!$V52*'表30-5-2-4-2'!$S$82+$M54*'表30-5-2-4-2'!$AC52*'表30-5-2-4-2'!$T$82+$N54*'表30-5-2-4-2'!$AC33*'表30-5-2-4-2'!$U$82+$O54*'表30-5-2-4-2'!$V33*'表30-5-2-4-2'!$V$82+$P54*'表30-5-2-4-2'!$V71*'表30-5-2-4-2'!$W$82)/1000*
(1+'表30-5-2-4-2'!$Q$83)*'表30-5-2-4-1'!$J$48</f>
        <v>0</v>
      </c>
      <c r="R54" s="2430"/>
    </row>
    <row r="55" spans="1:18" s="1189" customFormat="1" ht="16.5">
      <c r="A55" s="1188" t="s">
        <v>3635</v>
      </c>
      <c r="B55" s="2445">
        <v>7</v>
      </c>
      <c r="C55" s="2446" t="s">
        <v>3636</v>
      </c>
      <c r="D55" s="2454">
        <f>'表30-5-2-1-1'!J53</f>
        <v>0</v>
      </c>
      <c r="E55" s="2455">
        <f>SUMIF('表30-5-2-3-2'!$A:$A,"E1"&amp;'表30-5-2-2-2'!$A55&amp;"Q",'表30-5-2-3-2'!$O:$O)</f>
        <v>0</v>
      </c>
      <c r="F55" s="2926">
        <f>SUMIF('表30-5-2-3-2'!$A:$A,"E1"&amp;'表30-5-2-2-2'!$A58&amp;"Q",'表30-5-2-3-2'!$X:$X)</f>
        <v>0</v>
      </c>
      <c r="G55" s="2455">
        <f>SUMIF('表30-5-2-3-2'!$A:$A,"E1"&amp;'表30-5-2-2-2'!$A55&amp;"L",'表30-5-2-3-2'!$V:$V)</f>
        <v>0</v>
      </c>
      <c r="H55" s="2455">
        <f>'表30-5-2-1-1'!K53</f>
        <v>0</v>
      </c>
      <c r="I55" s="2455">
        <f>SUMIF('表30-5-2-3-2'!$A:$A,"E2"&amp;'表30-5-2-2-2'!$A55&amp;"Q",'表30-5-2-3-2'!$O:$O)</f>
        <v>0</v>
      </c>
      <c r="J55" s="2926">
        <f>SUMIF('表30-5-2-3-2'!$A:$A,"E2"&amp;'表30-5-2-2-2'!$A55&amp;"Q",'表30-5-2-3-2'!$X:$X)</f>
        <v>0</v>
      </c>
      <c r="K55" s="2455">
        <f>SUMIF('表30-5-2-3-2'!$A:$A,"E2"&amp;'表30-5-2-2-2'!$A55&amp;"L",'表30-5-2-3-2'!$V:$V)</f>
        <v>0</v>
      </c>
      <c r="L55" s="2454">
        <f>'表30-5-2-1-1'!L53</f>
        <v>0</v>
      </c>
      <c r="M55" s="2454">
        <f>'表30-5-2-1-1'!M53</f>
        <v>0</v>
      </c>
      <c r="N55" s="2454">
        <f>'表30-5-2-1-1'!N53</f>
        <v>0</v>
      </c>
      <c r="O55" s="2454">
        <f>'表30-5-2-1-1'!O53</f>
        <v>0</v>
      </c>
      <c r="P55" s="2456">
        <f>'表30-5-2-1-1'!P53</f>
        <v>0</v>
      </c>
      <c r="Q55" s="2712">
        <f>((($D55+$E55)*'表30-5-2-4-2'!$V15+$G55*'表30-5-2-4-2'!$AU15)*'表30-5-2-4-2'!$Q$82+((H55+$I55)*'表30-5-2-4-2'!$AC15+$K55*'表30-5-2-4-2'!$AU34)*'表30-5-2-4-2'!$R$82+$L55*'表30-5-2-4-2'!$V53*'表30-5-2-4-2'!$S$82+$M55*'表30-5-2-4-2'!$AC53*'表30-5-2-4-2'!$T$82+$N55*'表30-5-2-4-2'!$AC34*'表30-5-2-4-2'!$U$82+$O55*'表30-5-2-4-2'!$V34*'表30-5-2-4-2'!$V$82+$P55*'表30-5-2-4-2'!$V72*'表30-5-2-4-2'!$W$82)/1000*
(1+'表30-5-2-4-2'!$Q$83)*'表30-5-2-4-1'!$J$48</f>
        <v>0</v>
      </c>
      <c r="R55" s="2430"/>
    </row>
    <row r="56" spans="1:18" s="1189" customFormat="1" ht="16.5">
      <c r="A56" s="1188" t="s">
        <v>3637</v>
      </c>
      <c r="B56" s="2445">
        <v>8</v>
      </c>
      <c r="C56" s="2446" t="s">
        <v>3638</v>
      </c>
      <c r="D56" s="2454">
        <f>'表30-5-2-1-1'!J54</f>
        <v>0</v>
      </c>
      <c r="E56" s="2455">
        <f>SUMIF('表30-5-2-3-2'!$A:$A,"E1"&amp;'表30-5-2-2-2'!$A56&amp;"Q",'表30-5-2-3-2'!$O:$O)</f>
        <v>0</v>
      </c>
      <c r="F56" s="2926">
        <f>SUMIF('表30-5-2-3-2'!$A:$A,"E1"&amp;'表30-5-2-2-2'!$A59&amp;"Q",'表30-5-2-3-2'!$X:$X)</f>
        <v>0</v>
      </c>
      <c r="G56" s="2455">
        <f>SUMIF('表30-5-2-3-2'!$A:$A,"E1"&amp;'表30-5-2-2-2'!$A56&amp;"L",'表30-5-2-3-2'!$V:$V)</f>
        <v>0</v>
      </c>
      <c r="H56" s="2455">
        <f>'表30-5-2-1-1'!K54</f>
        <v>0</v>
      </c>
      <c r="I56" s="2455">
        <f>SUMIF('表30-5-2-3-2'!$A:$A,"E2"&amp;'表30-5-2-2-2'!$A56&amp;"Q",'表30-5-2-3-2'!$O:$O)</f>
        <v>0</v>
      </c>
      <c r="J56" s="2926">
        <f>SUMIF('表30-5-2-3-2'!$A:$A,"E2"&amp;'表30-5-2-2-2'!$A56&amp;"Q",'表30-5-2-3-2'!$X:$X)</f>
        <v>0</v>
      </c>
      <c r="K56" s="2455">
        <f>SUMIF('表30-5-2-3-2'!$A:$A,"E2"&amp;'表30-5-2-2-2'!$A56&amp;"L",'表30-5-2-3-2'!$V:$V)</f>
        <v>0</v>
      </c>
      <c r="L56" s="2454">
        <f>'表30-5-2-1-1'!L54</f>
        <v>0</v>
      </c>
      <c r="M56" s="2454">
        <f>'表30-5-2-1-1'!M54</f>
        <v>0</v>
      </c>
      <c r="N56" s="2454">
        <f>'表30-5-2-1-1'!N54</f>
        <v>0</v>
      </c>
      <c r="O56" s="2454">
        <f>'表30-5-2-1-1'!O54</f>
        <v>0</v>
      </c>
      <c r="P56" s="2456">
        <f>'表30-5-2-1-1'!P54</f>
        <v>0</v>
      </c>
      <c r="Q56" s="2712">
        <f>((($D56+$E56)*'表30-5-2-4-2'!$V16+$G56*'表30-5-2-4-2'!$AU16)*'表30-5-2-4-2'!$Q$82+((H56+$I56)*'表30-5-2-4-2'!$AC16+$K56*'表30-5-2-4-2'!$AU35)*'表30-5-2-4-2'!$R$82+$L56*'表30-5-2-4-2'!$V54*'表30-5-2-4-2'!$S$82+$M56*'表30-5-2-4-2'!$AC54*'表30-5-2-4-2'!$T$82+$N56*'表30-5-2-4-2'!$AC35*'表30-5-2-4-2'!$U$82+$O56*'表30-5-2-4-2'!$V35*'表30-5-2-4-2'!$V$82+$P56*'表30-5-2-4-2'!$V73*'表30-5-2-4-2'!$W$82)/1000*
(1+'表30-5-2-4-2'!$Q$83)*'表30-5-2-4-1'!$J$48</f>
        <v>0</v>
      </c>
      <c r="R56" s="2430"/>
    </row>
    <row r="57" spans="1:18" s="1189" customFormat="1" ht="16.5">
      <c r="A57" s="1188" t="s">
        <v>3639</v>
      </c>
      <c r="B57" s="2445">
        <v>9</v>
      </c>
      <c r="C57" s="2446" t="s">
        <v>3640</v>
      </c>
      <c r="D57" s="2454">
        <f>'表30-5-2-1-1'!J55</f>
        <v>0</v>
      </c>
      <c r="E57" s="2455">
        <f>SUMIF('表30-5-2-3-2'!$A:$A,"E1"&amp;'表30-5-2-2-2'!$A57&amp;"Q",'表30-5-2-3-2'!$O:$O)</f>
        <v>0</v>
      </c>
      <c r="F57" s="2926">
        <f>SUMIF('表30-5-2-3-2'!$A:$A,"E1"&amp;'表30-5-2-2-2'!$A60&amp;"Q",'表30-5-2-3-2'!$X:$X)</f>
        <v>0</v>
      </c>
      <c r="G57" s="2455">
        <f>SUMIF('表30-5-2-3-2'!$A:$A,"E1"&amp;'表30-5-2-2-2'!$A57&amp;"L",'表30-5-2-3-2'!$V:$V)</f>
        <v>0</v>
      </c>
      <c r="H57" s="2455">
        <f>'表30-5-2-1-1'!K55</f>
        <v>0</v>
      </c>
      <c r="I57" s="2455">
        <f>SUMIF('表30-5-2-3-2'!$A:$A,"E2"&amp;'表30-5-2-2-2'!$A57&amp;"Q",'表30-5-2-3-2'!$O:$O)</f>
        <v>0</v>
      </c>
      <c r="J57" s="2926">
        <f>SUMIF('表30-5-2-3-2'!$A:$A,"E2"&amp;'表30-5-2-2-2'!$A57&amp;"Q",'表30-5-2-3-2'!$X:$X)</f>
        <v>0</v>
      </c>
      <c r="K57" s="2455">
        <f>SUMIF('表30-5-2-3-2'!$A:$A,"E2"&amp;'表30-5-2-2-2'!$A57&amp;"L",'表30-5-2-3-2'!$V:$V)</f>
        <v>0</v>
      </c>
      <c r="L57" s="2454">
        <f>'表30-5-2-1-1'!L55</f>
        <v>0</v>
      </c>
      <c r="M57" s="2454">
        <f>'表30-5-2-1-1'!M55</f>
        <v>0</v>
      </c>
      <c r="N57" s="2454">
        <f>'表30-5-2-1-1'!N55</f>
        <v>0</v>
      </c>
      <c r="O57" s="2454">
        <f>'表30-5-2-1-1'!O55</f>
        <v>0</v>
      </c>
      <c r="P57" s="2456">
        <f>'表30-5-2-1-1'!P55</f>
        <v>0</v>
      </c>
      <c r="Q57" s="2712">
        <f>((($D57+$E57)*'表30-5-2-4-2'!$V17+$G57*'表30-5-2-4-2'!$AU17)*'表30-5-2-4-2'!$Q$82+((H57+$I57)*'表30-5-2-4-2'!$AC17+$K57*'表30-5-2-4-2'!$AU36)*'表30-5-2-4-2'!$R$82+$L57*'表30-5-2-4-2'!$V55*'表30-5-2-4-2'!$S$82+$M57*'表30-5-2-4-2'!$AC55*'表30-5-2-4-2'!$T$82+$N57*'表30-5-2-4-2'!$AC36*'表30-5-2-4-2'!$U$82+$O57*'表30-5-2-4-2'!$V36*'表30-5-2-4-2'!$V$82+$P57*'表30-5-2-4-2'!$V74*'表30-5-2-4-2'!$W$82)/1000*
(1+'表30-5-2-4-2'!$Q$83)*'表30-5-2-4-1'!$J$48</f>
        <v>0</v>
      </c>
      <c r="R57" s="2430"/>
    </row>
    <row r="58" spans="1:18" s="1189" customFormat="1" ht="16.5">
      <c r="A58" s="1188" t="s">
        <v>3641</v>
      </c>
      <c r="B58" s="2445">
        <v>10</v>
      </c>
      <c r="C58" s="2446" t="s">
        <v>3642</v>
      </c>
      <c r="D58" s="2454">
        <f>'表30-5-2-1-1'!J56</f>
        <v>0</v>
      </c>
      <c r="E58" s="2455">
        <f>SUMIF('表30-5-2-3-2'!$A:$A,"E1"&amp;'表30-5-2-2-2'!$A58&amp;"Q",'表30-5-2-3-2'!$O:$O)</f>
        <v>0</v>
      </c>
      <c r="F58" s="2926">
        <f>SUMIF('表30-5-2-3-2'!$A:$A,"E1"&amp;'表30-5-2-2-2'!$A61&amp;"Q",'表30-5-2-3-2'!$X:$X)</f>
        <v>0</v>
      </c>
      <c r="G58" s="2455">
        <f>SUMIF('表30-5-2-3-2'!$A:$A,"E1"&amp;'表30-5-2-2-2'!$A58&amp;"L",'表30-5-2-3-2'!$V:$V)</f>
        <v>0</v>
      </c>
      <c r="H58" s="2455">
        <f>'表30-5-2-1-1'!K56</f>
        <v>0</v>
      </c>
      <c r="I58" s="2455">
        <f>SUMIF('表30-5-2-3-2'!$A:$A,"E2"&amp;'表30-5-2-2-2'!$A58&amp;"Q",'表30-5-2-3-2'!$O:$O)</f>
        <v>0</v>
      </c>
      <c r="J58" s="2926">
        <f>SUMIF('表30-5-2-3-2'!$A:$A,"E2"&amp;'表30-5-2-2-2'!$A58&amp;"Q",'表30-5-2-3-2'!$X:$X)</f>
        <v>0</v>
      </c>
      <c r="K58" s="2455">
        <f>SUMIF('表30-5-2-3-2'!$A:$A,"E2"&amp;'表30-5-2-2-2'!$A58&amp;"L",'表30-5-2-3-2'!$V:$V)</f>
        <v>0</v>
      </c>
      <c r="L58" s="2454">
        <f>'表30-5-2-1-1'!L56</f>
        <v>0</v>
      </c>
      <c r="M58" s="2454">
        <f>'表30-5-2-1-1'!M56</f>
        <v>0</v>
      </c>
      <c r="N58" s="2454">
        <f>'表30-5-2-1-1'!N56</f>
        <v>0</v>
      </c>
      <c r="O58" s="2454">
        <f>'表30-5-2-1-1'!O56</f>
        <v>0</v>
      </c>
      <c r="P58" s="2456">
        <f>'表30-5-2-1-1'!P56</f>
        <v>0</v>
      </c>
      <c r="Q58" s="2712">
        <f>((($D58+$E58)*'表30-5-2-4-2'!$V18+$G58*'表30-5-2-4-2'!$AU18)*'表30-5-2-4-2'!$Q$82+((H58+$I58)*'表30-5-2-4-2'!$AC18+$K58*'表30-5-2-4-2'!$AU37)*'表30-5-2-4-2'!$R$82+$L58*'表30-5-2-4-2'!$V56*'表30-5-2-4-2'!$S$82+$M58*'表30-5-2-4-2'!$AC56*'表30-5-2-4-2'!$T$82+$N58*'表30-5-2-4-2'!$AC37*'表30-5-2-4-2'!$U$82+$O58*'表30-5-2-4-2'!$V37*'表30-5-2-4-2'!$V$82+$P58*'表30-5-2-4-2'!$V75*'表30-5-2-4-2'!$W$82)/1000*
(1+'表30-5-2-4-2'!$Q$83)*'表30-5-2-4-1'!$J$48</f>
        <v>0</v>
      </c>
      <c r="R58" s="2430"/>
    </row>
    <row r="59" spans="1:18" s="1189" customFormat="1" ht="16.5">
      <c r="A59" s="1188" t="s">
        <v>3643</v>
      </c>
      <c r="B59" s="2445">
        <v>11</v>
      </c>
      <c r="C59" s="2446" t="s">
        <v>3644</v>
      </c>
      <c r="D59" s="2454">
        <f>'表30-5-2-1-1'!J57</f>
        <v>0</v>
      </c>
      <c r="E59" s="2455">
        <f>SUMIF('表30-5-2-3-2'!$A:$A,"E1"&amp;'表30-5-2-2-2'!$A59&amp;"Q",'表30-5-2-3-2'!$O:$O)</f>
        <v>0</v>
      </c>
      <c r="F59" s="2926">
        <f>SUMIF('表30-5-2-3-2'!$A:$A,"E1"&amp;'表30-5-2-2-2'!$A62&amp;"Q",'表30-5-2-3-2'!$X:$X)</f>
        <v>0</v>
      </c>
      <c r="G59" s="2455">
        <f>SUMIF('表30-5-2-3-2'!$A:$A,"E1"&amp;'表30-5-2-2-2'!$A59&amp;"L",'表30-5-2-3-2'!$V:$V)</f>
        <v>0</v>
      </c>
      <c r="H59" s="2455">
        <f>'表30-5-2-1-1'!K57</f>
        <v>0</v>
      </c>
      <c r="I59" s="2455">
        <f>SUMIF('表30-5-2-3-2'!$A:$A,"E2"&amp;'表30-5-2-2-2'!$A59&amp;"Q",'表30-5-2-3-2'!$O:$O)</f>
        <v>0</v>
      </c>
      <c r="J59" s="2926">
        <f>SUMIF('表30-5-2-3-2'!$A:$A,"E2"&amp;'表30-5-2-2-2'!$A59&amp;"Q",'表30-5-2-3-2'!$X:$X)</f>
        <v>0</v>
      </c>
      <c r="K59" s="2455">
        <f>SUMIF('表30-5-2-3-2'!$A:$A,"E2"&amp;'表30-5-2-2-2'!$A59&amp;"L",'表30-5-2-3-2'!$V:$V)</f>
        <v>0</v>
      </c>
      <c r="L59" s="2454">
        <f>'表30-5-2-1-1'!L57</f>
        <v>0</v>
      </c>
      <c r="M59" s="2454">
        <f>'表30-5-2-1-1'!M57</f>
        <v>0</v>
      </c>
      <c r="N59" s="2454">
        <f>'表30-5-2-1-1'!N57</f>
        <v>0</v>
      </c>
      <c r="O59" s="2454">
        <f>'表30-5-2-1-1'!O57</f>
        <v>0</v>
      </c>
      <c r="P59" s="2456">
        <f>'表30-5-2-1-1'!P57</f>
        <v>0</v>
      </c>
      <c r="Q59" s="2712">
        <f>((($D59+$E59)*'表30-5-2-4-2'!$V19+$G59*'表30-5-2-4-2'!$AU19)*'表30-5-2-4-2'!$Q$82+((H59+$I59)*'表30-5-2-4-2'!$AC19+$K59*'表30-5-2-4-2'!$AU38)*'表30-5-2-4-2'!$R$82+$L59*'表30-5-2-4-2'!$V57*'表30-5-2-4-2'!$S$82+$M59*'表30-5-2-4-2'!$AC57*'表30-5-2-4-2'!$T$82+$N59*'表30-5-2-4-2'!$AC38*'表30-5-2-4-2'!$U$82+$O59*'表30-5-2-4-2'!$V38*'表30-5-2-4-2'!$V$82+$P59*'表30-5-2-4-2'!$V76*'表30-5-2-4-2'!$W$82)/1000*
(1+'表30-5-2-4-2'!$Q$83)*'表30-5-2-4-1'!$J$48</f>
        <v>0</v>
      </c>
      <c r="R59" s="2430"/>
    </row>
    <row r="60" spans="1:18" s="1189" customFormat="1" ht="16.5">
      <c r="A60" s="1188" t="s">
        <v>3645</v>
      </c>
      <c r="B60" s="2445">
        <v>12</v>
      </c>
      <c r="C60" s="2446" t="s">
        <v>3646</v>
      </c>
      <c r="D60" s="2454">
        <f>'表30-5-2-1-1'!J58</f>
        <v>0</v>
      </c>
      <c r="E60" s="2455">
        <f>SUMIF('表30-5-2-3-2'!$A:$A,"E1"&amp;'表30-5-2-2-2'!$A60&amp;"Q",'表30-5-2-3-2'!$O:$O)</f>
        <v>0</v>
      </c>
      <c r="F60" s="2926">
        <f>SUMIF('表30-5-2-3-2'!$A:$A,"E1"&amp;'表30-5-2-2-2'!$A63&amp;"Q",'表30-5-2-3-2'!$X:$X)</f>
        <v>0</v>
      </c>
      <c r="G60" s="2455">
        <f>SUMIF('表30-5-2-3-2'!$A:$A,"E1"&amp;'表30-5-2-2-2'!$A60&amp;"L",'表30-5-2-3-2'!$V:$V)</f>
        <v>0</v>
      </c>
      <c r="H60" s="2455">
        <f>'表30-5-2-1-1'!K58</f>
        <v>0</v>
      </c>
      <c r="I60" s="2455">
        <f>SUMIF('表30-5-2-3-2'!$A:$A,"E2"&amp;'表30-5-2-2-2'!$A60&amp;"Q",'表30-5-2-3-2'!$O:$O)</f>
        <v>0</v>
      </c>
      <c r="J60" s="2926">
        <f>SUMIF('表30-5-2-3-2'!$A:$A,"E2"&amp;'表30-5-2-2-2'!$A60&amp;"Q",'表30-5-2-3-2'!$X:$X)</f>
        <v>0</v>
      </c>
      <c r="K60" s="2455">
        <f>SUMIF('表30-5-2-3-2'!$A:$A,"E2"&amp;'表30-5-2-2-2'!$A60&amp;"L",'表30-5-2-3-2'!$V:$V)</f>
        <v>0</v>
      </c>
      <c r="L60" s="2454">
        <f>'表30-5-2-1-1'!L58</f>
        <v>0</v>
      </c>
      <c r="M60" s="2454">
        <f>'表30-5-2-1-1'!M58</f>
        <v>0</v>
      </c>
      <c r="N60" s="2454">
        <f>'表30-5-2-1-1'!N58</f>
        <v>0</v>
      </c>
      <c r="O60" s="2454">
        <f>'表30-5-2-1-1'!O58</f>
        <v>0</v>
      </c>
      <c r="P60" s="2456">
        <f>'表30-5-2-1-1'!P58</f>
        <v>0</v>
      </c>
      <c r="Q60" s="2712">
        <f>((($D60+$E60)*'表30-5-2-4-2'!$V20+$G60*'表30-5-2-4-2'!$AU20)*'表30-5-2-4-2'!$Q$82+((H60+$I60)*'表30-5-2-4-2'!$AC20+$K60*'表30-5-2-4-2'!$AU39)*'表30-5-2-4-2'!$R$82+$L60*'表30-5-2-4-2'!$V58*'表30-5-2-4-2'!$S$82+$M60*'表30-5-2-4-2'!$AC58*'表30-5-2-4-2'!$T$82+$N60*'表30-5-2-4-2'!$AC39*'表30-5-2-4-2'!$U$82+$O60*'表30-5-2-4-2'!$V39*'表30-5-2-4-2'!$V$82+$P60*'表30-5-2-4-2'!$V77*'表30-5-2-4-2'!$W$82)/1000*
(1+'表30-5-2-4-2'!$Q$83)*'表30-5-2-4-1'!$J$48</f>
        <v>0</v>
      </c>
      <c r="R60" s="2430"/>
    </row>
    <row r="61" spans="1:18" s="1189" customFormat="1" ht="16.5">
      <c r="A61" s="1188" t="s">
        <v>3716</v>
      </c>
      <c r="B61" s="2445">
        <v>13</v>
      </c>
      <c r="C61" s="2446" t="s">
        <v>3648</v>
      </c>
      <c r="D61" s="2454">
        <f>'表30-5-2-1-1'!J59</f>
        <v>0</v>
      </c>
      <c r="E61" s="2455">
        <f>SUMIF('表30-5-2-3-2'!$A:$A,"E1"&amp;'表30-5-2-2-2'!$A61&amp;"Q",'表30-5-2-3-2'!$O:$O)</f>
        <v>0</v>
      </c>
      <c r="F61" s="2926">
        <f>SUMIF('表30-5-2-3-2'!$A:$A,"E1"&amp;'表30-5-2-2-2'!$A64&amp;"Q",'表30-5-2-3-2'!$X:$X)</f>
        <v>0</v>
      </c>
      <c r="G61" s="2455">
        <f>SUMIF('表30-5-2-3-2'!$A:$A,"E1"&amp;'表30-5-2-2-2'!$A61&amp;"L",'表30-5-2-3-2'!$V:$V)</f>
        <v>0</v>
      </c>
      <c r="H61" s="2455">
        <f>'表30-5-2-1-1'!K59</f>
        <v>0</v>
      </c>
      <c r="I61" s="2455">
        <f>SUMIF('表30-5-2-3-2'!$A:$A,"E2"&amp;'表30-5-2-2-2'!$A61&amp;"Q",'表30-5-2-3-2'!$O:$O)</f>
        <v>0</v>
      </c>
      <c r="J61" s="2926">
        <f>SUMIF('表30-5-2-3-2'!$A:$A,"E2"&amp;'表30-5-2-2-2'!$A61&amp;"Q",'表30-5-2-3-2'!$X:$X)</f>
        <v>0</v>
      </c>
      <c r="K61" s="2455">
        <f>SUMIF('表30-5-2-3-2'!$A:$A,"E2"&amp;'表30-5-2-2-2'!$A61&amp;"L",'表30-5-2-3-2'!$V:$V)</f>
        <v>0</v>
      </c>
      <c r="L61" s="2454">
        <f>'表30-5-2-1-1'!L59</f>
        <v>0</v>
      </c>
      <c r="M61" s="2454">
        <f>'表30-5-2-1-1'!M59</f>
        <v>0</v>
      </c>
      <c r="N61" s="2454">
        <f>'表30-5-2-1-1'!N59</f>
        <v>0</v>
      </c>
      <c r="O61" s="2454">
        <f>'表30-5-2-1-1'!O59</f>
        <v>0</v>
      </c>
      <c r="P61" s="2456">
        <f>'表30-5-2-1-1'!P59</f>
        <v>0</v>
      </c>
      <c r="Q61" s="2712">
        <f>((($D61+$E61)*'表30-5-2-4-2'!$V21+$G61*'表30-5-2-4-2'!$AU21)*'表30-5-2-4-2'!$Q$82+((H61+$I61)*'表30-5-2-4-2'!$AC21+$K61*'表30-5-2-4-2'!$AU40)*'表30-5-2-4-2'!$R$82+$L61*'表30-5-2-4-2'!$V59*'表30-5-2-4-2'!$S$82+$M61*'表30-5-2-4-2'!$AC59*'表30-5-2-4-2'!$T$82+$N61*'表30-5-2-4-2'!$AC40*'表30-5-2-4-2'!$U$82+$O61*'表30-5-2-4-2'!$V40*'表30-5-2-4-2'!$V$82+$P61*'表30-5-2-4-2'!$V78*'表30-5-2-4-2'!$W$82)/1000*
(1+'表30-5-2-4-2'!$Q$83)*'表30-5-2-4-1'!$J$48</f>
        <v>0</v>
      </c>
      <c r="R61" s="2430"/>
    </row>
    <row r="62" spans="1:18" s="1189" customFormat="1" ht="16.5">
      <c r="A62" s="1188" t="s">
        <v>3717</v>
      </c>
      <c r="B62" s="2445">
        <v>14</v>
      </c>
      <c r="C62" s="2451" t="s">
        <v>3650</v>
      </c>
      <c r="D62" s="2454">
        <f>'表30-5-2-1-1'!J60</f>
        <v>0</v>
      </c>
      <c r="E62" s="2455">
        <f>SUMIF('表30-5-2-3-2'!$A:$A,"E1"&amp;'表30-5-2-2-2'!$A62&amp;"Q",'表30-5-2-3-2'!$O:$O)</f>
        <v>0</v>
      </c>
      <c r="F62" s="2926">
        <f>SUMIF('表30-5-2-3-2'!$A:$A,"E1"&amp;'表30-5-2-2-2'!$A65&amp;"Q",'表30-5-2-3-2'!$X:$X)</f>
        <v>0</v>
      </c>
      <c r="G62" s="2455">
        <f>SUMIF('表30-5-2-3-2'!$A:$A,"E1"&amp;'表30-5-2-2-2'!$A62&amp;"L",'表30-5-2-3-2'!$V:$V)</f>
        <v>0</v>
      </c>
      <c r="H62" s="2455">
        <f>'表30-5-2-1-1'!K60</f>
        <v>0</v>
      </c>
      <c r="I62" s="2455">
        <f>SUMIF('表30-5-2-3-2'!$A:$A,"E2"&amp;'表30-5-2-2-2'!$A62&amp;"Q",'表30-5-2-3-2'!$O:$O)</f>
        <v>0</v>
      </c>
      <c r="J62" s="2926">
        <f>SUMIF('表30-5-2-3-2'!$A:$A,"E2"&amp;'表30-5-2-2-2'!$A62&amp;"Q",'表30-5-2-3-2'!$X:$X)</f>
        <v>0</v>
      </c>
      <c r="K62" s="2455">
        <f>SUMIF('表30-5-2-3-2'!$A:$A,"E2"&amp;'表30-5-2-2-2'!$A62&amp;"L",'表30-5-2-3-2'!$V:$V)</f>
        <v>0</v>
      </c>
      <c r="L62" s="2454">
        <f>'表30-5-2-1-1'!L60</f>
        <v>0</v>
      </c>
      <c r="M62" s="2454">
        <f>'表30-5-2-1-1'!M60</f>
        <v>0</v>
      </c>
      <c r="N62" s="2454">
        <f>'表30-5-2-1-1'!N60</f>
        <v>0</v>
      </c>
      <c r="O62" s="2454">
        <f>'表30-5-2-1-1'!O60</f>
        <v>0</v>
      </c>
      <c r="P62" s="2456">
        <f>'表30-5-2-1-1'!P60</f>
        <v>0</v>
      </c>
      <c r="Q62" s="2712">
        <f>((($D62+$E62)*'表30-5-2-4-2'!$V22+$G62*'表30-5-2-4-2'!$AU22)*'表30-5-2-4-2'!$Q$82+((H62+$I62)*'表30-5-2-4-2'!$AC22+$K62*'表30-5-2-4-2'!$AU41)*'表30-5-2-4-2'!$R$82+$L62*'表30-5-2-4-2'!$V60*'表30-5-2-4-2'!$S$82+$M62*'表30-5-2-4-2'!$AC60*'表30-5-2-4-2'!$T$82+$N62*'表30-5-2-4-2'!$AC41*'表30-5-2-4-2'!$U$82+$O62*'表30-5-2-4-2'!$V41*'表30-5-2-4-2'!$V$82+$P62*'表30-5-2-4-2'!$V79*'表30-5-2-4-2'!$W$82)/1000*
(1+'表30-5-2-4-2'!$Q$83)*'表30-5-2-4-1'!$J$48</f>
        <v>0</v>
      </c>
      <c r="R62" s="2430"/>
    </row>
    <row r="63" spans="1:18" s="1189" customFormat="1" ht="17.25" thickBot="1">
      <c r="A63" s="1188">
        <v>99</v>
      </c>
      <c r="B63" s="3672" t="s">
        <v>5885</v>
      </c>
      <c r="C63" s="3673"/>
      <c r="D63" s="2689">
        <f t="shared" ref="D63:M63" si="0">SUM(D48:D62)</f>
        <v>0</v>
      </c>
      <c r="E63" s="2689">
        <f t="shared" si="0"/>
        <v>0</v>
      </c>
      <c r="F63" s="2930">
        <f t="shared" si="0"/>
        <v>0</v>
      </c>
      <c r="G63" s="2689">
        <f t="shared" si="0"/>
        <v>0</v>
      </c>
      <c r="H63" s="2689">
        <f t="shared" si="0"/>
        <v>0</v>
      </c>
      <c r="I63" s="2689">
        <f t="shared" si="0"/>
        <v>0</v>
      </c>
      <c r="J63" s="2930">
        <f t="shared" si="0"/>
        <v>0</v>
      </c>
      <c r="K63" s="2689">
        <f t="shared" si="0"/>
        <v>0</v>
      </c>
      <c r="L63" s="2689">
        <f t="shared" si="0"/>
        <v>0</v>
      </c>
      <c r="M63" s="2689">
        <f t="shared" si="0"/>
        <v>0</v>
      </c>
      <c r="N63" s="2689">
        <f>SUM(N48:N62)</f>
        <v>0</v>
      </c>
      <c r="O63" s="2715">
        <f>SUM(O48:O62)</f>
        <v>0</v>
      </c>
      <c r="P63" s="2716">
        <f>SUM(P48:P62)</f>
        <v>0</v>
      </c>
      <c r="Q63" s="2717">
        <f>SUM(Q48:Q62)</f>
        <v>0</v>
      </c>
      <c r="R63" s="2430"/>
    </row>
    <row r="64" spans="1:18" s="1189" customFormat="1">
      <c r="A64" s="1188"/>
    </row>
    <row r="65" spans="1:17" s="1189" customFormat="1" ht="17.25" thickBot="1">
      <c r="A65" s="1188"/>
      <c r="B65" s="2722" t="s">
        <v>3860</v>
      </c>
      <c r="C65" s="2419"/>
      <c r="D65" s="2419"/>
      <c r="E65" s="2419"/>
      <c r="F65" s="2419"/>
      <c r="G65" s="2419"/>
      <c r="H65" s="2419"/>
      <c r="I65" s="2419"/>
      <c r="J65" s="2419"/>
      <c r="K65" s="2419"/>
      <c r="L65" s="2419"/>
      <c r="M65" s="2419"/>
      <c r="N65" s="2419"/>
      <c r="O65" s="2419"/>
      <c r="P65" s="2419"/>
      <c r="Q65" s="2426" t="s">
        <v>3614</v>
      </c>
    </row>
    <row r="66" spans="1:17" s="1189" customFormat="1" ht="16.5" customHeight="1">
      <c r="A66" s="3662" t="s">
        <v>3615</v>
      </c>
      <c r="B66" s="3663" t="s">
        <v>3588</v>
      </c>
      <c r="C66" s="3665" t="s">
        <v>5838</v>
      </c>
      <c r="D66" s="2918" t="s">
        <v>3739</v>
      </c>
      <c r="E66" s="2919"/>
      <c r="F66" s="2919"/>
      <c r="G66" s="2919"/>
      <c r="H66" s="2919"/>
      <c r="I66" s="2919"/>
      <c r="J66" s="2919"/>
      <c r="K66" s="2919"/>
      <c r="L66" s="2919"/>
      <c r="M66" s="2919"/>
      <c r="N66" s="2919"/>
      <c r="O66" s="2919"/>
      <c r="P66" s="2919"/>
      <c r="Q66" s="2705" t="s">
        <v>3619</v>
      </c>
    </row>
    <row r="67" spans="1:17" s="1189" customFormat="1" ht="47.25" customHeight="1">
      <c r="A67" s="3662"/>
      <c r="B67" s="3664"/>
      <c r="C67" s="3666"/>
      <c r="D67" s="2693" t="s">
        <v>5887</v>
      </c>
      <c r="E67" s="2694" t="s">
        <v>3740</v>
      </c>
      <c r="F67" s="2925" t="s">
        <v>6312</v>
      </c>
      <c r="G67" s="2694" t="s">
        <v>3741</v>
      </c>
      <c r="H67" s="2694" t="s">
        <v>5888</v>
      </c>
      <c r="I67" s="2694" t="s">
        <v>3742</v>
      </c>
      <c r="J67" s="2925" t="s">
        <v>6313</v>
      </c>
      <c r="K67" s="2694" t="s">
        <v>3743</v>
      </c>
      <c r="L67" s="2681" t="s">
        <v>3733</v>
      </c>
      <c r="M67" s="2681" t="s">
        <v>3734</v>
      </c>
      <c r="N67" s="2681" t="s">
        <v>3735</v>
      </c>
      <c r="O67" s="2681" t="s">
        <v>3736</v>
      </c>
      <c r="P67" s="2695" t="s">
        <v>3737</v>
      </c>
      <c r="Q67" s="2696" t="s">
        <v>3620</v>
      </c>
    </row>
    <row r="68" spans="1:17" s="1189" customFormat="1" ht="16.5">
      <c r="A68" s="1188" t="s">
        <v>3621</v>
      </c>
      <c r="B68" s="2445">
        <v>1</v>
      </c>
      <c r="C68" s="2446" t="s">
        <v>3622</v>
      </c>
      <c r="D68" s="2454">
        <f>'表30-5-2-1-1'!J67</f>
        <v>0</v>
      </c>
      <c r="E68" s="2455">
        <f>SUMIF('表30-5-2-3-2'!$A:$A,"E1"&amp;'表30-5-2-2-2'!$A68&amp;"Q",'表30-5-2-3-2'!$P:$P)</f>
        <v>0</v>
      </c>
      <c r="F68" s="2926">
        <f>SUMIF('表30-5-2-3-2'!$A:$A,"E1"&amp;'表30-5-2-2-2'!$A68&amp;"Q",'表30-5-2-3-2'!$Y:$Y)</f>
        <v>0</v>
      </c>
      <c r="G68" s="2455">
        <f>SUMIF('表30-5-2-3-2'!$A:$A,"E1"&amp;'表30-5-2-2-2'!$A68&amp;"L",'表30-5-2-3-2'!$W:$W)</f>
        <v>0</v>
      </c>
      <c r="H68" s="2455">
        <f>'表30-5-2-1-1'!K67</f>
        <v>0</v>
      </c>
      <c r="I68" s="2455">
        <f>SUMIF('表30-5-2-3-2'!$A:$A,"E2"&amp;'表30-5-2-2-2'!$A68&amp;"Q",'表30-5-2-3-2'!$P:$P)</f>
        <v>0</v>
      </c>
      <c r="J68" s="2926">
        <f>SUMIF('表30-5-2-3-2'!$A:$A,"E2"&amp;'表30-5-2-2-2'!$A68&amp;"Q",'表30-5-2-3-2'!$Y:$Y)</f>
        <v>0</v>
      </c>
      <c r="K68" s="2455">
        <f>SUMIF('表30-5-2-3-2'!$A:$A,"E2"&amp;'表30-5-2-2-2'!$A68&amp;"L",'表30-5-2-3-2'!$W:$W)</f>
        <v>0</v>
      </c>
      <c r="L68" s="2454">
        <f>'表30-5-2-1-1'!L67</f>
        <v>0</v>
      </c>
      <c r="M68" s="2447">
        <f>'表30-5-2-1-1'!M67</f>
        <v>0</v>
      </c>
      <c r="N68" s="2447">
        <f>'表30-5-2-1-1'!N67</f>
        <v>0</v>
      </c>
      <c r="O68" s="2457">
        <f>'表30-5-2-1-1'!O67</f>
        <v>0</v>
      </c>
      <c r="P68" s="2458">
        <f>'表30-5-2-1-1'!P67</f>
        <v>0</v>
      </c>
      <c r="Q68" s="2712">
        <f>((($D68+$E68)*'表30-5-2-4-2'!$V8+$G68*'表30-5-2-4-2'!$AU8)*'表30-5-2-4-2'!$Q$82+(($H68+$I68)*'表30-5-2-4-2'!$AC8+$K68*'表30-5-2-4-2'!$AU27)*'表30-5-2-4-2'!$R$82+$L68*'表30-5-2-4-2'!$V46*'表30-5-2-4-2'!$S$82+$M68*'表30-5-2-4-2'!$AC46*'表30-5-2-4-2'!$T$82+$N68*'表30-5-2-4-2'!$AC27*'表30-5-2-4-2'!$U$82+$O68*'表30-5-2-4-2'!$V27*'表30-5-2-4-2'!$V$82+$P68*'表30-5-2-4-2'!$V65*'表30-5-2-4-2'!$W$82)/1000*(1+'表30-5-2-4-2'!$Q$83)*'表30-5-2-4-1'!$J$48</f>
        <v>0</v>
      </c>
    </row>
    <row r="69" spans="1:17" s="1189" customFormat="1" ht="16.5">
      <c r="A69" s="1188" t="s">
        <v>3623</v>
      </c>
      <c r="B69" s="2445">
        <v>1.1000000000000001</v>
      </c>
      <c r="C69" s="2446" t="s">
        <v>3624</v>
      </c>
      <c r="D69" s="2454">
        <f>'表30-5-2-1-1'!J68</f>
        <v>0</v>
      </c>
      <c r="E69" s="2455">
        <f>SUMIF('表30-5-2-3-2'!$A:$A,"E1"&amp;'表30-5-2-2-2'!$A69&amp;"Q",'表30-5-2-3-2'!$P:$P)</f>
        <v>0</v>
      </c>
      <c r="F69" s="2926">
        <f>SUMIF('表30-5-2-3-2'!$A:$A,"E1"&amp;'表30-5-2-2-2'!$A69&amp;"Q",'表30-5-2-3-2'!$Y:$Y)</f>
        <v>0</v>
      </c>
      <c r="G69" s="2455">
        <f>SUMIF('表30-5-2-3-2'!$A:$A,"E1"&amp;'表30-5-2-2-2'!$A69&amp;"L",'表30-5-2-3-2'!$W:$W)</f>
        <v>0</v>
      </c>
      <c r="H69" s="2455">
        <f>'表30-5-2-1-1'!K68</f>
        <v>0</v>
      </c>
      <c r="I69" s="2455">
        <f>SUMIF('表30-5-2-3-2'!$A:$A,"E2"&amp;'表30-5-2-2-2'!$A69&amp;"Q",'表30-5-2-3-2'!$P:$P)</f>
        <v>0</v>
      </c>
      <c r="J69" s="2926">
        <f>SUMIF('表30-5-2-3-2'!$A:$A,"E2"&amp;'表30-5-2-2-2'!$A69&amp;"Q",'表30-5-2-3-2'!$Y:$Y)</f>
        <v>0</v>
      </c>
      <c r="K69" s="2455">
        <f>SUMIF('表30-5-2-3-2'!$A:$A,"E2"&amp;'表30-5-2-2-2'!$A69&amp;"L",'表30-5-2-3-2'!$W:$W)</f>
        <v>0</v>
      </c>
      <c r="L69" s="2454">
        <f>'表30-5-2-1-1'!L68</f>
        <v>0</v>
      </c>
      <c r="M69" s="2447">
        <f>'表30-5-2-1-1'!M68</f>
        <v>0</v>
      </c>
      <c r="N69" s="2447">
        <f>'表30-5-2-1-1'!N68</f>
        <v>0</v>
      </c>
      <c r="O69" s="2457">
        <f>'表30-5-2-1-1'!O68</f>
        <v>0</v>
      </c>
      <c r="P69" s="2458">
        <f>'表30-5-2-1-1'!P68</f>
        <v>0</v>
      </c>
      <c r="Q69" s="2712">
        <f>((($D69+$E69)*'表30-5-2-4-2'!$V9+$G69*'表30-5-2-4-2'!$AU9)*'表30-5-2-4-2'!$Q$82+(($H69+$I69)*'表30-5-2-4-2'!$AC9+$K69*'表30-5-2-4-2'!$AU28)*'表30-5-2-4-2'!$R$82+$L69*'表30-5-2-4-2'!$V47*'表30-5-2-4-2'!$S$82+$M69*'表30-5-2-4-2'!$AC47*'表30-5-2-4-2'!$T$82+$N69*'表30-5-2-4-2'!$AC28*'表30-5-2-4-2'!$U$82+$O69*'表30-5-2-4-2'!$V28*'表30-5-2-4-2'!$V$82+$P69*'表30-5-2-4-2'!$V66*'表30-5-2-4-2'!$W$82)/1000*(1+'表30-5-2-4-2'!$Q$83)*'表30-5-2-4-1'!$J$48</f>
        <v>0</v>
      </c>
    </row>
    <row r="70" spans="1:17" s="1189" customFormat="1" ht="16.5">
      <c r="A70" s="1188" t="s">
        <v>3625</v>
      </c>
      <c r="B70" s="2445">
        <v>2</v>
      </c>
      <c r="C70" s="2446" t="s">
        <v>3626</v>
      </c>
      <c r="D70" s="2454">
        <f>'表30-5-2-1-1'!J69</f>
        <v>0</v>
      </c>
      <c r="E70" s="2455">
        <f>SUMIF('表30-5-2-3-2'!$A:$A,"E1"&amp;'表30-5-2-2-2'!$A70&amp;"Q",'表30-5-2-3-2'!$P:$P)</f>
        <v>0</v>
      </c>
      <c r="F70" s="2926">
        <f>SUMIF('表30-5-2-3-2'!$A:$A,"E1"&amp;'表30-5-2-2-2'!$A70&amp;"Q",'表30-5-2-3-2'!$Y:$Y)</f>
        <v>0</v>
      </c>
      <c r="G70" s="2455">
        <f>SUMIF('表30-5-2-3-2'!$A:$A,"E1"&amp;'表30-5-2-2-2'!$A70&amp;"L",'表30-5-2-3-2'!$W:$W)</f>
        <v>0</v>
      </c>
      <c r="H70" s="2455">
        <f>'表30-5-2-1-1'!K69</f>
        <v>0</v>
      </c>
      <c r="I70" s="2455">
        <f>SUMIF('表30-5-2-3-2'!$A:$A,"E2"&amp;'表30-5-2-2-2'!$A70&amp;"Q",'表30-5-2-3-2'!$P:$P)</f>
        <v>0</v>
      </c>
      <c r="J70" s="2926">
        <f>SUMIF('表30-5-2-3-2'!$A:$A,"E2"&amp;'表30-5-2-2-2'!$A70&amp;"Q",'表30-5-2-3-2'!$Y:$Y)</f>
        <v>0</v>
      </c>
      <c r="K70" s="2455">
        <f>SUMIF('表30-5-2-3-2'!$A:$A,"E2"&amp;'表30-5-2-2-2'!$A70&amp;"L",'表30-5-2-3-2'!$W:$W)</f>
        <v>0</v>
      </c>
      <c r="L70" s="2454">
        <f>'表30-5-2-1-1'!L69</f>
        <v>0</v>
      </c>
      <c r="M70" s="2447">
        <f>'表30-5-2-1-1'!M69</f>
        <v>0</v>
      </c>
      <c r="N70" s="2447">
        <f>'表30-5-2-1-1'!N69</f>
        <v>0</v>
      </c>
      <c r="O70" s="2457">
        <f>'表30-5-2-1-1'!O69</f>
        <v>0</v>
      </c>
      <c r="P70" s="2458">
        <f>'表30-5-2-1-1'!P69</f>
        <v>0</v>
      </c>
      <c r="Q70" s="2712">
        <f>((($D70+$E70)*'表30-5-2-4-2'!$V10+$G70*'表30-5-2-4-2'!$AU10)*'表30-5-2-4-2'!$Q$82+(($H70+$I70)*'表30-5-2-4-2'!$AC10+$K70*'表30-5-2-4-2'!$AU29)*'表30-5-2-4-2'!$R$82+$L70*'表30-5-2-4-2'!$V48*'表30-5-2-4-2'!$S$82+$M70*'表30-5-2-4-2'!$AC48*'表30-5-2-4-2'!$T$82+$N70*'表30-5-2-4-2'!$AC29*'表30-5-2-4-2'!$U$82+$O70*'表30-5-2-4-2'!$V29*'表30-5-2-4-2'!$V$82+$P70*'表30-5-2-4-2'!$V67*'表30-5-2-4-2'!$W$82)/1000*(1+'表30-5-2-4-2'!$Q$83)*'表30-5-2-4-1'!$J$48</f>
        <v>0</v>
      </c>
    </row>
    <row r="71" spans="1:17" s="1189" customFormat="1" ht="16.5">
      <c r="A71" s="1188" t="s">
        <v>3627</v>
      </c>
      <c r="B71" s="2445">
        <v>3</v>
      </c>
      <c r="C71" s="2446" t="s">
        <v>3628</v>
      </c>
      <c r="D71" s="2454">
        <f>'表30-5-2-1-1'!J70</f>
        <v>0</v>
      </c>
      <c r="E71" s="2455">
        <f>SUMIF('表30-5-2-3-2'!$A:$A,"E1"&amp;'表30-5-2-2-2'!$A71&amp;"Q",'表30-5-2-3-2'!$P:$P)</f>
        <v>0</v>
      </c>
      <c r="F71" s="2926">
        <f>SUMIF('表30-5-2-3-2'!$A:$A,"E1"&amp;'表30-5-2-2-2'!$A71&amp;"Q",'表30-5-2-3-2'!$Y:$Y)</f>
        <v>0</v>
      </c>
      <c r="G71" s="2455">
        <f>SUMIF('表30-5-2-3-2'!$A:$A,"E1"&amp;'表30-5-2-2-2'!$A71&amp;"L",'表30-5-2-3-2'!$W:$W)</f>
        <v>0</v>
      </c>
      <c r="H71" s="2455">
        <f>'表30-5-2-1-1'!K70</f>
        <v>0</v>
      </c>
      <c r="I71" s="2455">
        <f>SUMIF('表30-5-2-3-2'!$A:$A,"E2"&amp;'表30-5-2-2-2'!$A71&amp;"Q",'表30-5-2-3-2'!$P:$P)</f>
        <v>0</v>
      </c>
      <c r="J71" s="2926">
        <f>SUMIF('表30-5-2-3-2'!$A:$A,"E2"&amp;'表30-5-2-2-2'!$A71&amp;"Q",'表30-5-2-3-2'!$Y:$Y)</f>
        <v>0</v>
      </c>
      <c r="K71" s="2455">
        <f>SUMIF('表30-5-2-3-2'!$A:$A,"E2"&amp;'表30-5-2-2-2'!$A71&amp;"L",'表30-5-2-3-2'!$W:$W)</f>
        <v>0</v>
      </c>
      <c r="L71" s="2454">
        <f>'表30-5-2-1-1'!L70</f>
        <v>0</v>
      </c>
      <c r="M71" s="2447">
        <f>'表30-5-2-1-1'!M70</f>
        <v>0</v>
      </c>
      <c r="N71" s="2447">
        <f>'表30-5-2-1-1'!N70</f>
        <v>0</v>
      </c>
      <c r="O71" s="2457">
        <f>'表30-5-2-1-1'!O70</f>
        <v>0</v>
      </c>
      <c r="P71" s="2458">
        <f>'表30-5-2-1-1'!P70</f>
        <v>0</v>
      </c>
      <c r="Q71" s="2712">
        <f>((($D71+$E71)*'表30-5-2-4-2'!$V11+$G71*'表30-5-2-4-2'!$AU11)*'表30-5-2-4-2'!$Q$82+(($H71+$I71)*'表30-5-2-4-2'!$AC11+$K71*'表30-5-2-4-2'!$AU30)*'表30-5-2-4-2'!$R$82+$L71*'表30-5-2-4-2'!$V49*'表30-5-2-4-2'!$S$82+$M71*'表30-5-2-4-2'!$AC49*'表30-5-2-4-2'!$T$82+$N71*'表30-5-2-4-2'!$AC30*'表30-5-2-4-2'!$U$82+$O71*'表30-5-2-4-2'!$V30*'表30-5-2-4-2'!$V$82+$P71*'表30-5-2-4-2'!$V68*'表30-5-2-4-2'!$W$82)/1000*(1+'表30-5-2-4-2'!$Q$83)*'表30-5-2-4-1'!$J$48</f>
        <v>0</v>
      </c>
    </row>
    <row r="72" spans="1:17" s="1189" customFormat="1" ht="16.5">
      <c r="A72" s="1188" t="s">
        <v>3629</v>
      </c>
      <c r="B72" s="2445">
        <v>4</v>
      </c>
      <c r="C72" s="2446" t="s">
        <v>3630</v>
      </c>
      <c r="D72" s="2454">
        <f>'表30-5-2-1-1'!J71</f>
        <v>0</v>
      </c>
      <c r="E72" s="2455">
        <f>SUMIF('表30-5-2-3-2'!$A:$A,"E1"&amp;'表30-5-2-2-2'!$A72&amp;"Q",'表30-5-2-3-2'!$P:$P)</f>
        <v>0</v>
      </c>
      <c r="F72" s="2926">
        <f>SUMIF('表30-5-2-3-2'!$A:$A,"E1"&amp;'表30-5-2-2-2'!$A72&amp;"Q",'表30-5-2-3-2'!$Y:$Y)</f>
        <v>0</v>
      </c>
      <c r="G72" s="2455">
        <f>SUMIF('表30-5-2-3-2'!$A:$A,"E1"&amp;'表30-5-2-2-2'!$A72&amp;"L",'表30-5-2-3-2'!$W:$W)</f>
        <v>0</v>
      </c>
      <c r="H72" s="2455">
        <f>'表30-5-2-1-1'!K71</f>
        <v>0</v>
      </c>
      <c r="I72" s="2455">
        <f>SUMIF('表30-5-2-3-2'!$A:$A,"E2"&amp;'表30-5-2-2-2'!$A72&amp;"Q",'表30-5-2-3-2'!$P:$P)</f>
        <v>0</v>
      </c>
      <c r="J72" s="2926">
        <f>SUMIF('表30-5-2-3-2'!$A:$A,"E2"&amp;'表30-5-2-2-2'!$A72&amp;"Q",'表30-5-2-3-2'!$Y:$Y)</f>
        <v>0</v>
      </c>
      <c r="K72" s="2455">
        <f>SUMIF('表30-5-2-3-2'!$A:$A,"E2"&amp;'表30-5-2-2-2'!$A72&amp;"L",'表30-5-2-3-2'!$W:$W)</f>
        <v>0</v>
      </c>
      <c r="L72" s="2454">
        <f>'表30-5-2-1-1'!L71</f>
        <v>0</v>
      </c>
      <c r="M72" s="2447">
        <f>'表30-5-2-1-1'!M71</f>
        <v>0</v>
      </c>
      <c r="N72" s="2447">
        <f>'表30-5-2-1-1'!N71</f>
        <v>0</v>
      </c>
      <c r="O72" s="2457">
        <f>'表30-5-2-1-1'!O71</f>
        <v>0</v>
      </c>
      <c r="P72" s="2458">
        <f>'表30-5-2-1-1'!P71</f>
        <v>0</v>
      </c>
      <c r="Q72" s="2712">
        <f>((($D72+$E72)*'表30-5-2-4-2'!$V12+$G72*'表30-5-2-4-2'!$AU12)*'表30-5-2-4-2'!$Q$82+(($H72+$I72)*'表30-5-2-4-2'!$AC12+$K72*'表30-5-2-4-2'!$AU31)*'表30-5-2-4-2'!$R$82+$L72*'表30-5-2-4-2'!$V50*'表30-5-2-4-2'!$S$82+$M72*'表30-5-2-4-2'!$AC50*'表30-5-2-4-2'!$T$82+$N72*'表30-5-2-4-2'!$AC31*'表30-5-2-4-2'!$U$82+$O72*'表30-5-2-4-2'!$V31*'表30-5-2-4-2'!$V$82+$P72*'表30-5-2-4-2'!$V69*'表30-5-2-4-2'!$W$82)/1000*(1+'表30-5-2-4-2'!$Q$83)*'表30-5-2-4-1'!$J$48</f>
        <v>0</v>
      </c>
    </row>
    <row r="73" spans="1:17" s="1189" customFormat="1" ht="16.5">
      <c r="A73" s="1188" t="s">
        <v>3631</v>
      </c>
      <c r="B73" s="2445">
        <v>5</v>
      </c>
      <c r="C73" s="2446" t="s">
        <v>3632</v>
      </c>
      <c r="D73" s="2454">
        <f>'表30-5-2-1-1'!J72</f>
        <v>0</v>
      </c>
      <c r="E73" s="2455">
        <f>SUMIF('表30-5-2-3-2'!$A:$A,"E1"&amp;'表30-5-2-2-2'!$A73&amp;"Q",'表30-5-2-3-2'!$P:$P)</f>
        <v>0</v>
      </c>
      <c r="F73" s="2926">
        <f>SUMIF('表30-5-2-3-2'!$A:$A,"E1"&amp;'表30-5-2-2-2'!$A73&amp;"Q",'表30-5-2-3-2'!$Y:$Y)</f>
        <v>0</v>
      </c>
      <c r="G73" s="2455">
        <f>SUMIF('表30-5-2-3-2'!$A:$A,"E1"&amp;'表30-5-2-2-2'!$A73&amp;"L",'表30-5-2-3-2'!$W:$W)</f>
        <v>0</v>
      </c>
      <c r="H73" s="2455">
        <f>'表30-5-2-1-1'!K72</f>
        <v>0</v>
      </c>
      <c r="I73" s="2455">
        <f>SUMIF('表30-5-2-3-2'!$A:$A,"E2"&amp;'表30-5-2-2-2'!$A73&amp;"Q",'表30-5-2-3-2'!$P:$P)</f>
        <v>0</v>
      </c>
      <c r="J73" s="2926">
        <f>SUMIF('表30-5-2-3-2'!$A:$A,"E2"&amp;'表30-5-2-2-2'!$A73&amp;"Q",'表30-5-2-3-2'!$Y:$Y)</f>
        <v>0</v>
      </c>
      <c r="K73" s="2455">
        <f>SUMIF('表30-5-2-3-2'!$A:$A,"E2"&amp;'表30-5-2-2-2'!$A73&amp;"L",'表30-5-2-3-2'!$W:$W)</f>
        <v>0</v>
      </c>
      <c r="L73" s="2454">
        <f>'表30-5-2-1-1'!L72</f>
        <v>0</v>
      </c>
      <c r="M73" s="2447">
        <f>'表30-5-2-1-1'!M72</f>
        <v>0</v>
      </c>
      <c r="N73" s="2447">
        <f>'表30-5-2-1-1'!N72</f>
        <v>0</v>
      </c>
      <c r="O73" s="2457">
        <f>'表30-5-2-1-1'!O72</f>
        <v>0</v>
      </c>
      <c r="P73" s="2458">
        <f>'表30-5-2-1-1'!P72</f>
        <v>0</v>
      </c>
      <c r="Q73" s="2712">
        <f>((($D73+$E73)*'表30-5-2-4-2'!$V13+$G73*'表30-5-2-4-2'!$AU13)*'表30-5-2-4-2'!$Q$82+(($H73+$I73)*'表30-5-2-4-2'!$AC13+$K73*'表30-5-2-4-2'!$AU32)*'表30-5-2-4-2'!$R$82+$L73*'表30-5-2-4-2'!$V51*'表30-5-2-4-2'!$S$82+$M73*'表30-5-2-4-2'!$AC51*'表30-5-2-4-2'!$T$82+$N73*'表30-5-2-4-2'!$AC32*'表30-5-2-4-2'!$U$82+$O73*'表30-5-2-4-2'!$V32*'表30-5-2-4-2'!$V$82+$P73*'表30-5-2-4-2'!$V70*'表30-5-2-4-2'!$W$82)/1000*(1+'表30-5-2-4-2'!$Q$83)*'表30-5-2-4-1'!$J$48</f>
        <v>0</v>
      </c>
    </row>
    <row r="74" spans="1:17" s="1189" customFormat="1" ht="16.5">
      <c r="A74" s="1188" t="s">
        <v>3633</v>
      </c>
      <c r="B74" s="2445">
        <v>6</v>
      </c>
      <c r="C74" s="2446" t="s">
        <v>3634</v>
      </c>
      <c r="D74" s="2454">
        <f>'表30-5-2-1-1'!J73</f>
        <v>0</v>
      </c>
      <c r="E74" s="2455">
        <f>SUMIF('表30-5-2-3-2'!$A:$A,"E1"&amp;'表30-5-2-2-2'!$A74&amp;"Q",'表30-5-2-3-2'!$P:$P)</f>
        <v>0</v>
      </c>
      <c r="F74" s="2926">
        <f>SUMIF('表30-5-2-3-2'!$A:$A,"E1"&amp;'表30-5-2-2-2'!$A74&amp;"Q",'表30-5-2-3-2'!$Y:$Y)</f>
        <v>0</v>
      </c>
      <c r="G74" s="2455">
        <f>SUMIF('表30-5-2-3-2'!$A:$A,"E1"&amp;'表30-5-2-2-2'!$A74&amp;"L",'表30-5-2-3-2'!$W:$W)</f>
        <v>0</v>
      </c>
      <c r="H74" s="2455">
        <f>'表30-5-2-1-1'!K73</f>
        <v>0</v>
      </c>
      <c r="I74" s="2455">
        <f>SUMIF('表30-5-2-3-2'!$A:$A,"E2"&amp;'表30-5-2-2-2'!$A74&amp;"Q",'表30-5-2-3-2'!$P:$P)</f>
        <v>0</v>
      </c>
      <c r="J74" s="2926">
        <f>SUMIF('表30-5-2-3-2'!$A:$A,"E2"&amp;'表30-5-2-2-2'!$A74&amp;"Q",'表30-5-2-3-2'!$Y:$Y)</f>
        <v>0</v>
      </c>
      <c r="K74" s="2455">
        <f>SUMIF('表30-5-2-3-2'!$A:$A,"E2"&amp;'表30-5-2-2-2'!$A74&amp;"L",'表30-5-2-3-2'!$W:$W)</f>
        <v>0</v>
      </c>
      <c r="L74" s="2454">
        <f>'表30-5-2-1-1'!L73</f>
        <v>0</v>
      </c>
      <c r="M74" s="2447">
        <f>'表30-5-2-1-1'!M73</f>
        <v>0</v>
      </c>
      <c r="N74" s="2447">
        <f>'表30-5-2-1-1'!N73</f>
        <v>0</v>
      </c>
      <c r="O74" s="2457">
        <f>'表30-5-2-1-1'!O73</f>
        <v>0</v>
      </c>
      <c r="P74" s="2458">
        <f>'表30-5-2-1-1'!P73</f>
        <v>0</v>
      </c>
      <c r="Q74" s="2712">
        <f>((($D74+$E74)*'表30-5-2-4-2'!$V14+$G74*'表30-5-2-4-2'!$AU14)*'表30-5-2-4-2'!$Q$82+(($H74+$I74)*'表30-5-2-4-2'!$AC14+$K74*'表30-5-2-4-2'!$AU33)*'表30-5-2-4-2'!$R$82+$L74*'表30-5-2-4-2'!$V52*'表30-5-2-4-2'!$S$82+$M74*'表30-5-2-4-2'!$AC52*'表30-5-2-4-2'!$T$82+$N74*'表30-5-2-4-2'!$AC33*'表30-5-2-4-2'!$U$82+$O74*'表30-5-2-4-2'!$V33*'表30-5-2-4-2'!$V$82+$P74*'表30-5-2-4-2'!$V71*'表30-5-2-4-2'!$W$82)/1000*(1+'表30-5-2-4-2'!$Q$83)*'表30-5-2-4-1'!$J$48</f>
        <v>0</v>
      </c>
    </row>
    <row r="75" spans="1:17" s="1189" customFormat="1" ht="16.5">
      <c r="A75" s="1188" t="s">
        <v>3635</v>
      </c>
      <c r="B75" s="2445">
        <v>7</v>
      </c>
      <c r="C75" s="2446" t="s">
        <v>3636</v>
      </c>
      <c r="D75" s="2454">
        <f>'表30-5-2-1-1'!J74</f>
        <v>0</v>
      </c>
      <c r="E75" s="2455">
        <f>SUMIF('表30-5-2-3-2'!$A:$A,"E1"&amp;'表30-5-2-2-2'!$A75&amp;"Q",'表30-5-2-3-2'!$P:$P)</f>
        <v>0</v>
      </c>
      <c r="F75" s="2926">
        <f>SUMIF('表30-5-2-3-2'!$A:$A,"E1"&amp;'表30-5-2-2-2'!$A75&amp;"Q",'表30-5-2-3-2'!$Y:$Y)</f>
        <v>0</v>
      </c>
      <c r="G75" s="2455">
        <f>SUMIF('表30-5-2-3-2'!$A:$A,"E1"&amp;'表30-5-2-2-2'!$A75&amp;"L",'表30-5-2-3-2'!$W:$W)</f>
        <v>0</v>
      </c>
      <c r="H75" s="2455">
        <f>'表30-5-2-1-1'!K74</f>
        <v>0</v>
      </c>
      <c r="I75" s="2455">
        <f>SUMIF('表30-5-2-3-2'!$A:$A,"E2"&amp;'表30-5-2-2-2'!$A75&amp;"Q",'表30-5-2-3-2'!$P:$P)</f>
        <v>0</v>
      </c>
      <c r="J75" s="2926">
        <f>SUMIF('表30-5-2-3-2'!$A:$A,"E2"&amp;'表30-5-2-2-2'!$A75&amp;"Q",'表30-5-2-3-2'!$Y:$Y)</f>
        <v>0</v>
      </c>
      <c r="K75" s="2455">
        <f>SUMIF('表30-5-2-3-2'!$A:$A,"E2"&amp;'表30-5-2-2-2'!$A75&amp;"L",'表30-5-2-3-2'!$W:$W)</f>
        <v>0</v>
      </c>
      <c r="L75" s="2454">
        <f>'表30-5-2-1-1'!L74</f>
        <v>0</v>
      </c>
      <c r="M75" s="2447">
        <f>'表30-5-2-1-1'!M74</f>
        <v>0</v>
      </c>
      <c r="N75" s="2447">
        <f>'表30-5-2-1-1'!N74</f>
        <v>0</v>
      </c>
      <c r="O75" s="2457">
        <f>'表30-5-2-1-1'!O74</f>
        <v>0</v>
      </c>
      <c r="P75" s="2458">
        <f>'表30-5-2-1-1'!P74</f>
        <v>0</v>
      </c>
      <c r="Q75" s="2712">
        <f>((($D75+$E75)*'表30-5-2-4-2'!$V15+$G75*'表30-5-2-4-2'!$AU15)*'表30-5-2-4-2'!$Q$82+(($H75+$I75)*'表30-5-2-4-2'!$AC15+$K75*'表30-5-2-4-2'!$AU34)*'表30-5-2-4-2'!$R$82+$L75*'表30-5-2-4-2'!$V53*'表30-5-2-4-2'!$S$82+$M75*'表30-5-2-4-2'!$AC53*'表30-5-2-4-2'!$T$82+$N75*'表30-5-2-4-2'!$AC34*'表30-5-2-4-2'!$U$82+$O75*'表30-5-2-4-2'!$V34*'表30-5-2-4-2'!$V$82+$P75*'表30-5-2-4-2'!$V72*'表30-5-2-4-2'!$W$82)/1000*(1+'表30-5-2-4-2'!$Q$83)*'表30-5-2-4-1'!$J$48</f>
        <v>0</v>
      </c>
    </row>
    <row r="76" spans="1:17" s="1189" customFormat="1" ht="16.5">
      <c r="A76" s="1188" t="s">
        <v>3637</v>
      </c>
      <c r="B76" s="2445">
        <v>8</v>
      </c>
      <c r="C76" s="2446" t="s">
        <v>3638</v>
      </c>
      <c r="D76" s="2454">
        <f>'表30-5-2-1-1'!J75</f>
        <v>0</v>
      </c>
      <c r="E76" s="2455">
        <f>SUMIF('表30-5-2-3-2'!$A:$A,"E1"&amp;'表30-5-2-2-2'!$A76&amp;"Q",'表30-5-2-3-2'!$P:$P)</f>
        <v>0</v>
      </c>
      <c r="F76" s="2926">
        <f>SUMIF('表30-5-2-3-2'!$A:$A,"E1"&amp;'表30-5-2-2-2'!$A76&amp;"Q",'表30-5-2-3-2'!$Y:$Y)</f>
        <v>0</v>
      </c>
      <c r="G76" s="2455">
        <f>SUMIF('表30-5-2-3-2'!$A:$A,"E1"&amp;'表30-5-2-2-2'!$A76&amp;"L",'表30-5-2-3-2'!$W:$W)</f>
        <v>0</v>
      </c>
      <c r="H76" s="2455">
        <f>'表30-5-2-1-1'!K75</f>
        <v>0</v>
      </c>
      <c r="I76" s="2455">
        <f>SUMIF('表30-5-2-3-2'!$A:$A,"E2"&amp;'表30-5-2-2-2'!$A76&amp;"Q",'表30-5-2-3-2'!$P:$P)</f>
        <v>0</v>
      </c>
      <c r="J76" s="2926">
        <f>SUMIF('表30-5-2-3-2'!$A:$A,"E2"&amp;'表30-5-2-2-2'!$A76&amp;"Q",'表30-5-2-3-2'!$Y:$Y)</f>
        <v>0</v>
      </c>
      <c r="K76" s="2455">
        <f>SUMIF('表30-5-2-3-2'!$A:$A,"E2"&amp;'表30-5-2-2-2'!$A76&amp;"L",'表30-5-2-3-2'!$W:$W)</f>
        <v>0</v>
      </c>
      <c r="L76" s="2454">
        <f>'表30-5-2-1-1'!L75</f>
        <v>0</v>
      </c>
      <c r="M76" s="2447">
        <f>'表30-5-2-1-1'!M75</f>
        <v>0</v>
      </c>
      <c r="N76" s="2447">
        <f>'表30-5-2-1-1'!N75</f>
        <v>0</v>
      </c>
      <c r="O76" s="2457">
        <f>'表30-5-2-1-1'!O75</f>
        <v>0</v>
      </c>
      <c r="P76" s="2458">
        <f>'表30-5-2-1-1'!P75</f>
        <v>0</v>
      </c>
      <c r="Q76" s="2712">
        <f>((($D76+$E76)*'表30-5-2-4-2'!$V16+$G76*'表30-5-2-4-2'!$AU16)*'表30-5-2-4-2'!$Q$82+(($H76+$I76)*'表30-5-2-4-2'!$AC16+$K76*'表30-5-2-4-2'!$AU35)*'表30-5-2-4-2'!$R$82+$L76*'表30-5-2-4-2'!$V54*'表30-5-2-4-2'!$S$82+$M76*'表30-5-2-4-2'!$AC54*'表30-5-2-4-2'!$T$82+$N76*'表30-5-2-4-2'!$AC35*'表30-5-2-4-2'!$U$82+$O76*'表30-5-2-4-2'!$V35*'表30-5-2-4-2'!$V$82+$P76*'表30-5-2-4-2'!$V73*'表30-5-2-4-2'!$W$82)/1000*(1+'表30-5-2-4-2'!$Q$83)*'表30-5-2-4-1'!$J$48</f>
        <v>0</v>
      </c>
    </row>
    <row r="77" spans="1:17" s="1189" customFormat="1" ht="16.5">
      <c r="A77" s="1188" t="s">
        <v>3639</v>
      </c>
      <c r="B77" s="2445">
        <v>9</v>
      </c>
      <c r="C77" s="2446" t="s">
        <v>3640</v>
      </c>
      <c r="D77" s="2454">
        <f>'表30-5-2-1-1'!J76</f>
        <v>0</v>
      </c>
      <c r="E77" s="2455">
        <f>SUMIF('表30-5-2-3-2'!$A:$A,"E1"&amp;'表30-5-2-2-2'!$A77&amp;"Q",'表30-5-2-3-2'!$P:$P)</f>
        <v>0</v>
      </c>
      <c r="F77" s="2926">
        <f>SUMIF('表30-5-2-3-2'!$A:$A,"E1"&amp;'表30-5-2-2-2'!$A77&amp;"Q",'表30-5-2-3-2'!$Y:$Y)</f>
        <v>0</v>
      </c>
      <c r="G77" s="2455">
        <f>SUMIF('表30-5-2-3-2'!$A:$A,"E1"&amp;'表30-5-2-2-2'!$A77&amp;"L",'表30-5-2-3-2'!$W:$W)</f>
        <v>0</v>
      </c>
      <c r="H77" s="2455">
        <f>'表30-5-2-1-1'!K76</f>
        <v>0</v>
      </c>
      <c r="I77" s="2455">
        <f>SUMIF('表30-5-2-3-2'!$A:$A,"E2"&amp;'表30-5-2-2-2'!$A77&amp;"Q",'表30-5-2-3-2'!$P:$P)</f>
        <v>0</v>
      </c>
      <c r="J77" s="2926">
        <f>SUMIF('表30-5-2-3-2'!$A:$A,"E2"&amp;'表30-5-2-2-2'!$A77&amp;"Q",'表30-5-2-3-2'!$Y:$Y)</f>
        <v>0</v>
      </c>
      <c r="K77" s="2455">
        <f>SUMIF('表30-5-2-3-2'!$A:$A,"E2"&amp;'表30-5-2-2-2'!$A77&amp;"L",'表30-5-2-3-2'!$W:$W)</f>
        <v>0</v>
      </c>
      <c r="L77" s="2454">
        <f>'表30-5-2-1-1'!L76</f>
        <v>0</v>
      </c>
      <c r="M77" s="2447">
        <f>'表30-5-2-1-1'!M76</f>
        <v>0</v>
      </c>
      <c r="N77" s="2447">
        <f>'表30-5-2-1-1'!N76</f>
        <v>0</v>
      </c>
      <c r="O77" s="2457">
        <f>'表30-5-2-1-1'!O76</f>
        <v>0</v>
      </c>
      <c r="P77" s="2458">
        <f>'表30-5-2-1-1'!P76</f>
        <v>0</v>
      </c>
      <c r="Q77" s="2712">
        <f>((($D77+$E77)*'表30-5-2-4-2'!$V17+$G77*'表30-5-2-4-2'!$AU17)*'表30-5-2-4-2'!$Q$82+(($H77+$I77)*'表30-5-2-4-2'!$AC17+$K77*'表30-5-2-4-2'!$AU36)*'表30-5-2-4-2'!$R$82+$L77*'表30-5-2-4-2'!$V55*'表30-5-2-4-2'!$S$82+$M77*'表30-5-2-4-2'!$AC55*'表30-5-2-4-2'!$T$82+$N77*'表30-5-2-4-2'!$AC36*'表30-5-2-4-2'!$U$82+$O77*'表30-5-2-4-2'!$V36*'表30-5-2-4-2'!$V$82+$P77*'表30-5-2-4-2'!$V74*'表30-5-2-4-2'!$W$82)/1000*(1+'表30-5-2-4-2'!$Q$83)*'表30-5-2-4-1'!$J$48</f>
        <v>0</v>
      </c>
    </row>
    <row r="78" spans="1:17" s="1189" customFormat="1" ht="16.5">
      <c r="A78" s="1188" t="s">
        <v>3641</v>
      </c>
      <c r="B78" s="2445">
        <v>10</v>
      </c>
      <c r="C78" s="2446" t="s">
        <v>3642</v>
      </c>
      <c r="D78" s="2454">
        <f>'表30-5-2-1-1'!J77</f>
        <v>0</v>
      </c>
      <c r="E78" s="2455">
        <f>SUMIF('表30-5-2-3-2'!$A:$A,"E1"&amp;'表30-5-2-2-2'!$A78&amp;"Q",'表30-5-2-3-2'!$P:$P)</f>
        <v>0</v>
      </c>
      <c r="F78" s="2926">
        <f>SUMIF('表30-5-2-3-2'!$A:$A,"E1"&amp;'表30-5-2-2-2'!$A78&amp;"Q",'表30-5-2-3-2'!$Y:$Y)</f>
        <v>0</v>
      </c>
      <c r="G78" s="2455">
        <f>SUMIF('表30-5-2-3-2'!$A:$A,"E1"&amp;'表30-5-2-2-2'!$A78&amp;"L",'表30-5-2-3-2'!$W:$W)</f>
        <v>0</v>
      </c>
      <c r="H78" s="2455">
        <f>'表30-5-2-1-1'!K77</f>
        <v>0</v>
      </c>
      <c r="I78" s="2455">
        <f>SUMIF('表30-5-2-3-2'!$A:$A,"E2"&amp;'表30-5-2-2-2'!$A78&amp;"Q",'表30-5-2-3-2'!$P:$P)</f>
        <v>0</v>
      </c>
      <c r="J78" s="2926">
        <f>SUMIF('表30-5-2-3-2'!$A:$A,"E2"&amp;'表30-5-2-2-2'!$A78&amp;"Q",'表30-5-2-3-2'!$Y:$Y)</f>
        <v>0</v>
      </c>
      <c r="K78" s="2455">
        <f>SUMIF('表30-5-2-3-2'!$A:$A,"E2"&amp;'表30-5-2-2-2'!$A78&amp;"L",'表30-5-2-3-2'!$W:$W)</f>
        <v>0</v>
      </c>
      <c r="L78" s="2454">
        <f>'表30-5-2-1-1'!L77</f>
        <v>0</v>
      </c>
      <c r="M78" s="2447">
        <f>'表30-5-2-1-1'!M77</f>
        <v>0</v>
      </c>
      <c r="N78" s="2447">
        <f>'表30-5-2-1-1'!N77</f>
        <v>0</v>
      </c>
      <c r="O78" s="2457">
        <f>'表30-5-2-1-1'!O77</f>
        <v>0</v>
      </c>
      <c r="P78" s="2458">
        <f>'表30-5-2-1-1'!P77</f>
        <v>0</v>
      </c>
      <c r="Q78" s="2712">
        <f>((($D78+$E78)*'表30-5-2-4-2'!$V18+$G78*'表30-5-2-4-2'!$AU18)*'表30-5-2-4-2'!$Q$82+(($H78+$I78)*'表30-5-2-4-2'!$AC18+$K78*'表30-5-2-4-2'!$AU37)*'表30-5-2-4-2'!$R$82+$L78*'表30-5-2-4-2'!$V56*'表30-5-2-4-2'!$S$82+$M78*'表30-5-2-4-2'!$AC56*'表30-5-2-4-2'!$T$82+$N78*'表30-5-2-4-2'!$AC37*'表30-5-2-4-2'!$U$82+$O78*'表30-5-2-4-2'!$V37*'表30-5-2-4-2'!$V$82+$P78*'表30-5-2-4-2'!$V75*'表30-5-2-4-2'!$W$82)/1000*(1+'表30-5-2-4-2'!$Q$83)*'表30-5-2-4-1'!$J$48</f>
        <v>0</v>
      </c>
    </row>
    <row r="79" spans="1:17" s="1189" customFormat="1" ht="16.5">
      <c r="A79" s="1188" t="s">
        <v>3643</v>
      </c>
      <c r="B79" s="2445">
        <v>11</v>
      </c>
      <c r="C79" s="2446" t="s">
        <v>3644</v>
      </c>
      <c r="D79" s="2454">
        <f>'表30-5-2-1-1'!J78</f>
        <v>0</v>
      </c>
      <c r="E79" s="2455">
        <f>SUMIF('表30-5-2-3-2'!$A:$A,"E1"&amp;'表30-5-2-2-2'!$A79&amp;"Q",'表30-5-2-3-2'!$P:$P)</f>
        <v>0</v>
      </c>
      <c r="F79" s="2926">
        <f>SUMIF('表30-5-2-3-2'!$A:$A,"E1"&amp;'表30-5-2-2-2'!$A79&amp;"Q",'表30-5-2-3-2'!$Y:$Y)</f>
        <v>0</v>
      </c>
      <c r="G79" s="2455">
        <f>SUMIF('表30-5-2-3-2'!$A:$A,"E1"&amp;'表30-5-2-2-2'!$A79&amp;"L",'表30-5-2-3-2'!$W:$W)</f>
        <v>0</v>
      </c>
      <c r="H79" s="2455">
        <f>'表30-5-2-1-1'!K78</f>
        <v>0</v>
      </c>
      <c r="I79" s="2455">
        <f>SUMIF('表30-5-2-3-2'!$A:$A,"E2"&amp;'表30-5-2-2-2'!$A79&amp;"Q",'表30-5-2-3-2'!$P:$P)</f>
        <v>0</v>
      </c>
      <c r="J79" s="2926">
        <f>SUMIF('表30-5-2-3-2'!$A:$A,"E2"&amp;'表30-5-2-2-2'!$A79&amp;"Q",'表30-5-2-3-2'!$Y:$Y)</f>
        <v>0</v>
      </c>
      <c r="K79" s="2455">
        <f>SUMIF('表30-5-2-3-2'!$A:$A,"E2"&amp;'表30-5-2-2-2'!$A79&amp;"L",'表30-5-2-3-2'!$W:$W)</f>
        <v>0</v>
      </c>
      <c r="L79" s="2454">
        <f>'表30-5-2-1-1'!L78</f>
        <v>0</v>
      </c>
      <c r="M79" s="2447">
        <f>'表30-5-2-1-1'!M78</f>
        <v>0</v>
      </c>
      <c r="N79" s="2447">
        <f>'表30-5-2-1-1'!N78</f>
        <v>0</v>
      </c>
      <c r="O79" s="2457">
        <f>'表30-5-2-1-1'!O78</f>
        <v>0</v>
      </c>
      <c r="P79" s="2458">
        <f>'表30-5-2-1-1'!P78</f>
        <v>0</v>
      </c>
      <c r="Q79" s="2712">
        <f>((($D79+$E79)*'表30-5-2-4-2'!$V19+$G79*'表30-5-2-4-2'!$AU19)*'表30-5-2-4-2'!$Q$82+(($H79+$I79)*'表30-5-2-4-2'!$AC19+$K79*'表30-5-2-4-2'!$AU38)*'表30-5-2-4-2'!$R$82+$L79*'表30-5-2-4-2'!$V57*'表30-5-2-4-2'!$S$82+$M79*'表30-5-2-4-2'!$AC57*'表30-5-2-4-2'!$T$82+$N79*'表30-5-2-4-2'!$AC38*'表30-5-2-4-2'!$U$82+$O79*'表30-5-2-4-2'!$V38*'表30-5-2-4-2'!$V$82+$P79*'表30-5-2-4-2'!$V76*'表30-5-2-4-2'!$W$82)/1000*(1+'表30-5-2-4-2'!$Q$83)*'表30-5-2-4-1'!$J$48</f>
        <v>0</v>
      </c>
    </row>
    <row r="80" spans="1:17" s="1189" customFormat="1" ht="16.5">
      <c r="A80" s="1188" t="s">
        <v>3645</v>
      </c>
      <c r="B80" s="2445">
        <v>12</v>
      </c>
      <c r="C80" s="2446" t="s">
        <v>3646</v>
      </c>
      <c r="D80" s="2454">
        <f>'表30-5-2-1-1'!J79</f>
        <v>0</v>
      </c>
      <c r="E80" s="2455">
        <f>SUMIF('表30-5-2-3-2'!$A:$A,"E1"&amp;'表30-5-2-2-2'!$A80&amp;"Q",'表30-5-2-3-2'!$P:$P)</f>
        <v>0</v>
      </c>
      <c r="F80" s="2926">
        <f>SUMIF('表30-5-2-3-2'!$A:$A,"E1"&amp;'表30-5-2-2-2'!$A80&amp;"Q",'表30-5-2-3-2'!$Y:$Y)</f>
        <v>0</v>
      </c>
      <c r="G80" s="2455">
        <f>SUMIF('表30-5-2-3-2'!$A:$A,"E1"&amp;'表30-5-2-2-2'!$A80&amp;"L",'表30-5-2-3-2'!$W:$W)</f>
        <v>0</v>
      </c>
      <c r="H80" s="2455">
        <f>'表30-5-2-1-1'!K79</f>
        <v>0</v>
      </c>
      <c r="I80" s="2455">
        <f>SUMIF('表30-5-2-3-2'!$A:$A,"E2"&amp;'表30-5-2-2-2'!$A80&amp;"Q",'表30-5-2-3-2'!$P:$P)</f>
        <v>0</v>
      </c>
      <c r="J80" s="2926">
        <f>SUMIF('表30-5-2-3-2'!$A:$A,"E2"&amp;'表30-5-2-2-2'!$A80&amp;"Q",'表30-5-2-3-2'!$Y:$Y)</f>
        <v>0</v>
      </c>
      <c r="K80" s="2455">
        <f>SUMIF('表30-5-2-3-2'!$A:$A,"E2"&amp;'表30-5-2-2-2'!$A80&amp;"L",'表30-5-2-3-2'!$W:$W)</f>
        <v>0</v>
      </c>
      <c r="L80" s="2454">
        <f>'表30-5-2-1-1'!L79</f>
        <v>0</v>
      </c>
      <c r="M80" s="2447">
        <f>'表30-5-2-1-1'!M79</f>
        <v>0</v>
      </c>
      <c r="N80" s="2447">
        <f>'表30-5-2-1-1'!N79</f>
        <v>0</v>
      </c>
      <c r="O80" s="2457">
        <f>'表30-5-2-1-1'!O79</f>
        <v>0</v>
      </c>
      <c r="P80" s="2458">
        <f>'表30-5-2-1-1'!P79</f>
        <v>0</v>
      </c>
      <c r="Q80" s="2712">
        <f>((($D80+$E80)*'表30-5-2-4-2'!$V20+$G80*'表30-5-2-4-2'!$AU20)*'表30-5-2-4-2'!$Q$82+(($H80+$I80)*'表30-5-2-4-2'!$AC20+$K80*'表30-5-2-4-2'!$AU39)*'表30-5-2-4-2'!$R$82+$L80*'表30-5-2-4-2'!$V58*'表30-5-2-4-2'!$S$82+$M80*'表30-5-2-4-2'!$AC58*'表30-5-2-4-2'!$T$82+$N80*'表30-5-2-4-2'!$AC39*'表30-5-2-4-2'!$U$82+$O80*'表30-5-2-4-2'!$V39*'表30-5-2-4-2'!$V$82+$P80*'表30-5-2-4-2'!$V77*'表30-5-2-4-2'!$W$82)/1000*(1+'表30-5-2-4-2'!$Q$83)*'表30-5-2-4-1'!$J$48</f>
        <v>0</v>
      </c>
    </row>
    <row r="81" spans="1:18" s="1189" customFormat="1" ht="16.5">
      <c r="A81" s="1188" t="s">
        <v>3716</v>
      </c>
      <c r="B81" s="2445">
        <v>13</v>
      </c>
      <c r="C81" s="2446" t="s">
        <v>3648</v>
      </c>
      <c r="D81" s="2454">
        <f>'表30-5-2-1-1'!J80</f>
        <v>0</v>
      </c>
      <c r="E81" s="2455">
        <f>SUMIF('表30-5-2-3-2'!$A:$A,"E1"&amp;'表30-5-2-2-2'!$A81&amp;"Q",'表30-5-2-3-2'!$P:$P)</f>
        <v>0</v>
      </c>
      <c r="F81" s="2926">
        <f>SUMIF('表30-5-2-3-2'!$A:$A,"E1"&amp;'表30-5-2-2-2'!$A81&amp;"Q",'表30-5-2-3-2'!$Y:$Y)</f>
        <v>0</v>
      </c>
      <c r="G81" s="2455">
        <f>SUMIF('表30-5-2-3-2'!$A:$A,"E1"&amp;'表30-5-2-2-2'!$A81&amp;"L",'表30-5-2-3-2'!$W:$W)</f>
        <v>0</v>
      </c>
      <c r="H81" s="2455">
        <f>'表30-5-2-1-1'!K80</f>
        <v>0</v>
      </c>
      <c r="I81" s="2455">
        <f>SUMIF('表30-5-2-3-2'!$A:$A,"E2"&amp;'表30-5-2-2-2'!$A81&amp;"Q",'表30-5-2-3-2'!$P:$P)</f>
        <v>0</v>
      </c>
      <c r="J81" s="2926">
        <f>SUMIF('表30-5-2-3-2'!$A:$A,"E2"&amp;'表30-5-2-2-2'!$A81&amp;"Q",'表30-5-2-3-2'!$Y:$Y)</f>
        <v>0</v>
      </c>
      <c r="K81" s="2455">
        <f>SUMIF('表30-5-2-3-2'!$A:$A,"E2"&amp;'表30-5-2-2-2'!$A81&amp;"L",'表30-5-2-3-2'!$W:$W)</f>
        <v>0</v>
      </c>
      <c r="L81" s="2454">
        <f>'表30-5-2-1-1'!L80</f>
        <v>0</v>
      </c>
      <c r="M81" s="2447">
        <f>'表30-5-2-1-1'!M80</f>
        <v>0</v>
      </c>
      <c r="N81" s="2447">
        <f>'表30-5-2-1-1'!N80</f>
        <v>0</v>
      </c>
      <c r="O81" s="2457">
        <f>'表30-5-2-1-1'!O80</f>
        <v>0</v>
      </c>
      <c r="P81" s="2458">
        <f>'表30-5-2-1-1'!P80</f>
        <v>0</v>
      </c>
      <c r="Q81" s="2712">
        <f>((($D81+$E81)*'表30-5-2-4-2'!$V21+$G81*'表30-5-2-4-2'!$AU21)*'表30-5-2-4-2'!$Q$82+(($H81+$I81)*'表30-5-2-4-2'!$AC21+$K81*'表30-5-2-4-2'!$AU40)*'表30-5-2-4-2'!$R$82+$L81*'表30-5-2-4-2'!$V59*'表30-5-2-4-2'!$S$82+$M81*'表30-5-2-4-2'!$AC59*'表30-5-2-4-2'!$T$82+$N81*'表30-5-2-4-2'!$AC40*'表30-5-2-4-2'!$U$82+$O81*'表30-5-2-4-2'!$V40*'表30-5-2-4-2'!$V$82+$P81*'表30-5-2-4-2'!$V78*'表30-5-2-4-2'!$W$82)/1000*(1+'表30-5-2-4-2'!$Q$83)*'表30-5-2-4-1'!$J$48</f>
        <v>0</v>
      </c>
    </row>
    <row r="82" spans="1:18" ht="16.5">
      <c r="A82" s="1188" t="s">
        <v>3717</v>
      </c>
      <c r="B82" s="2445">
        <v>14</v>
      </c>
      <c r="C82" s="2451" t="s">
        <v>3650</v>
      </c>
      <c r="D82" s="2454">
        <f>'表30-5-2-1-1'!J81</f>
        <v>0</v>
      </c>
      <c r="E82" s="2455">
        <f>SUMIF('表30-5-2-3-2'!$A:$A,"E1"&amp;'表30-5-2-2-2'!$A82&amp;"Q",'表30-5-2-3-2'!$P:$P)</f>
        <v>0</v>
      </c>
      <c r="F82" s="2926">
        <f>SUMIF('表30-5-2-3-2'!$A:$A,"E1"&amp;'表30-5-2-2-2'!$A82&amp;"Q",'表30-5-2-3-2'!$Y:$Y)</f>
        <v>0</v>
      </c>
      <c r="G82" s="2455">
        <f>SUMIF('表30-5-2-3-2'!$A:$A,"E1"&amp;'表30-5-2-2-2'!$A82&amp;"L",'表30-5-2-3-2'!$W:$W)</f>
        <v>0</v>
      </c>
      <c r="H82" s="2455">
        <f>'表30-5-2-1-1'!K81</f>
        <v>0</v>
      </c>
      <c r="I82" s="2455">
        <f>SUMIF('表30-5-2-3-2'!$A:$A,"E2"&amp;'表30-5-2-2-2'!$A82&amp;"Q",'表30-5-2-3-2'!$P:$P)</f>
        <v>0</v>
      </c>
      <c r="J82" s="2926">
        <f>SUMIF('表30-5-2-3-2'!$A:$A,"E2"&amp;'表30-5-2-2-2'!$A82&amp;"Q",'表30-5-2-3-2'!$Y:$Y)</f>
        <v>0</v>
      </c>
      <c r="K82" s="2455">
        <f>SUMIF('表30-5-2-3-2'!$A:$A,"E2"&amp;'表30-5-2-2-2'!$A82&amp;"L",'表30-5-2-3-2'!$W:$W)</f>
        <v>0</v>
      </c>
      <c r="L82" s="2454">
        <f>'表30-5-2-1-1'!L81</f>
        <v>0</v>
      </c>
      <c r="M82" s="2447">
        <f>'表30-5-2-1-1'!M81</f>
        <v>0</v>
      </c>
      <c r="N82" s="2447">
        <f>'表30-5-2-1-1'!N81</f>
        <v>0</v>
      </c>
      <c r="O82" s="2457">
        <f>'表30-5-2-1-1'!O81</f>
        <v>0</v>
      </c>
      <c r="P82" s="2458">
        <f>'表30-5-2-1-1'!P81</f>
        <v>0</v>
      </c>
      <c r="Q82" s="2712">
        <f>((($D82+$E82)*'表30-5-2-4-2'!$V22+$G82*'表30-5-2-4-2'!$AU22)*'表30-5-2-4-2'!$Q$82+(($H82+$I82)*'表30-5-2-4-2'!$AC22+$K82*'表30-5-2-4-2'!$AU41)*'表30-5-2-4-2'!$R$82+$L82*'表30-5-2-4-2'!$V60*'表30-5-2-4-2'!$S$82+$M82*'表30-5-2-4-2'!$AC60*'表30-5-2-4-2'!$T$82+$N82*'表30-5-2-4-2'!$AC41*'表30-5-2-4-2'!$U$82+$O82*'表30-5-2-4-2'!$V41*'表30-5-2-4-2'!$V$82+$P82*'表30-5-2-4-2'!$V79*'表30-5-2-4-2'!$W$82)/1000*(1+'表30-5-2-4-2'!$Q$83)*'表30-5-2-4-1'!$J$48</f>
        <v>0</v>
      </c>
      <c r="R82" s="1189"/>
    </row>
    <row r="83" spans="1:18" ht="17.25" thickBot="1">
      <c r="A83" s="1188" t="s">
        <v>3651</v>
      </c>
      <c r="B83" s="3672" t="s">
        <v>5886</v>
      </c>
      <c r="C83" s="3673"/>
      <c r="D83" s="2714">
        <f t="shared" ref="D83:L83" si="1">SUM(D68:D82)</f>
        <v>0</v>
      </c>
      <c r="E83" s="2714">
        <f t="shared" si="1"/>
        <v>0</v>
      </c>
      <c r="F83" s="2930">
        <f t="shared" si="1"/>
        <v>0</v>
      </c>
      <c r="G83" s="2714">
        <f t="shared" si="1"/>
        <v>0</v>
      </c>
      <c r="H83" s="2714">
        <f t="shared" si="1"/>
        <v>0</v>
      </c>
      <c r="I83" s="2714">
        <f t="shared" si="1"/>
        <v>0</v>
      </c>
      <c r="J83" s="2930">
        <f t="shared" si="1"/>
        <v>0</v>
      </c>
      <c r="K83" s="2714">
        <f t="shared" si="1"/>
        <v>0</v>
      </c>
      <c r="L83" s="2689">
        <f t="shared" si="1"/>
        <v>0</v>
      </c>
      <c r="M83" s="2689">
        <f>SUM(M68:M82)</f>
        <v>0</v>
      </c>
      <c r="N83" s="2689">
        <f>SUM(N68:N82)</f>
        <v>0</v>
      </c>
      <c r="O83" s="2715">
        <f>SUM(O68:O82)</f>
        <v>0</v>
      </c>
      <c r="P83" s="2716">
        <f>SUM(P68:P82)</f>
        <v>0</v>
      </c>
      <c r="Q83" s="2717">
        <f>SUM(Q68:Q82)</f>
        <v>0</v>
      </c>
      <c r="R83" s="1189"/>
    </row>
    <row r="84" spans="1:18">
      <c r="B84" s="2434"/>
      <c r="C84" s="2434"/>
      <c r="D84" s="2466"/>
      <c r="E84" s="2466"/>
      <c r="F84" s="2466"/>
      <c r="G84" s="2466"/>
      <c r="H84" s="2466"/>
      <c r="I84" s="2466"/>
      <c r="J84" s="2466"/>
      <c r="K84" s="2466"/>
      <c r="L84" s="2466"/>
      <c r="M84" s="2466"/>
      <c r="N84" s="2466"/>
      <c r="O84" s="2466"/>
      <c r="P84" s="2466"/>
      <c r="Q84" s="2466"/>
      <c r="R84" s="1189"/>
    </row>
    <row r="85" spans="1:18">
      <c r="B85" s="1188"/>
      <c r="C85" s="1188"/>
      <c r="D85" s="2459"/>
      <c r="E85" s="2459"/>
      <c r="F85" s="2459"/>
      <c r="G85" s="2460"/>
      <c r="H85" s="2460"/>
      <c r="I85" s="2460"/>
      <c r="J85" s="2460"/>
      <c r="K85" s="2460"/>
      <c r="L85" s="2460"/>
      <c r="M85" s="2460"/>
      <c r="N85" s="2460"/>
      <c r="O85" s="2460"/>
    </row>
    <row r="86" spans="1:18" ht="17.25" thickBot="1">
      <c r="B86" s="2722" t="s">
        <v>6057</v>
      </c>
      <c r="C86" s="2419"/>
      <c r="D86" s="2426" t="s">
        <v>5895</v>
      </c>
      <c r="E86" s="2460"/>
      <c r="F86" s="2460"/>
      <c r="G86" s="2460"/>
      <c r="H86" s="2460"/>
      <c r="I86" s="2460"/>
      <c r="J86" s="2460"/>
      <c r="K86" s="2460"/>
      <c r="L86" s="2460"/>
      <c r="M86" s="1189"/>
      <c r="N86" s="1189"/>
      <c r="O86" s="1189"/>
    </row>
    <row r="87" spans="1:18" ht="16.5">
      <c r="B87" s="3686" t="s">
        <v>3612</v>
      </c>
      <c r="C87" s="3687"/>
      <c r="D87" s="2533" t="s">
        <v>3613</v>
      </c>
      <c r="E87" s="2460"/>
      <c r="F87" s="2460"/>
      <c r="G87" s="2460"/>
      <c r="H87" s="2460"/>
      <c r="I87" s="2460"/>
      <c r="J87" s="2460"/>
      <c r="K87" s="2460"/>
      <c r="L87" s="2460"/>
      <c r="M87" s="1189"/>
      <c r="N87" s="1189"/>
      <c r="O87" s="1189"/>
    </row>
    <row r="88" spans="1:18">
      <c r="A88" s="1188">
        <v>99</v>
      </c>
      <c r="B88" s="3688" t="s">
        <v>5896</v>
      </c>
      <c r="C88" s="3689"/>
      <c r="D88" s="2710">
        <f>SUMIF($A$7:$A$22,$A88,H7:H22)+SUMIF($A$48:$A$63,$A88,Q48:Q63)</f>
        <v>0</v>
      </c>
      <c r="E88" s="2460"/>
      <c r="F88" s="2460"/>
      <c r="G88" s="2460"/>
      <c r="H88" s="2460"/>
      <c r="I88" s="2460"/>
      <c r="J88" s="2460"/>
      <c r="K88" s="2460"/>
      <c r="L88" s="2460"/>
      <c r="M88" s="1189"/>
      <c r="N88" s="1189"/>
      <c r="O88" s="1189"/>
    </row>
    <row r="89" spans="1:18" ht="20.100000000000001" customHeight="1" thickBot="1">
      <c r="A89" s="1188" t="s">
        <v>5897</v>
      </c>
      <c r="B89" s="3690" t="s">
        <v>5898</v>
      </c>
      <c r="C89" s="3691"/>
      <c r="D89" s="2711">
        <f>SUMIF($A$27:$A$42,$A89,H27:H42)+SUMIF($A$68:$A$83,$A89,Q68:Q83)</f>
        <v>0</v>
      </c>
      <c r="E89" s="2460"/>
      <c r="F89" s="2460"/>
      <c r="G89" s="2460"/>
      <c r="H89" s="2460"/>
      <c r="I89" s="2460"/>
      <c r="J89" s="2460"/>
      <c r="K89" s="2460"/>
      <c r="L89" s="2460"/>
      <c r="M89" s="1189"/>
      <c r="N89" s="1189"/>
      <c r="O89" s="1189"/>
    </row>
    <row r="90" spans="1:18" ht="20.100000000000001" customHeight="1">
      <c r="B90" s="2461"/>
      <c r="C90" s="2461"/>
      <c r="D90" s="2462"/>
      <c r="E90" s="2462"/>
      <c r="F90" s="2462"/>
      <c r="G90" s="2462"/>
      <c r="H90" s="2460"/>
      <c r="I90" s="2460"/>
      <c r="J90" s="2460"/>
      <c r="K90" s="2460"/>
      <c r="L90" s="2460"/>
      <c r="M90" s="2460"/>
      <c r="N90" s="2460"/>
      <c r="O90" s="2460"/>
    </row>
    <row r="91" spans="1:18">
      <c r="B91" s="1188"/>
      <c r="C91" s="1188"/>
      <c r="D91" s="2459"/>
      <c r="E91" s="2459"/>
      <c r="F91" s="2459"/>
      <c r="G91" s="2460"/>
      <c r="H91" s="2460"/>
      <c r="I91" s="2460"/>
      <c r="J91" s="2460"/>
      <c r="K91" s="2460"/>
      <c r="L91" s="2460"/>
      <c r="M91" s="2460"/>
      <c r="N91" s="2460"/>
      <c r="O91" s="2460"/>
    </row>
    <row r="92" spans="1:18" s="1189" customFormat="1" ht="17.25" thickBot="1">
      <c r="B92" s="2722" t="s">
        <v>6058</v>
      </c>
      <c r="C92" s="2438"/>
      <c r="D92" s="2426"/>
      <c r="E92" s="2426" t="s">
        <v>5895</v>
      </c>
    </row>
    <row r="93" spans="1:18" ht="16.5">
      <c r="A93" s="1189"/>
      <c r="B93" s="3692" t="s">
        <v>3589</v>
      </c>
      <c r="C93" s="3693"/>
      <c r="D93" s="3681" t="s">
        <v>5899</v>
      </c>
      <c r="E93" s="2705" t="s">
        <v>3619</v>
      </c>
      <c r="F93" s="1189"/>
      <c r="G93" s="1189"/>
      <c r="H93" s="1189"/>
      <c r="I93" s="1189"/>
      <c r="J93" s="1189"/>
      <c r="K93" s="1189"/>
      <c r="L93" s="1189"/>
      <c r="M93" s="1189"/>
      <c r="N93" s="1189"/>
      <c r="O93" s="1189"/>
    </row>
    <row r="94" spans="1:18" ht="16.5">
      <c r="A94" s="1189"/>
      <c r="B94" s="3682" t="s">
        <v>5843</v>
      </c>
      <c r="C94" s="3647"/>
      <c r="D94" s="3648"/>
      <c r="E94" s="2696" t="s">
        <v>3620</v>
      </c>
      <c r="F94" s="1189"/>
      <c r="G94" s="1189"/>
      <c r="H94" s="1189"/>
      <c r="I94" s="1189"/>
      <c r="J94" s="1189"/>
      <c r="K94" s="1189"/>
      <c r="L94" s="1189"/>
      <c r="M94" s="1189"/>
      <c r="N94" s="1189"/>
      <c r="O94" s="1189"/>
    </row>
    <row r="95" spans="1:18" ht="20.100000000000001" customHeight="1">
      <c r="A95" s="1188">
        <v>99</v>
      </c>
      <c r="B95" s="3688" t="s">
        <v>5896</v>
      </c>
      <c r="C95" s="3689"/>
      <c r="D95" s="2706">
        <f>'表30-5-2-1-1'!$E$87</f>
        <v>0</v>
      </c>
      <c r="E95" s="2707">
        <f>$D95*'表30-5-2-4-2'!U$89/1000*(1+'表30-5-2-4-2'!$Q$92)*'表30-5-2-4-1'!$J$48</f>
        <v>0</v>
      </c>
      <c r="F95" s="1189"/>
      <c r="G95" s="1189"/>
      <c r="H95" s="1189"/>
      <c r="I95" s="1189"/>
      <c r="J95" s="1189"/>
      <c r="K95" s="1189"/>
      <c r="L95" s="1189"/>
      <c r="M95" s="1189"/>
      <c r="N95" s="1189"/>
      <c r="O95" s="1189"/>
    </row>
    <row r="96" spans="1:18" ht="20.100000000000001" customHeight="1" thickBot="1">
      <c r="A96" s="1188" t="s">
        <v>3651</v>
      </c>
      <c r="B96" s="3690" t="s">
        <v>5898</v>
      </c>
      <c r="C96" s="3691"/>
      <c r="D96" s="2708">
        <f>'表30-5-2-1-1'!$F$87</f>
        <v>0</v>
      </c>
      <c r="E96" s="2709">
        <f>$D96*'表30-5-2-4-2'!U$89/1000*(1+'表30-5-2-4-2'!$Q$92)*'表30-5-2-4-1'!$J$48</f>
        <v>0</v>
      </c>
      <c r="F96" s="1189"/>
      <c r="G96" s="1189"/>
      <c r="H96" s="1189"/>
      <c r="I96" s="1189"/>
      <c r="J96" s="1189"/>
      <c r="K96" s="1189"/>
      <c r="L96" s="1189"/>
      <c r="M96" s="1189"/>
      <c r="N96" s="1189"/>
      <c r="O96" s="1188"/>
    </row>
    <row r="97" spans="1:1" s="1189" customFormat="1">
      <c r="A97" s="1188"/>
    </row>
    <row r="98" spans="1:1" s="1189" customFormat="1">
      <c r="A98" s="1188"/>
    </row>
  </sheetData>
  <mergeCells count="32">
    <mergeCell ref="B95:C95"/>
    <mergeCell ref="B96:C96"/>
    <mergeCell ref="B87:C87"/>
    <mergeCell ref="B88:C88"/>
    <mergeCell ref="B89:C89"/>
    <mergeCell ref="B93:C93"/>
    <mergeCell ref="B42:C42"/>
    <mergeCell ref="A46:A47"/>
    <mergeCell ref="B46:B47"/>
    <mergeCell ref="C46:C47"/>
    <mergeCell ref="D93:D94"/>
    <mergeCell ref="B94:C94"/>
    <mergeCell ref="B63:C63"/>
    <mergeCell ref="A66:A67"/>
    <mergeCell ref="B66:B67"/>
    <mergeCell ref="C66:C67"/>
    <mergeCell ref="B83:C83"/>
    <mergeCell ref="G25:G26"/>
    <mergeCell ref="G5:G6"/>
    <mergeCell ref="A5:A6"/>
    <mergeCell ref="B5:B6"/>
    <mergeCell ref="C5:C6"/>
    <mergeCell ref="D5:D6"/>
    <mergeCell ref="E5:E6"/>
    <mergeCell ref="E25:E26"/>
    <mergeCell ref="B22:C22"/>
    <mergeCell ref="A25:A26"/>
    <mergeCell ref="B25:B26"/>
    <mergeCell ref="C25:C26"/>
    <mergeCell ref="D25:D26"/>
    <mergeCell ref="F5:F6"/>
    <mergeCell ref="F25:F26"/>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31">
    <tabColor rgb="FFFF0000"/>
    <pageSetUpPr fitToPage="1"/>
  </sheetPr>
  <dimension ref="A1:K60"/>
  <sheetViews>
    <sheetView view="pageBreakPreview" zoomScale="80" zoomScaleNormal="100" zoomScaleSheetLayoutView="80" workbookViewId="0">
      <selection activeCell="A2" sqref="A2"/>
    </sheetView>
  </sheetViews>
  <sheetFormatPr defaultColWidth="9.125" defaultRowHeight="15.75"/>
  <cols>
    <col min="1" max="1" width="34.75" style="2443" customWidth="1"/>
    <col min="2" max="11" width="36.625" style="2443" customWidth="1"/>
    <col min="12" max="16384" width="9.125" style="2443"/>
  </cols>
  <sheetData>
    <row r="1" spans="1:11" ht="21">
      <c r="A1" s="2747" t="str">
        <f>+封面!A3&amp;" "&amp;封面!A2</f>
        <v xml:space="preserve">        保險股份有限公司(○○分公司) 年度(月、季、半年)報表</v>
      </c>
      <c r="B1" s="1189"/>
      <c r="C1" s="2417"/>
      <c r="D1" s="2421"/>
      <c r="E1" s="2421"/>
      <c r="F1" s="2421"/>
      <c r="G1" s="2421"/>
      <c r="H1" s="2421"/>
      <c r="I1" s="2421"/>
      <c r="J1" s="2421"/>
      <c r="K1" s="2421"/>
    </row>
    <row r="2" spans="1:11" ht="21">
      <c r="A2" s="2807" t="s">
        <v>6044</v>
      </c>
      <c r="B2" s="1189"/>
      <c r="C2" s="1189"/>
      <c r="D2" s="2421"/>
      <c r="E2" s="2421"/>
      <c r="F2" s="2421"/>
      <c r="G2" s="2421"/>
      <c r="H2" s="2421"/>
      <c r="I2" s="2421"/>
      <c r="J2" s="2421"/>
      <c r="K2" s="2421"/>
    </row>
    <row r="3" spans="1:11">
      <c r="A3" s="2421"/>
      <c r="B3" s="2421"/>
      <c r="C3" s="2421"/>
      <c r="D3" s="2421"/>
      <c r="E3" s="2421"/>
      <c r="F3" s="2421"/>
      <c r="G3" s="2421"/>
      <c r="H3" s="2421"/>
      <c r="I3" s="2421"/>
      <c r="J3" s="2421"/>
      <c r="K3" s="2421"/>
    </row>
    <row r="4" spans="1:11" ht="17.25" thickBot="1">
      <c r="A4" s="2722" t="s">
        <v>6049</v>
      </c>
      <c r="B4" s="2421"/>
      <c r="C4" s="2421"/>
      <c r="D4" s="2421"/>
      <c r="E4" s="2421"/>
      <c r="F4" s="2421"/>
      <c r="G4" s="2421"/>
      <c r="H4" s="2421"/>
      <c r="I4" s="2421"/>
      <c r="J4" s="2421"/>
      <c r="K4" s="2421"/>
    </row>
    <row r="5" spans="1:11" ht="33">
      <c r="A5" s="2481"/>
      <c r="B5" s="2998" t="s">
        <v>5851</v>
      </c>
      <c r="C5" s="2482" t="s">
        <v>5852</v>
      </c>
      <c r="D5" s="2421"/>
      <c r="E5" s="2421"/>
      <c r="F5" s="2421"/>
      <c r="G5" s="2421"/>
      <c r="H5" s="2421"/>
      <c r="I5" s="2421"/>
      <c r="J5" s="2421"/>
      <c r="K5" s="2421"/>
    </row>
    <row r="6" spans="1:11" ht="16.5">
      <c r="A6" s="2483" t="s">
        <v>5906</v>
      </c>
      <c r="B6" s="2484">
        <f>'表30-5-2-1-2'!B18</f>
        <v>0</v>
      </c>
      <c r="C6" s="2485">
        <f>'表30-5-2-1-2'!C18</f>
        <v>0</v>
      </c>
      <c r="D6" s="2486"/>
      <c r="E6" s="2486"/>
      <c r="F6" s="2486"/>
      <c r="G6" s="2486"/>
      <c r="H6" s="2486"/>
      <c r="I6" s="2486"/>
      <c r="J6" s="2486"/>
      <c r="K6" s="2486"/>
    </row>
    <row r="7" spans="1:11" ht="16.5">
      <c r="A7" s="2483" t="s">
        <v>5907</v>
      </c>
      <c r="B7" s="2484">
        <f>'表30-5-2-1-2'!B19</f>
        <v>0</v>
      </c>
      <c r="C7" s="2485">
        <f>'表30-5-2-1-2'!C19</f>
        <v>0</v>
      </c>
      <c r="D7" s="2486"/>
      <c r="E7" s="2486"/>
      <c r="F7" s="2486"/>
      <c r="G7" s="2486"/>
      <c r="H7" s="2486"/>
      <c r="I7" s="2486"/>
      <c r="J7" s="2486"/>
      <c r="K7" s="2486"/>
    </row>
    <row r="8" spans="1:11" ht="16.5">
      <c r="A8" s="2922" t="s">
        <v>6310</v>
      </c>
      <c r="B8" s="2923">
        <v>232384809769.91467</v>
      </c>
      <c r="C8" s="2924">
        <v>71214728723.208694</v>
      </c>
      <c r="D8" s="2486"/>
      <c r="E8" s="2486"/>
      <c r="F8" s="2486"/>
      <c r="G8" s="2486"/>
      <c r="H8" s="2486"/>
      <c r="I8" s="2486"/>
      <c r="J8" s="2486"/>
      <c r="K8" s="2486"/>
    </row>
    <row r="9" spans="1:11" ht="16.5">
      <c r="A9" s="2922" t="s">
        <v>6311</v>
      </c>
      <c r="B9" s="2487">
        <f>B6/B8</f>
        <v>0</v>
      </c>
      <c r="C9" s="2488">
        <f>C6/C8</f>
        <v>0</v>
      </c>
      <c r="D9" s="2421"/>
      <c r="E9" s="2421"/>
      <c r="F9" s="2421"/>
      <c r="G9" s="2421"/>
      <c r="H9" s="2421"/>
      <c r="I9" s="2421"/>
      <c r="J9" s="2421"/>
      <c r="K9" s="2421"/>
    </row>
    <row r="10" spans="1:11" ht="17.25" thickBot="1">
      <c r="A10" s="2489" t="s">
        <v>5908</v>
      </c>
      <c r="B10" s="2490">
        <f>IF(B6=0,0,B7/B6)</f>
        <v>0</v>
      </c>
      <c r="C10" s="2491">
        <f>IF(C6=0,0,C7/C6)</f>
        <v>0</v>
      </c>
      <c r="D10" s="2421"/>
      <c r="E10" s="2421"/>
      <c r="F10" s="2421"/>
      <c r="G10" s="2421"/>
      <c r="H10" s="2421"/>
      <c r="I10" s="2421"/>
      <c r="J10" s="2421"/>
      <c r="K10" s="2421"/>
    </row>
    <row r="11" spans="1:11">
      <c r="A11" s="2421"/>
      <c r="B11" s="2421"/>
      <c r="C11" s="2421"/>
      <c r="D11" s="2421"/>
      <c r="E11" s="2421"/>
      <c r="F11" s="2421"/>
      <c r="G11" s="2421"/>
      <c r="H11" s="2421"/>
      <c r="I11" s="2421"/>
      <c r="J11" s="2421"/>
      <c r="K11" s="2421"/>
    </row>
    <row r="12" spans="1:11" ht="17.25" thickBot="1">
      <c r="A12" s="2722" t="s">
        <v>6050</v>
      </c>
      <c r="B12" s="2421"/>
      <c r="C12" s="2421"/>
      <c r="D12" s="2421"/>
      <c r="E12" s="2421"/>
      <c r="F12" s="2421"/>
      <c r="G12" s="2421"/>
      <c r="H12" s="2421"/>
      <c r="I12" s="2421"/>
      <c r="J12" s="2421"/>
      <c r="K12" s="2421"/>
    </row>
    <row r="13" spans="1:11" ht="16.5">
      <c r="A13" s="3698"/>
      <c r="B13" s="3700" t="s">
        <v>5909</v>
      </c>
      <c r="C13" s="3701"/>
      <c r="D13" s="3702" t="s">
        <v>5910</v>
      </c>
      <c r="E13" s="3701"/>
      <c r="F13" s="3701"/>
      <c r="G13" s="3693"/>
      <c r="H13" s="3696" t="s">
        <v>5911</v>
      </c>
      <c r="I13" s="3696"/>
      <c r="J13" s="3696"/>
      <c r="K13" s="3697"/>
    </row>
    <row r="14" spans="1:11" ht="16.5">
      <c r="A14" s="3699"/>
      <c r="B14" s="1182" t="s">
        <v>5912</v>
      </c>
      <c r="C14" s="2492" t="s">
        <v>5913</v>
      </c>
      <c r="D14" s="2493" t="s">
        <v>5912</v>
      </c>
      <c r="E14" s="1182" t="s">
        <v>5914</v>
      </c>
      <c r="F14" s="1182" t="s">
        <v>5915</v>
      </c>
      <c r="G14" s="1182" t="s">
        <v>5867</v>
      </c>
      <c r="H14" s="1182" t="s">
        <v>5916</v>
      </c>
      <c r="I14" s="1182" t="s">
        <v>5917</v>
      </c>
      <c r="J14" s="1182" t="s">
        <v>5918</v>
      </c>
      <c r="K14" s="2422" t="s">
        <v>5867</v>
      </c>
    </row>
    <row r="15" spans="1:11" ht="16.5">
      <c r="A15" s="2424" t="s">
        <v>5919</v>
      </c>
      <c r="B15" s="2494">
        <v>1000000000</v>
      </c>
      <c r="C15" s="2495">
        <v>0</v>
      </c>
      <c r="D15" s="2496">
        <f>ROUND(B15*$B$9,0)</f>
        <v>0</v>
      </c>
      <c r="E15" s="2497">
        <f>ROUND(C15*$C$9,0)</f>
        <v>0</v>
      </c>
      <c r="F15" s="2497">
        <f>SUMPRODUCT('表30-5-2-1-2'!$C$25:$C$27,'表30-5-2-4-3'!$F$7:$F$9)</f>
        <v>0</v>
      </c>
      <c r="G15" s="2497">
        <f>SUM(D15:F15)</f>
        <v>0</v>
      </c>
      <c r="H15" s="2497">
        <f>ROUND(D15*$B$10,0)</f>
        <v>0</v>
      </c>
      <c r="I15" s="2497">
        <f>ROUND(E15*$C$10,0)</f>
        <v>0</v>
      </c>
      <c r="J15" s="2497">
        <f>SUMPRODUCT('表30-5-2-1-2'!$C$29:$C$31,'表30-5-2-4-3'!$F$7:$F$9)</f>
        <v>0</v>
      </c>
      <c r="K15" s="2735">
        <f>SUM(H15:J15)</f>
        <v>0</v>
      </c>
    </row>
    <row r="16" spans="1:11" ht="16.5">
      <c r="A16" s="2424" t="s">
        <v>5920</v>
      </c>
      <c r="B16" s="2494">
        <v>1000000000</v>
      </c>
      <c r="C16" s="2495">
        <f>4764000000</f>
        <v>4764000000</v>
      </c>
      <c r="D16" s="2496">
        <f>ROUND(B16*$B$9,0)</f>
        <v>0</v>
      </c>
      <c r="E16" s="2497">
        <f>ROUND(C16*$C$9*10%,0)</f>
        <v>0</v>
      </c>
      <c r="F16" s="2497">
        <f>SUMPRODUCT('表30-5-2-1-2'!$D$25:$D$27,'表30-5-2-4-3'!$F$7:$F$9)</f>
        <v>0</v>
      </c>
      <c r="G16" s="2497">
        <f>SUM(D16:F16)</f>
        <v>0</v>
      </c>
      <c r="H16" s="2497">
        <f>ROUND(D16*$B$10,0)</f>
        <v>0</v>
      </c>
      <c r="I16" s="2497">
        <f>ROUND(E16*$C$10,0)</f>
        <v>0</v>
      </c>
      <c r="J16" s="2497">
        <f>SUMPRODUCT('表30-5-2-1-2'!$D$29:$D$31,'表30-5-2-4-3'!$F$7:$F$9)</f>
        <v>0</v>
      </c>
      <c r="K16" s="2735">
        <f>SUM(H16:J16)</f>
        <v>0</v>
      </c>
    </row>
    <row r="17" spans="1:11" ht="17.25" thickBot="1">
      <c r="A17" s="2498" t="s">
        <v>5921</v>
      </c>
      <c r="B17" s="2499">
        <v>1000000000</v>
      </c>
      <c r="C17" s="2500">
        <f>37000000000</f>
        <v>37000000000</v>
      </c>
      <c r="D17" s="2501">
        <f>ROUND(B17*$B$9,0)</f>
        <v>0</v>
      </c>
      <c r="E17" s="2502">
        <f>ROUND(C17*$C$9*10%,0)</f>
        <v>0</v>
      </c>
      <c r="F17" s="2502">
        <f>SUMPRODUCT('表30-5-2-1-2'!$E$25:$E$27,'表30-5-2-4-3'!$F$7:$F$9)</f>
        <v>0</v>
      </c>
      <c r="G17" s="2502">
        <f>SUM(D17:F17)</f>
        <v>0</v>
      </c>
      <c r="H17" s="2502">
        <f>ROUND(D17*$B$10,0)</f>
        <v>0</v>
      </c>
      <c r="I17" s="2502">
        <f>ROUND(E17*$C$10,0)</f>
        <v>0</v>
      </c>
      <c r="J17" s="2502">
        <f>SUMPRODUCT('表30-5-2-1-2'!$E$29:$E$31,'表30-5-2-4-3'!$F$7:$F$9)</f>
        <v>0</v>
      </c>
      <c r="K17" s="2736">
        <f>SUM(H17:J17)</f>
        <v>0</v>
      </c>
    </row>
    <row r="18" spans="1:11">
      <c r="A18" s="2421"/>
      <c r="B18" s="2486"/>
      <c r="C18" s="2421"/>
      <c r="D18" s="2421"/>
      <c r="E18" s="2421"/>
      <c r="F18" s="2421"/>
      <c r="G18" s="2421"/>
      <c r="H18" s="2421"/>
      <c r="I18" s="2421"/>
      <c r="J18" s="2421"/>
      <c r="K18" s="2421"/>
    </row>
    <row r="19" spans="1:11" ht="17.25" thickBot="1">
      <c r="A19" s="2722" t="s">
        <v>6051</v>
      </c>
      <c r="B19" s="2421"/>
      <c r="C19" s="2421"/>
      <c r="D19" s="2421"/>
      <c r="E19" s="2421"/>
      <c r="F19" s="2421"/>
      <c r="G19" s="2421"/>
      <c r="H19" s="2421"/>
      <c r="I19" s="2421"/>
      <c r="J19" s="2421"/>
      <c r="K19" s="2421"/>
    </row>
    <row r="20" spans="1:11" ht="16.5">
      <c r="A20" s="2503" t="s">
        <v>5922</v>
      </c>
      <c r="B20" s="2504" t="str">
        <f ca="1">OFFSET(A15,MATCH(MAX(K15:K17),K15:K17,0)-1,0)</f>
        <v>露天大型活動</v>
      </c>
      <c r="C20" s="2421"/>
      <c r="D20" s="2505"/>
      <c r="E20" s="2505"/>
      <c r="F20" s="2505"/>
      <c r="G20" s="2506"/>
      <c r="H20" s="2506"/>
      <c r="I20" s="2507"/>
      <c r="J20" s="2506"/>
      <c r="K20" s="2421"/>
    </row>
    <row r="21" spans="1:11" ht="16.5">
      <c r="A21" s="2508" t="s">
        <v>5923</v>
      </c>
      <c r="B21" s="2509">
        <f ca="1">OFFSET(A15,MATCH(MAX(K15:K17),K15:K17,0)-1,6)</f>
        <v>0</v>
      </c>
      <c r="C21" s="2421"/>
      <c r="D21" s="2421"/>
      <c r="E21" s="2421"/>
      <c r="F21" s="2510"/>
      <c r="G21" s="2510"/>
      <c r="H21" s="2510"/>
      <c r="I21" s="2511"/>
      <c r="J21" s="2511"/>
      <c r="K21" s="2512"/>
    </row>
    <row r="22" spans="1:11" ht="17.25" thickBot="1">
      <c r="A22" s="2513" t="s">
        <v>5848</v>
      </c>
      <c r="B22" s="2514">
        <f ca="1">OFFSET(A15,MATCH(MAX(K15:K17),K15:K17,0)-1,10)</f>
        <v>0</v>
      </c>
      <c r="C22" s="2421"/>
      <c r="D22" s="2421"/>
      <c r="E22" s="2421"/>
      <c r="F22" s="2510"/>
      <c r="G22" s="2510"/>
      <c r="H22" s="2510"/>
      <c r="I22" s="2515"/>
      <c r="J22" s="2515"/>
      <c r="K22" s="2512"/>
    </row>
    <row r="23" spans="1:11">
      <c r="A23" s="2421"/>
      <c r="B23" s="2421"/>
      <c r="C23" s="2421"/>
      <c r="D23" s="2421"/>
      <c r="E23" s="2421"/>
      <c r="F23" s="2421"/>
      <c r="G23" s="2421"/>
      <c r="H23" s="2421"/>
      <c r="I23" s="2421"/>
      <c r="J23" s="2421"/>
      <c r="K23" s="2421"/>
    </row>
    <row r="24" spans="1:11">
      <c r="A24" s="2461"/>
      <c r="B24" s="2516"/>
      <c r="C24" s="2421"/>
      <c r="D24" s="2421"/>
      <c r="E24" s="2421"/>
      <c r="F24" s="2421"/>
      <c r="G24" s="2421"/>
      <c r="H24" s="2421"/>
      <c r="I24" s="2421"/>
      <c r="J24" s="2421"/>
      <c r="K24" s="2421"/>
    </row>
    <row r="25" spans="1:11">
      <c r="A25" s="2421"/>
      <c r="B25" s="2421"/>
      <c r="C25" s="2421"/>
      <c r="D25" s="2421"/>
      <c r="E25" s="2421"/>
      <c r="F25" s="2421"/>
      <c r="G25" s="2421"/>
      <c r="H25" s="2421"/>
      <c r="I25" s="2421"/>
      <c r="J25" s="2421"/>
      <c r="K25" s="2421"/>
    </row>
    <row r="26" spans="1:11" ht="17.25" thickBot="1">
      <c r="A26" s="2722" t="s">
        <v>6052</v>
      </c>
      <c r="B26" s="2421"/>
      <c r="C26" s="2421"/>
      <c r="D26" s="2421"/>
      <c r="E26" s="2421"/>
      <c r="F26" s="2421"/>
      <c r="G26" s="2421"/>
      <c r="H26" s="2421"/>
      <c r="I26" s="2421"/>
      <c r="J26" s="2421"/>
      <c r="K26" s="2421"/>
    </row>
    <row r="27" spans="1:11" ht="15.75" customHeight="1">
      <c r="A27" s="3694" t="s">
        <v>5924</v>
      </c>
      <c r="B27" s="3703" t="s">
        <v>5865</v>
      </c>
      <c r="C27" s="3696" t="s">
        <v>5925</v>
      </c>
      <c r="D27" s="3697" t="s">
        <v>5926</v>
      </c>
      <c r="E27" s="2421"/>
      <c r="F27" s="2421"/>
      <c r="G27" s="2421"/>
      <c r="H27" s="2421"/>
      <c r="I27" s="2421"/>
      <c r="J27" s="2421"/>
      <c r="K27" s="2421"/>
    </row>
    <row r="28" spans="1:11">
      <c r="A28" s="3695"/>
      <c r="B28" s="3704"/>
      <c r="C28" s="3652"/>
      <c r="D28" s="3705"/>
      <c r="E28" s="2421"/>
      <c r="F28" s="2421"/>
      <c r="G28" s="2421"/>
      <c r="H28" s="2421"/>
      <c r="I28" s="2421"/>
      <c r="J28" s="2421"/>
      <c r="K28" s="2421"/>
    </row>
    <row r="29" spans="1:11">
      <c r="A29" s="2424">
        <v>1</v>
      </c>
      <c r="B29" s="2441">
        <f>'表30-5-2-1-2'!B37</f>
        <v>0</v>
      </c>
      <c r="C29" s="2517">
        <f>'表30-5-2-4-3'!B15</f>
        <v>0.8</v>
      </c>
      <c r="D29" s="2518">
        <f>ROUND(B29*C29,0)</f>
        <v>0</v>
      </c>
      <c r="E29" s="2421"/>
      <c r="F29" s="2421"/>
      <c r="G29" s="2421"/>
      <c r="H29" s="2421"/>
      <c r="I29" s="2421"/>
      <c r="J29" s="2421"/>
      <c r="K29" s="2421"/>
    </row>
    <row r="30" spans="1:11">
      <c r="A30" s="2424">
        <v>2</v>
      </c>
      <c r="B30" s="2441">
        <f>'表30-5-2-1-2'!B38</f>
        <v>0</v>
      </c>
      <c r="C30" s="2517">
        <f>'表30-5-2-4-3'!B16</f>
        <v>0.8</v>
      </c>
      <c r="D30" s="2518">
        <f t="shared" ref="D30:D36" si="0">ROUND(B30*C30,0)</f>
        <v>0</v>
      </c>
      <c r="E30" s="2421"/>
      <c r="F30" s="2421"/>
      <c r="G30" s="2421"/>
      <c r="H30" s="2421"/>
      <c r="I30" s="2421"/>
      <c r="J30" s="2421"/>
      <c r="K30" s="2421"/>
    </row>
    <row r="31" spans="1:11">
      <c r="A31" s="2424">
        <v>3</v>
      </c>
      <c r="B31" s="2441">
        <f>'表30-5-2-1-2'!B39</f>
        <v>0</v>
      </c>
      <c r="C31" s="2517">
        <f>'表30-5-2-4-3'!B17</f>
        <v>0.8</v>
      </c>
      <c r="D31" s="2518">
        <f t="shared" si="0"/>
        <v>0</v>
      </c>
      <c r="E31" s="2421"/>
      <c r="F31" s="2421"/>
      <c r="G31" s="2421"/>
      <c r="H31" s="2421"/>
      <c r="I31" s="2421"/>
      <c r="J31" s="2421"/>
      <c r="K31" s="2421"/>
    </row>
    <row r="32" spans="1:11">
      <c r="A32" s="2424">
        <v>4</v>
      </c>
      <c r="B32" s="2441">
        <f>'表30-5-2-1-2'!B40</f>
        <v>0</v>
      </c>
      <c r="C32" s="2517">
        <f>'表30-5-2-4-3'!B18</f>
        <v>0.8</v>
      </c>
      <c r="D32" s="2518">
        <f t="shared" si="0"/>
        <v>0</v>
      </c>
      <c r="E32" s="2421"/>
      <c r="F32" s="2421"/>
      <c r="G32" s="2421"/>
      <c r="H32" s="2421"/>
      <c r="I32" s="2421"/>
      <c r="J32" s="2421"/>
      <c r="K32" s="2421"/>
    </row>
    <row r="33" spans="1:11">
      <c r="A33" s="2424">
        <v>5</v>
      </c>
      <c r="B33" s="2441">
        <f>'表30-5-2-1-2'!B41</f>
        <v>0</v>
      </c>
      <c r="C33" s="2517">
        <f>'表30-5-2-4-3'!B19</f>
        <v>2</v>
      </c>
      <c r="D33" s="2518">
        <f t="shared" si="0"/>
        <v>0</v>
      </c>
      <c r="E33" s="2421"/>
      <c r="F33" s="2421"/>
      <c r="G33" s="2421"/>
      <c r="H33" s="2421"/>
      <c r="I33" s="2421"/>
      <c r="J33" s="2421"/>
      <c r="K33" s="2421"/>
    </row>
    <row r="34" spans="1:11">
      <c r="A34" s="2424">
        <v>6</v>
      </c>
      <c r="B34" s="2441">
        <f>'表30-5-2-1-2'!B42</f>
        <v>0</v>
      </c>
      <c r="C34" s="2517">
        <f>'表30-5-2-4-3'!B20</f>
        <v>2</v>
      </c>
      <c r="D34" s="2518">
        <f t="shared" si="0"/>
        <v>0</v>
      </c>
      <c r="E34" s="2421"/>
      <c r="F34" s="2421"/>
      <c r="G34" s="2421"/>
      <c r="H34" s="2421"/>
      <c r="I34" s="2421"/>
      <c r="J34" s="2421"/>
      <c r="K34" s="2421"/>
    </row>
    <row r="35" spans="1:11">
      <c r="A35" s="2424">
        <v>7</v>
      </c>
      <c r="B35" s="2441">
        <f>'表30-5-2-1-2'!B43</f>
        <v>0</v>
      </c>
      <c r="C35" s="2517">
        <f>'表30-5-2-4-3'!B21</f>
        <v>2</v>
      </c>
      <c r="D35" s="2518">
        <f t="shared" si="0"/>
        <v>0</v>
      </c>
      <c r="E35" s="2421"/>
      <c r="F35" s="2421"/>
      <c r="G35" s="2421"/>
      <c r="H35" s="2421"/>
      <c r="I35" s="2421"/>
      <c r="J35" s="2421"/>
      <c r="K35" s="2421"/>
    </row>
    <row r="36" spans="1:11" ht="16.5">
      <c r="A36" s="2424" t="s">
        <v>5866</v>
      </c>
      <c r="B36" s="2441">
        <f>'表30-5-2-1-2'!B44</f>
        <v>0</v>
      </c>
      <c r="C36" s="2517">
        <f>'表30-5-2-4-3'!B22</f>
        <v>2</v>
      </c>
      <c r="D36" s="2518">
        <f t="shared" si="0"/>
        <v>0</v>
      </c>
      <c r="E36" s="2421"/>
      <c r="F36" s="2421"/>
      <c r="G36" s="2421"/>
      <c r="H36" s="2421"/>
      <c r="I36" s="2421"/>
      <c r="J36" s="2421"/>
      <c r="K36" s="2421"/>
    </row>
    <row r="37" spans="1:11" ht="17.25" thickBot="1">
      <c r="A37" s="2498" t="s">
        <v>5867</v>
      </c>
      <c r="B37" s="2519">
        <f>SUM(B29:B36)</f>
        <v>0</v>
      </c>
      <c r="C37" s="2520"/>
      <c r="D37" s="2521">
        <f>SUM(D29:D36)</f>
        <v>0</v>
      </c>
      <c r="E37" s="2421"/>
      <c r="F37" s="2421"/>
      <c r="G37" s="2421"/>
      <c r="H37" s="2421"/>
      <c r="I37" s="2421"/>
      <c r="J37" s="2421"/>
      <c r="K37" s="2421"/>
    </row>
    <row r="38" spans="1:11">
      <c r="A38" s="2434"/>
      <c r="B38" s="2522"/>
      <c r="C38" s="1189"/>
      <c r="D38" s="2522"/>
      <c r="E38" s="2421"/>
      <c r="F38" s="2421"/>
      <c r="G38" s="2421"/>
      <c r="H38" s="2421"/>
      <c r="I38" s="2421"/>
      <c r="J38" s="2421"/>
      <c r="K38" s="2421"/>
    </row>
    <row r="39" spans="1:11">
      <c r="A39" s="2421"/>
      <c r="B39" s="2421"/>
      <c r="C39" s="2421"/>
      <c r="D39" s="2421"/>
      <c r="E39" s="2421"/>
      <c r="F39" s="2421"/>
      <c r="G39" s="2421"/>
      <c r="H39" s="2421"/>
      <c r="I39" s="2421"/>
      <c r="J39" s="2421"/>
      <c r="K39" s="2421"/>
    </row>
    <row r="40" spans="1:11" ht="17.25" thickBot="1">
      <c r="A40" s="2722" t="s">
        <v>6053</v>
      </c>
      <c r="B40" s="2421"/>
      <c r="C40" s="2421"/>
      <c r="D40" s="2421"/>
      <c r="E40" s="2421"/>
      <c r="F40" s="2421"/>
      <c r="G40" s="2421"/>
      <c r="H40" s="2421"/>
      <c r="I40" s="2421"/>
      <c r="J40" s="2421"/>
      <c r="K40" s="2421"/>
    </row>
    <row r="41" spans="1:11" ht="16.5">
      <c r="A41" s="3694" t="s">
        <v>5927</v>
      </c>
      <c r="B41" s="3696" t="s">
        <v>5928</v>
      </c>
      <c r="C41" s="3696"/>
      <c r="D41" s="3696"/>
      <c r="E41" s="3696"/>
      <c r="F41" s="3696"/>
      <c r="G41" s="3696"/>
      <c r="H41" s="3696"/>
      <c r="I41" s="3696"/>
      <c r="J41" s="3696"/>
      <c r="K41" s="3697"/>
    </row>
    <row r="42" spans="1:11" ht="16.5">
      <c r="A42" s="3695"/>
      <c r="B42" s="1182" t="s">
        <v>5870</v>
      </c>
      <c r="C42" s="1182" t="s">
        <v>5871</v>
      </c>
      <c r="D42" s="1182" t="s">
        <v>5872</v>
      </c>
      <c r="E42" s="1182" t="s">
        <v>5873</v>
      </c>
      <c r="F42" s="1182" t="s">
        <v>5874</v>
      </c>
      <c r="G42" s="1182" t="s">
        <v>5875</v>
      </c>
      <c r="H42" s="1182" t="s">
        <v>5876</v>
      </c>
      <c r="I42" s="1182" t="s">
        <v>5877</v>
      </c>
      <c r="J42" s="1182" t="s">
        <v>5878</v>
      </c>
      <c r="K42" s="2422" t="s">
        <v>5879</v>
      </c>
    </row>
    <row r="43" spans="1:11" ht="16.5">
      <c r="A43" s="2424" t="s">
        <v>5929</v>
      </c>
      <c r="B43" s="2523">
        <f>'表30-5-2-1-2'!B51</f>
        <v>0</v>
      </c>
      <c r="C43" s="2523">
        <f>'表30-5-2-1-2'!C51</f>
        <v>0</v>
      </c>
      <c r="D43" s="2523">
        <f>'表30-5-2-1-2'!D51</f>
        <v>0</v>
      </c>
      <c r="E43" s="2523">
        <f>'表30-5-2-1-2'!E51</f>
        <v>0</v>
      </c>
      <c r="F43" s="2523">
        <f>'表30-5-2-1-2'!F51</f>
        <v>0</v>
      </c>
      <c r="G43" s="2523">
        <f>'表30-5-2-1-2'!G51</f>
        <v>0</v>
      </c>
      <c r="H43" s="2523">
        <f>'表30-5-2-1-2'!H51</f>
        <v>0</v>
      </c>
      <c r="I43" s="2523">
        <f>'表30-5-2-1-2'!I51</f>
        <v>0</v>
      </c>
      <c r="J43" s="2523">
        <f>'表30-5-2-1-2'!J51</f>
        <v>0</v>
      </c>
      <c r="K43" s="2524">
        <f>'表30-5-2-1-2'!K51</f>
        <v>0</v>
      </c>
    </row>
    <row r="44" spans="1:11" ht="16.5">
      <c r="A44" s="2424" t="s">
        <v>5930</v>
      </c>
      <c r="B44" s="2484">
        <f>'表30-5-2-1-2'!B52</f>
        <v>0</v>
      </c>
      <c r="C44" s="2484">
        <f>'表30-5-2-1-2'!C52</f>
        <v>0</v>
      </c>
      <c r="D44" s="2484">
        <f>'表30-5-2-1-2'!D52</f>
        <v>0</v>
      </c>
      <c r="E44" s="2484">
        <f>'表30-5-2-1-2'!E52</f>
        <v>0</v>
      </c>
      <c r="F44" s="2484">
        <f>'表30-5-2-1-2'!F52</f>
        <v>0</v>
      </c>
      <c r="G44" s="2484">
        <f>'表30-5-2-1-2'!G52</f>
        <v>0</v>
      </c>
      <c r="H44" s="2484">
        <f>'表30-5-2-1-2'!H52</f>
        <v>0</v>
      </c>
      <c r="I44" s="2484">
        <f>'表30-5-2-1-2'!I52</f>
        <v>0</v>
      </c>
      <c r="J44" s="2484">
        <f>'表30-5-2-1-2'!J52</f>
        <v>0</v>
      </c>
      <c r="K44" s="2485">
        <f>'表30-5-2-1-2'!K52</f>
        <v>0</v>
      </c>
    </row>
    <row r="45" spans="1:11" ht="16.5">
      <c r="A45" s="2525" t="s">
        <v>5931</v>
      </c>
      <c r="B45" s="2526">
        <f ca="1">IF(B$44&lt;=0, 100%,IF(B$44/1000&gt;='表30-5-2-4-3'!$I$39,'表30-5-2-4-3'!$I$40,TREND(OFFSET('表30-5-2-4-3'!$D$40,, MATCH(B$44/1000, '表30-5-2-4-3'!$D$39:$I$39,1)-1,,2),LOG10(OFFSET('表30-5-2-4-3'!$D$39,, MATCH(B$44/1000,'表30-5-2-4-3'!$D$39:$I$39,1)-1,,2)),LOG10(B$44/1000))))</f>
        <v>1</v>
      </c>
      <c r="C45" s="2526">
        <f ca="1">IF(C$44&lt;=0, 100%,IF(C$44/1000&gt;='表30-5-2-4-3'!$I$39,'表30-5-2-4-3'!$I$40,TREND(OFFSET('表30-5-2-4-3'!$D$40,, MATCH(C$44/1000, '表30-5-2-4-3'!$D$39:$I$39,1)-1,,2),LOG10(OFFSET('表30-5-2-4-3'!$D$39,, MATCH(C$44/1000,'表30-5-2-4-3'!$D$39:$I$39,1)-1,,2)),LOG10(C$44/1000))))</f>
        <v>1</v>
      </c>
      <c r="D45" s="2526">
        <f ca="1">IF(D$44&lt;=0, 100%,IF(D$44/1000&gt;='表30-5-2-4-3'!$I$39,'表30-5-2-4-3'!$I$40,TREND(OFFSET('表30-5-2-4-3'!$D$40,, MATCH(D$44/1000, '表30-5-2-4-3'!$D$39:$I$39,1)-1,,2),LOG10(OFFSET('表30-5-2-4-3'!$D$39,, MATCH(D$44/1000,'表30-5-2-4-3'!$D$39:$I$39,1)-1,,2)),LOG10(D$44/1000))))</f>
        <v>1</v>
      </c>
      <c r="E45" s="2526">
        <f ca="1">IF(E$44&lt;=0, 100%,IF(E$44/1000&gt;='表30-5-2-4-3'!$I$39,'表30-5-2-4-3'!$I$40,TREND(OFFSET('表30-5-2-4-3'!$D$40,, MATCH(E$44/1000, '表30-5-2-4-3'!$D$39:$I$39,1)-1,,2),LOG10(OFFSET('表30-5-2-4-3'!$D$39,, MATCH(E$44/1000,'表30-5-2-4-3'!$D$39:$I$39,1)-1,,2)),LOG10(E$44/1000))))</f>
        <v>1</v>
      </c>
      <c r="F45" s="2526">
        <f ca="1">IF(F$44&lt;=0, 100%,IF(F$44/1000&gt;='表30-5-2-4-3'!$I$39,'表30-5-2-4-3'!$I$40,TREND(OFFSET('表30-5-2-4-3'!$D$40,, MATCH(F$44/1000, '表30-5-2-4-3'!$D$39:$I$39,1)-1,,2),LOG10(OFFSET('表30-5-2-4-3'!$D$39,, MATCH(F$44/1000,'表30-5-2-4-3'!$D$39:$I$39,1)-1,,2)),LOG10(F$44/1000))))</f>
        <v>1</v>
      </c>
      <c r="G45" s="2526">
        <f ca="1">IF(G$44&lt;=0, 100%,IF(G$44/1000&gt;='表30-5-2-4-3'!$I$39,'表30-5-2-4-3'!$I$40,TREND(OFFSET('表30-5-2-4-3'!$D$40,, MATCH(G$44/1000, '表30-5-2-4-3'!$D$39:$I$39,1)-1,,2),LOG10(OFFSET('表30-5-2-4-3'!$D$39,, MATCH(G$44/1000,'表30-5-2-4-3'!$D$39:$I$39,1)-1,,2)),LOG10(G$44/1000))))</f>
        <v>1</v>
      </c>
      <c r="H45" s="2526">
        <f ca="1">IF(H$44&lt;=0, 100%,IF(H$44/1000&gt;='表30-5-2-4-3'!$I$39,'表30-5-2-4-3'!$I$40,TREND(OFFSET('表30-5-2-4-3'!$D$40,, MATCH(H$44/1000, '表30-5-2-4-3'!$D$39:$I$39,1)-1,,2),LOG10(OFFSET('表30-5-2-4-3'!$D$39,, MATCH(H$44/1000,'表30-5-2-4-3'!$D$39:$I$39,1)-1,,2)),LOG10(H$44/1000))))</f>
        <v>1</v>
      </c>
      <c r="I45" s="2526">
        <f ca="1">IF(I$44&lt;=0, 100%,IF(I$44/1000&gt;='表30-5-2-4-3'!$I$39,'表30-5-2-4-3'!$I$40,TREND(OFFSET('表30-5-2-4-3'!$D$40,, MATCH(I$44/1000, '表30-5-2-4-3'!$D$39:$I$39,1)-1,,2),LOG10(OFFSET('表30-5-2-4-3'!$D$39,, MATCH(I$44/1000,'表30-5-2-4-3'!$D$39:$I$39,1)-1,,2)),LOG10(I$44/1000))))</f>
        <v>1</v>
      </c>
      <c r="J45" s="2526">
        <f ca="1">IF(J$44&lt;=0, 100%,IF(J$44/1000&gt;='表30-5-2-4-3'!$I$39,'表30-5-2-4-3'!$I$40,TREND(OFFSET('表30-5-2-4-3'!$D$40,, MATCH(J$44/1000, '表30-5-2-4-3'!$D$39:$I$39,1)-1,,2),LOG10(OFFSET('表30-5-2-4-3'!$D$39,, MATCH(J$44/1000,'表30-5-2-4-3'!$D$39:$I$39,1)-1,,2)),LOG10(J$44/1000))))</f>
        <v>1</v>
      </c>
      <c r="K45" s="2527">
        <f ca="1">IF(K$44&lt;=0, 100%,IF(K$44/1000&gt;='表30-5-2-4-3'!$I$39,'表30-5-2-4-3'!$I$40,TREND(OFFSET('表30-5-2-4-3'!$D$40,, MATCH(K$44/1000, '表30-5-2-4-3'!$D$39:$I$39,1)-1,,2),LOG10(OFFSET('表30-5-2-4-3'!$D$39,, MATCH(K$44/1000,'表30-5-2-4-3'!$D$39:$I$39,1)-1,,2)),LOG10(K$44/1000))))</f>
        <v>1</v>
      </c>
    </row>
    <row r="46" spans="1:11" ht="16.5">
      <c r="A46" s="2424" t="s">
        <v>5932</v>
      </c>
      <c r="B46" s="2528">
        <f ca="1">B44*B45</f>
        <v>0</v>
      </c>
      <c r="C46" s="2528">
        <f t="shared" ref="C46:K46" ca="1" si="1">C44*C45</f>
        <v>0</v>
      </c>
      <c r="D46" s="2528">
        <f t="shared" ca="1" si="1"/>
        <v>0</v>
      </c>
      <c r="E46" s="2528">
        <f t="shared" ca="1" si="1"/>
        <v>0</v>
      </c>
      <c r="F46" s="2528">
        <f t="shared" ca="1" si="1"/>
        <v>0</v>
      </c>
      <c r="G46" s="2528">
        <f t="shared" ca="1" si="1"/>
        <v>0</v>
      </c>
      <c r="H46" s="2528">
        <f t="shared" ca="1" si="1"/>
        <v>0</v>
      </c>
      <c r="I46" s="2528">
        <f t="shared" ca="1" si="1"/>
        <v>0</v>
      </c>
      <c r="J46" s="2528">
        <f t="shared" ca="1" si="1"/>
        <v>0</v>
      </c>
      <c r="K46" s="2529">
        <f t="shared" ca="1" si="1"/>
        <v>0</v>
      </c>
    </row>
    <row r="47" spans="1:11" ht="16.5">
      <c r="A47" s="2424" t="s">
        <v>5933</v>
      </c>
      <c r="B47" s="2731"/>
      <c r="C47" s="2731"/>
      <c r="D47" s="2731"/>
      <c r="E47" s="2731"/>
      <c r="F47" s="2731"/>
      <c r="G47" s="2731"/>
      <c r="H47" s="2731"/>
      <c r="I47" s="2731"/>
      <c r="J47" s="2731"/>
      <c r="K47" s="2731"/>
    </row>
    <row r="48" spans="1:11" ht="16.5">
      <c r="A48" s="2424" t="s">
        <v>5934</v>
      </c>
      <c r="B48" s="2528">
        <f ca="1">B46*B47</f>
        <v>0</v>
      </c>
      <c r="C48" s="2528">
        <f t="shared" ref="C48:K48" ca="1" si="2">C46*C47</f>
        <v>0</v>
      </c>
      <c r="D48" s="2528">
        <f t="shared" ca="1" si="2"/>
        <v>0</v>
      </c>
      <c r="E48" s="2528">
        <f t="shared" ca="1" si="2"/>
        <v>0</v>
      </c>
      <c r="F48" s="2528">
        <f t="shared" ca="1" si="2"/>
        <v>0</v>
      </c>
      <c r="G48" s="2528">
        <f t="shared" ca="1" si="2"/>
        <v>0</v>
      </c>
      <c r="H48" s="2528">
        <f t="shared" ca="1" si="2"/>
        <v>0</v>
      </c>
      <c r="I48" s="2528">
        <f t="shared" ca="1" si="2"/>
        <v>0</v>
      </c>
      <c r="J48" s="2528">
        <f t="shared" ca="1" si="2"/>
        <v>0</v>
      </c>
      <c r="K48" s="2529">
        <f t="shared" ca="1" si="2"/>
        <v>0</v>
      </c>
    </row>
    <row r="49" spans="1:11" ht="16.5">
      <c r="A49" s="2424" t="s">
        <v>5935</v>
      </c>
      <c r="B49" s="2528">
        <f ca="1">B46-B48</f>
        <v>0</v>
      </c>
      <c r="C49" s="2528">
        <f t="shared" ref="C49:K49" ca="1" si="3">C46-C48</f>
        <v>0</v>
      </c>
      <c r="D49" s="2528">
        <f t="shared" ca="1" si="3"/>
        <v>0</v>
      </c>
      <c r="E49" s="2528">
        <f t="shared" ca="1" si="3"/>
        <v>0</v>
      </c>
      <c r="F49" s="2528">
        <f t="shared" ca="1" si="3"/>
        <v>0</v>
      </c>
      <c r="G49" s="2528">
        <f t="shared" ca="1" si="3"/>
        <v>0</v>
      </c>
      <c r="H49" s="2528">
        <f t="shared" ca="1" si="3"/>
        <v>0</v>
      </c>
      <c r="I49" s="2528">
        <f t="shared" ca="1" si="3"/>
        <v>0</v>
      </c>
      <c r="J49" s="2528">
        <f t="shared" ca="1" si="3"/>
        <v>0</v>
      </c>
      <c r="K49" s="2529">
        <f t="shared" ca="1" si="3"/>
        <v>0</v>
      </c>
    </row>
    <row r="50" spans="1:11" ht="16.5">
      <c r="A50" s="2424" t="s">
        <v>5936</v>
      </c>
      <c r="B50" s="2731"/>
      <c r="C50" s="2731"/>
      <c r="D50" s="2731"/>
      <c r="E50" s="2731"/>
      <c r="F50" s="2731"/>
      <c r="G50" s="2731"/>
      <c r="H50" s="2731"/>
      <c r="I50" s="2731"/>
      <c r="J50" s="2731"/>
      <c r="K50" s="2731"/>
    </row>
    <row r="51" spans="1:11" ht="16.5">
      <c r="A51" s="2424" t="s">
        <v>5937</v>
      </c>
      <c r="B51" s="2528">
        <f ca="1">ROUND(B49-B50,0)</f>
        <v>0</v>
      </c>
      <c r="C51" s="2528">
        <f t="shared" ref="C51:K51" ca="1" si="4">ROUND(C49-C50,0)</f>
        <v>0</v>
      </c>
      <c r="D51" s="2528">
        <f t="shared" ca="1" si="4"/>
        <v>0</v>
      </c>
      <c r="E51" s="2528">
        <f t="shared" ca="1" si="4"/>
        <v>0</v>
      </c>
      <c r="F51" s="2528">
        <f t="shared" ca="1" si="4"/>
        <v>0</v>
      </c>
      <c r="G51" s="2528">
        <f t="shared" ca="1" si="4"/>
        <v>0</v>
      </c>
      <c r="H51" s="2528">
        <f t="shared" ca="1" si="4"/>
        <v>0</v>
      </c>
      <c r="I51" s="2528">
        <f t="shared" ca="1" si="4"/>
        <v>0</v>
      </c>
      <c r="J51" s="2528">
        <f t="shared" ca="1" si="4"/>
        <v>0</v>
      </c>
      <c r="K51" s="2529">
        <f t="shared" ca="1" si="4"/>
        <v>0</v>
      </c>
    </row>
    <row r="52" spans="1:11" ht="16.5">
      <c r="A52" s="2424" t="s">
        <v>5938</v>
      </c>
      <c r="B52" s="2731"/>
      <c r="C52" s="2731"/>
      <c r="D52" s="2731"/>
      <c r="E52" s="2731"/>
      <c r="F52" s="2731"/>
      <c r="G52" s="2731"/>
      <c r="H52" s="2731"/>
      <c r="I52" s="2731"/>
      <c r="J52" s="2731"/>
      <c r="K52" s="2731"/>
    </row>
    <row r="53" spans="1:11" ht="17.25" thickBot="1">
      <c r="A53" s="2498" t="s">
        <v>5926</v>
      </c>
      <c r="B53" s="2530">
        <f ca="1">ROUND(B51-B52,0)</f>
        <v>0</v>
      </c>
      <c r="C53" s="2530">
        <f t="shared" ref="C53:K53" ca="1" si="5">ROUND(C51-C52,0)</f>
        <v>0</v>
      </c>
      <c r="D53" s="2530">
        <f t="shared" ca="1" si="5"/>
        <v>0</v>
      </c>
      <c r="E53" s="2530">
        <f t="shared" ca="1" si="5"/>
        <v>0</v>
      </c>
      <c r="F53" s="2530">
        <f t="shared" ca="1" si="5"/>
        <v>0</v>
      </c>
      <c r="G53" s="2530">
        <f t="shared" ca="1" si="5"/>
        <v>0</v>
      </c>
      <c r="H53" s="2530">
        <f t="shared" ca="1" si="5"/>
        <v>0</v>
      </c>
      <c r="I53" s="2530">
        <f t="shared" ca="1" si="5"/>
        <v>0</v>
      </c>
      <c r="J53" s="2530">
        <f t="shared" ca="1" si="5"/>
        <v>0</v>
      </c>
      <c r="K53" s="2531">
        <f t="shared" ca="1" si="5"/>
        <v>0</v>
      </c>
    </row>
    <row r="54" spans="1:11">
      <c r="A54" s="2532"/>
      <c r="B54" s="1189"/>
      <c r="C54" s="1189"/>
      <c r="D54" s="1189"/>
      <c r="E54" s="1189"/>
      <c r="F54" s="1189"/>
      <c r="G54" s="1189"/>
      <c r="H54" s="1189"/>
      <c r="I54" s="1189"/>
      <c r="J54" s="1189"/>
      <c r="K54" s="1189"/>
    </row>
    <row r="55" spans="1:11" ht="17.25" thickBot="1">
      <c r="A55" s="2722" t="s">
        <v>6054</v>
      </c>
      <c r="B55" s="1189"/>
      <c r="C55" s="1189"/>
      <c r="D55" s="1189"/>
      <c r="E55" s="1189"/>
      <c r="F55" s="1189"/>
      <c r="G55" s="1189"/>
      <c r="H55" s="1189"/>
      <c r="I55" s="1189"/>
      <c r="J55" s="1189"/>
      <c r="K55" s="1189"/>
    </row>
    <row r="56" spans="1:11" ht="16.5">
      <c r="A56" s="2503" t="s">
        <v>5939</v>
      </c>
      <c r="B56" s="2533" t="s">
        <v>5940</v>
      </c>
      <c r="C56" s="2434"/>
      <c r="D56" s="1189"/>
      <c r="E56" s="1189"/>
      <c r="F56" s="1189"/>
      <c r="G56" s="1189"/>
      <c r="H56" s="1189"/>
      <c r="I56" s="1189"/>
      <c r="J56" s="1189"/>
      <c r="K56" s="1189"/>
    </row>
    <row r="57" spans="1:11" ht="16.5">
      <c r="A57" s="2424" t="s">
        <v>5830</v>
      </c>
      <c r="B57" s="2518">
        <f ca="1">SUM(LARGE($B$51:$K$51,1),LARGE($B$51:$K$51,2))</f>
        <v>0</v>
      </c>
      <c r="C57" s="2522"/>
      <c r="D57" s="1189"/>
      <c r="E57" s="1189"/>
      <c r="F57" s="1189"/>
      <c r="G57" s="1189"/>
      <c r="H57" s="1189"/>
      <c r="I57" s="1189"/>
      <c r="J57" s="1189"/>
      <c r="K57" s="1189"/>
    </row>
    <row r="58" spans="1:11" ht="17.25" thickBot="1">
      <c r="A58" s="2498" t="s">
        <v>5833</v>
      </c>
      <c r="B58" s="2521">
        <f ca="1">SUM(LARGE($B$53:$K$53,1),LARGE($B$53:$K$53,2))</f>
        <v>0</v>
      </c>
      <c r="C58" s="2522"/>
      <c r="D58" s="1189"/>
      <c r="E58" s="1189"/>
      <c r="F58" s="1189"/>
      <c r="G58" s="1189"/>
      <c r="H58" s="1189"/>
      <c r="I58" s="1189"/>
      <c r="J58" s="1189"/>
      <c r="K58" s="1189"/>
    </row>
    <row r="59" spans="1:11" ht="16.5" hidden="1">
      <c r="A59" s="2534" t="s">
        <v>5941</v>
      </c>
      <c r="B59" s="2535"/>
      <c r="C59" s="2522"/>
      <c r="D59" s="1189"/>
      <c r="E59" s="1189"/>
      <c r="F59" s="1189"/>
      <c r="G59" s="1189"/>
      <c r="H59" s="1189"/>
      <c r="I59" s="1189"/>
      <c r="J59" s="1189"/>
      <c r="K59" s="1189"/>
    </row>
    <row r="60" spans="1:11" ht="16.5" hidden="1">
      <c r="A60" s="1182" t="s">
        <v>5942</v>
      </c>
      <c r="B60" s="2442">
        <f ca="1">B58-B59</f>
        <v>0</v>
      </c>
      <c r="C60" s="2522"/>
      <c r="D60" s="1189"/>
      <c r="E60" s="1189"/>
      <c r="F60" s="1189"/>
      <c r="G60" s="1189"/>
      <c r="H60" s="1189"/>
      <c r="I60" s="1189"/>
      <c r="J60" s="1189"/>
      <c r="K60" s="1189"/>
    </row>
  </sheetData>
  <mergeCells count="10">
    <mergeCell ref="A41:A42"/>
    <mergeCell ref="B41:K41"/>
    <mergeCell ref="A13:A14"/>
    <mergeCell ref="B13:C13"/>
    <mergeCell ref="D13:G13"/>
    <mergeCell ref="H13:K13"/>
    <mergeCell ref="A27:A28"/>
    <mergeCell ref="B27:B28"/>
    <mergeCell ref="C27:C28"/>
    <mergeCell ref="D27:D28"/>
  </mergeCells>
  <phoneticPr fontId="9" type="noConversion"/>
  <pageMargins left="0.70866141732283472" right="0.70866141732283472" top="0.74803149606299213" bottom="0.74803149606299213" header="0.31496062992125984" footer="0.31496062992125984"/>
  <pageSetup paperSize="9" scale="32" fitToHeight="0" orientation="landscape" r:id="rId1"/>
  <colBreaks count="1" manualBreakCount="1">
    <brk id="8" max="6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32">
    <tabColor rgb="FFFF0000"/>
    <pageSetUpPr fitToPage="1"/>
  </sheetPr>
  <dimension ref="A1:Z203"/>
  <sheetViews>
    <sheetView view="pageBreakPreview" zoomScale="80" zoomScaleNormal="10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6" width="20.625" style="2471" customWidth="1"/>
    <col min="17" max="18" width="20.625" style="2473"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26" width="11.875" style="2471" customWidth="1"/>
    <col min="27" max="16384" width="9" style="2471"/>
  </cols>
  <sheetData>
    <row r="1" spans="1:25" ht="21">
      <c r="A1" s="2747" t="str">
        <f>+封面!A3&amp;" "&amp;封面!A2</f>
        <v xml:space="preserve">        保險股份有限公司(○○分公司) 年度(月、季、半年)報表</v>
      </c>
      <c r="Q1" s="2471"/>
      <c r="R1" s="2471"/>
    </row>
    <row r="2" spans="1:25" ht="21">
      <c r="A2" s="1198" t="s">
        <v>5024</v>
      </c>
      <c r="Q2" s="2471"/>
      <c r="R2" s="2471"/>
    </row>
    <row r="3" spans="1:25">
      <c r="Q3" s="2471"/>
      <c r="R3" s="2471"/>
    </row>
    <row r="4" spans="1:25" ht="60" customHeight="1">
      <c r="A4" s="2467" t="s">
        <v>3615</v>
      </c>
      <c r="B4" s="2467" t="s">
        <v>3652</v>
      </c>
      <c r="C4" s="2467" t="s">
        <v>3653</v>
      </c>
      <c r="D4" s="2467" t="s">
        <v>3654</v>
      </c>
      <c r="E4" s="2467" t="s">
        <v>3655</v>
      </c>
      <c r="F4" s="2920" t="s">
        <v>6309</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6070</v>
      </c>
      <c r="Y4" s="2630" t="s">
        <v>6021</v>
      </c>
    </row>
    <row r="5" spans="1:25" ht="17.25" thickBot="1">
      <c r="A5" s="2472" t="s">
        <v>28</v>
      </c>
      <c r="B5" s="2472" t="s">
        <v>208</v>
      </c>
      <c r="C5" s="2472" t="s">
        <v>171</v>
      </c>
      <c r="D5" s="2472" t="s">
        <v>172</v>
      </c>
      <c r="E5" s="2472" t="s">
        <v>173</v>
      </c>
      <c r="F5" s="2921" t="s">
        <v>174</v>
      </c>
      <c r="G5" s="2921" t="s">
        <v>175</v>
      </c>
      <c r="H5" s="2921" t="s">
        <v>176</v>
      </c>
      <c r="I5" s="2921" t="s">
        <v>177</v>
      </c>
      <c r="J5" s="2921" t="s">
        <v>178</v>
      </c>
      <c r="K5" s="2921" t="s">
        <v>179</v>
      </c>
      <c r="L5" s="2921" t="s">
        <v>180</v>
      </c>
      <c r="M5" s="2921" t="s">
        <v>416</v>
      </c>
      <c r="N5" s="2921" t="s">
        <v>417</v>
      </c>
      <c r="O5" s="2921" t="s">
        <v>418</v>
      </c>
      <c r="P5" s="2921" t="s">
        <v>419</v>
      </c>
      <c r="Q5" s="2921" t="s">
        <v>420</v>
      </c>
      <c r="R5" s="2921" t="s">
        <v>424</v>
      </c>
      <c r="S5" s="2921" t="s">
        <v>425</v>
      </c>
      <c r="T5" s="2921" t="s">
        <v>426</v>
      </c>
      <c r="U5" s="2921" t="s">
        <v>427</v>
      </c>
      <c r="V5" s="2921" t="s">
        <v>428</v>
      </c>
      <c r="W5" s="2921" t="s">
        <v>143</v>
      </c>
      <c r="X5" s="2921" t="s">
        <v>144</v>
      </c>
      <c r="Y5" s="2921" t="s">
        <v>300</v>
      </c>
    </row>
    <row r="6" spans="1:25" ht="17.25" thickTop="1">
      <c r="A6" s="2473" t="str">
        <f>C6&amp;D6&amp;LEFT(E6,1)</f>
        <v/>
      </c>
      <c r="B6" s="2737"/>
      <c r="C6" s="2737"/>
      <c r="D6" s="2737"/>
      <c r="E6" s="2738"/>
      <c r="F6" s="2738"/>
      <c r="G6" s="2738"/>
      <c r="H6" s="2739"/>
      <c r="I6" s="2740"/>
      <c r="J6" s="2740"/>
      <c r="K6" s="2740"/>
      <c r="L6" s="2740"/>
      <c r="M6" s="2738"/>
      <c r="N6" s="2738"/>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IF(C6="F",VLOOKUP($T6,'表30-5-2-5-1'!$B:$AF,MATCH($D6&amp;"a",'表30-5-2-5-1'!$4:$4,0)-1,FALSE)
-IF($S6-1&lt;=0,0,VLOOKUP($S6-1,'表30-5-2-5-1'!$B:$AF,MATCH($D6&amp;"a",'表30-5-2-5-1'!$4:$4,0)-1,FALSE))
-VLOOKUP($T6,'表30-5-2-5-1'!$B:$AF,MATCH($D6,'表30-5-2-5-1'!$4:$4,0)-1,FALSE)*(T6/100-N6/H6)*100
-VLOOKUP($S6,'表30-5-2-5-1'!$B:$AF,MATCH($D6,'表30-5-2-5-1'!$4:$4,0)-1,FALSE)*(1-(S6/100-M6/H6)*100),
IF(C6="E1",VLOOKUP($T6,'表30-5-2-5-2'!$B$4:$AF$104,MATCH($D6&amp;"a",'表30-5-2-5-2'!$4:$4,0)-1,FALSE)
-IF($S6-1&lt;=0,0,VLOOKUP($S6-1,'表30-5-2-5-2'!$B$4:$AF$104,MATCH($D6&amp;"a",'表30-5-2-5-2'!$4:$4,0)-1,FALSE))
-VLOOKUP($T6,'表30-5-2-5-2'!$B$4:$AF$104,MATCH($D6,'表30-5-2-5-2'!$4:$4,0)-1,FALSE)*(T6/100-N6/H6)*100
-VLOOKUP($S6,'表30-5-2-5-2'!$B$4:$AF$104,MATCH($D6,'表30-5-2-5-2'!$4:$4,0)-1,FALSE)*(1-(S6/100-M6/H6)*100),
IF(C6="E2",VLOOKUP($T6,'表30-5-2-5-2'!$B$114:$AF$214,MATCH($D6&amp;"a",'表30-5-2-5-2'!$4:$4,0)-1,FALSE)
-IF($S6-1&lt;=0,0,VLOOKUP($S6-1,'表30-5-2-5-2'!$B$114:$AF$214,MATCH($D6&amp;"a",'表30-5-2-5-2'!$4:$4,0)-1,FALSE))
-VLOOKUP($T6,'表30-5-2-5-2'!$B$114:$AF$214,MATCH($D6,'表30-5-2-5-2'!$4:$4,0)-1,FALSE)*(T6/100-N6/H6)*100
-VLOOKUP($S6,'表30-5-2-5-2'!$B$114:$AF$214,MATCH($D6,'表30-5-2-5-2'!$4:$4,0)-1,FALSE)*(1-(S6/100-M6/H6)*100),0))))</f>
        <v>0</v>
      </c>
      <c r="V6" s="2478">
        <f t="shared" ref="V6:V69" si="4">H6*U6*Q6</f>
        <v>0</v>
      </c>
      <c r="W6" s="2478">
        <f t="shared" ref="W6:W69" si="5">H6*U6*R6</f>
        <v>0</v>
      </c>
      <c r="X6" s="2718">
        <f>U6*F6</f>
        <v>0</v>
      </c>
      <c r="Y6" s="2718">
        <f>IFERROR(U6*F6*(L6/K6),0)</f>
        <v>0</v>
      </c>
    </row>
    <row r="7" spans="1:25" ht="17.25" customHeight="1">
      <c r="A7" s="2473" t="str">
        <f t="shared" ref="A7:A70" si="6">C7&amp;D7&amp;LEFT(E7,1)</f>
        <v/>
      </c>
      <c r="B7" s="2737"/>
      <c r="C7" s="2737"/>
      <c r="D7" s="2737"/>
      <c r="E7" s="2738"/>
      <c r="F7" s="2738"/>
      <c r="G7" s="2738"/>
      <c r="H7" s="2739"/>
      <c r="I7" s="2741"/>
      <c r="J7" s="2741"/>
      <c r="K7" s="2742"/>
      <c r="L7" s="2742"/>
      <c r="M7" s="2738"/>
      <c r="N7" s="2738"/>
      <c r="O7" s="2474">
        <f t="shared" si="0"/>
        <v>0</v>
      </c>
      <c r="P7" s="2474">
        <f t="shared" si="1"/>
        <v>0</v>
      </c>
      <c r="Q7" s="2475">
        <f>IF(OR(E7="QS",E7=""),0,(N7-M7)/H7*K7)</f>
        <v>0</v>
      </c>
      <c r="R7" s="2475">
        <f>IF(OR(E7="QS",E7=""),0,(N7-M7)/H7*L7)</f>
        <v>0</v>
      </c>
      <c r="S7" s="2476">
        <f>IF(OR(E7="QS",B7=""),0,CEILING((M7+1)/H7*100,1))</f>
        <v>0</v>
      </c>
      <c r="T7" s="2476">
        <f t="shared" si="3"/>
        <v>0</v>
      </c>
      <c r="U7" s="2477">
        <f>IF(OR(E7="QS",B7=""),0,
IF(C7="F",VLOOKUP($T7,'表30-5-2-5-1'!$B:$AF,MATCH($D7&amp;"a",'表30-5-2-5-1'!$4:$4,0)-1,FALSE)
-IF($S7-1&lt;=0,0,VLOOKUP($S7-1,'表30-5-2-5-1'!$B:$AF,MATCH($D7&amp;"a",'表30-5-2-5-1'!$4:$4,0)-1,FALSE))
-VLOOKUP($T7,'表30-5-2-5-1'!$B:$AF,MATCH($D7,'表30-5-2-5-1'!$4:$4,0)-1,FALSE)*(T7/100-N7/H7)*100
-VLOOKUP($S7,'表30-5-2-5-1'!$B:$AF,MATCH($D7,'表30-5-2-5-1'!$4:$4,0)-1,FALSE)*(1-(S7/100-M7/H7)*100),
IF(C7="E1",VLOOKUP($T7,'表30-5-2-5-2'!$B$4:$AF$104,MATCH($D7&amp;"a",'表30-5-2-5-2'!$4:$4,0)-1,FALSE)
-IF($S7-1&lt;=0,0,VLOOKUP($S7-1,'表30-5-2-5-2'!$B$4:$AF$104,MATCH($D7&amp;"a",'表30-5-2-5-2'!$4:$4,0)-1,FALSE))
-VLOOKUP($T7,'表30-5-2-5-2'!$B$4:$AF$104,MATCH($D7,'表30-5-2-5-2'!$4:$4,0)-1,FALSE)*(T7/100-N7/H7)*100
-VLOOKUP($S7,'表30-5-2-5-2'!$B$4:$AF$104,MATCH($D7,'表30-5-2-5-2'!$4:$4,0)-1,FALSE)*(1-(S7/100-M7/H7)*100),
IF(C7="E2",VLOOKUP($T7,'表30-5-2-5-2'!$B$114:$AF$214,MATCH($D7&amp;"a",'表30-5-2-5-2'!$4:$4,0)-1,FALSE)
-IF($S7-1&lt;=0,0,VLOOKUP($S7-1,'表30-5-2-5-2'!$B$114:$AF$214,MATCH($D7&amp;"a",'表30-5-2-5-2'!$4:$4,0)-1,FALSE))
-VLOOKUP($T7,'表30-5-2-5-2'!$B$114:$AF$214,MATCH($D7,'表30-5-2-5-2'!$4:$4,0)-1,FALSE)*(T7/100-N7/H7)*100
-VLOOKUP($S7,'表30-5-2-5-2'!$B$114:$AF$214,MATCH($D7,'表30-5-2-5-2'!$4:$4,0)-1,FALSE)*(1-(S7/100-M7/H7)*100),0))))</f>
        <v>0</v>
      </c>
      <c r="V7" s="2478">
        <f t="shared" si="4"/>
        <v>0</v>
      </c>
      <c r="W7" s="2478">
        <f t="shared" si="5"/>
        <v>0</v>
      </c>
      <c r="X7" s="2718">
        <f t="shared" ref="X7:X70" si="7">U7*F7</f>
        <v>0</v>
      </c>
      <c r="Y7" s="2718">
        <f t="shared" ref="Y7:Y70" si="8">IFERROR(U7*F7*(L7/K7),0)</f>
        <v>0</v>
      </c>
    </row>
    <row r="8" spans="1:25">
      <c r="A8" s="2473" t="str">
        <f t="shared" si="6"/>
        <v/>
      </c>
      <c r="B8" s="2737"/>
      <c r="C8" s="2737"/>
      <c r="D8" s="2737"/>
      <c r="E8" s="2738"/>
      <c r="F8" s="2738"/>
      <c r="G8" s="2738"/>
      <c r="H8" s="2739"/>
      <c r="I8" s="2741"/>
      <c r="J8" s="2741"/>
      <c r="K8" s="2742"/>
      <c r="L8" s="2742"/>
      <c r="M8" s="2738"/>
      <c r="N8" s="2738"/>
      <c r="O8" s="2474">
        <f t="shared" si="0"/>
        <v>0</v>
      </c>
      <c r="P8" s="2474">
        <f t="shared" si="1"/>
        <v>0</v>
      </c>
      <c r="Q8" s="2475">
        <f>IF(OR(E8="QS",E8=""),0,(N8-M8)/H8*K8)</f>
        <v>0</v>
      </c>
      <c r="R8" s="2475">
        <f>IF(OR(E8="QS",E8=""),0,(N8-M8)/H8*L8)</f>
        <v>0</v>
      </c>
      <c r="S8" s="2476">
        <f t="shared" si="2"/>
        <v>0</v>
      </c>
      <c r="T8" s="2476">
        <f t="shared" si="3"/>
        <v>0</v>
      </c>
      <c r="U8" s="2477">
        <f>IF(OR(E8="QS",B8=""),0,
IF(C8="F",VLOOKUP($T8,'表30-5-2-5-1'!$B:$AF,MATCH($D8&amp;"a",'表30-5-2-5-1'!$4:$4,0)-1,FALSE)
-IF($S8-1&lt;=0,0,VLOOKUP($S8-1,'表30-5-2-5-1'!$B:$AF,MATCH($D8&amp;"a",'表30-5-2-5-1'!$4:$4,0)-1,FALSE))
-VLOOKUP($T8,'表30-5-2-5-1'!$B:$AF,MATCH($D8,'表30-5-2-5-1'!$4:$4,0)-1,FALSE)*(T8/100-N8/H8)*100
-VLOOKUP($S8,'表30-5-2-5-1'!$B:$AF,MATCH($D8,'表30-5-2-5-1'!$4:$4,0)-1,FALSE)*(1-(S8/100-M8/H8)*100),
IF(C8="E1",VLOOKUP($T8,'表30-5-2-5-2'!$B$4:$AF$104,MATCH($D8&amp;"a",'表30-5-2-5-2'!$4:$4,0)-1,FALSE)
-IF($S8-1&lt;=0,0,VLOOKUP($S8-1,'表30-5-2-5-2'!$B$4:$AF$104,MATCH($D8&amp;"a",'表30-5-2-5-2'!$4:$4,0)-1,FALSE))
-VLOOKUP($T8,'表30-5-2-5-2'!$B$4:$AF$104,MATCH($D8,'表30-5-2-5-2'!$4:$4,0)-1,FALSE)*(T8/100-N8/H8)*100
-VLOOKUP($S8,'表30-5-2-5-2'!$B$4:$AF$104,MATCH($D8,'表30-5-2-5-2'!$4:$4,0)-1,FALSE)*(1-(S8/100-M8/H8)*100),
IF(C8="E2",VLOOKUP($T8,'表30-5-2-5-2'!$B$114:$AF$214,MATCH($D8&amp;"a",'表30-5-2-5-2'!$4:$4,0)-1,FALSE)
-IF($S8-1&lt;=0,0,VLOOKUP($S8-1,'表30-5-2-5-2'!$B$114:$AF$214,MATCH($D8&amp;"a",'表30-5-2-5-2'!$4:$4,0)-1,FALSE))
-VLOOKUP($T8,'表30-5-2-5-2'!$B$114:$AF$214,MATCH($D8,'表30-5-2-5-2'!$4:$4,0)-1,FALSE)*(T8/100-N8/H8)*100
-VLOOKUP($S8,'表30-5-2-5-2'!$B$114:$AF$214,MATCH($D8,'表30-5-2-5-2'!$4:$4,0)-1,FALSE)*(1-(S8/100-M8/H8)*100),0))))</f>
        <v>0</v>
      </c>
      <c r="V8" s="2478">
        <f t="shared" si="4"/>
        <v>0</v>
      </c>
      <c r="W8" s="2478">
        <f t="shared" si="5"/>
        <v>0</v>
      </c>
      <c r="X8" s="2718">
        <f t="shared" si="7"/>
        <v>0</v>
      </c>
      <c r="Y8" s="2718">
        <f t="shared" si="8"/>
        <v>0</v>
      </c>
    </row>
    <row r="9" spans="1:25">
      <c r="A9" s="2473" t="str">
        <f t="shared" si="6"/>
        <v/>
      </c>
      <c r="B9" s="2737"/>
      <c r="C9" s="2737"/>
      <c r="D9" s="2737"/>
      <c r="E9" s="2738"/>
      <c r="F9" s="2738"/>
      <c r="G9" s="2738"/>
      <c r="H9" s="2739"/>
      <c r="I9" s="2741"/>
      <c r="J9" s="2741"/>
      <c r="K9" s="2741"/>
      <c r="L9" s="2741"/>
      <c r="M9" s="2738"/>
      <c r="N9" s="2738"/>
      <c r="O9" s="2474">
        <f t="shared" si="0"/>
        <v>0</v>
      </c>
      <c r="P9" s="2474">
        <f t="shared" si="1"/>
        <v>0</v>
      </c>
      <c r="Q9" s="2475">
        <f t="shared" ref="Q9:Q72" si="9">IF(OR(E9="QS",E9=""),0,(N9-M9)/H9*K9)</f>
        <v>0</v>
      </c>
      <c r="R9" s="2475">
        <f t="shared" ref="R9:R72" si="10">IF(OR(E9="QS",E9=""),0,(N9-M9)/H9*L9)</f>
        <v>0</v>
      </c>
      <c r="S9" s="2476">
        <f t="shared" si="2"/>
        <v>0</v>
      </c>
      <c r="T9" s="2476">
        <f t="shared" si="3"/>
        <v>0</v>
      </c>
      <c r="U9" s="2477">
        <f>IF(OR(E9="QS",B9=""),0,
IF(C9="F",VLOOKUP($T9,'表30-5-2-5-1'!$B:$AF,MATCH($D9&amp;"a",'表30-5-2-5-1'!$4:$4,0)-1,FALSE)
-IF($S9-1&lt;=0,0,VLOOKUP($S9-1,'表30-5-2-5-1'!$B:$AF,MATCH($D9&amp;"a",'表30-5-2-5-1'!$4:$4,0)-1,FALSE))
-VLOOKUP($T9,'表30-5-2-5-1'!$B:$AF,MATCH($D9,'表30-5-2-5-1'!$4:$4,0)-1,FALSE)*(T9/100-N9/H9)*100
-VLOOKUP($S9,'表30-5-2-5-1'!$B:$AF,MATCH($D9,'表30-5-2-5-1'!$4:$4,0)-1,FALSE)*(1-(S9/100-M9/H9)*100),
IF(C9="E1",VLOOKUP($T9,'表30-5-2-5-2'!$B$4:$AF$104,MATCH($D9&amp;"a",'表30-5-2-5-2'!$4:$4,0)-1,FALSE)
-IF($S9-1&lt;=0,0,VLOOKUP($S9-1,'表30-5-2-5-2'!$B$4:$AF$104,MATCH($D9&amp;"a",'表30-5-2-5-2'!$4:$4,0)-1,FALSE))
-VLOOKUP($T9,'表30-5-2-5-2'!$B$4:$AF$104,MATCH($D9,'表30-5-2-5-2'!$4:$4,0)-1,FALSE)*(T9/100-N9/H9)*100
-VLOOKUP($S9,'表30-5-2-5-2'!$B$4:$AF$104,MATCH($D9,'表30-5-2-5-2'!$4:$4,0)-1,FALSE)*(1-(S9/100-M9/H9)*100),
IF(C9="E2",VLOOKUP($T9,'表30-5-2-5-2'!$B$114:$AF$214,MATCH($D9&amp;"a",'表30-5-2-5-2'!$4:$4,0)-1,FALSE)
-IF($S9-1&lt;=0,0,VLOOKUP($S9-1,'表30-5-2-5-2'!$B$114:$AF$214,MATCH($D9&amp;"a",'表30-5-2-5-2'!$4:$4,0)-1,FALSE))
-VLOOKUP($T9,'表30-5-2-5-2'!$B$114:$AF$214,MATCH($D9,'表30-5-2-5-2'!$4:$4,0)-1,FALSE)*(T9/100-N9/H9)*100
-VLOOKUP($S9,'表30-5-2-5-2'!$B$114:$AF$214,MATCH($D9,'表30-5-2-5-2'!$4:$4,0)-1,FALSE)*(1-(S9/100-M9/H9)*100),0))))</f>
        <v>0</v>
      </c>
      <c r="V9" s="2478">
        <f t="shared" si="4"/>
        <v>0</v>
      </c>
      <c r="W9" s="2478">
        <f t="shared" si="5"/>
        <v>0</v>
      </c>
      <c r="X9" s="2718">
        <f t="shared" si="7"/>
        <v>0</v>
      </c>
      <c r="Y9" s="2718">
        <f t="shared" si="8"/>
        <v>0</v>
      </c>
    </row>
    <row r="10" spans="1:25">
      <c r="A10" s="2473" t="str">
        <f t="shared" si="6"/>
        <v/>
      </c>
      <c r="B10" s="2737"/>
      <c r="C10" s="2737"/>
      <c r="D10" s="2737"/>
      <c r="E10" s="2738"/>
      <c r="F10" s="2738"/>
      <c r="G10" s="2738"/>
      <c r="H10" s="2739"/>
      <c r="I10" s="2740"/>
      <c r="J10" s="2740"/>
      <c r="K10" s="2740"/>
      <c r="L10" s="2740"/>
      <c r="M10" s="2738"/>
      <c r="N10" s="2738"/>
      <c r="O10" s="2474">
        <f t="shared" si="0"/>
        <v>0</v>
      </c>
      <c r="P10" s="2474">
        <f t="shared" si="1"/>
        <v>0</v>
      </c>
      <c r="Q10" s="2475">
        <f t="shared" si="9"/>
        <v>0</v>
      </c>
      <c r="R10" s="2475">
        <f t="shared" si="10"/>
        <v>0</v>
      </c>
      <c r="S10" s="2476">
        <f t="shared" si="2"/>
        <v>0</v>
      </c>
      <c r="T10" s="2476">
        <f t="shared" si="3"/>
        <v>0</v>
      </c>
      <c r="U10" s="2477">
        <f>IF(OR(E10="QS",B10=""),0,
IF(C10="F",VLOOKUP($T10,'表30-5-2-5-1'!$B:$AF,MATCH($D10&amp;"a",'表30-5-2-5-1'!$4:$4,0)-1,FALSE)
-IF($S10-1&lt;=0,0,VLOOKUP($S10-1,'表30-5-2-5-1'!$B:$AF,MATCH($D10&amp;"a",'表30-5-2-5-1'!$4:$4,0)-1,FALSE))
-VLOOKUP($T10,'表30-5-2-5-1'!$B:$AF,MATCH($D10,'表30-5-2-5-1'!$4:$4,0)-1,FALSE)*(T10/100-N10/H10)*100
-VLOOKUP($S10,'表30-5-2-5-1'!$B:$AF,MATCH($D10,'表30-5-2-5-1'!$4:$4,0)-1,FALSE)*(1-(S10/100-M10/H10)*100),
IF(C10="E1",VLOOKUP($T10,'表30-5-2-5-2'!$B$4:$AF$104,MATCH($D10&amp;"a",'表30-5-2-5-2'!$4:$4,0)-1,FALSE)
-IF($S10-1&lt;=0,0,VLOOKUP($S10-1,'表30-5-2-5-2'!$B$4:$AF$104,MATCH($D10&amp;"a",'表30-5-2-5-2'!$4:$4,0)-1,FALSE))
-VLOOKUP($T10,'表30-5-2-5-2'!$B$4:$AF$104,MATCH($D10,'表30-5-2-5-2'!$4:$4,0)-1,FALSE)*(T10/100-N10/H10)*100
-VLOOKUP($S10,'表30-5-2-5-2'!$B$4:$AF$104,MATCH($D10,'表30-5-2-5-2'!$4:$4,0)-1,FALSE)*(1-(S10/100-M10/H10)*100),
IF(C10="E2",VLOOKUP($T10,'表30-5-2-5-2'!$B$114:$AF$214,MATCH($D10&amp;"a",'表30-5-2-5-2'!$4:$4,0)-1,FALSE)
-IF($S10-1&lt;=0,0,VLOOKUP($S10-1,'表30-5-2-5-2'!$B$114:$AF$214,MATCH($D10&amp;"a",'表30-5-2-5-2'!$4:$4,0)-1,FALSE))
-VLOOKUP($T10,'表30-5-2-5-2'!$B$114:$AF$214,MATCH($D10,'表30-5-2-5-2'!$4:$4,0)-1,FALSE)*(T10/100-N10/H10)*100
-VLOOKUP($S10,'表30-5-2-5-2'!$B$114:$AF$214,MATCH($D10,'表30-5-2-5-2'!$4:$4,0)-1,FALSE)*(1-(S10/100-M10/H10)*100),0))))</f>
        <v>0</v>
      </c>
      <c r="V10" s="2478">
        <f t="shared" si="4"/>
        <v>0</v>
      </c>
      <c r="W10" s="2478">
        <f t="shared" si="5"/>
        <v>0</v>
      </c>
      <c r="X10" s="2718">
        <f t="shared" si="7"/>
        <v>0</v>
      </c>
      <c r="Y10" s="2718">
        <f t="shared" si="8"/>
        <v>0</v>
      </c>
    </row>
    <row r="11" spans="1:25">
      <c r="A11" s="2473" t="str">
        <f t="shared" si="6"/>
        <v/>
      </c>
      <c r="B11" s="2737"/>
      <c r="C11" s="2737"/>
      <c r="D11" s="2737"/>
      <c r="E11" s="2738"/>
      <c r="F11" s="2738"/>
      <c r="G11" s="2738"/>
      <c r="H11" s="2739"/>
      <c r="I11" s="2741"/>
      <c r="J11" s="2741"/>
      <c r="K11" s="2742"/>
      <c r="L11" s="2742"/>
      <c r="M11" s="2738"/>
      <c r="N11" s="2738"/>
      <c r="O11" s="2474">
        <f t="shared" si="0"/>
        <v>0</v>
      </c>
      <c r="P11" s="2474">
        <f t="shared" si="1"/>
        <v>0</v>
      </c>
      <c r="Q11" s="2475">
        <f t="shared" si="9"/>
        <v>0</v>
      </c>
      <c r="R11" s="2475">
        <f t="shared" si="10"/>
        <v>0</v>
      </c>
      <c r="S11" s="2476">
        <f t="shared" si="2"/>
        <v>0</v>
      </c>
      <c r="T11" s="2476">
        <f t="shared" si="3"/>
        <v>0</v>
      </c>
      <c r="U11" s="2477">
        <f>IF(OR(E11="QS",B11=""),0,
IF(C11="F",VLOOKUP($T11,'表30-5-2-5-1'!$B:$AF,MATCH($D11&amp;"a",'表30-5-2-5-1'!$4:$4,0)-1,FALSE)
-IF($S11-1&lt;=0,0,VLOOKUP($S11-1,'表30-5-2-5-1'!$B:$AF,MATCH($D11&amp;"a",'表30-5-2-5-1'!$4:$4,0)-1,FALSE))
-VLOOKUP($T11,'表30-5-2-5-1'!$B:$AF,MATCH($D11,'表30-5-2-5-1'!$4:$4,0)-1,FALSE)*(T11/100-N11/H11)*100
-VLOOKUP($S11,'表30-5-2-5-1'!$B:$AF,MATCH($D11,'表30-5-2-5-1'!$4:$4,0)-1,FALSE)*(1-(S11/100-M11/H11)*100),
IF(C11="E1",VLOOKUP($T11,'表30-5-2-5-2'!$B$4:$AF$104,MATCH($D11&amp;"a",'表30-5-2-5-2'!$4:$4,0)-1,FALSE)
-IF($S11-1&lt;=0,0,VLOOKUP($S11-1,'表30-5-2-5-2'!$B$4:$AF$104,MATCH($D11&amp;"a",'表30-5-2-5-2'!$4:$4,0)-1,FALSE))
-VLOOKUP($T11,'表30-5-2-5-2'!$B$4:$AF$104,MATCH($D11,'表30-5-2-5-2'!$4:$4,0)-1,FALSE)*(T11/100-N11/H11)*100
-VLOOKUP($S11,'表30-5-2-5-2'!$B$4:$AF$104,MATCH($D11,'表30-5-2-5-2'!$4:$4,0)-1,FALSE)*(1-(S11/100-M11/H11)*100),
IF(C11="E2",VLOOKUP($T11,'表30-5-2-5-2'!$B$114:$AF$214,MATCH($D11&amp;"a",'表30-5-2-5-2'!$4:$4,0)-1,FALSE)
-IF($S11-1&lt;=0,0,VLOOKUP($S11-1,'表30-5-2-5-2'!$B$114:$AF$214,MATCH($D11&amp;"a",'表30-5-2-5-2'!$4:$4,0)-1,FALSE))
-VLOOKUP($T11,'表30-5-2-5-2'!$B$114:$AF$214,MATCH($D11,'表30-5-2-5-2'!$4:$4,0)-1,FALSE)*(T11/100-N11/H11)*100
-VLOOKUP($S11,'表30-5-2-5-2'!$B$114:$AF$214,MATCH($D11,'表30-5-2-5-2'!$4:$4,0)-1,FALSE)*(1-(S11/100-M11/H11)*100),0))))</f>
        <v>0</v>
      </c>
      <c r="V11" s="2478">
        <f t="shared" si="4"/>
        <v>0</v>
      </c>
      <c r="W11" s="2478">
        <f t="shared" si="5"/>
        <v>0</v>
      </c>
      <c r="X11" s="2718">
        <f t="shared" si="7"/>
        <v>0</v>
      </c>
      <c r="Y11" s="2718">
        <f t="shared" si="8"/>
        <v>0</v>
      </c>
    </row>
    <row r="12" spans="1:25" ht="15.75" customHeight="1">
      <c r="A12" s="2473" t="str">
        <f t="shared" si="6"/>
        <v/>
      </c>
      <c r="B12" s="2737"/>
      <c r="C12" s="2737"/>
      <c r="D12" s="2737"/>
      <c r="E12" s="2738"/>
      <c r="F12" s="2738"/>
      <c r="G12" s="2738"/>
      <c r="H12" s="2739"/>
      <c r="I12" s="2741"/>
      <c r="J12" s="2741"/>
      <c r="K12" s="2742"/>
      <c r="L12" s="2742"/>
      <c r="M12" s="2738"/>
      <c r="N12" s="2738"/>
      <c r="O12" s="2474">
        <f t="shared" si="0"/>
        <v>0</v>
      </c>
      <c r="P12" s="2474">
        <f t="shared" si="1"/>
        <v>0</v>
      </c>
      <c r="Q12" s="2475">
        <f t="shared" si="9"/>
        <v>0</v>
      </c>
      <c r="R12" s="2475">
        <f t="shared" si="10"/>
        <v>0</v>
      </c>
      <c r="S12" s="2476">
        <f t="shared" si="2"/>
        <v>0</v>
      </c>
      <c r="T12" s="2476">
        <f t="shared" si="3"/>
        <v>0</v>
      </c>
      <c r="U12" s="2477">
        <f>IF(OR(E12="QS",B12=""),0,
IF(C12="F",VLOOKUP($T12,'表30-5-2-5-1'!$B:$AF,MATCH($D12&amp;"a",'表30-5-2-5-1'!$4:$4,0)-1,FALSE)
-IF($S12-1&lt;=0,0,VLOOKUP($S12-1,'表30-5-2-5-1'!$B:$AF,MATCH($D12&amp;"a",'表30-5-2-5-1'!$4:$4,0)-1,FALSE))
-VLOOKUP($T12,'表30-5-2-5-1'!$B:$AF,MATCH($D12,'表30-5-2-5-1'!$4:$4,0)-1,FALSE)*(T12/100-N12/H12)*100
-VLOOKUP($S12,'表30-5-2-5-1'!$B:$AF,MATCH($D12,'表30-5-2-5-1'!$4:$4,0)-1,FALSE)*(1-(S12/100-M12/H12)*100),
IF(C12="E1",VLOOKUP($T12,'表30-5-2-5-2'!$B$4:$AF$104,MATCH($D12&amp;"a",'表30-5-2-5-2'!$4:$4,0)-1,FALSE)
-IF($S12-1&lt;=0,0,VLOOKUP($S12-1,'表30-5-2-5-2'!$B$4:$AF$104,MATCH($D12&amp;"a",'表30-5-2-5-2'!$4:$4,0)-1,FALSE))
-VLOOKUP($T12,'表30-5-2-5-2'!$B$4:$AF$104,MATCH($D12,'表30-5-2-5-2'!$4:$4,0)-1,FALSE)*(T12/100-N12/H12)*100
-VLOOKUP($S12,'表30-5-2-5-2'!$B$4:$AF$104,MATCH($D12,'表30-5-2-5-2'!$4:$4,0)-1,FALSE)*(1-(S12/100-M12/H12)*100),
IF(C12="E2",VLOOKUP($T12,'表30-5-2-5-2'!$B$114:$AF$214,MATCH($D12&amp;"a",'表30-5-2-5-2'!$4:$4,0)-1,FALSE)
-IF($S12-1&lt;=0,0,VLOOKUP($S12-1,'表30-5-2-5-2'!$B$114:$AF$214,MATCH($D12&amp;"a",'表30-5-2-5-2'!$4:$4,0)-1,FALSE))
-VLOOKUP($T12,'表30-5-2-5-2'!$B$114:$AF$214,MATCH($D12,'表30-5-2-5-2'!$4:$4,0)-1,FALSE)*(T12/100-N12/H12)*100
-VLOOKUP($S12,'表30-5-2-5-2'!$B$114:$AF$214,MATCH($D12,'表30-5-2-5-2'!$4:$4,0)-1,FALSE)*(1-(S12/100-M12/H12)*100),0))))</f>
        <v>0</v>
      </c>
      <c r="V12" s="2478">
        <f t="shared" si="4"/>
        <v>0</v>
      </c>
      <c r="W12" s="2478">
        <f t="shared" si="5"/>
        <v>0</v>
      </c>
      <c r="X12" s="2718">
        <f t="shared" si="7"/>
        <v>0</v>
      </c>
      <c r="Y12" s="2718">
        <f t="shared" si="8"/>
        <v>0</v>
      </c>
    </row>
    <row r="13" spans="1:25">
      <c r="A13" s="2473" t="str">
        <f t="shared" si="6"/>
        <v/>
      </c>
      <c r="B13" s="2737"/>
      <c r="C13" s="2737"/>
      <c r="D13" s="2737"/>
      <c r="E13" s="2738"/>
      <c r="F13" s="2738"/>
      <c r="G13" s="2738"/>
      <c r="H13" s="2739"/>
      <c r="I13" s="2741"/>
      <c r="J13" s="2741"/>
      <c r="K13" s="2742"/>
      <c r="L13" s="2742"/>
      <c r="M13" s="2738"/>
      <c r="N13" s="2738"/>
      <c r="O13" s="2474">
        <f t="shared" si="0"/>
        <v>0</v>
      </c>
      <c r="P13" s="2474">
        <f t="shared" si="1"/>
        <v>0</v>
      </c>
      <c r="Q13" s="2475">
        <f t="shared" si="9"/>
        <v>0</v>
      </c>
      <c r="R13" s="2475">
        <f t="shared" si="10"/>
        <v>0</v>
      </c>
      <c r="S13" s="2476">
        <f t="shared" si="2"/>
        <v>0</v>
      </c>
      <c r="T13" s="2476">
        <f t="shared" si="3"/>
        <v>0</v>
      </c>
      <c r="U13" s="2477">
        <f>IF(OR(E13="QS",B13=""),0,
IF(C13="F",VLOOKUP($T13,'表30-5-2-5-1'!$B:$AF,MATCH($D13&amp;"a",'表30-5-2-5-1'!$4:$4,0)-1,FALSE)
-IF($S13-1&lt;=0,0,VLOOKUP($S13-1,'表30-5-2-5-1'!$B:$AF,MATCH($D13&amp;"a",'表30-5-2-5-1'!$4:$4,0)-1,FALSE))
-VLOOKUP($T13,'表30-5-2-5-1'!$B:$AF,MATCH($D13,'表30-5-2-5-1'!$4:$4,0)-1,FALSE)*(T13/100-N13/H13)*100
-VLOOKUP($S13,'表30-5-2-5-1'!$B:$AF,MATCH($D13,'表30-5-2-5-1'!$4:$4,0)-1,FALSE)*(1-(S13/100-M13/H13)*100),
IF(C13="E1",VLOOKUP($T13,'表30-5-2-5-2'!$B$4:$AF$104,MATCH($D13&amp;"a",'表30-5-2-5-2'!$4:$4,0)-1,FALSE)
-IF($S13-1&lt;=0,0,VLOOKUP($S13-1,'表30-5-2-5-2'!$B$4:$AF$104,MATCH($D13&amp;"a",'表30-5-2-5-2'!$4:$4,0)-1,FALSE))
-VLOOKUP($T13,'表30-5-2-5-2'!$B$4:$AF$104,MATCH($D13,'表30-5-2-5-2'!$4:$4,0)-1,FALSE)*(T13/100-N13/H13)*100
-VLOOKUP($S13,'表30-5-2-5-2'!$B$4:$AF$104,MATCH($D13,'表30-5-2-5-2'!$4:$4,0)-1,FALSE)*(1-(S13/100-M13/H13)*100),
IF(C13="E2",VLOOKUP($T13,'表30-5-2-5-2'!$B$114:$AF$214,MATCH($D13&amp;"a",'表30-5-2-5-2'!$4:$4,0)-1,FALSE)
-IF($S13-1&lt;=0,0,VLOOKUP($S13-1,'表30-5-2-5-2'!$B$114:$AF$214,MATCH($D13&amp;"a",'表30-5-2-5-2'!$4:$4,0)-1,FALSE))
-VLOOKUP($T13,'表30-5-2-5-2'!$B$114:$AF$214,MATCH($D13,'表30-5-2-5-2'!$4:$4,0)-1,FALSE)*(T13/100-N13/H13)*100
-VLOOKUP($S13,'表30-5-2-5-2'!$B$114:$AF$214,MATCH($D13,'表30-5-2-5-2'!$4:$4,0)-1,FALSE)*(1-(S13/100-M13/H13)*100),0))))</f>
        <v>0</v>
      </c>
      <c r="V13" s="2478">
        <f t="shared" si="4"/>
        <v>0</v>
      </c>
      <c r="W13" s="2478">
        <f t="shared" si="5"/>
        <v>0</v>
      </c>
      <c r="X13" s="2718">
        <f t="shared" si="7"/>
        <v>0</v>
      </c>
      <c r="Y13" s="2718">
        <f t="shared" si="8"/>
        <v>0</v>
      </c>
    </row>
    <row r="14" spans="1:25">
      <c r="A14" s="2473" t="str">
        <f t="shared" si="6"/>
        <v/>
      </c>
      <c r="B14" s="2737"/>
      <c r="C14" s="2737"/>
      <c r="D14" s="2737"/>
      <c r="E14" s="2738"/>
      <c r="F14" s="2738"/>
      <c r="G14" s="2738"/>
      <c r="H14" s="2739"/>
      <c r="I14" s="2741"/>
      <c r="J14" s="2741"/>
      <c r="K14" s="2742"/>
      <c r="L14" s="2742"/>
      <c r="M14" s="2738"/>
      <c r="N14" s="2738"/>
      <c r="O14" s="2474">
        <f t="shared" si="0"/>
        <v>0</v>
      </c>
      <c r="P14" s="2474">
        <f t="shared" si="1"/>
        <v>0</v>
      </c>
      <c r="Q14" s="2475">
        <f t="shared" si="9"/>
        <v>0</v>
      </c>
      <c r="R14" s="2475">
        <f t="shared" si="10"/>
        <v>0</v>
      </c>
      <c r="S14" s="2476">
        <f t="shared" si="2"/>
        <v>0</v>
      </c>
      <c r="T14" s="2476">
        <f t="shared" si="3"/>
        <v>0</v>
      </c>
      <c r="U14" s="2477">
        <f>IF(OR(E14="QS",B14=""),0,
IF(C14="F",VLOOKUP($T14,'表30-5-2-5-1'!$B:$AF,MATCH($D14&amp;"a",'表30-5-2-5-1'!$4:$4,0)-1,FALSE)
-IF($S14-1&lt;=0,0,VLOOKUP($S14-1,'表30-5-2-5-1'!$B:$AF,MATCH($D14&amp;"a",'表30-5-2-5-1'!$4:$4,0)-1,FALSE))
-VLOOKUP($T14,'表30-5-2-5-1'!$B:$AF,MATCH($D14,'表30-5-2-5-1'!$4:$4,0)-1,FALSE)*(T14/100-N14/H14)*100
-VLOOKUP($S14,'表30-5-2-5-1'!$B:$AF,MATCH($D14,'表30-5-2-5-1'!$4:$4,0)-1,FALSE)*(1-(S14/100-M14/H14)*100),
IF(C14="E1",VLOOKUP($T14,'表30-5-2-5-2'!$B$4:$AF$104,MATCH($D14&amp;"a",'表30-5-2-5-2'!$4:$4,0)-1,FALSE)
-IF($S14-1&lt;=0,0,VLOOKUP($S14-1,'表30-5-2-5-2'!$B$4:$AF$104,MATCH($D14&amp;"a",'表30-5-2-5-2'!$4:$4,0)-1,FALSE))
-VLOOKUP($T14,'表30-5-2-5-2'!$B$4:$AF$104,MATCH($D14,'表30-5-2-5-2'!$4:$4,0)-1,FALSE)*(T14/100-N14/H14)*100
-VLOOKUP($S14,'表30-5-2-5-2'!$B$4:$AF$104,MATCH($D14,'表30-5-2-5-2'!$4:$4,0)-1,FALSE)*(1-(S14/100-M14/H14)*100),
IF(C14="E2",VLOOKUP($T14,'表30-5-2-5-2'!$B$114:$AF$214,MATCH($D14&amp;"a",'表30-5-2-5-2'!$4:$4,0)-1,FALSE)
-IF($S14-1&lt;=0,0,VLOOKUP($S14-1,'表30-5-2-5-2'!$B$114:$AF$214,MATCH($D14&amp;"a",'表30-5-2-5-2'!$4:$4,0)-1,FALSE))
-VLOOKUP($T14,'表30-5-2-5-2'!$B$114:$AF$214,MATCH($D14,'表30-5-2-5-2'!$4:$4,0)-1,FALSE)*(T14/100-N14/H14)*100
-VLOOKUP($S14,'表30-5-2-5-2'!$B$114:$AF$214,MATCH($D14,'表30-5-2-5-2'!$4:$4,0)-1,FALSE)*(1-(S14/100-M14/H14)*100),0))))</f>
        <v>0</v>
      </c>
      <c r="V14" s="2478">
        <f t="shared" si="4"/>
        <v>0</v>
      </c>
      <c r="W14" s="2478">
        <f t="shared" si="5"/>
        <v>0</v>
      </c>
      <c r="X14" s="2718">
        <f t="shared" si="7"/>
        <v>0</v>
      </c>
      <c r="Y14" s="2718">
        <f t="shared" si="8"/>
        <v>0</v>
      </c>
    </row>
    <row r="15" spans="1:25" ht="17.25" customHeight="1">
      <c r="A15" s="2473" t="str">
        <f t="shared" si="6"/>
        <v/>
      </c>
      <c r="B15" s="2737"/>
      <c r="C15" s="2737"/>
      <c r="D15" s="2737"/>
      <c r="E15" s="2738"/>
      <c r="F15" s="2738"/>
      <c r="G15" s="2738"/>
      <c r="H15" s="2739"/>
      <c r="I15" s="2740"/>
      <c r="J15" s="2740"/>
      <c r="K15" s="2740"/>
      <c r="L15" s="2740"/>
      <c r="M15" s="2738"/>
      <c r="N15" s="2738"/>
      <c r="O15" s="2474">
        <f t="shared" si="0"/>
        <v>0</v>
      </c>
      <c r="P15" s="2474">
        <f t="shared" si="1"/>
        <v>0</v>
      </c>
      <c r="Q15" s="2475">
        <f t="shared" si="9"/>
        <v>0</v>
      </c>
      <c r="R15" s="2475">
        <f t="shared" si="10"/>
        <v>0</v>
      </c>
      <c r="S15" s="2476">
        <f t="shared" si="2"/>
        <v>0</v>
      </c>
      <c r="T15" s="2476">
        <f t="shared" si="3"/>
        <v>0</v>
      </c>
      <c r="U15" s="2477">
        <f>IF(OR(E15="QS",B15=""),0,
IF(C15="F",VLOOKUP($T15,'表30-5-2-5-1'!$B:$AF,MATCH($D15&amp;"a",'表30-5-2-5-1'!$4:$4,0)-1,FALSE)
-IF($S15-1&lt;=0,0,VLOOKUP($S15-1,'表30-5-2-5-1'!$B:$AF,MATCH($D15&amp;"a",'表30-5-2-5-1'!$4:$4,0)-1,FALSE))
-VLOOKUP($T15,'表30-5-2-5-1'!$B:$AF,MATCH($D15,'表30-5-2-5-1'!$4:$4,0)-1,FALSE)*(T15/100-N15/H15)*100
-VLOOKUP($S15,'表30-5-2-5-1'!$B:$AF,MATCH($D15,'表30-5-2-5-1'!$4:$4,0)-1,FALSE)*(1-(S15/100-M15/H15)*100),
IF(C15="E1",VLOOKUP($T15,'表30-5-2-5-2'!$B$4:$AF$104,MATCH($D15&amp;"a",'表30-5-2-5-2'!$4:$4,0)-1,FALSE)
-IF($S15-1&lt;=0,0,VLOOKUP($S15-1,'表30-5-2-5-2'!$B$4:$AF$104,MATCH($D15&amp;"a",'表30-5-2-5-2'!$4:$4,0)-1,FALSE))
-VLOOKUP($T15,'表30-5-2-5-2'!$B$4:$AF$104,MATCH($D15,'表30-5-2-5-2'!$4:$4,0)-1,FALSE)*(T15/100-N15/H15)*100
-VLOOKUP($S15,'表30-5-2-5-2'!$B$4:$AF$104,MATCH($D15,'表30-5-2-5-2'!$4:$4,0)-1,FALSE)*(1-(S15/100-M15/H15)*100),
IF(C15="E2",VLOOKUP($T15,'表30-5-2-5-2'!$B$114:$AF$214,MATCH($D15&amp;"a",'表30-5-2-5-2'!$4:$4,0)-1,FALSE)
-IF($S15-1&lt;=0,0,VLOOKUP($S15-1,'表30-5-2-5-2'!$B$114:$AF$214,MATCH($D15&amp;"a",'表30-5-2-5-2'!$4:$4,0)-1,FALSE))
-VLOOKUP($T15,'表30-5-2-5-2'!$B$114:$AF$214,MATCH($D15,'表30-5-2-5-2'!$4:$4,0)-1,FALSE)*(T15/100-N15/H15)*100
-VLOOKUP($S15,'表30-5-2-5-2'!$B$114:$AF$214,MATCH($D15,'表30-5-2-5-2'!$4:$4,0)-1,FALSE)*(1-(S15/100-M15/H15)*100),0))))</f>
        <v>0</v>
      </c>
      <c r="V15" s="2478">
        <f t="shared" si="4"/>
        <v>0</v>
      </c>
      <c r="W15" s="2478">
        <f t="shared" si="5"/>
        <v>0</v>
      </c>
      <c r="X15" s="2718">
        <f t="shared" si="7"/>
        <v>0</v>
      </c>
      <c r="Y15" s="2718">
        <f t="shared" si="8"/>
        <v>0</v>
      </c>
    </row>
    <row r="16" spans="1:25">
      <c r="A16" s="2473" t="str">
        <f t="shared" si="6"/>
        <v/>
      </c>
      <c r="B16" s="2737"/>
      <c r="C16" s="2737"/>
      <c r="D16" s="2737"/>
      <c r="E16" s="2738"/>
      <c r="F16" s="2738"/>
      <c r="G16" s="2738"/>
      <c r="H16" s="2739"/>
      <c r="I16" s="2740"/>
      <c r="J16" s="2740"/>
      <c r="K16" s="2740"/>
      <c r="L16" s="2740"/>
      <c r="M16" s="2738"/>
      <c r="N16" s="2738"/>
      <c r="O16" s="2474">
        <f t="shared" si="0"/>
        <v>0</v>
      </c>
      <c r="P16" s="2474">
        <f t="shared" si="1"/>
        <v>0</v>
      </c>
      <c r="Q16" s="2475">
        <f t="shared" si="9"/>
        <v>0</v>
      </c>
      <c r="R16" s="2475">
        <f t="shared" si="10"/>
        <v>0</v>
      </c>
      <c r="S16" s="2476">
        <f t="shared" si="2"/>
        <v>0</v>
      </c>
      <c r="T16" s="2476">
        <f t="shared" si="3"/>
        <v>0</v>
      </c>
      <c r="U16" s="2477">
        <f>IF(OR(E16="QS",B16=""),0,
IF(C16="F",VLOOKUP($T16,'表30-5-2-5-1'!$B:$AF,MATCH($D16&amp;"a",'表30-5-2-5-1'!$4:$4,0)-1,FALSE)
-IF($S16-1&lt;=0,0,VLOOKUP($S16-1,'表30-5-2-5-1'!$B:$AF,MATCH($D16&amp;"a",'表30-5-2-5-1'!$4:$4,0)-1,FALSE))
-VLOOKUP($T16,'表30-5-2-5-1'!$B:$AF,MATCH($D16,'表30-5-2-5-1'!$4:$4,0)-1,FALSE)*(T16/100-N16/H16)*100
-VLOOKUP($S16,'表30-5-2-5-1'!$B:$AF,MATCH($D16,'表30-5-2-5-1'!$4:$4,0)-1,FALSE)*(1-(S16/100-M16/H16)*100),
IF(C16="E1",VLOOKUP($T16,'表30-5-2-5-2'!$B$4:$AF$104,MATCH($D16&amp;"a",'表30-5-2-5-2'!$4:$4,0)-1,FALSE)
-IF($S16-1&lt;=0,0,VLOOKUP($S16-1,'表30-5-2-5-2'!$B$4:$AF$104,MATCH($D16&amp;"a",'表30-5-2-5-2'!$4:$4,0)-1,FALSE))
-VLOOKUP($T16,'表30-5-2-5-2'!$B$4:$AF$104,MATCH($D16,'表30-5-2-5-2'!$4:$4,0)-1,FALSE)*(T16/100-N16/H16)*100
-VLOOKUP($S16,'表30-5-2-5-2'!$B$4:$AF$104,MATCH($D16,'表30-5-2-5-2'!$4:$4,0)-1,FALSE)*(1-(S16/100-M16/H16)*100),
IF(C16="E2",VLOOKUP($T16,'表30-5-2-5-2'!$B$114:$AF$214,MATCH($D16&amp;"a",'表30-5-2-5-2'!$4:$4,0)-1,FALSE)
-IF($S16-1&lt;=0,0,VLOOKUP($S16-1,'表30-5-2-5-2'!$B$114:$AF$214,MATCH($D16&amp;"a",'表30-5-2-5-2'!$4:$4,0)-1,FALSE))
-VLOOKUP($T16,'表30-5-2-5-2'!$B$114:$AF$214,MATCH($D16,'表30-5-2-5-2'!$4:$4,0)-1,FALSE)*(T16/100-N16/H16)*100
-VLOOKUP($S16,'表30-5-2-5-2'!$B$114:$AF$214,MATCH($D16,'表30-5-2-5-2'!$4:$4,0)-1,FALSE)*(1-(S16/100-M16/H16)*100),0))))</f>
        <v>0</v>
      </c>
      <c r="V16" s="2478">
        <f t="shared" si="4"/>
        <v>0</v>
      </c>
      <c r="W16" s="2478">
        <f t="shared" si="5"/>
        <v>0</v>
      </c>
      <c r="X16" s="2718">
        <f t="shared" si="7"/>
        <v>0</v>
      </c>
      <c r="Y16" s="2718">
        <f t="shared" si="8"/>
        <v>0</v>
      </c>
    </row>
    <row r="17" spans="1:26">
      <c r="A17" s="2473" t="str">
        <f t="shared" si="6"/>
        <v/>
      </c>
      <c r="B17" s="2737"/>
      <c r="C17" s="2737"/>
      <c r="D17" s="2737"/>
      <c r="E17" s="2738"/>
      <c r="F17" s="2738"/>
      <c r="G17" s="2738"/>
      <c r="H17" s="2739"/>
      <c r="I17" s="2741"/>
      <c r="J17" s="2741"/>
      <c r="K17" s="2742"/>
      <c r="L17" s="2742"/>
      <c r="M17" s="2738"/>
      <c r="N17" s="2738"/>
      <c r="O17" s="2474">
        <f t="shared" si="0"/>
        <v>0</v>
      </c>
      <c r="P17" s="2474">
        <f t="shared" si="1"/>
        <v>0</v>
      </c>
      <c r="Q17" s="2475">
        <f t="shared" si="9"/>
        <v>0</v>
      </c>
      <c r="R17" s="2475">
        <f t="shared" si="10"/>
        <v>0</v>
      </c>
      <c r="S17" s="2476">
        <f t="shared" si="2"/>
        <v>0</v>
      </c>
      <c r="T17" s="2476">
        <f t="shared" si="3"/>
        <v>0</v>
      </c>
      <c r="U17" s="2477">
        <f>IF(OR(E17="QS",B17=""),0,
IF(C17="F",VLOOKUP($T17,'表30-5-2-5-1'!$B:$AF,MATCH($D17&amp;"a",'表30-5-2-5-1'!$4:$4,0)-1,FALSE)
-IF($S17-1&lt;=0,0,VLOOKUP($S17-1,'表30-5-2-5-1'!$B:$AF,MATCH($D17&amp;"a",'表30-5-2-5-1'!$4:$4,0)-1,FALSE))
-VLOOKUP($T17,'表30-5-2-5-1'!$B:$AF,MATCH($D17,'表30-5-2-5-1'!$4:$4,0)-1,FALSE)*(T17/100-N17/H17)*100
-VLOOKUP($S17,'表30-5-2-5-1'!$B:$AF,MATCH($D17,'表30-5-2-5-1'!$4:$4,0)-1,FALSE)*(1-(S17/100-M17/H17)*100),
IF(C17="E1",VLOOKUP($T17,'表30-5-2-5-2'!$B$4:$AF$104,MATCH($D17&amp;"a",'表30-5-2-5-2'!$4:$4,0)-1,FALSE)
-IF($S17-1&lt;=0,0,VLOOKUP($S17-1,'表30-5-2-5-2'!$B$4:$AF$104,MATCH($D17&amp;"a",'表30-5-2-5-2'!$4:$4,0)-1,FALSE))
-VLOOKUP($T17,'表30-5-2-5-2'!$B$4:$AF$104,MATCH($D17,'表30-5-2-5-2'!$4:$4,0)-1,FALSE)*(T17/100-N17/H17)*100
-VLOOKUP($S17,'表30-5-2-5-2'!$B$4:$AF$104,MATCH($D17,'表30-5-2-5-2'!$4:$4,0)-1,FALSE)*(1-(S17/100-M17/H17)*100),
IF(C17="E2",VLOOKUP($T17,'表30-5-2-5-2'!$B$114:$AF$214,MATCH($D17&amp;"a",'表30-5-2-5-2'!$4:$4,0)-1,FALSE)
-IF($S17-1&lt;=0,0,VLOOKUP($S17-1,'表30-5-2-5-2'!$B$114:$AF$214,MATCH($D17&amp;"a",'表30-5-2-5-2'!$4:$4,0)-1,FALSE))
-VLOOKUP($T17,'表30-5-2-5-2'!$B$114:$AF$214,MATCH($D17,'表30-5-2-5-2'!$4:$4,0)-1,FALSE)*(T17/100-N17/H17)*100
-VLOOKUP($S17,'表30-5-2-5-2'!$B$114:$AF$214,MATCH($D17,'表30-5-2-5-2'!$4:$4,0)-1,FALSE)*(1-(S17/100-M17/H17)*100),0))))</f>
        <v>0</v>
      </c>
      <c r="V17" s="2478">
        <f t="shared" si="4"/>
        <v>0</v>
      </c>
      <c r="W17" s="2478">
        <f t="shared" si="5"/>
        <v>0</v>
      </c>
      <c r="X17" s="2718">
        <f t="shared" si="7"/>
        <v>0</v>
      </c>
      <c r="Y17" s="2718">
        <f t="shared" si="8"/>
        <v>0</v>
      </c>
    </row>
    <row r="18" spans="1:26">
      <c r="A18" s="2473" t="str">
        <f t="shared" si="6"/>
        <v/>
      </c>
      <c r="B18" s="2737"/>
      <c r="C18" s="2737"/>
      <c r="D18" s="2737"/>
      <c r="E18" s="2738"/>
      <c r="F18" s="2738"/>
      <c r="G18" s="2738"/>
      <c r="H18" s="2739"/>
      <c r="I18" s="2741"/>
      <c r="J18" s="2741"/>
      <c r="K18" s="2742"/>
      <c r="L18" s="2742"/>
      <c r="M18" s="2738"/>
      <c r="N18" s="2738"/>
      <c r="O18" s="2474">
        <f t="shared" si="0"/>
        <v>0</v>
      </c>
      <c r="P18" s="2474">
        <f t="shared" si="1"/>
        <v>0</v>
      </c>
      <c r="Q18" s="2475">
        <f t="shared" si="9"/>
        <v>0</v>
      </c>
      <c r="R18" s="2475">
        <f t="shared" si="10"/>
        <v>0</v>
      </c>
      <c r="S18" s="2476">
        <f t="shared" si="2"/>
        <v>0</v>
      </c>
      <c r="T18" s="2476">
        <f t="shared" si="3"/>
        <v>0</v>
      </c>
      <c r="U18" s="2477">
        <f>IF(OR(E18="QS",B18=""),0,
IF(C18="F",VLOOKUP($T18,'表30-5-2-5-1'!$B:$AF,MATCH($D18&amp;"a",'表30-5-2-5-1'!$4:$4,0)-1,FALSE)
-IF($S18-1&lt;=0,0,VLOOKUP($S18-1,'表30-5-2-5-1'!$B:$AF,MATCH($D18&amp;"a",'表30-5-2-5-1'!$4:$4,0)-1,FALSE))
-VLOOKUP($T18,'表30-5-2-5-1'!$B:$AF,MATCH($D18,'表30-5-2-5-1'!$4:$4,0)-1,FALSE)*(T18/100-N18/H18)*100
-VLOOKUP($S18,'表30-5-2-5-1'!$B:$AF,MATCH($D18,'表30-5-2-5-1'!$4:$4,0)-1,FALSE)*(1-(S18/100-M18/H18)*100),
IF(C18="E1",VLOOKUP($T18,'表30-5-2-5-2'!$B$4:$AF$104,MATCH($D18&amp;"a",'表30-5-2-5-2'!$4:$4,0)-1,FALSE)
-IF($S18-1&lt;=0,0,VLOOKUP($S18-1,'表30-5-2-5-2'!$B$4:$AF$104,MATCH($D18&amp;"a",'表30-5-2-5-2'!$4:$4,0)-1,FALSE))
-VLOOKUP($T18,'表30-5-2-5-2'!$B$4:$AF$104,MATCH($D18,'表30-5-2-5-2'!$4:$4,0)-1,FALSE)*(T18/100-N18/H18)*100
-VLOOKUP($S18,'表30-5-2-5-2'!$B$4:$AF$104,MATCH($D18,'表30-5-2-5-2'!$4:$4,0)-1,FALSE)*(1-(S18/100-M18/H18)*100),
IF(C18="E2",VLOOKUP($T18,'表30-5-2-5-2'!$B$114:$AF$214,MATCH($D18&amp;"a",'表30-5-2-5-2'!$4:$4,0)-1,FALSE)
-IF($S18-1&lt;=0,0,VLOOKUP($S18-1,'表30-5-2-5-2'!$B$114:$AF$214,MATCH($D18&amp;"a",'表30-5-2-5-2'!$4:$4,0)-1,FALSE))
-VLOOKUP($T18,'表30-5-2-5-2'!$B$114:$AF$214,MATCH($D18,'表30-5-2-5-2'!$4:$4,0)-1,FALSE)*(T18/100-N18/H18)*100
-VLOOKUP($S18,'表30-5-2-5-2'!$B$114:$AF$214,MATCH($D18,'表30-5-2-5-2'!$4:$4,0)-1,FALSE)*(1-(S18/100-M18/H18)*100),0))))</f>
        <v>0</v>
      </c>
      <c r="V18" s="2478">
        <f t="shared" si="4"/>
        <v>0</v>
      </c>
      <c r="W18" s="2478">
        <f t="shared" si="5"/>
        <v>0</v>
      </c>
      <c r="X18" s="2718">
        <f t="shared" si="7"/>
        <v>0</v>
      </c>
      <c r="Y18" s="2718">
        <f t="shared" si="8"/>
        <v>0</v>
      </c>
    </row>
    <row r="19" spans="1:26">
      <c r="A19" s="2473" t="str">
        <f t="shared" si="6"/>
        <v/>
      </c>
      <c r="B19" s="2737"/>
      <c r="C19" s="2737"/>
      <c r="D19" s="2737"/>
      <c r="E19" s="2738"/>
      <c r="F19" s="2738"/>
      <c r="G19" s="2738"/>
      <c r="H19" s="2739"/>
      <c r="I19" s="2741"/>
      <c r="J19" s="2741"/>
      <c r="K19" s="2742"/>
      <c r="L19" s="2742"/>
      <c r="M19" s="2738"/>
      <c r="N19" s="2738"/>
      <c r="O19" s="2474">
        <f t="shared" si="0"/>
        <v>0</v>
      </c>
      <c r="P19" s="2474">
        <f t="shared" si="1"/>
        <v>0</v>
      </c>
      <c r="Q19" s="2475">
        <f t="shared" si="9"/>
        <v>0</v>
      </c>
      <c r="R19" s="2475">
        <f t="shared" si="10"/>
        <v>0</v>
      </c>
      <c r="S19" s="2476">
        <f t="shared" si="2"/>
        <v>0</v>
      </c>
      <c r="T19" s="2476">
        <f t="shared" si="3"/>
        <v>0</v>
      </c>
      <c r="U19" s="2477">
        <f>IF(OR(E19="QS",B19=""),0,
IF(C19="F",VLOOKUP($T19,'表30-5-2-5-1'!$B:$AF,MATCH($D19&amp;"a",'表30-5-2-5-1'!$4:$4,0)-1,FALSE)
-IF($S19-1&lt;=0,0,VLOOKUP($S19-1,'表30-5-2-5-1'!$B:$AF,MATCH($D19&amp;"a",'表30-5-2-5-1'!$4:$4,0)-1,FALSE))
-VLOOKUP($T19,'表30-5-2-5-1'!$B:$AF,MATCH($D19,'表30-5-2-5-1'!$4:$4,0)-1,FALSE)*(T19/100-N19/H19)*100
-VLOOKUP($S19,'表30-5-2-5-1'!$B:$AF,MATCH($D19,'表30-5-2-5-1'!$4:$4,0)-1,FALSE)*(1-(S19/100-M19/H19)*100),
IF(C19="E1",VLOOKUP($T19,'表30-5-2-5-2'!$B$4:$AF$104,MATCH($D19&amp;"a",'表30-5-2-5-2'!$4:$4,0)-1,FALSE)
-IF($S19-1&lt;=0,0,VLOOKUP($S19-1,'表30-5-2-5-2'!$B$4:$AF$104,MATCH($D19&amp;"a",'表30-5-2-5-2'!$4:$4,0)-1,FALSE))
-VLOOKUP($T19,'表30-5-2-5-2'!$B$4:$AF$104,MATCH($D19,'表30-5-2-5-2'!$4:$4,0)-1,FALSE)*(T19/100-N19/H19)*100
-VLOOKUP($S19,'表30-5-2-5-2'!$B$4:$AF$104,MATCH($D19,'表30-5-2-5-2'!$4:$4,0)-1,FALSE)*(1-(S19/100-M19/H19)*100),
IF(C19="E2",VLOOKUP($T19,'表30-5-2-5-2'!$B$114:$AF$214,MATCH($D19&amp;"a",'表30-5-2-5-2'!$4:$4,0)-1,FALSE)
-IF($S19-1&lt;=0,0,VLOOKUP($S19-1,'表30-5-2-5-2'!$B$114:$AF$214,MATCH($D19&amp;"a",'表30-5-2-5-2'!$4:$4,0)-1,FALSE))
-VLOOKUP($T19,'表30-5-2-5-2'!$B$114:$AF$214,MATCH($D19,'表30-5-2-5-2'!$4:$4,0)-1,FALSE)*(T19/100-N19/H19)*100
-VLOOKUP($S19,'表30-5-2-5-2'!$B$114:$AF$214,MATCH($D19,'表30-5-2-5-2'!$4:$4,0)-1,FALSE)*(1-(S19/100-M19/H19)*100),0))))</f>
        <v>0</v>
      </c>
      <c r="V19" s="2478">
        <f t="shared" si="4"/>
        <v>0</v>
      </c>
      <c r="W19" s="2478">
        <f t="shared" si="5"/>
        <v>0</v>
      </c>
      <c r="X19" s="2718">
        <f t="shared" si="7"/>
        <v>0</v>
      </c>
      <c r="Y19" s="2718">
        <f t="shared" si="8"/>
        <v>0</v>
      </c>
    </row>
    <row r="20" spans="1:26">
      <c r="A20" s="2473" t="str">
        <f t="shared" si="6"/>
        <v/>
      </c>
      <c r="B20" s="2737"/>
      <c r="C20" s="2737"/>
      <c r="D20" s="2737"/>
      <c r="E20" s="2738"/>
      <c r="F20" s="2738"/>
      <c r="G20" s="2738"/>
      <c r="H20" s="2739"/>
      <c r="I20" s="2741"/>
      <c r="J20" s="2741"/>
      <c r="K20" s="2742"/>
      <c r="L20" s="2742"/>
      <c r="M20" s="2738"/>
      <c r="N20" s="2738"/>
      <c r="O20" s="2474">
        <f t="shared" si="0"/>
        <v>0</v>
      </c>
      <c r="P20" s="2474">
        <f t="shared" si="1"/>
        <v>0</v>
      </c>
      <c r="Q20" s="2475">
        <f t="shared" si="9"/>
        <v>0</v>
      </c>
      <c r="R20" s="2475">
        <f t="shared" si="10"/>
        <v>0</v>
      </c>
      <c r="S20" s="2476">
        <f t="shared" si="2"/>
        <v>0</v>
      </c>
      <c r="T20" s="2476">
        <f t="shared" si="3"/>
        <v>0</v>
      </c>
      <c r="U20" s="2477">
        <f>IF(OR(E20="QS",B20=""),0,
IF(C20="F",VLOOKUP($T20,'表30-5-2-5-1'!$B:$AF,MATCH($D20&amp;"a",'表30-5-2-5-1'!$4:$4,0)-1,FALSE)
-IF($S20-1&lt;=0,0,VLOOKUP($S20-1,'表30-5-2-5-1'!$B:$AF,MATCH($D20&amp;"a",'表30-5-2-5-1'!$4:$4,0)-1,FALSE))
-VLOOKUP($T20,'表30-5-2-5-1'!$B:$AF,MATCH($D20,'表30-5-2-5-1'!$4:$4,0)-1,FALSE)*(T20/100-N20/H20)*100
-VLOOKUP($S20,'表30-5-2-5-1'!$B:$AF,MATCH($D20,'表30-5-2-5-1'!$4:$4,0)-1,FALSE)*(1-(S20/100-M20/H20)*100),
IF(C20="E1",VLOOKUP($T20,'表30-5-2-5-2'!$B$4:$AF$104,MATCH($D20&amp;"a",'表30-5-2-5-2'!$4:$4,0)-1,FALSE)
-IF($S20-1&lt;=0,0,VLOOKUP($S20-1,'表30-5-2-5-2'!$B$4:$AF$104,MATCH($D20&amp;"a",'表30-5-2-5-2'!$4:$4,0)-1,FALSE))
-VLOOKUP($T20,'表30-5-2-5-2'!$B$4:$AF$104,MATCH($D20,'表30-5-2-5-2'!$4:$4,0)-1,FALSE)*(T20/100-N20/H20)*100
-VLOOKUP($S20,'表30-5-2-5-2'!$B$4:$AF$104,MATCH($D20,'表30-5-2-5-2'!$4:$4,0)-1,FALSE)*(1-(S20/100-M20/H20)*100),
IF(C20="E2",VLOOKUP($T20,'表30-5-2-5-2'!$B$114:$AF$214,MATCH($D20&amp;"a",'表30-5-2-5-2'!$4:$4,0)-1,FALSE)
-IF($S20-1&lt;=0,0,VLOOKUP($S20-1,'表30-5-2-5-2'!$B$114:$AF$214,MATCH($D20&amp;"a",'表30-5-2-5-2'!$4:$4,0)-1,FALSE))
-VLOOKUP($T20,'表30-5-2-5-2'!$B$114:$AF$214,MATCH($D20,'表30-5-2-5-2'!$4:$4,0)-1,FALSE)*(T20/100-N20/H20)*100
-VLOOKUP($S20,'表30-5-2-5-2'!$B$114:$AF$214,MATCH($D20,'表30-5-2-5-2'!$4:$4,0)-1,FALSE)*(1-(S20/100-M20/H20)*100),0))))</f>
        <v>0</v>
      </c>
      <c r="V20" s="2478">
        <f t="shared" si="4"/>
        <v>0</v>
      </c>
      <c r="W20" s="2478">
        <f t="shared" si="5"/>
        <v>0</v>
      </c>
      <c r="X20" s="2718">
        <f t="shared" si="7"/>
        <v>0</v>
      </c>
      <c r="Y20" s="2718">
        <f t="shared" si="8"/>
        <v>0</v>
      </c>
    </row>
    <row r="21" spans="1:26">
      <c r="A21" s="2473" t="str">
        <f t="shared" si="6"/>
        <v/>
      </c>
      <c r="B21" s="2737"/>
      <c r="C21" s="2737"/>
      <c r="D21" s="2737"/>
      <c r="E21" s="2738"/>
      <c r="F21" s="2738"/>
      <c r="G21" s="2738"/>
      <c r="H21" s="2739"/>
      <c r="I21" s="2741"/>
      <c r="J21" s="2741"/>
      <c r="K21" s="2742"/>
      <c r="L21" s="2742"/>
      <c r="M21" s="2738"/>
      <c r="N21" s="2738"/>
      <c r="O21" s="2474">
        <f t="shared" si="0"/>
        <v>0</v>
      </c>
      <c r="P21" s="2474">
        <f t="shared" si="1"/>
        <v>0</v>
      </c>
      <c r="Q21" s="2475">
        <f t="shared" si="9"/>
        <v>0</v>
      </c>
      <c r="R21" s="2475">
        <f t="shared" si="10"/>
        <v>0</v>
      </c>
      <c r="S21" s="2476">
        <f t="shared" si="2"/>
        <v>0</v>
      </c>
      <c r="T21" s="2476">
        <f t="shared" si="3"/>
        <v>0</v>
      </c>
      <c r="U21" s="2477">
        <f>IF(OR(E21="QS",B21=""),0,
IF(C21="F",VLOOKUP($T21,'表30-5-2-5-1'!$B:$AF,MATCH($D21&amp;"a",'表30-5-2-5-1'!$4:$4,0)-1,FALSE)
-IF($S21-1&lt;=0,0,VLOOKUP($S21-1,'表30-5-2-5-1'!$B:$AF,MATCH($D21&amp;"a",'表30-5-2-5-1'!$4:$4,0)-1,FALSE))
-VLOOKUP($T21,'表30-5-2-5-1'!$B:$AF,MATCH($D21,'表30-5-2-5-1'!$4:$4,0)-1,FALSE)*(T21/100-N21/H21)*100
-VLOOKUP($S21,'表30-5-2-5-1'!$B:$AF,MATCH($D21,'表30-5-2-5-1'!$4:$4,0)-1,FALSE)*(1-(S21/100-M21/H21)*100),
IF(C21="E1",VLOOKUP($T21,'表30-5-2-5-2'!$B$4:$AF$104,MATCH($D21&amp;"a",'表30-5-2-5-2'!$4:$4,0)-1,FALSE)
-IF($S21-1&lt;=0,0,VLOOKUP($S21-1,'表30-5-2-5-2'!$B$4:$AF$104,MATCH($D21&amp;"a",'表30-5-2-5-2'!$4:$4,0)-1,FALSE))
-VLOOKUP($T21,'表30-5-2-5-2'!$B$4:$AF$104,MATCH($D21,'表30-5-2-5-2'!$4:$4,0)-1,FALSE)*(T21/100-N21/H21)*100
-VLOOKUP($S21,'表30-5-2-5-2'!$B$4:$AF$104,MATCH($D21,'表30-5-2-5-2'!$4:$4,0)-1,FALSE)*(1-(S21/100-M21/H21)*100),
IF(C21="E2",VLOOKUP($T21,'表30-5-2-5-2'!$B$114:$AF$214,MATCH($D21&amp;"a",'表30-5-2-5-2'!$4:$4,0)-1,FALSE)
-IF($S21-1&lt;=0,0,VLOOKUP($S21-1,'表30-5-2-5-2'!$B$114:$AF$214,MATCH($D21&amp;"a",'表30-5-2-5-2'!$4:$4,0)-1,FALSE))
-VLOOKUP($T21,'表30-5-2-5-2'!$B$114:$AF$214,MATCH($D21,'表30-5-2-5-2'!$4:$4,0)-1,FALSE)*(T21/100-N21/H21)*100
-VLOOKUP($S21,'表30-5-2-5-2'!$B$114:$AF$214,MATCH($D21,'表30-5-2-5-2'!$4:$4,0)-1,FALSE)*(1-(S21/100-M21/H21)*100),0))))</f>
        <v>0</v>
      </c>
      <c r="V21" s="2478">
        <f t="shared" si="4"/>
        <v>0</v>
      </c>
      <c r="W21" s="2478">
        <f t="shared" si="5"/>
        <v>0</v>
      </c>
      <c r="X21" s="2718">
        <f t="shared" si="7"/>
        <v>0</v>
      </c>
      <c r="Y21" s="2718">
        <f t="shared" si="8"/>
        <v>0</v>
      </c>
    </row>
    <row r="22" spans="1:26">
      <c r="A22" s="2473" t="str">
        <f t="shared" si="6"/>
        <v/>
      </c>
      <c r="B22" s="2743"/>
      <c r="C22" s="2743"/>
      <c r="D22" s="2743"/>
      <c r="E22" s="2744"/>
      <c r="F22" s="2744"/>
      <c r="G22" s="2744"/>
      <c r="H22" s="2745"/>
      <c r="I22" s="2746"/>
      <c r="J22" s="2746"/>
      <c r="K22" s="2746"/>
      <c r="L22" s="2746"/>
      <c r="M22" s="2744"/>
      <c r="N22" s="2744"/>
      <c r="O22" s="2474">
        <f t="shared" si="0"/>
        <v>0</v>
      </c>
      <c r="P22" s="2474">
        <f t="shared" si="1"/>
        <v>0</v>
      </c>
      <c r="Q22" s="2475">
        <f t="shared" si="9"/>
        <v>0</v>
      </c>
      <c r="R22" s="2475">
        <f t="shared" si="10"/>
        <v>0</v>
      </c>
      <c r="S22" s="2476">
        <f t="shared" si="2"/>
        <v>0</v>
      </c>
      <c r="T22" s="2476">
        <f t="shared" si="3"/>
        <v>0</v>
      </c>
      <c r="U22" s="2477">
        <f>IF(OR(E22="QS",B22=""),0,
IF(C22="F",VLOOKUP($T22,'表30-5-2-5-1'!$B:$AF,MATCH($D22&amp;"a",'表30-5-2-5-1'!$4:$4,0)-1,FALSE)
-IF($S22-1&lt;=0,0,VLOOKUP($S22-1,'表30-5-2-5-1'!$B:$AF,MATCH($D22&amp;"a",'表30-5-2-5-1'!$4:$4,0)-1,FALSE))
-VLOOKUP($T22,'表30-5-2-5-1'!$B:$AF,MATCH($D22,'表30-5-2-5-1'!$4:$4,0)-1,FALSE)*(T22/100-N22/H22)*100
-VLOOKUP($S22,'表30-5-2-5-1'!$B:$AF,MATCH($D22,'表30-5-2-5-1'!$4:$4,0)-1,FALSE)*(1-(S22/100-M22/H22)*100),
IF(C22="E1",VLOOKUP($T22,'表30-5-2-5-2'!$B$4:$AF$104,MATCH($D22&amp;"a",'表30-5-2-5-2'!$4:$4,0)-1,FALSE)
-IF($S22-1&lt;=0,0,VLOOKUP($S22-1,'表30-5-2-5-2'!$B$4:$AF$104,MATCH($D22&amp;"a",'表30-5-2-5-2'!$4:$4,0)-1,FALSE))
-VLOOKUP($T22,'表30-5-2-5-2'!$B$4:$AF$104,MATCH($D22,'表30-5-2-5-2'!$4:$4,0)-1,FALSE)*(T22/100-N22/H22)*100
-VLOOKUP($S22,'表30-5-2-5-2'!$B$4:$AF$104,MATCH($D22,'表30-5-2-5-2'!$4:$4,0)-1,FALSE)*(1-(S22/100-M22/H22)*100),
IF(C22="E2",VLOOKUP($T22,'表30-5-2-5-2'!$B$114:$AF$214,MATCH($D22&amp;"a",'表30-5-2-5-2'!$4:$4,0)-1,FALSE)
-IF($S22-1&lt;=0,0,VLOOKUP($S22-1,'表30-5-2-5-2'!$B$114:$AF$214,MATCH($D22&amp;"a",'表30-5-2-5-2'!$4:$4,0)-1,FALSE))
-VLOOKUP($T22,'表30-5-2-5-2'!$B$114:$AF$214,MATCH($D22,'表30-5-2-5-2'!$4:$4,0)-1,FALSE)*(T22/100-N22/H22)*100
-VLOOKUP($S22,'表30-5-2-5-2'!$B$114:$AF$214,MATCH($D22,'表30-5-2-5-2'!$4:$4,0)-1,FALSE)*(1-(S22/100-M22/H22)*100),0))))</f>
        <v>0</v>
      </c>
      <c r="V22" s="2478">
        <f t="shared" si="4"/>
        <v>0</v>
      </c>
      <c r="W22" s="2478">
        <f t="shared" si="5"/>
        <v>0</v>
      </c>
      <c r="X22" s="2718">
        <f t="shared" si="7"/>
        <v>0</v>
      </c>
      <c r="Y22" s="2718">
        <f t="shared" si="8"/>
        <v>0</v>
      </c>
    </row>
    <row r="23" spans="1:26">
      <c r="A23" s="2473" t="str">
        <f t="shared" si="6"/>
        <v/>
      </c>
      <c r="B23" s="2743"/>
      <c r="C23" s="2743"/>
      <c r="D23" s="2743"/>
      <c r="E23" s="2744"/>
      <c r="F23" s="2744"/>
      <c r="G23" s="2744"/>
      <c r="H23" s="2745"/>
      <c r="I23" s="2746"/>
      <c r="J23" s="2746"/>
      <c r="K23" s="2746"/>
      <c r="L23" s="2746"/>
      <c r="M23" s="2744"/>
      <c r="N23" s="2744"/>
      <c r="O23" s="2474">
        <f t="shared" si="0"/>
        <v>0</v>
      </c>
      <c r="P23" s="2474">
        <f t="shared" si="1"/>
        <v>0</v>
      </c>
      <c r="Q23" s="2475">
        <f t="shared" si="9"/>
        <v>0</v>
      </c>
      <c r="R23" s="2475">
        <f t="shared" si="10"/>
        <v>0</v>
      </c>
      <c r="S23" s="2476">
        <f t="shared" si="2"/>
        <v>0</v>
      </c>
      <c r="T23" s="2476">
        <f t="shared" si="3"/>
        <v>0</v>
      </c>
      <c r="U23" s="2477">
        <f>IF(OR(E23="QS",B23=""),0,
IF(C23="F",VLOOKUP($T23,'表30-5-2-5-1'!$B:$AF,MATCH($D23&amp;"a",'表30-5-2-5-1'!$4:$4,0)-1,FALSE)
-IF($S23-1&lt;=0,0,VLOOKUP($S23-1,'表30-5-2-5-1'!$B:$AF,MATCH($D23&amp;"a",'表30-5-2-5-1'!$4:$4,0)-1,FALSE))
-VLOOKUP($T23,'表30-5-2-5-1'!$B:$AF,MATCH($D23,'表30-5-2-5-1'!$4:$4,0)-1,FALSE)*(T23/100-N23/H23)*100
-VLOOKUP($S23,'表30-5-2-5-1'!$B:$AF,MATCH($D23,'表30-5-2-5-1'!$4:$4,0)-1,FALSE)*(1-(S23/100-M23/H23)*100),
IF(C23="E1",VLOOKUP($T23,'表30-5-2-5-2'!$B$4:$AF$104,MATCH($D23&amp;"a",'表30-5-2-5-2'!$4:$4,0)-1,FALSE)
-IF($S23-1&lt;=0,0,VLOOKUP($S23-1,'表30-5-2-5-2'!$B$4:$AF$104,MATCH($D23&amp;"a",'表30-5-2-5-2'!$4:$4,0)-1,FALSE))
-VLOOKUP($T23,'表30-5-2-5-2'!$B$4:$AF$104,MATCH($D23,'表30-5-2-5-2'!$4:$4,0)-1,FALSE)*(T23/100-N23/H23)*100
-VLOOKUP($S23,'表30-5-2-5-2'!$B$4:$AF$104,MATCH($D23,'表30-5-2-5-2'!$4:$4,0)-1,FALSE)*(1-(S23/100-M23/H23)*100),
IF(C23="E2",VLOOKUP($T23,'表30-5-2-5-2'!$B$114:$AF$214,MATCH($D23&amp;"a",'表30-5-2-5-2'!$4:$4,0)-1,FALSE)
-IF($S23-1&lt;=0,0,VLOOKUP($S23-1,'表30-5-2-5-2'!$B$114:$AF$214,MATCH($D23&amp;"a",'表30-5-2-5-2'!$4:$4,0)-1,FALSE))
-VLOOKUP($T23,'表30-5-2-5-2'!$B$114:$AF$214,MATCH($D23,'表30-5-2-5-2'!$4:$4,0)-1,FALSE)*(T23/100-N23/H23)*100
-VLOOKUP($S23,'表30-5-2-5-2'!$B$114:$AF$214,MATCH($D23,'表30-5-2-5-2'!$4:$4,0)-1,FALSE)*(1-(S23/100-M23/H23)*100),0))))</f>
        <v>0</v>
      </c>
      <c r="V23" s="2478">
        <f t="shared" si="4"/>
        <v>0</v>
      </c>
      <c r="W23" s="2478">
        <f t="shared" si="5"/>
        <v>0</v>
      </c>
      <c r="X23" s="2718">
        <f t="shared" si="7"/>
        <v>0</v>
      </c>
      <c r="Y23" s="2718">
        <f t="shared" si="8"/>
        <v>0</v>
      </c>
    </row>
    <row r="24" spans="1:26">
      <c r="A24" s="2473" t="str">
        <f t="shared" si="6"/>
        <v/>
      </c>
      <c r="B24" s="2743"/>
      <c r="C24" s="2743"/>
      <c r="D24" s="2743"/>
      <c r="E24" s="2744"/>
      <c r="F24" s="2744"/>
      <c r="G24" s="2744"/>
      <c r="H24" s="2745"/>
      <c r="I24" s="2746"/>
      <c r="J24" s="2746"/>
      <c r="K24" s="2746"/>
      <c r="L24" s="2746"/>
      <c r="M24" s="2744"/>
      <c r="N24" s="2744"/>
      <c r="O24" s="2474">
        <f t="shared" si="0"/>
        <v>0</v>
      </c>
      <c r="P24" s="2474">
        <f t="shared" si="1"/>
        <v>0</v>
      </c>
      <c r="Q24" s="2475">
        <f t="shared" si="9"/>
        <v>0</v>
      </c>
      <c r="R24" s="2475">
        <f t="shared" si="10"/>
        <v>0</v>
      </c>
      <c r="S24" s="2476">
        <f t="shared" si="2"/>
        <v>0</v>
      </c>
      <c r="T24" s="2476">
        <f t="shared" si="3"/>
        <v>0</v>
      </c>
      <c r="U24" s="2477">
        <f>IF(OR(E24="QS",B24=""),0,
IF(C24="F",VLOOKUP($T24,'表30-5-2-5-1'!$B:$AF,MATCH($D24&amp;"a",'表30-5-2-5-1'!$4:$4,0)-1,FALSE)
-IF($S24-1&lt;=0,0,VLOOKUP($S24-1,'表30-5-2-5-1'!$B:$AF,MATCH($D24&amp;"a",'表30-5-2-5-1'!$4:$4,0)-1,FALSE))
-VLOOKUP($T24,'表30-5-2-5-1'!$B:$AF,MATCH($D24,'表30-5-2-5-1'!$4:$4,0)-1,FALSE)*(T24/100-N24/H24)*100
-VLOOKUP($S24,'表30-5-2-5-1'!$B:$AF,MATCH($D24,'表30-5-2-5-1'!$4:$4,0)-1,FALSE)*(1-(S24/100-M24/H24)*100),
IF(C24="E1",VLOOKUP($T24,'表30-5-2-5-2'!$B$4:$AF$104,MATCH($D24&amp;"a",'表30-5-2-5-2'!$4:$4,0)-1,FALSE)
-IF($S24-1&lt;=0,0,VLOOKUP($S24-1,'表30-5-2-5-2'!$B$4:$AF$104,MATCH($D24&amp;"a",'表30-5-2-5-2'!$4:$4,0)-1,FALSE))
-VLOOKUP($T24,'表30-5-2-5-2'!$B$4:$AF$104,MATCH($D24,'表30-5-2-5-2'!$4:$4,0)-1,FALSE)*(T24/100-N24/H24)*100
-VLOOKUP($S24,'表30-5-2-5-2'!$B$4:$AF$104,MATCH($D24,'表30-5-2-5-2'!$4:$4,0)-1,FALSE)*(1-(S24/100-M24/H24)*100),
IF(C24="E2",VLOOKUP($T24,'表30-5-2-5-2'!$B$114:$AF$214,MATCH($D24&amp;"a",'表30-5-2-5-2'!$4:$4,0)-1,FALSE)
-IF($S24-1&lt;=0,0,VLOOKUP($S24-1,'表30-5-2-5-2'!$B$114:$AF$214,MATCH($D24&amp;"a",'表30-5-2-5-2'!$4:$4,0)-1,FALSE))
-VLOOKUP($T24,'表30-5-2-5-2'!$B$114:$AF$214,MATCH($D24,'表30-5-2-5-2'!$4:$4,0)-1,FALSE)*(T24/100-N24/H24)*100
-VLOOKUP($S24,'表30-5-2-5-2'!$B$114:$AF$214,MATCH($D24,'表30-5-2-5-2'!$4:$4,0)-1,FALSE)*(1-(S24/100-M24/H24)*100),0))))</f>
        <v>0</v>
      </c>
      <c r="V24" s="2478">
        <f t="shared" si="4"/>
        <v>0</v>
      </c>
      <c r="W24" s="2478">
        <f t="shared" si="5"/>
        <v>0</v>
      </c>
      <c r="X24" s="2718">
        <f t="shared" si="7"/>
        <v>0</v>
      </c>
      <c r="Y24" s="2718">
        <f t="shared" si="8"/>
        <v>0</v>
      </c>
    </row>
    <row r="25" spans="1:26">
      <c r="A25" s="2473" t="str">
        <f t="shared" si="6"/>
        <v/>
      </c>
      <c r="B25" s="2737"/>
      <c r="C25" s="2737"/>
      <c r="D25" s="2737"/>
      <c r="E25" s="2738"/>
      <c r="F25" s="2738"/>
      <c r="G25" s="2738"/>
      <c r="H25" s="2739"/>
      <c r="I25" s="2741"/>
      <c r="J25" s="2741"/>
      <c r="K25" s="2742"/>
      <c r="L25" s="2742"/>
      <c r="M25" s="2738"/>
      <c r="N25" s="2738"/>
      <c r="O25" s="2474">
        <f t="shared" si="0"/>
        <v>0</v>
      </c>
      <c r="P25" s="2474">
        <f t="shared" si="1"/>
        <v>0</v>
      </c>
      <c r="Q25" s="2475">
        <f t="shared" si="9"/>
        <v>0</v>
      </c>
      <c r="R25" s="2475">
        <f t="shared" si="10"/>
        <v>0</v>
      </c>
      <c r="S25" s="2476">
        <f t="shared" si="2"/>
        <v>0</v>
      </c>
      <c r="T25" s="2476">
        <f t="shared" si="3"/>
        <v>0</v>
      </c>
      <c r="U25" s="2477">
        <f>IF(OR(E25="QS",B25=""),0,
IF(C25="F",VLOOKUP($T25,'表30-5-2-5-1'!$B:$AF,MATCH($D25&amp;"a",'表30-5-2-5-1'!$4:$4,0)-1,FALSE)
-IF($S25-1&lt;=0,0,VLOOKUP($S25-1,'表30-5-2-5-1'!$B:$AF,MATCH($D25&amp;"a",'表30-5-2-5-1'!$4:$4,0)-1,FALSE))
-VLOOKUP($T25,'表30-5-2-5-1'!$B:$AF,MATCH($D25,'表30-5-2-5-1'!$4:$4,0)-1,FALSE)*(T25/100-N25/H25)*100
-VLOOKUP($S25,'表30-5-2-5-1'!$B:$AF,MATCH($D25,'表30-5-2-5-1'!$4:$4,0)-1,FALSE)*(1-(S25/100-M25/H25)*100),
IF(C25="E1",VLOOKUP($T25,'表30-5-2-5-2'!$B$4:$AF$104,MATCH($D25&amp;"a",'表30-5-2-5-2'!$4:$4,0)-1,FALSE)
-IF($S25-1&lt;=0,0,VLOOKUP($S25-1,'表30-5-2-5-2'!$B$4:$AF$104,MATCH($D25&amp;"a",'表30-5-2-5-2'!$4:$4,0)-1,FALSE))
-VLOOKUP($T25,'表30-5-2-5-2'!$B$4:$AF$104,MATCH($D25,'表30-5-2-5-2'!$4:$4,0)-1,FALSE)*(T25/100-N25/H25)*100
-VLOOKUP($S25,'表30-5-2-5-2'!$B$4:$AF$104,MATCH($D25,'表30-5-2-5-2'!$4:$4,0)-1,FALSE)*(1-(S25/100-M25/H25)*100),
IF(C25="E2",VLOOKUP($T25,'表30-5-2-5-2'!$B$114:$AF$214,MATCH($D25&amp;"a",'表30-5-2-5-2'!$4:$4,0)-1,FALSE)
-IF($S25-1&lt;=0,0,VLOOKUP($S25-1,'表30-5-2-5-2'!$B$114:$AF$214,MATCH($D25&amp;"a",'表30-5-2-5-2'!$4:$4,0)-1,FALSE))
-VLOOKUP($T25,'表30-5-2-5-2'!$B$114:$AF$214,MATCH($D25,'表30-5-2-5-2'!$4:$4,0)-1,FALSE)*(T25/100-N25/H25)*100
-VLOOKUP($S25,'表30-5-2-5-2'!$B$114:$AF$214,MATCH($D25,'表30-5-2-5-2'!$4:$4,0)-1,FALSE)*(1-(S25/100-M25/H25)*100),0))))</f>
        <v>0</v>
      </c>
      <c r="V25" s="2478">
        <f t="shared" si="4"/>
        <v>0</v>
      </c>
      <c r="W25" s="2478">
        <f t="shared" si="5"/>
        <v>0</v>
      </c>
      <c r="X25" s="2718">
        <f t="shared" si="7"/>
        <v>0</v>
      </c>
      <c r="Y25" s="2718">
        <f t="shared" si="8"/>
        <v>0</v>
      </c>
      <c r="Z25" s="2479"/>
    </row>
    <row r="26" spans="1:26">
      <c r="A26" s="2473" t="str">
        <f t="shared" si="6"/>
        <v/>
      </c>
      <c r="B26" s="2737"/>
      <c r="C26" s="2737"/>
      <c r="D26" s="2737"/>
      <c r="E26" s="2738"/>
      <c r="F26" s="2738"/>
      <c r="G26" s="2738"/>
      <c r="H26" s="2739"/>
      <c r="I26" s="2741"/>
      <c r="J26" s="2741"/>
      <c r="K26" s="2742"/>
      <c r="L26" s="2742"/>
      <c r="M26" s="2738"/>
      <c r="N26" s="2738"/>
      <c r="O26" s="2474">
        <f t="shared" si="0"/>
        <v>0</v>
      </c>
      <c r="P26" s="2474">
        <f t="shared" si="1"/>
        <v>0</v>
      </c>
      <c r="Q26" s="2475">
        <f t="shared" si="9"/>
        <v>0</v>
      </c>
      <c r="R26" s="2475">
        <f t="shared" si="10"/>
        <v>0</v>
      </c>
      <c r="S26" s="2476">
        <f t="shared" si="2"/>
        <v>0</v>
      </c>
      <c r="T26" s="2476">
        <f t="shared" si="3"/>
        <v>0</v>
      </c>
      <c r="U26" s="2477">
        <f>IF(OR(E26="QS",B26=""),0,
IF(C26="F",VLOOKUP($T26,'表30-5-2-5-1'!$B:$AF,MATCH($D26&amp;"a",'表30-5-2-5-1'!$4:$4,0)-1,FALSE)
-IF($S26-1&lt;=0,0,VLOOKUP($S26-1,'表30-5-2-5-1'!$B:$AF,MATCH($D26&amp;"a",'表30-5-2-5-1'!$4:$4,0)-1,FALSE))
-VLOOKUP($T26,'表30-5-2-5-1'!$B:$AF,MATCH($D26,'表30-5-2-5-1'!$4:$4,0)-1,FALSE)*(T26/100-N26/H26)*100
-VLOOKUP($S26,'表30-5-2-5-1'!$B:$AF,MATCH($D26,'表30-5-2-5-1'!$4:$4,0)-1,FALSE)*(1-(S26/100-M26/H26)*100),
IF(C26="E1",VLOOKUP($T26,'表30-5-2-5-2'!$B$4:$AF$104,MATCH($D26&amp;"a",'表30-5-2-5-2'!$4:$4,0)-1,FALSE)
-IF($S26-1&lt;=0,0,VLOOKUP($S26-1,'表30-5-2-5-2'!$B$4:$AF$104,MATCH($D26&amp;"a",'表30-5-2-5-2'!$4:$4,0)-1,FALSE))
-VLOOKUP($T26,'表30-5-2-5-2'!$B$4:$AF$104,MATCH($D26,'表30-5-2-5-2'!$4:$4,0)-1,FALSE)*(T26/100-N26/H26)*100
-VLOOKUP($S26,'表30-5-2-5-2'!$B$4:$AF$104,MATCH($D26,'表30-5-2-5-2'!$4:$4,0)-1,FALSE)*(1-(S26/100-M26/H26)*100),
IF(C26="E2",VLOOKUP($T26,'表30-5-2-5-2'!$B$114:$AF$214,MATCH($D26&amp;"a",'表30-5-2-5-2'!$4:$4,0)-1,FALSE)
-IF($S26-1&lt;=0,0,VLOOKUP($S26-1,'表30-5-2-5-2'!$B$114:$AF$214,MATCH($D26&amp;"a",'表30-5-2-5-2'!$4:$4,0)-1,FALSE))
-VLOOKUP($T26,'表30-5-2-5-2'!$B$114:$AF$214,MATCH($D26,'表30-5-2-5-2'!$4:$4,0)-1,FALSE)*(T26/100-N26/H26)*100
-VLOOKUP($S26,'表30-5-2-5-2'!$B$114:$AF$214,MATCH($D26,'表30-5-2-5-2'!$4:$4,0)-1,FALSE)*(1-(S26/100-M26/H26)*100),0))))</f>
        <v>0</v>
      </c>
      <c r="V26" s="2478">
        <f t="shared" si="4"/>
        <v>0</v>
      </c>
      <c r="W26" s="2478">
        <f t="shared" si="5"/>
        <v>0</v>
      </c>
      <c r="X26" s="2718">
        <f t="shared" si="7"/>
        <v>0</v>
      </c>
      <c r="Y26" s="2718">
        <f t="shared" si="8"/>
        <v>0</v>
      </c>
    </row>
    <row r="27" spans="1:26">
      <c r="A27" s="2473" t="str">
        <f t="shared" si="6"/>
        <v/>
      </c>
      <c r="B27" s="2737"/>
      <c r="C27" s="2737"/>
      <c r="D27" s="2737"/>
      <c r="E27" s="2738"/>
      <c r="F27" s="2738"/>
      <c r="G27" s="2738"/>
      <c r="H27" s="2739"/>
      <c r="I27" s="2741"/>
      <c r="J27" s="2741"/>
      <c r="K27" s="2742"/>
      <c r="L27" s="2742"/>
      <c r="M27" s="2738"/>
      <c r="N27" s="2738"/>
      <c r="O27" s="2474">
        <f t="shared" si="0"/>
        <v>0</v>
      </c>
      <c r="P27" s="2474">
        <f t="shared" si="1"/>
        <v>0</v>
      </c>
      <c r="Q27" s="2475">
        <f t="shared" si="9"/>
        <v>0</v>
      </c>
      <c r="R27" s="2475">
        <f t="shared" si="10"/>
        <v>0</v>
      </c>
      <c r="S27" s="2476">
        <f t="shared" si="2"/>
        <v>0</v>
      </c>
      <c r="T27" s="2476">
        <f t="shared" si="3"/>
        <v>0</v>
      </c>
      <c r="U27" s="2477">
        <f>IF(OR(E27="QS",B27=""),0,
IF(C27="F",VLOOKUP($T27,'表30-5-2-5-1'!$B:$AF,MATCH($D27&amp;"a",'表30-5-2-5-1'!$4:$4,0)-1,FALSE)
-IF($S27-1&lt;=0,0,VLOOKUP($S27-1,'表30-5-2-5-1'!$B:$AF,MATCH($D27&amp;"a",'表30-5-2-5-1'!$4:$4,0)-1,FALSE))
-VLOOKUP($T27,'表30-5-2-5-1'!$B:$AF,MATCH($D27,'表30-5-2-5-1'!$4:$4,0)-1,FALSE)*(T27/100-N27/H27)*100
-VLOOKUP($S27,'表30-5-2-5-1'!$B:$AF,MATCH($D27,'表30-5-2-5-1'!$4:$4,0)-1,FALSE)*(1-(S27/100-M27/H27)*100),
IF(C27="E1",VLOOKUP($T27,'表30-5-2-5-2'!$B$4:$AF$104,MATCH($D27&amp;"a",'表30-5-2-5-2'!$4:$4,0)-1,FALSE)
-IF($S27-1&lt;=0,0,VLOOKUP($S27-1,'表30-5-2-5-2'!$B$4:$AF$104,MATCH($D27&amp;"a",'表30-5-2-5-2'!$4:$4,0)-1,FALSE))
-VLOOKUP($T27,'表30-5-2-5-2'!$B$4:$AF$104,MATCH($D27,'表30-5-2-5-2'!$4:$4,0)-1,FALSE)*(T27/100-N27/H27)*100
-VLOOKUP($S27,'表30-5-2-5-2'!$B$4:$AF$104,MATCH($D27,'表30-5-2-5-2'!$4:$4,0)-1,FALSE)*(1-(S27/100-M27/H27)*100),
IF(C27="E2",VLOOKUP($T27,'表30-5-2-5-2'!$B$114:$AF$214,MATCH($D27&amp;"a",'表30-5-2-5-2'!$4:$4,0)-1,FALSE)
-IF($S27-1&lt;=0,0,VLOOKUP($S27-1,'表30-5-2-5-2'!$B$114:$AF$214,MATCH($D27&amp;"a",'表30-5-2-5-2'!$4:$4,0)-1,FALSE))
-VLOOKUP($T27,'表30-5-2-5-2'!$B$114:$AF$214,MATCH($D27,'表30-5-2-5-2'!$4:$4,0)-1,FALSE)*(T27/100-N27/H27)*100
-VLOOKUP($S27,'表30-5-2-5-2'!$B$114:$AF$214,MATCH($D27,'表30-5-2-5-2'!$4:$4,0)-1,FALSE)*(1-(S27/100-M27/H27)*100),0))))</f>
        <v>0</v>
      </c>
      <c r="V27" s="2478">
        <f t="shared" si="4"/>
        <v>0</v>
      </c>
      <c r="W27" s="2478">
        <f t="shared" si="5"/>
        <v>0</v>
      </c>
      <c r="X27" s="2718">
        <f t="shared" si="7"/>
        <v>0</v>
      </c>
      <c r="Y27" s="2718">
        <f t="shared" si="8"/>
        <v>0</v>
      </c>
    </row>
    <row r="28" spans="1:26">
      <c r="A28" s="2473" t="str">
        <f t="shared" si="6"/>
        <v/>
      </c>
      <c r="B28" s="2737"/>
      <c r="C28" s="2737"/>
      <c r="D28" s="2737"/>
      <c r="E28" s="2738"/>
      <c r="F28" s="2738"/>
      <c r="G28" s="2738"/>
      <c r="H28" s="2739"/>
      <c r="I28" s="2741"/>
      <c r="J28" s="2741"/>
      <c r="K28" s="2742"/>
      <c r="L28" s="2742"/>
      <c r="M28" s="2738"/>
      <c r="N28" s="2738"/>
      <c r="O28" s="2474">
        <f t="shared" si="0"/>
        <v>0</v>
      </c>
      <c r="P28" s="2474">
        <f t="shared" si="1"/>
        <v>0</v>
      </c>
      <c r="Q28" s="2475">
        <f t="shared" si="9"/>
        <v>0</v>
      </c>
      <c r="R28" s="2475">
        <f t="shared" si="10"/>
        <v>0</v>
      </c>
      <c r="S28" s="2476">
        <f t="shared" si="2"/>
        <v>0</v>
      </c>
      <c r="T28" s="2476">
        <f t="shared" si="3"/>
        <v>0</v>
      </c>
      <c r="U28" s="2477">
        <f>IF(OR(E28="QS",B28=""),0,
IF(C28="F",VLOOKUP($T28,'表30-5-2-5-1'!$B:$AF,MATCH($D28&amp;"a",'表30-5-2-5-1'!$4:$4,0)-1,FALSE)
-IF($S28-1&lt;=0,0,VLOOKUP($S28-1,'表30-5-2-5-1'!$B:$AF,MATCH($D28&amp;"a",'表30-5-2-5-1'!$4:$4,0)-1,FALSE))
-VLOOKUP($T28,'表30-5-2-5-1'!$B:$AF,MATCH($D28,'表30-5-2-5-1'!$4:$4,0)-1,FALSE)*(T28/100-N28/H28)*100
-VLOOKUP($S28,'表30-5-2-5-1'!$B:$AF,MATCH($D28,'表30-5-2-5-1'!$4:$4,0)-1,FALSE)*(1-(S28/100-M28/H28)*100),
IF(C28="E1",VLOOKUP($T28,'表30-5-2-5-2'!$B$4:$AF$104,MATCH($D28&amp;"a",'表30-5-2-5-2'!$4:$4,0)-1,FALSE)
-IF($S28-1&lt;=0,0,VLOOKUP($S28-1,'表30-5-2-5-2'!$B$4:$AF$104,MATCH($D28&amp;"a",'表30-5-2-5-2'!$4:$4,0)-1,FALSE))
-VLOOKUP($T28,'表30-5-2-5-2'!$B$4:$AF$104,MATCH($D28,'表30-5-2-5-2'!$4:$4,0)-1,FALSE)*(T28/100-N28/H28)*100
-VLOOKUP($S28,'表30-5-2-5-2'!$B$4:$AF$104,MATCH($D28,'表30-5-2-5-2'!$4:$4,0)-1,FALSE)*(1-(S28/100-M28/H28)*100),
IF(C28="E2",VLOOKUP($T28,'表30-5-2-5-2'!$B$114:$AF$214,MATCH($D28&amp;"a",'表30-5-2-5-2'!$4:$4,0)-1,FALSE)
-IF($S28-1&lt;=0,0,VLOOKUP($S28-1,'表30-5-2-5-2'!$B$114:$AF$214,MATCH($D28&amp;"a",'表30-5-2-5-2'!$4:$4,0)-1,FALSE))
-VLOOKUP($T28,'表30-5-2-5-2'!$B$114:$AF$214,MATCH($D28,'表30-5-2-5-2'!$4:$4,0)-1,FALSE)*(T28/100-N28/H28)*100
-VLOOKUP($S28,'表30-5-2-5-2'!$B$114:$AF$214,MATCH($D28,'表30-5-2-5-2'!$4:$4,0)-1,FALSE)*(1-(S28/100-M28/H28)*100),0))))</f>
        <v>0</v>
      </c>
      <c r="V28" s="2478">
        <f t="shared" si="4"/>
        <v>0</v>
      </c>
      <c r="W28" s="2478">
        <f t="shared" si="5"/>
        <v>0</v>
      </c>
      <c r="X28" s="2718">
        <f t="shared" si="7"/>
        <v>0</v>
      </c>
      <c r="Y28" s="2718">
        <f t="shared" si="8"/>
        <v>0</v>
      </c>
    </row>
    <row r="29" spans="1:26">
      <c r="A29" s="2473" t="str">
        <f t="shared" si="6"/>
        <v/>
      </c>
      <c r="B29" s="2737"/>
      <c r="C29" s="2737"/>
      <c r="D29" s="2737"/>
      <c r="E29" s="2738"/>
      <c r="F29" s="2738"/>
      <c r="G29" s="2738"/>
      <c r="H29" s="2739"/>
      <c r="I29" s="2741"/>
      <c r="J29" s="2741"/>
      <c r="K29" s="2742"/>
      <c r="L29" s="2742"/>
      <c r="M29" s="2738"/>
      <c r="N29" s="2738"/>
      <c r="O29" s="2474">
        <f t="shared" si="0"/>
        <v>0</v>
      </c>
      <c r="P29" s="2474">
        <f t="shared" si="1"/>
        <v>0</v>
      </c>
      <c r="Q29" s="2475">
        <f t="shared" si="9"/>
        <v>0</v>
      </c>
      <c r="R29" s="2475">
        <f t="shared" si="10"/>
        <v>0</v>
      </c>
      <c r="S29" s="2476">
        <f t="shared" si="2"/>
        <v>0</v>
      </c>
      <c r="T29" s="2476">
        <f t="shared" si="3"/>
        <v>0</v>
      </c>
      <c r="U29" s="2477">
        <f>IF(OR(E29="QS",B29=""),0,
IF(C29="F",VLOOKUP($T29,'表30-5-2-5-1'!$B:$AF,MATCH($D29&amp;"a",'表30-5-2-5-1'!$4:$4,0)-1,FALSE)
-IF($S29-1&lt;=0,0,VLOOKUP($S29-1,'表30-5-2-5-1'!$B:$AF,MATCH($D29&amp;"a",'表30-5-2-5-1'!$4:$4,0)-1,FALSE))
-VLOOKUP($T29,'表30-5-2-5-1'!$B:$AF,MATCH($D29,'表30-5-2-5-1'!$4:$4,0)-1,FALSE)*(T29/100-N29/H29)*100
-VLOOKUP($S29,'表30-5-2-5-1'!$B:$AF,MATCH($D29,'表30-5-2-5-1'!$4:$4,0)-1,FALSE)*(1-(S29/100-M29/H29)*100),
IF(C29="E1",VLOOKUP($T29,'表30-5-2-5-2'!$B$4:$AF$104,MATCH($D29&amp;"a",'表30-5-2-5-2'!$4:$4,0)-1,FALSE)
-IF($S29-1&lt;=0,0,VLOOKUP($S29-1,'表30-5-2-5-2'!$B$4:$AF$104,MATCH($D29&amp;"a",'表30-5-2-5-2'!$4:$4,0)-1,FALSE))
-VLOOKUP($T29,'表30-5-2-5-2'!$B$4:$AF$104,MATCH($D29,'表30-5-2-5-2'!$4:$4,0)-1,FALSE)*(T29/100-N29/H29)*100
-VLOOKUP($S29,'表30-5-2-5-2'!$B$4:$AF$104,MATCH($D29,'表30-5-2-5-2'!$4:$4,0)-1,FALSE)*(1-(S29/100-M29/H29)*100),
IF(C29="E2",VLOOKUP($T29,'表30-5-2-5-2'!$B$114:$AF$214,MATCH($D29&amp;"a",'表30-5-2-5-2'!$4:$4,0)-1,FALSE)
-IF($S29-1&lt;=0,0,VLOOKUP($S29-1,'表30-5-2-5-2'!$B$114:$AF$214,MATCH($D29&amp;"a",'表30-5-2-5-2'!$4:$4,0)-1,FALSE))
-VLOOKUP($T29,'表30-5-2-5-2'!$B$114:$AF$214,MATCH($D29,'表30-5-2-5-2'!$4:$4,0)-1,FALSE)*(T29/100-N29/H29)*100
-VLOOKUP($S29,'表30-5-2-5-2'!$B$114:$AF$214,MATCH($D29,'表30-5-2-5-2'!$4:$4,0)-1,FALSE)*(1-(S29/100-M29/H29)*100),0))))</f>
        <v>0</v>
      </c>
      <c r="V29" s="2478">
        <f t="shared" si="4"/>
        <v>0</v>
      </c>
      <c r="W29" s="2478">
        <f t="shared" si="5"/>
        <v>0</v>
      </c>
      <c r="X29" s="2718">
        <f t="shared" si="7"/>
        <v>0</v>
      </c>
      <c r="Y29" s="2718">
        <f t="shared" si="8"/>
        <v>0</v>
      </c>
    </row>
    <row r="30" spans="1:26">
      <c r="A30" s="2473" t="str">
        <f t="shared" si="6"/>
        <v/>
      </c>
      <c r="B30" s="2737"/>
      <c r="C30" s="2737"/>
      <c r="D30" s="2737"/>
      <c r="E30" s="2738"/>
      <c r="F30" s="2738"/>
      <c r="G30" s="2738"/>
      <c r="H30" s="2739"/>
      <c r="I30" s="2741"/>
      <c r="J30" s="2741"/>
      <c r="K30" s="2742"/>
      <c r="L30" s="2742"/>
      <c r="M30" s="2738"/>
      <c r="N30" s="2738"/>
      <c r="O30" s="2474">
        <f t="shared" si="0"/>
        <v>0</v>
      </c>
      <c r="P30" s="2474">
        <f t="shared" si="1"/>
        <v>0</v>
      </c>
      <c r="Q30" s="2475">
        <f t="shared" si="9"/>
        <v>0</v>
      </c>
      <c r="R30" s="2475">
        <f t="shared" si="10"/>
        <v>0</v>
      </c>
      <c r="S30" s="2476">
        <f t="shared" si="2"/>
        <v>0</v>
      </c>
      <c r="T30" s="2476">
        <f t="shared" si="3"/>
        <v>0</v>
      </c>
      <c r="U30" s="2477">
        <f>IF(OR(E30="QS",B30=""),0,
IF(C30="F",VLOOKUP($T30,'表30-5-2-5-1'!$B:$AF,MATCH($D30&amp;"a",'表30-5-2-5-1'!$4:$4,0)-1,FALSE)
-IF($S30-1&lt;=0,0,VLOOKUP($S30-1,'表30-5-2-5-1'!$B:$AF,MATCH($D30&amp;"a",'表30-5-2-5-1'!$4:$4,0)-1,FALSE))
-VLOOKUP($T30,'表30-5-2-5-1'!$B:$AF,MATCH($D30,'表30-5-2-5-1'!$4:$4,0)-1,FALSE)*(T30/100-N30/H30)*100
-VLOOKUP($S30,'表30-5-2-5-1'!$B:$AF,MATCH($D30,'表30-5-2-5-1'!$4:$4,0)-1,FALSE)*(1-(S30/100-M30/H30)*100),
IF(C30="E1",VLOOKUP($T30,'表30-5-2-5-2'!$B$4:$AF$104,MATCH($D30&amp;"a",'表30-5-2-5-2'!$4:$4,0)-1,FALSE)
-IF($S30-1&lt;=0,0,VLOOKUP($S30-1,'表30-5-2-5-2'!$B$4:$AF$104,MATCH($D30&amp;"a",'表30-5-2-5-2'!$4:$4,0)-1,FALSE))
-VLOOKUP($T30,'表30-5-2-5-2'!$B$4:$AF$104,MATCH($D30,'表30-5-2-5-2'!$4:$4,0)-1,FALSE)*(T30/100-N30/H30)*100
-VLOOKUP($S30,'表30-5-2-5-2'!$B$4:$AF$104,MATCH($D30,'表30-5-2-5-2'!$4:$4,0)-1,FALSE)*(1-(S30/100-M30/H30)*100),
IF(C30="E2",VLOOKUP($T30,'表30-5-2-5-2'!$B$114:$AF$214,MATCH($D30&amp;"a",'表30-5-2-5-2'!$4:$4,0)-1,FALSE)
-IF($S30-1&lt;=0,0,VLOOKUP($S30-1,'表30-5-2-5-2'!$B$114:$AF$214,MATCH($D30&amp;"a",'表30-5-2-5-2'!$4:$4,0)-1,FALSE))
-VLOOKUP($T30,'表30-5-2-5-2'!$B$114:$AF$214,MATCH($D30,'表30-5-2-5-2'!$4:$4,0)-1,FALSE)*(T30/100-N30/H30)*100
-VLOOKUP($S30,'表30-5-2-5-2'!$B$114:$AF$214,MATCH($D30,'表30-5-2-5-2'!$4:$4,0)-1,FALSE)*(1-(S30/100-M30/H30)*100),0))))</f>
        <v>0</v>
      </c>
      <c r="V30" s="2478">
        <f t="shared" si="4"/>
        <v>0</v>
      </c>
      <c r="W30" s="2478">
        <f t="shared" si="5"/>
        <v>0</v>
      </c>
      <c r="X30" s="2718">
        <f t="shared" si="7"/>
        <v>0</v>
      </c>
      <c r="Y30" s="2718">
        <f t="shared" si="8"/>
        <v>0</v>
      </c>
    </row>
    <row r="31" spans="1:26">
      <c r="A31" s="2473" t="str">
        <f t="shared" si="6"/>
        <v/>
      </c>
      <c r="B31" s="2737"/>
      <c r="C31" s="2737"/>
      <c r="D31" s="2737"/>
      <c r="E31" s="2738"/>
      <c r="F31" s="2738"/>
      <c r="G31" s="2738"/>
      <c r="H31" s="2739"/>
      <c r="I31" s="2741"/>
      <c r="J31" s="2741"/>
      <c r="K31" s="2742"/>
      <c r="L31" s="2742"/>
      <c r="M31" s="2738"/>
      <c r="N31" s="2738"/>
      <c r="O31" s="2474">
        <f t="shared" si="0"/>
        <v>0</v>
      </c>
      <c r="P31" s="2474">
        <f t="shared" si="1"/>
        <v>0</v>
      </c>
      <c r="Q31" s="2475">
        <f t="shared" si="9"/>
        <v>0</v>
      </c>
      <c r="R31" s="2475">
        <f t="shared" si="10"/>
        <v>0</v>
      </c>
      <c r="S31" s="2476">
        <f t="shared" si="2"/>
        <v>0</v>
      </c>
      <c r="T31" s="2476">
        <f t="shared" si="3"/>
        <v>0</v>
      </c>
      <c r="U31" s="2477">
        <f>IF(OR(E31="QS",B31=""),0,
IF(C31="F",VLOOKUP($T31,'表30-5-2-5-1'!$B:$AF,MATCH($D31&amp;"a",'表30-5-2-5-1'!$4:$4,0)-1,FALSE)
-IF($S31-1&lt;=0,0,VLOOKUP($S31-1,'表30-5-2-5-1'!$B:$AF,MATCH($D31&amp;"a",'表30-5-2-5-1'!$4:$4,0)-1,FALSE))
-VLOOKUP($T31,'表30-5-2-5-1'!$B:$AF,MATCH($D31,'表30-5-2-5-1'!$4:$4,0)-1,FALSE)*(T31/100-N31/H31)*100
-VLOOKUP($S31,'表30-5-2-5-1'!$B:$AF,MATCH($D31,'表30-5-2-5-1'!$4:$4,0)-1,FALSE)*(1-(S31/100-M31/H31)*100),
IF(C31="E1",VLOOKUP($T31,'表30-5-2-5-2'!$B$4:$AF$104,MATCH($D31&amp;"a",'表30-5-2-5-2'!$4:$4,0)-1,FALSE)
-IF($S31-1&lt;=0,0,VLOOKUP($S31-1,'表30-5-2-5-2'!$B$4:$AF$104,MATCH($D31&amp;"a",'表30-5-2-5-2'!$4:$4,0)-1,FALSE))
-VLOOKUP($T31,'表30-5-2-5-2'!$B$4:$AF$104,MATCH($D31,'表30-5-2-5-2'!$4:$4,0)-1,FALSE)*(T31/100-N31/H31)*100
-VLOOKUP($S31,'表30-5-2-5-2'!$B$4:$AF$104,MATCH($D31,'表30-5-2-5-2'!$4:$4,0)-1,FALSE)*(1-(S31/100-M31/H31)*100),
IF(C31="E2",VLOOKUP($T31,'表30-5-2-5-2'!$B$114:$AF$214,MATCH($D31&amp;"a",'表30-5-2-5-2'!$4:$4,0)-1,FALSE)
-IF($S31-1&lt;=0,0,VLOOKUP($S31-1,'表30-5-2-5-2'!$B$114:$AF$214,MATCH($D31&amp;"a",'表30-5-2-5-2'!$4:$4,0)-1,FALSE))
-VLOOKUP($T31,'表30-5-2-5-2'!$B$114:$AF$214,MATCH($D31,'表30-5-2-5-2'!$4:$4,0)-1,FALSE)*(T31/100-N31/H31)*100
-VLOOKUP($S31,'表30-5-2-5-2'!$B$114:$AF$214,MATCH($D31,'表30-5-2-5-2'!$4:$4,0)-1,FALSE)*(1-(S31/100-M31/H31)*100),0))))</f>
        <v>0</v>
      </c>
      <c r="V31" s="2478">
        <f t="shared" si="4"/>
        <v>0</v>
      </c>
      <c r="W31" s="2478">
        <f t="shared" si="5"/>
        <v>0</v>
      </c>
      <c r="X31" s="2718">
        <f t="shared" si="7"/>
        <v>0</v>
      </c>
      <c r="Y31" s="2718">
        <f t="shared" si="8"/>
        <v>0</v>
      </c>
      <c r="Z31" s="2480"/>
    </row>
    <row r="32" spans="1:26">
      <c r="A32" s="2473" t="str">
        <f t="shared" si="6"/>
        <v/>
      </c>
      <c r="B32" s="2737"/>
      <c r="C32" s="2737"/>
      <c r="D32" s="2737"/>
      <c r="E32" s="2738"/>
      <c r="F32" s="2738"/>
      <c r="G32" s="2738"/>
      <c r="H32" s="2739"/>
      <c r="I32" s="2741"/>
      <c r="J32" s="2741"/>
      <c r="K32" s="2742"/>
      <c r="L32" s="2742"/>
      <c r="M32" s="2738"/>
      <c r="N32" s="2738"/>
      <c r="O32" s="2474">
        <f t="shared" si="0"/>
        <v>0</v>
      </c>
      <c r="P32" s="2474">
        <f t="shared" si="1"/>
        <v>0</v>
      </c>
      <c r="Q32" s="2475">
        <f t="shared" si="9"/>
        <v>0</v>
      </c>
      <c r="R32" s="2475">
        <f t="shared" si="10"/>
        <v>0</v>
      </c>
      <c r="S32" s="2476">
        <f t="shared" si="2"/>
        <v>0</v>
      </c>
      <c r="T32" s="2476">
        <f t="shared" si="3"/>
        <v>0</v>
      </c>
      <c r="U32" s="2477">
        <f>IF(OR(E32="QS",B32=""),0,
IF(C32="F",VLOOKUP($T32,'表30-5-2-5-1'!$B:$AF,MATCH($D32&amp;"a",'表30-5-2-5-1'!$4:$4,0)-1,FALSE)
-IF($S32-1&lt;=0,0,VLOOKUP($S32-1,'表30-5-2-5-1'!$B:$AF,MATCH($D32&amp;"a",'表30-5-2-5-1'!$4:$4,0)-1,FALSE))
-VLOOKUP($T32,'表30-5-2-5-1'!$B:$AF,MATCH($D32,'表30-5-2-5-1'!$4:$4,0)-1,FALSE)*(T32/100-N32/H32)*100
-VLOOKUP($S32,'表30-5-2-5-1'!$B:$AF,MATCH($D32,'表30-5-2-5-1'!$4:$4,0)-1,FALSE)*(1-(S32/100-M32/H32)*100),
IF(C32="E1",VLOOKUP($T32,'表30-5-2-5-2'!$B$4:$AF$104,MATCH($D32&amp;"a",'表30-5-2-5-2'!$4:$4,0)-1,FALSE)
-IF($S32-1&lt;=0,0,VLOOKUP($S32-1,'表30-5-2-5-2'!$B$4:$AF$104,MATCH($D32&amp;"a",'表30-5-2-5-2'!$4:$4,0)-1,FALSE))
-VLOOKUP($T32,'表30-5-2-5-2'!$B$4:$AF$104,MATCH($D32,'表30-5-2-5-2'!$4:$4,0)-1,FALSE)*(T32/100-N32/H32)*100
-VLOOKUP($S32,'表30-5-2-5-2'!$B$4:$AF$104,MATCH($D32,'表30-5-2-5-2'!$4:$4,0)-1,FALSE)*(1-(S32/100-M32/H32)*100),
IF(C32="E2",VLOOKUP($T32,'表30-5-2-5-2'!$B$114:$AF$214,MATCH($D32&amp;"a",'表30-5-2-5-2'!$4:$4,0)-1,FALSE)
-IF($S32-1&lt;=0,0,VLOOKUP($S32-1,'表30-5-2-5-2'!$B$114:$AF$214,MATCH($D32&amp;"a",'表30-5-2-5-2'!$4:$4,0)-1,FALSE))
-VLOOKUP($T32,'表30-5-2-5-2'!$B$114:$AF$214,MATCH($D32,'表30-5-2-5-2'!$4:$4,0)-1,FALSE)*(T32/100-N32/H32)*100
-VLOOKUP($S32,'表30-5-2-5-2'!$B$114:$AF$214,MATCH($D32,'表30-5-2-5-2'!$4:$4,0)-1,FALSE)*(1-(S32/100-M32/H32)*100),0))))</f>
        <v>0</v>
      </c>
      <c r="V32" s="2478">
        <f t="shared" si="4"/>
        <v>0</v>
      </c>
      <c r="W32" s="2478">
        <f t="shared" si="5"/>
        <v>0</v>
      </c>
      <c r="X32" s="2718">
        <f t="shared" si="7"/>
        <v>0</v>
      </c>
      <c r="Y32" s="2718">
        <f t="shared" si="8"/>
        <v>0</v>
      </c>
    </row>
    <row r="33" spans="1:25">
      <c r="A33" s="2473" t="str">
        <f t="shared" si="6"/>
        <v/>
      </c>
      <c r="B33" s="2737"/>
      <c r="C33" s="2737"/>
      <c r="D33" s="2737"/>
      <c r="E33" s="2738"/>
      <c r="F33" s="2738"/>
      <c r="G33" s="2738"/>
      <c r="H33" s="2739"/>
      <c r="I33" s="2741"/>
      <c r="J33" s="2741"/>
      <c r="K33" s="2742"/>
      <c r="L33" s="2742"/>
      <c r="M33" s="2738"/>
      <c r="N33" s="2738"/>
      <c r="O33" s="2474">
        <f t="shared" si="0"/>
        <v>0</v>
      </c>
      <c r="P33" s="2474">
        <f t="shared" si="1"/>
        <v>0</v>
      </c>
      <c r="Q33" s="2475">
        <f t="shared" si="9"/>
        <v>0</v>
      </c>
      <c r="R33" s="2475">
        <f t="shared" si="10"/>
        <v>0</v>
      </c>
      <c r="S33" s="2476">
        <f t="shared" si="2"/>
        <v>0</v>
      </c>
      <c r="T33" s="2476">
        <f t="shared" si="3"/>
        <v>0</v>
      </c>
      <c r="U33" s="2477">
        <f>IF(OR(E33="QS",B33=""),0,
IF(C33="F",VLOOKUP($T33,'表30-5-2-5-1'!$B:$AF,MATCH($D33&amp;"a",'表30-5-2-5-1'!$4:$4,0)-1,FALSE)
-IF($S33-1&lt;=0,0,VLOOKUP($S33-1,'表30-5-2-5-1'!$B:$AF,MATCH($D33&amp;"a",'表30-5-2-5-1'!$4:$4,0)-1,FALSE))
-VLOOKUP($T33,'表30-5-2-5-1'!$B:$AF,MATCH($D33,'表30-5-2-5-1'!$4:$4,0)-1,FALSE)*(T33/100-N33/H33)*100
-VLOOKUP($S33,'表30-5-2-5-1'!$B:$AF,MATCH($D33,'表30-5-2-5-1'!$4:$4,0)-1,FALSE)*(1-(S33/100-M33/H33)*100),
IF(C33="E1",VLOOKUP($T33,'表30-5-2-5-2'!$B$4:$AF$104,MATCH($D33&amp;"a",'表30-5-2-5-2'!$4:$4,0)-1,FALSE)
-IF($S33-1&lt;=0,0,VLOOKUP($S33-1,'表30-5-2-5-2'!$B$4:$AF$104,MATCH($D33&amp;"a",'表30-5-2-5-2'!$4:$4,0)-1,FALSE))
-VLOOKUP($T33,'表30-5-2-5-2'!$B$4:$AF$104,MATCH($D33,'表30-5-2-5-2'!$4:$4,0)-1,FALSE)*(T33/100-N33/H33)*100
-VLOOKUP($S33,'表30-5-2-5-2'!$B$4:$AF$104,MATCH($D33,'表30-5-2-5-2'!$4:$4,0)-1,FALSE)*(1-(S33/100-M33/H33)*100),
IF(C33="E2",VLOOKUP($T33,'表30-5-2-5-2'!$B$114:$AF$214,MATCH($D33&amp;"a",'表30-5-2-5-2'!$4:$4,0)-1,FALSE)
-IF($S33-1&lt;=0,0,VLOOKUP($S33-1,'表30-5-2-5-2'!$B$114:$AF$214,MATCH($D33&amp;"a",'表30-5-2-5-2'!$4:$4,0)-1,FALSE))
-VLOOKUP($T33,'表30-5-2-5-2'!$B$114:$AF$214,MATCH($D33,'表30-5-2-5-2'!$4:$4,0)-1,FALSE)*(T33/100-N33/H33)*100
-VLOOKUP($S33,'表30-5-2-5-2'!$B$114:$AF$214,MATCH($D33,'表30-5-2-5-2'!$4:$4,0)-1,FALSE)*(1-(S33/100-M33/H33)*100),0))))</f>
        <v>0</v>
      </c>
      <c r="V33" s="2478">
        <f t="shared" si="4"/>
        <v>0</v>
      </c>
      <c r="W33" s="2478">
        <f t="shared" si="5"/>
        <v>0</v>
      </c>
      <c r="X33" s="2718">
        <f t="shared" si="7"/>
        <v>0</v>
      </c>
      <c r="Y33" s="2718">
        <f t="shared" si="8"/>
        <v>0</v>
      </c>
    </row>
    <row r="34" spans="1:25">
      <c r="A34" s="2473" t="str">
        <f t="shared" si="6"/>
        <v/>
      </c>
      <c r="B34" s="2737"/>
      <c r="C34" s="2737"/>
      <c r="D34" s="2737"/>
      <c r="E34" s="2738"/>
      <c r="F34" s="2738"/>
      <c r="G34" s="2738"/>
      <c r="H34" s="2739"/>
      <c r="I34" s="2741"/>
      <c r="J34" s="2741"/>
      <c r="K34" s="2742"/>
      <c r="L34" s="2742"/>
      <c r="M34" s="2738"/>
      <c r="N34" s="2738"/>
      <c r="O34" s="2474">
        <f t="shared" si="0"/>
        <v>0</v>
      </c>
      <c r="P34" s="2474">
        <f t="shared" si="1"/>
        <v>0</v>
      </c>
      <c r="Q34" s="2475">
        <f t="shared" si="9"/>
        <v>0</v>
      </c>
      <c r="R34" s="2475">
        <f t="shared" si="10"/>
        <v>0</v>
      </c>
      <c r="S34" s="2476">
        <f t="shared" si="2"/>
        <v>0</v>
      </c>
      <c r="T34" s="2476">
        <f t="shared" si="3"/>
        <v>0</v>
      </c>
      <c r="U34" s="2477">
        <f>IF(OR(E34="QS",B34=""),0,
IF(C34="F",VLOOKUP($T34,'表30-5-2-5-1'!$B:$AF,MATCH($D34&amp;"a",'表30-5-2-5-1'!$4:$4,0)-1,FALSE)
-IF($S34-1&lt;=0,0,VLOOKUP($S34-1,'表30-5-2-5-1'!$B:$AF,MATCH($D34&amp;"a",'表30-5-2-5-1'!$4:$4,0)-1,FALSE))
-VLOOKUP($T34,'表30-5-2-5-1'!$B:$AF,MATCH($D34,'表30-5-2-5-1'!$4:$4,0)-1,FALSE)*(T34/100-N34/H34)*100
-VLOOKUP($S34,'表30-5-2-5-1'!$B:$AF,MATCH($D34,'表30-5-2-5-1'!$4:$4,0)-1,FALSE)*(1-(S34/100-M34/H34)*100),
IF(C34="E1",VLOOKUP($T34,'表30-5-2-5-2'!$B$4:$AF$104,MATCH($D34&amp;"a",'表30-5-2-5-2'!$4:$4,0)-1,FALSE)
-IF($S34-1&lt;=0,0,VLOOKUP($S34-1,'表30-5-2-5-2'!$B$4:$AF$104,MATCH($D34&amp;"a",'表30-5-2-5-2'!$4:$4,0)-1,FALSE))
-VLOOKUP($T34,'表30-5-2-5-2'!$B$4:$AF$104,MATCH($D34,'表30-5-2-5-2'!$4:$4,0)-1,FALSE)*(T34/100-N34/H34)*100
-VLOOKUP($S34,'表30-5-2-5-2'!$B$4:$AF$104,MATCH($D34,'表30-5-2-5-2'!$4:$4,0)-1,FALSE)*(1-(S34/100-M34/H34)*100),
IF(C34="E2",VLOOKUP($T34,'表30-5-2-5-2'!$B$114:$AF$214,MATCH($D34&amp;"a",'表30-5-2-5-2'!$4:$4,0)-1,FALSE)
-IF($S34-1&lt;=0,0,VLOOKUP($S34-1,'表30-5-2-5-2'!$B$114:$AF$214,MATCH($D34&amp;"a",'表30-5-2-5-2'!$4:$4,0)-1,FALSE))
-VLOOKUP($T34,'表30-5-2-5-2'!$B$114:$AF$214,MATCH($D34,'表30-5-2-5-2'!$4:$4,0)-1,FALSE)*(T34/100-N34/H34)*100
-VLOOKUP($S34,'表30-5-2-5-2'!$B$114:$AF$214,MATCH($D34,'表30-5-2-5-2'!$4:$4,0)-1,FALSE)*(1-(S34/100-M34/H34)*100),0))))</f>
        <v>0</v>
      </c>
      <c r="V34" s="2478">
        <f t="shared" si="4"/>
        <v>0</v>
      </c>
      <c r="W34" s="2478">
        <f t="shared" si="5"/>
        <v>0</v>
      </c>
      <c r="X34" s="2718">
        <f t="shared" si="7"/>
        <v>0</v>
      </c>
      <c r="Y34" s="2718">
        <f t="shared" si="8"/>
        <v>0</v>
      </c>
    </row>
    <row r="35" spans="1:25">
      <c r="A35" s="2473" t="str">
        <f t="shared" si="6"/>
        <v/>
      </c>
      <c r="B35" s="2737"/>
      <c r="C35" s="2737"/>
      <c r="D35" s="2737"/>
      <c r="E35" s="2738"/>
      <c r="F35" s="2738"/>
      <c r="G35" s="2738"/>
      <c r="H35" s="2739"/>
      <c r="I35" s="2741"/>
      <c r="J35" s="2741"/>
      <c r="K35" s="2742"/>
      <c r="L35" s="2742"/>
      <c r="M35" s="2738"/>
      <c r="N35" s="2738"/>
      <c r="O35" s="2474">
        <f t="shared" si="0"/>
        <v>0</v>
      </c>
      <c r="P35" s="2474">
        <f t="shared" si="1"/>
        <v>0</v>
      </c>
      <c r="Q35" s="2475">
        <f t="shared" si="9"/>
        <v>0</v>
      </c>
      <c r="R35" s="2475">
        <f t="shared" si="10"/>
        <v>0</v>
      </c>
      <c r="S35" s="2476">
        <f t="shared" si="2"/>
        <v>0</v>
      </c>
      <c r="T35" s="2476">
        <f t="shared" si="3"/>
        <v>0</v>
      </c>
      <c r="U35" s="2477">
        <f>IF(OR(E35="QS",B35=""),0,
IF(C35="F",VLOOKUP($T35,'表30-5-2-5-1'!$B:$AF,MATCH($D35&amp;"a",'表30-5-2-5-1'!$4:$4,0)-1,FALSE)
-IF($S35-1&lt;=0,0,VLOOKUP($S35-1,'表30-5-2-5-1'!$B:$AF,MATCH($D35&amp;"a",'表30-5-2-5-1'!$4:$4,0)-1,FALSE))
-VLOOKUP($T35,'表30-5-2-5-1'!$B:$AF,MATCH($D35,'表30-5-2-5-1'!$4:$4,0)-1,FALSE)*(T35/100-N35/H35)*100
-VLOOKUP($S35,'表30-5-2-5-1'!$B:$AF,MATCH($D35,'表30-5-2-5-1'!$4:$4,0)-1,FALSE)*(1-(S35/100-M35/H35)*100),
IF(C35="E1",VLOOKUP($T35,'表30-5-2-5-2'!$B$4:$AF$104,MATCH($D35&amp;"a",'表30-5-2-5-2'!$4:$4,0)-1,FALSE)
-IF($S35-1&lt;=0,0,VLOOKUP($S35-1,'表30-5-2-5-2'!$B$4:$AF$104,MATCH($D35&amp;"a",'表30-5-2-5-2'!$4:$4,0)-1,FALSE))
-VLOOKUP($T35,'表30-5-2-5-2'!$B$4:$AF$104,MATCH($D35,'表30-5-2-5-2'!$4:$4,0)-1,FALSE)*(T35/100-N35/H35)*100
-VLOOKUP($S35,'表30-5-2-5-2'!$B$4:$AF$104,MATCH($D35,'表30-5-2-5-2'!$4:$4,0)-1,FALSE)*(1-(S35/100-M35/H35)*100),
IF(C35="E2",VLOOKUP($T35,'表30-5-2-5-2'!$B$114:$AF$214,MATCH($D35&amp;"a",'表30-5-2-5-2'!$4:$4,0)-1,FALSE)
-IF($S35-1&lt;=0,0,VLOOKUP($S35-1,'表30-5-2-5-2'!$B$114:$AF$214,MATCH($D35&amp;"a",'表30-5-2-5-2'!$4:$4,0)-1,FALSE))
-VLOOKUP($T35,'表30-5-2-5-2'!$B$114:$AF$214,MATCH($D35,'表30-5-2-5-2'!$4:$4,0)-1,FALSE)*(T35/100-N35/H35)*100
-VLOOKUP($S35,'表30-5-2-5-2'!$B$114:$AF$214,MATCH($D35,'表30-5-2-5-2'!$4:$4,0)-1,FALSE)*(1-(S35/100-M35/H35)*100),0))))</f>
        <v>0</v>
      </c>
      <c r="V35" s="2478">
        <f t="shared" si="4"/>
        <v>0</v>
      </c>
      <c r="W35" s="2478">
        <f t="shared" si="5"/>
        <v>0</v>
      </c>
      <c r="X35" s="2718">
        <f t="shared" si="7"/>
        <v>0</v>
      </c>
      <c r="Y35" s="2718">
        <f t="shared" si="8"/>
        <v>0</v>
      </c>
    </row>
    <row r="36" spans="1:25">
      <c r="A36" s="2473" t="str">
        <f t="shared" si="6"/>
        <v/>
      </c>
      <c r="B36" s="2737"/>
      <c r="C36" s="2737"/>
      <c r="D36" s="2737"/>
      <c r="E36" s="2738"/>
      <c r="F36" s="2738"/>
      <c r="G36" s="2738"/>
      <c r="H36" s="2739"/>
      <c r="I36" s="2741"/>
      <c r="J36" s="2741"/>
      <c r="K36" s="2742"/>
      <c r="L36" s="2742"/>
      <c r="M36" s="2738"/>
      <c r="N36" s="2738"/>
      <c r="O36" s="2474">
        <f t="shared" si="0"/>
        <v>0</v>
      </c>
      <c r="P36" s="2474">
        <f t="shared" si="1"/>
        <v>0</v>
      </c>
      <c r="Q36" s="2475">
        <f t="shared" si="9"/>
        <v>0</v>
      </c>
      <c r="R36" s="2475">
        <f t="shared" si="10"/>
        <v>0</v>
      </c>
      <c r="S36" s="2476">
        <f t="shared" si="2"/>
        <v>0</v>
      </c>
      <c r="T36" s="2476">
        <f t="shared" si="3"/>
        <v>0</v>
      </c>
      <c r="U36" s="2477">
        <f>IF(OR(E36="QS",B36=""),0,
IF(C36="F",VLOOKUP($T36,'表30-5-2-5-1'!$B:$AF,MATCH($D36&amp;"a",'表30-5-2-5-1'!$4:$4,0)-1,FALSE)
-IF($S36-1&lt;=0,0,VLOOKUP($S36-1,'表30-5-2-5-1'!$B:$AF,MATCH($D36&amp;"a",'表30-5-2-5-1'!$4:$4,0)-1,FALSE))
-VLOOKUP($T36,'表30-5-2-5-1'!$B:$AF,MATCH($D36,'表30-5-2-5-1'!$4:$4,0)-1,FALSE)*(T36/100-N36/H36)*100
-VLOOKUP($S36,'表30-5-2-5-1'!$B:$AF,MATCH($D36,'表30-5-2-5-1'!$4:$4,0)-1,FALSE)*(1-(S36/100-M36/H36)*100),
IF(C36="E1",VLOOKUP($T36,'表30-5-2-5-2'!$B$4:$AF$104,MATCH($D36&amp;"a",'表30-5-2-5-2'!$4:$4,0)-1,FALSE)
-IF($S36-1&lt;=0,0,VLOOKUP($S36-1,'表30-5-2-5-2'!$B$4:$AF$104,MATCH($D36&amp;"a",'表30-5-2-5-2'!$4:$4,0)-1,FALSE))
-VLOOKUP($T36,'表30-5-2-5-2'!$B$4:$AF$104,MATCH($D36,'表30-5-2-5-2'!$4:$4,0)-1,FALSE)*(T36/100-N36/H36)*100
-VLOOKUP($S36,'表30-5-2-5-2'!$B$4:$AF$104,MATCH($D36,'表30-5-2-5-2'!$4:$4,0)-1,FALSE)*(1-(S36/100-M36/H36)*100),
IF(C36="E2",VLOOKUP($T36,'表30-5-2-5-2'!$B$114:$AF$214,MATCH($D36&amp;"a",'表30-5-2-5-2'!$4:$4,0)-1,FALSE)
-IF($S36-1&lt;=0,0,VLOOKUP($S36-1,'表30-5-2-5-2'!$B$114:$AF$214,MATCH($D36&amp;"a",'表30-5-2-5-2'!$4:$4,0)-1,FALSE))
-VLOOKUP($T36,'表30-5-2-5-2'!$B$114:$AF$214,MATCH($D36,'表30-5-2-5-2'!$4:$4,0)-1,FALSE)*(T36/100-N36/H36)*100
-VLOOKUP($S36,'表30-5-2-5-2'!$B$114:$AF$214,MATCH($D36,'表30-5-2-5-2'!$4:$4,0)-1,FALSE)*(1-(S36/100-M36/H36)*100),0))))</f>
        <v>0</v>
      </c>
      <c r="V36" s="2478">
        <f t="shared" si="4"/>
        <v>0</v>
      </c>
      <c r="W36" s="2478">
        <f t="shared" si="5"/>
        <v>0</v>
      </c>
      <c r="X36" s="2718">
        <f t="shared" si="7"/>
        <v>0</v>
      </c>
      <c r="Y36" s="2718">
        <f t="shared" si="8"/>
        <v>0</v>
      </c>
    </row>
    <row r="37" spans="1:25">
      <c r="A37" s="2473" t="str">
        <f t="shared" si="6"/>
        <v/>
      </c>
      <c r="B37" s="2737"/>
      <c r="C37" s="2737"/>
      <c r="D37" s="2737"/>
      <c r="E37" s="2738"/>
      <c r="F37" s="2738"/>
      <c r="G37" s="2738"/>
      <c r="H37" s="2739"/>
      <c r="I37" s="2741"/>
      <c r="J37" s="2741"/>
      <c r="K37" s="2742"/>
      <c r="L37" s="2742"/>
      <c r="M37" s="2738"/>
      <c r="N37" s="2738"/>
      <c r="O37" s="2474">
        <f t="shared" si="0"/>
        <v>0</v>
      </c>
      <c r="P37" s="2474">
        <f t="shared" si="1"/>
        <v>0</v>
      </c>
      <c r="Q37" s="2475">
        <f t="shared" si="9"/>
        <v>0</v>
      </c>
      <c r="R37" s="2475">
        <f t="shared" si="10"/>
        <v>0</v>
      </c>
      <c r="S37" s="2476">
        <f t="shared" si="2"/>
        <v>0</v>
      </c>
      <c r="T37" s="2476">
        <f t="shared" si="3"/>
        <v>0</v>
      </c>
      <c r="U37" s="2477">
        <f>IF(OR(E37="QS",B37=""),0,
IF(C37="F",VLOOKUP($T37,'表30-5-2-5-1'!$B:$AF,MATCH($D37&amp;"a",'表30-5-2-5-1'!$4:$4,0)-1,FALSE)
-IF($S37-1&lt;=0,0,VLOOKUP($S37-1,'表30-5-2-5-1'!$B:$AF,MATCH($D37&amp;"a",'表30-5-2-5-1'!$4:$4,0)-1,FALSE))
-VLOOKUP($T37,'表30-5-2-5-1'!$B:$AF,MATCH($D37,'表30-5-2-5-1'!$4:$4,0)-1,FALSE)*(T37/100-N37/H37)*100
-VLOOKUP($S37,'表30-5-2-5-1'!$B:$AF,MATCH($D37,'表30-5-2-5-1'!$4:$4,0)-1,FALSE)*(1-(S37/100-M37/H37)*100),
IF(C37="E1",VLOOKUP($T37,'表30-5-2-5-2'!$B$4:$AF$104,MATCH($D37&amp;"a",'表30-5-2-5-2'!$4:$4,0)-1,FALSE)
-IF($S37-1&lt;=0,0,VLOOKUP($S37-1,'表30-5-2-5-2'!$B$4:$AF$104,MATCH($D37&amp;"a",'表30-5-2-5-2'!$4:$4,0)-1,FALSE))
-VLOOKUP($T37,'表30-5-2-5-2'!$B$4:$AF$104,MATCH($D37,'表30-5-2-5-2'!$4:$4,0)-1,FALSE)*(T37/100-N37/H37)*100
-VLOOKUP($S37,'表30-5-2-5-2'!$B$4:$AF$104,MATCH($D37,'表30-5-2-5-2'!$4:$4,0)-1,FALSE)*(1-(S37/100-M37/H37)*100),
IF(C37="E2",VLOOKUP($T37,'表30-5-2-5-2'!$B$114:$AF$214,MATCH($D37&amp;"a",'表30-5-2-5-2'!$4:$4,0)-1,FALSE)
-IF($S37-1&lt;=0,0,VLOOKUP($S37-1,'表30-5-2-5-2'!$B$114:$AF$214,MATCH($D37&amp;"a",'表30-5-2-5-2'!$4:$4,0)-1,FALSE))
-VLOOKUP($T37,'表30-5-2-5-2'!$B$114:$AF$214,MATCH($D37,'表30-5-2-5-2'!$4:$4,0)-1,FALSE)*(T37/100-N37/H37)*100
-VLOOKUP($S37,'表30-5-2-5-2'!$B$114:$AF$214,MATCH($D37,'表30-5-2-5-2'!$4:$4,0)-1,FALSE)*(1-(S37/100-M37/H37)*100),0))))</f>
        <v>0</v>
      </c>
      <c r="V37" s="2478">
        <f t="shared" si="4"/>
        <v>0</v>
      </c>
      <c r="W37" s="2478">
        <f t="shared" si="5"/>
        <v>0</v>
      </c>
      <c r="X37" s="2718">
        <f t="shared" si="7"/>
        <v>0</v>
      </c>
      <c r="Y37" s="2718">
        <f t="shared" si="8"/>
        <v>0</v>
      </c>
    </row>
    <row r="38" spans="1:25">
      <c r="A38" s="2473" t="str">
        <f t="shared" si="6"/>
        <v/>
      </c>
      <c r="B38" s="2737"/>
      <c r="C38" s="2737"/>
      <c r="D38" s="2737"/>
      <c r="E38" s="2738"/>
      <c r="F38" s="2738"/>
      <c r="G38" s="2738"/>
      <c r="H38" s="2739"/>
      <c r="I38" s="2741"/>
      <c r="J38" s="2741"/>
      <c r="K38" s="2742"/>
      <c r="L38" s="2742"/>
      <c r="M38" s="2738"/>
      <c r="N38" s="2738"/>
      <c r="O38" s="2474">
        <f t="shared" si="0"/>
        <v>0</v>
      </c>
      <c r="P38" s="2474">
        <f t="shared" si="1"/>
        <v>0</v>
      </c>
      <c r="Q38" s="2475">
        <f t="shared" si="9"/>
        <v>0</v>
      </c>
      <c r="R38" s="2475">
        <f t="shared" si="10"/>
        <v>0</v>
      </c>
      <c r="S38" s="2476">
        <f t="shared" si="2"/>
        <v>0</v>
      </c>
      <c r="T38" s="2476">
        <f t="shared" si="3"/>
        <v>0</v>
      </c>
      <c r="U38" s="2477">
        <f>IF(OR(E38="QS",B38=""),0,
IF(C38="F",VLOOKUP($T38,'表30-5-2-5-1'!$B:$AF,MATCH($D38&amp;"a",'表30-5-2-5-1'!$4:$4,0)-1,FALSE)
-IF($S38-1&lt;=0,0,VLOOKUP($S38-1,'表30-5-2-5-1'!$B:$AF,MATCH($D38&amp;"a",'表30-5-2-5-1'!$4:$4,0)-1,FALSE))
-VLOOKUP($T38,'表30-5-2-5-1'!$B:$AF,MATCH($D38,'表30-5-2-5-1'!$4:$4,0)-1,FALSE)*(T38/100-N38/H38)*100
-VLOOKUP($S38,'表30-5-2-5-1'!$B:$AF,MATCH($D38,'表30-5-2-5-1'!$4:$4,0)-1,FALSE)*(1-(S38/100-M38/H38)*100),
IF(C38="E1",VLOOKUP($T38,'表30-5-2-5-2'!$B$4:$AF$104,MATCH($D38&amp;"a",'表30-5-2-5-2'!$4:$4,0)-1,FALSE)
-IF($S38-1&lt;=0,0,VLOOKUP($S38-1,'表30-5-2-5-2'!$B$4:$AF$104,MATCH($D38&amp;"a",'表30-5-2-5-2'!$4:$4,0)-1,FALSE))
-VLOOKUP($T38,'表30-5-2-5-2'!$B$4:$AF$104,MATCH($D38,'表30-5-2-5-2'!$4:$4,0)-1,FALSE)*(T38/100-N38/H38)*100
-VLOOKUP($S38,'表30-5-2-5-2'!$B$4:$AF$104,MATCH($D38,'表30-5-2-5-2'!$4:$4,0)-1,FALSE)*(1-(S38/100-M38/H38)*100),
IF(C38="E2",VLOOKUP($T38,'表30-5-2-5-2'!$B$114:$AF$214,MATCH($D38&amp;"a",'表30-5-2-5-2'!$4:$4,0)-1,FALSE)
-IF($S38-1&lt;=0,0,VLOOKUP($S38-1,'表30-5-2-5-2'!$B$114:$AF$214,MATCH($D38&amp;"a",'表30-5-2-5-2'!$4:$4,0)-1,FALSE))
-VLOOKUP($T38,'表30-5-2-5-2'!$B$114:$AF$214,MATCH($D38,'表30-5-2-5-2'!$4:$4,0)-1,FALSE)*(T38/100-N38/H38)*100
-VLOOKUP($S38,'表30-5-2-5-2'!$B$114:$AF$214,MATCH($D38,'表30-5-2-5-2'!$4:$4,0)-1,FALSE)*(1-(S38/100-M38/H38)*100),0))))</f>
        <v>0</v>
      </c>
      <c r="V38" s="2478">
        <f t="shared" si="4"/>
        <v>0</v>
      </c>
      <c r="W38" s="2478">
        <f t="shared" si="5"/>
        <v>0</v>
      </c>
      <c r="X38" s="2718">
        <f t="shared" si="7"/>
        <v>0</v>
      </c>
      <c r="Y38" s="2718">
        <f t="shared" si="8"/>
        <v>0</v>
      </c>
    </row>
    <row r="39" spans="1:25">
      <c r="A39" s="2473" t="str">
        <f t="shared" si="6"/>
        <v/>
      </c>
      <c r="B39" s="2737"/>
      <c r="C39" s="2737"/>
      <c r="D39" s="2737"/>
      <c r="E39" s="2738"/>
      <c r="F39" s="2738"/>
      <c r="G39" s="2738"/>
      <c r="H39" s="2739"/>
      <c r="I39" s="2741"/>
      <c r="J39" s="2741"/>
      <c r="K39" s="2742"/>
      <c r="L39" s="2742"/>
      <c r="M39" s="2738"/>
      <c r="N39" s="2738"/>
      <c r="O39" s="2474">
        <f t="shared" si="0"/>
        <v>0</v>
      </c>
      <c r="P39" s="2474">
        <f t="shared" si="1"/>
        <v>0</v>
      </c>
      <c r="Q39" s="2475">
        <f t="shared" si="9"/>
        <v>0</v>
      </c>
      <c r="R39" s="2475">
        <f t="shared" si="10"/>
        <v>0</v>
      </c>
      <c r="S39" s="2476">
        <f t="shared" si="2"/>
        <v>0</v>
      </c>
      <c r="T39" s="2476">
        <f t="shared" si="3"/>
        <v>0</v>
      </c>
      <c r="U39" s="2477">
        <f>IF(OR(E39="QS",B39=""),0,
IF(C39="F",VLOOKUP($T39,'表30-5-2-5-1'!$B:$AF,MATCH($D39&amp;"a",'表30-5-2-5-1'!$4:$4,0)-1,FALSE)
-IF($S39-1&lt;=0,0,VLOOKUP($S39-1,'表30-5-2-5-1'!$B:$AF,MATCH($D39&amp;"a",'表30-5-2-5-1'!$4:$4,0)-1,FALSE))
-VLOOKUP($T39,'表30-5-2-5-1'!$B:$AF,MATCH($D39,'表30-5-2-5-1'!$4:$4,0)-1,FALSE)*(T39/100-N39/H39)*100
-VLOOKUP($S39,'表30-5-2-5-1'!$B:$AF,MATCH($D39,'表30-5-2-5-1'!$4:$4,0)-1,FALSE)*(1-(S39/100-M39/H39)*100),
IF(C39="E1",VLOOKUP($T39,'表30-5-2-5-2'!$B$4:$AF$104,MATCH($D39&amp;"a",'表30-5-2-5-2'!$4:$4,0)-1,FALSE)
-IF($S39-1&lt;=0,0,VLOOKUP($S39-1,'表30-5-2-5-2'!$B$4:$AF$104,MATCH($D39&amp;"a",'表30-5-2-5-2'!$4:$4,0)-1,FALSE))
-VLOOKUP($T39,'表30-5-2-5-2'!$B$4:$AF$104,MATCH($D39,'表30-5-2-5-2'!$4:$4,0)-1,FALSE)*(T39/100-N39/H39)*100
-VLOOKUP($S39,'表30-5-2-5-2'!$B$4:$AF$104,MATCH($D39,'表30-5-2-5-2'!$4:$4,0)-1,FALSE)*(1-(S39/100-M39/H39)*100),
IF(C39="E2",VLOOKUP($T39,'表30-5-2-5-2'!$B$114:$AF$214,MATCH($D39&amp;"a",'表30-5-2-5-2'!$4:$4,0)-1,FALSE)
-IF($S39-1&lt;=0,0,VLOOKUP($S39-1,'表30-5-2-5-2'!$B$114:$AF$214,MATCH($D39&amp;"a",'表30-5-2-5-2'!$4:$4,0)-1,FALSE))
-VLOOKUP($T39,'表30-5-2-5-2'!$B$114:$AF$214,MATCH($D39,'表30-5-2-5-2'!$4:$4,0)-1,FALSE)*(T39/100-N39/H39)*100
-VLOOKUP($S39,'表30-5-2-5-2'!$B$114:$AF$214,MATCH($D39,'表30-5-2-5-2'!$4:$4,0)-1,FALSE)*(1-(S39/100-M39/H39)*100),0))))</f>
        <v>0</v>
      </c>
      <c r="V39" s="2478">
        <f t="shared" si="4"/>
        <v>0</v>
      </c>
      <c r="W39" s="2478">
        <f t="shared" si="5"/>
        <v>0</v>
      </c>
      <c r="X39" s="2718">
        <f t="shared" si="7"/>
        <v>0</v>
      </c>
      <c r="Y39" s="2718">
        <f t="shared" si="8"/>
        <v>0</v>
      </c>
    </row>
    <row r="40" spans="1:25">
      <c r="A40" s="2473" t="str">
        <f t="shared" si="6"/>
        <v/>
      </c>
      <c r="B40" s="2737"/>
      <c r="C40" s="2737"/>
      <c r="D40" s="2737"/>
      <c r="E40" s="2738"/>
      <c r="F40" s="2738"/>
      <c r="G40" s="2738"/>
      <c r="H40" s="2739"/>
      <c r="I40" s="2741"/>
      <c r="J40" s="2741"/>
      <c r="K40" s="2742"/>
      <c r="L40" s="2742"/>
      <c r="M40" s="2738"/>
      <c r="N40" s="2738"/>
      <c r="O40" s="2474">
        <f t="shared" si="0"/>
        <v>0</v>
      </c>
      <c r="P40" s="2474">
        <f t="shared" si="1"/>
        <v>0</v>
      </c>
      <c r="Q40" s="2475">
        <f t="shared" si="9"/>
        <v>0</v>
      </c>
      <c r="R40" s="2475">
        <f t="shared" si="10"/>
        <v>0</v>
      </c>
      <c r="S40" s="2476">
        <f t="shared" si="2"/>
        <v>0</v>
      </c>
      <c r="T40" s="2476">
        <f t="shared" si="3"/>
        <v>0</v>
      </c>
      <c r="U40" s="2477">
        <f>IF(OR(E40="QS",B40=""),0,
IF(C40="F",VLOOKUP($T40,'表30-5-2-5-1'!$B:$AF,MATCH($D40&amp;"a",'表30-5-2-5-1'!$4:$4,0)-1,FALSE)
-IF($S40-1&lt;=0,0,VLOOKUP($S40-1,'表30-5-2-5-1'!$B:$AF,MATCH($D40&amp;"a",'表30-5-2-5-1'!$4:$4,0)-1,FALSE))
-VLOOKUP($T40,'表30-5-2-5-1'!$B:$AF,MATCH($D40,'表30-5-2-5-1'!$4:$4,0)-1,FALSE)*(T40/100-N40/H40)*100
-VLOOKUP($S40,'表30-5-2-5-1'!$B:$AF,MATCH($D40,'表30-5-2-5-1'!$4:$4,0)-1,FALSE)*(1-(S40/100-M40/H40)*100),
IF(C40="E1",VLOOKUP($T40,'表30-5-2-5-2'!$B$4:$AF$104,MATCH($D40&amp;"a",'表30-5-2-5-2'!$4:$4,0)-1,FALSE)
-IF($S40-1&lt;=0,0,VLOOKUP($S40-1,'表30-5-2-5-2'!$B$4:$AF$104,MATCH($D40&amp;"a",'表30-5-2-5-2'!$4:$4,0)-1,FALSE))
-VLOOKUP($T40,'表30-5-2-5-2'!$B$4:$AF$104,MATCH($D40,'表30-5-2-5-2'!$4:$4,0)-1,FALSE)*(T40/100-N40/H40)*100
-VLOOKUP($S40,'表30-5-2-5-2'!$B$4:$AF$104,MATCH($D40,'表30-5-2-5-2'!$4:$4,0)-1,FALSE)*(1-(S40/100-M40/H40)*100),
IF(C40="E2",VLOOKUP($T40,'表30-5-2-5-2'!$B$114:$AF$214,MATCH($D40&amp;"a",'表30-5-2-5-2'!$4:$4,0)-1,FALSE)
-IF($S40-1&lt;=0,0,VLOOKUP($S40-1,'表30-5-2-5-2'!$B$114:$AF$214,MATCH($D40&amp;"a",'表30-5-2-5-2'!$4:$4,0)-1,FALSE))
-VLOOKUP($T40,'表30-5-2-5-2'!$B$114:$AF$214,MATCH($D40,'表30-5-2-5-2'!$4:$4,0)-1,FALSE)*(T40/100-N40/H40)*100
-VLOOKUP($S40,'表30-5-2-5-2'!$B$114:$AF$214,MATCH($D40,'表30-5-2-5-2'!$4:$4,0)-1,FALSE)*(1-(S40/100-M40/H40)*100),0))))</f>
        <v>0</v>
      </c>
      <c r="V40" s="2478">
        <f t="shared" si="4"/>
        <v>0</v>
      </c>
      <c r="W40" s="2478">
        <f t="shared" si="5"/>
        <v>0</v>
      </c>
      <c r="X40" s="2718">
        <f t="shared" si="7"/>
        <v>0</v>
      </c>
      <c r="Y40" s="2718">
        <f t="shared" si="8"/>
        <v>0</v>
      </c>
    </row>
    <row r="41" spans="1:25">
      <c r="A41" s="2473" t="str">
        <f t="shared" si="6"/>
        <v/>
      </c>
      <c r="B41" s="2737"/>
      <c r="C41" s="2737"/>
      <c r="D41" s="2737"/>
      <c r="E41" s="2738"/>
      <c r="F41" s="2738"/>
      <c r="G41" s="2738"/>
      <c r="H41" s="2739"/>
      <c r="I41" s="2741"/>
      <c r="J41" s="2741"/>
      <c r="K41" s="2742"/>
      <c r="L41" s="2742"/>
      <c r="M41" s="2738"/>
      <c r="N41" s="2738"/>
      <c r="O41" s="2474">
        <f t="shared" si="0"/>
        <v>0</v>
      </c>
      <c r="P41" s="2474">
        <f t="shared" si="1"/>
        <v>0</v>
      </c>
      <c r="Q41" s="2475">
        <f t="shared" si="9"/>
        <v>0</v>
      </c>
      <c r="R41" s="2475">
        <f t="shared" si="10"/>
        <v>0</v>
      </c>
      <c r="S41" s="2476">
        <f t="shared" si="2"/>
        <v>0</v>
      </c>
      <c r="T41" s="2476">
        <f t="shared" si="3"/>
        <v>0</v>
      </c>
      <c r="U41" s="2477">
        <f>IF(OR(E41="QS",B41=""),0,
IF(C41="F",VLOOKUP($T41,'表30-5-2-5-1'!$B:$AF,MATCH($D41&amp;"a",'表30-5-2-5-1'!$4:$4,0)-1,FALSE)
-IF($S41-1&lt;=0,0,VLOOKUP($S41-1,'表30-5-2-5-1'!$B:$AF,MATCH($D41&amp;"a",'表30-5-2-5-1'!$4:$4,0)-1,FALSE))
-VLOOKUP($T41,'表30-5-2-5-1'!$B:$AF,MATCH($D41,'表30-5-2-5-1'!$4:$4,0)-1,FALSE)*(T41/100-N41/H41)*100
-VLOOKUP($S41,'表30-5-2-5-1'!$B:$AF,MATCH($D41,'表30-5-2-5-1'!$4:$4,0)-1,FALSE)*(1-(S41/100-M41/H41)*100),
IF(C41="E1",VLOOKUP($T41,'表30-5-2-5-2'!$B$4:$AF$104,MATCH($D41&amp;"a",'表30-5-2-5-2'!$4:$4,0)-1,FALSE)
-IF($S41-1&lt;=0,0,VLOOKUP($S41-1,'表30-5-2-5-2'!$B$4:$AF$104,MATCH($D41&amp;"a",'表30-5-2-5-2'!$4:$4,0)-1,FALSE))
-VLOOKUP($T41,'表30-5-2-5-2'!$B$4:$AF$104,MATCH($D41,'表30-5-2-5-2'!$4:$4,0)-1,FALSE)*(T41/100-N41/H41)*100
-VLOOKUP($S41,'表30-5-2-5-2'!$B$4:$AF$104,MATCH($D41,'表30-5-2-5-2'!$4:$4,0)-1,FALSE)*(1-(S41/100-M41/H41)*100),
IF(C41="E2",VLOOKUP($T41,'表30-5-2-5-2'!$B$114:$AF$214,MATCH($D41&amp;"a",'表30-5-2-5-2'!$4:$4,0)-1,FALSE)
-IF($S41-1&lt;=0,0,VLOOKUP($S41-1,'表30-5-2-5-2'!$B$114:$AF$214,MATCH($D41&amp;"a",'表30-5-2-5-2'!$4:$4,0)-1,FALSE))
-VLOOKUP($T41,'表30-5-2-5-2'!$B$114:$AF$214,MATCH($D41,'表30-5-2-5-2'!$4:$4,0)-1,FALSE)*(T41/100-N41/H41)*100
-VLOOKUP($S41,'表30-5-2-5-2'!$B$114:$AF$214,MATCH($D41,'表30-5-2-5-2'!$4:$4,0)-1,FALSE)*(1-(S41/100-M41/H41)*100),0))))</f>
        <v>0</v>
      </c>
      <c r="V41" s="2478">
        <f t="shared" si="4"/>
        <v>0</v>
      </c>
      <c r="W41" s="2478">
        <f t="shared" si="5"/>
        <v>0</v>
      </c>
      <c r="X41" s="2718">
        <f t="shared" si="7"/>
        <v>0</v>
      </c>
      <c r="Y41" s="2718">
        <f t="shared" si="8"/>
        <v>0</v>
      </c>
    </row>
    <row r="42" spans="1:25">
      <c r="A42" s="2473" t="str">
        <f t="shared" si="6"/>
        <v/>
      </c>
      <c r="B42" s="2737"/>
      <c r="C42" s="2737"/>
      <c r="D42" s="2737"/>
      <c r="E42" s="2738"/>
      <c r="F42" s="2738"/>
      <c r="G42" s="2738"/>
      <c r="H42" s="2739"/>
      <c r="I42" s="2741"/>
      <c r="J42" s="2741"/>
      <c r="K42" s="2742"/>
      <c r="L42" s="2742"/>
      <c r="M42" s="2738"/>
      <c r="N42" s="2738"/>
      <c r="O42" s="2474">
        <f t="shared" si="0"/>
        <v>0</v>
      </c>
      <c r="P42" s="2474">
        <f t="shared" si="1"/>
        <v>0</v>
      </c>
      <c r="Q42" s="2475">
        <f t="shared" si="9"/>
        <v>0</v>
      </c>
      <c r="R42" s="2475">
        <f t="shared" si="10"/>
        <v>0</v>
      </c>
      <c r="S42" s="2476">
        <f t="shared" si="2"/>
        <v>0</v>
      </c>
      <c r="T42" s="2476">
        <f t="shared" si="3"/>
        <v>0</v>
      </c>
      <c r="U42" s="2477">
        <f>IF(OR(E42="QS",B42=""),0,
IF(C42="F",VLOOKUP($T42,'表30-5-2-5-1'!$B:$AF,MATCH($D42&amp;"a",'表30-5-2-5-1'!$4:$4,0)-1,FALSE)
-IF($S42-1&lt;=0,0,VLOOKUP($S42-1,'表30-5-2-5-1'!$B:$AF,MATCH($D42&amp;"a",'表30-5-2-5-1'!$4:$4,0)-1,FALSE))
-VLOOKUP($T42,'表30-5-2-5-1'!$B:$AF,MATCH($D42,'表30-5-2-5-1'!$4:$4,0)-1,FALSE)*(T42/100-N42/H42)*100
-VLOOKUP($S42,'表30-5-2-5-1'!$B:$AF,MATCH($D42,'表30-5-2-5-1'!$4:$4,0)-1,FALSE)*(1-(S42/100-M42/H42)*100),
IF(C42="E1",VLOOKUP($T42,'表30-5-2-5-2'!$B$4:$AF$104,MATCH($D42&amp;"a",'表30-5-2-5-2'!$4:$4,0)-1,FALSE)
-IF($S42-1&lt;=0,0,VLOOKUP($S42-1,'表30-5-2-5-2'!$B$4:$AF$104,MATCH($D42&amp;"a",'表30-5-2-5-2'!$4:$4,0)-1,FALSE))
-VLOOKUP($T42,'表30-5-2-5-2'!$B$4:$AF$104,MATCH($D42,'表30-5-2-5-2'!$4:$4,0)-1,FALSE)*(T42/100-N42/H42)*100
-VLOOKUP($S42,'表30-5-2-5-2'!$B$4:$AF$104,MATCH($D42,'表30-5-2-5-2'!$4:$4,0)-1,FALSE)*(1-(S42/100-M42/H42)*100),
IF(C42="E2",VLOOKUP($T42,'表30-5-2-5-2'!$B$114:$AF$214,MATCH($D42&amp;"a",'表30-5-2-5-2'!$4:$4,0)-1,FALSE)
-IF($S42-1&lt;=0,0,VLOOKUP($S42-1,'表30-5-2-5-2'!$B$114:$AF$214,MATCH($D42&amp;"a",'表30-5-2-5-2'!$4:$4,0)-1,FALSE))
-VLOOKUP($T42,'表30-5-2-5-2'!$B$114:$AF$214,MATCH($D42,'表30-5-2-5-2'!$4:$4,0)-1,FALSE)*(T42/100-N42/H42)*100
-VLOOKUP($S42,'表30-5-2-5-2'!$B$114:$AF$214,MATCH($D42,'表30-5-2-5-2'!$4:$4,0)-1,FALSE)*(1-(S42/100-M42/H42)*100),0))))</f>
        <v>0</v>
      </c>
      <c r="V42" s="2478">
        <f t="shared" si="4"/>
        <v>0</v>
      </c>
      <c r="W42" s="2478">
        <f t="shared" si="5"/>
        <v>0</v>
      </c>
      <c r="X42" s="2718">
        <f t="shared" si="7"/>
        <v>0</v>
      </c>
      <c r="Y42" s="2718">
        <f t="shared" si="8"/>
        <v>0</v>
      </c>
    </row>
    <row r="43" spans="1:25">
      <c r="A43" s="2473" t="str">
        <f t="shared" si="6"/>
        <v/>
      </c>
      <c r="B43" s="2737"/>
      <c r="C43" s="2737"/>
      <c r="D43" s="2737"/>
      <c r="E43" s="2738"/>
      <c r="F43" s="2738"/>
      <c r="G43" s="2738"/>
      <c r="H43" s="2739"/>
      <c r="I43" s="2741"/>
      <c r="J43" s="2741"/>
      <c r="K43" s="2742"/>
      <c r="L43" s="2742"/>
      <c r="M43" s="2738"/>
      <c r="N43" s="2738"/>
      <c r="O43" s="2474">
        <f t="shared" si="0"/>
        <v>0</v>
      </c>
      <c r="P43" s="2474">
        <f t="shared" si="1"/>
        <v>0</v>
      </c>
      <c r="Q43" s="2475">
        <f t="shared" si="9"/>
        <v>0</v>
      </c>
      <c r="R43" s="2475">
        <f t="shared" si="10"/>
        <v>0</v>
      </c>
      <c r="S43" s="2476">
        <f t="shared" si="2"/>
        <v>0</v>
      </c>
      <c r="T43" s="2476">
        <f t="shared" si="3"/>
        <v>0</v>
      </c>
      <c r="U43" s="2477">
        <f>IF(OR(E43="QS",B43=""),0,
IF(C43="F",VLOOKUP($T43,'表30-5-2-5-1'!$B:$AF,MATCH($D43&amp;"a",'表30-5-2-5-1'!$4:$4,0)-1,FALSE)
-IF($S43-1&lt;=0,0,VLOOKUP($S43-1,'表30-5-2-5-1'!$B:$AF,MATCH($D43&amp;"a",'表30-5-2-5-1'!$4:$4,0)-1,FALSE))
-VLOOKUP($T43,'表30-5-2-5-1'!$B:$AF,MATCH($D43,'表30-5-2-5-1'!$4:$4,0)-1,FALSE)*(T43/100-N43/H43)*100
-VLOOKUP($S43,'表30-5-2-5-1'!$B:$AF,MATCH($D43,'表30-5-2-5-1'!$4:$4,0)-1,FALSE)*(1-(S43/100-M43/H43)*100),
IF(C43="E1",VLOOKUP($T43,'表30-5-2-5-2'!$B$4:$AF$104,MATCH($D43&amp;"a",'表30-5-2-5-2'!$4:$4,0)-1,FALSE)
-IF($S43-1&lt;=0,0,VLOOKUP($S43-1,'表30-5-2-5-2'!$B$4:$AF$104,MATCH($D43&amp;"a",'表30-5-2-5-2'!$4:$4,0)-1,FALSE))
-VLOOKUP($T43,'表30-5-2-5-2'!$B$4:$AF$104,MATCH($D43,'表30-5-2-5-2'!$4:$4,0)-1,FALSE)*(T43/100-N43/H43)*100
-VLOOKUP($S43,'表30-5-2-5-2'!$B$4:$AF$104,MATCH($D43,'表30-5-2-5-2'!$4:$4,0)-1,FALSE)*(1-(S43/100-M43/H43)*100),
IF(C43="E2",VLOOKUP($T43,'表30-5-2-5-2'!$B$114:$AF$214,MATCH($D43&amp;"a",'表30-5-2-5-2'!$4:$4,0)-1,FALSE)
-IF($S43-1&lt;=0,0,VLOOKUP($S43-1,'表30-5-2-5-2'!$B$114:$AF$214,MATCH($D43&amp;"a",'表30-5-2-5-2'!$4:$4,0)-1,FALSE))
-VLOOKUP($T43,'表30-5-2-5-2'!$B$114:$AF$214,MATCH($D43,'表30-5-2-5-2'!$4:$4,0)-1,FALSE)*(T43/100-N43/H43)*100
-VLOOKUP($S43,'表30-5-2-5-2'!$B$114:$AF$214,MATCH($D43,'表30-5-2-5-2'!$4:$4,0)-1,FALSE)*(1-(S43/100-M43/H43)*100),0))))</f>
        <v>0</v>
      </c>
      <c r="V43" s="2478">
        <f t="shared" si="4"/>
        <v>0</v>
      </c>
      <c r="W43" s="2478">
        <f t="shared" si="5"/>
        <v>0</v>
      </c>
      <c r="X43" s="2718">
        <f t="shared" si="7"/>
        <v>0</v>
      </c>
      <c r="Y43" s="2718">
        <f t="shared" si="8"/>
        <v>0</v>
      </c>
    </row>
    <row r="44" spans="1:25">
      <c r="A44" s="2473" t="str">
        <f t="shared" si="6"/>
        <v/>
      </c>
      <c r="B44" s="2737"/>
      <c r="C44" s="2737"/>
      <c r="D44" s="2737"/>
      <c r="E44" s="2738"/>
      <c r="F44" s="2738"/>
      <c r="G44" s="2738"/>
      <c r="H44" s="2739"/>
      <c r="I44" s="2741"/>
      <c r="J44" s="2741"/>
      <c r="K44" s="2742"/>
      <c r="L44" s="2742"/>
      <c r="M44" s="2738"/>
      <c r="N44" s="2738"/>
      <c r="O44" s="2474">
        <f t="shared" si="0"/>
        <v>0</v>
      </c>
      <c r="P44" s="2474">
        <f t="shared" si="1"/>
        <v>0</v>
      </c>
      <c r="Q44" s="2475">
        <f t="shared" si="9"/>
        <v>0</v>
      </c>
      <c r="R44" s="2475">
        <f t="shared" si="10"/>
        <v>0</v>
      </c>
      <c r="S44" s="2476">
        <f t="shared" si="2"/>
        <v>0</v>
      </c>
      <c r="T44" s="2476">
        <f t="shared" si="3"/>
        <v>0</v>
      </c>
      <c r="U44" s="2477">
        <f>IF(OR(E44="QS",B44=""),0,
IF(C44="F",VLOOKUP($T44,'表30-5-2-5-1'!$B:$AF,MATCH($D44&amp;"a",'表30-5-2-5-1'!$4:$4,0)-1,FALSE)
-IF($S44-1&lt;=0,0,VLOOKUP($S44-1,'表30-5-2-5-1'!$B:$AF,MATCH($D44&amp;"a",'表30-5-2-5-1'!$4:$4,0)-1,FALSE))
-VLOOKUP($T44,'表30-5-2-5-1'!$B:$AF,MATCH($D44,'表30-5-2-5-1'!$4:$4,0)-1,FALSE)*(T44/100-N44/H44)*100
-VLOOKUP($S44,'表30-5-2-5-1'!$B:$AF,MATCH($D44,'表30-5-2-5-1'!$4:$4,0)-1,FALSE)*(1-(S44/100-M44/H44)*100),
IF(C44="E1",VLOOKUP($T44,'表30-5-2-5-2'!$B$4:$AF$104,MATCH($D44&amp;"a",'表30-5-2-5-2'!$4:$4,0)-1,FALSE)
-IF($S44-1&lt;=0,0,VLOOKUP($S44-1,'表30-5-2-5-2'!$B$4:$AF$104,MATCH($D44&amp;"a",'表30-5-2-5-2'!$4:$4,0)-1,FALSE))
-VLOOKUP($T44,'表30-5-2-5-2'!$B$4:$AF$104,MATCH($D44,'表30-5-2-5-2'!$4:$4,0)-1,FALSE)*(T44/100-N44/H44)*100
-VLOOKUP($S44,'表30-5-2-5-2'!$B$4:$AF$104,MATCH($D44,'表30-5-2-5-2'!$4:$4,0)-1,FALSE)*(1-(S44/100-M44/H44)*100),
IF(C44="E2",VLOOKUP($T44,'表30-5-2-5-2'!$B$114:$AF$214,MATCH($D44&amp;"a",'表30-5-2-5-2'!$4:$4,0)-1,FALSE)
-IF($S44-1&lt;=0,0,VLOOKUP($S44-1,'表30-5-2-5-2'!$B$114:$AF$214,MATCH($D44&amp;"a",'表30-5-2-5-2'!$4:$4,0)-1,FALSE))
-VLOOKUP($T44,'表30-5-2-5-2'!$B$114:$AF$214,MATCH($D44,'表30-5-2-5-2'!$4:$4,0)-1,FALSE)*(T44/100-N44/H44)*100
-VLOOKUP($S44,'表30-5-2-5-2'!$B$114:$AF$214,MATCH($D44,'表30-5-2-5-2'!$4:$4,0)-1,FALSE)*(1-(S44/100-M44/H44)*100),0))))</f>
        <v>0</v>
      </c>
      <c r="V44" s="2478">
        <f t="shared" si="4"/>
        <v>0</v>
      </c>
      <c r="W44" s="2478">
        <f t="shared" si="5"/>
        <v>0</v>
      </c>
      <c r="X44" s="2718">
        <f t="shared" si="7"/>
        <v>0</v>
      </c>
      <c r="Y44" s="2718">
        <f t="shared" si="8"/>
        <v>0</v>
      </c>
    </row>
    <row r="45" spans="1:25">
      <c r="A45" s="2473" t="str">
        <f t="shared" si="6"/>
        <v/>
      </c>
      <c r="B45" s="2737"/>
      <c r="C45" s="2737"/>
      <c r="D45" s="2737"/>
      <c r="E45" s="2738"/>
      <c r="F45" s="2738"/>
      <c r="G45" s="2738"/>
      <c r="H45" s="2739"/>
      <c r="I45" s="2741"/>
      <c r="J45" s="2741"/>
      <c r="K45" s="2742"/>
      <c r="L45" s="2742"/>
      <c r="M45" s="2738"/>
      <c r="N45" s="2738"/>
      <c r="O45" s="2474">
        <f t="shared" si="0"/>
        <v>0</v>
      </c>
      <c r="P45" s="2474">
        <f t="shared" si="1"/>
        <v>0</v>
      </c>
      <c r="Q45" s="2475">
        <f t="shared" si="9"/>
        <v>0</v>
      </c>
      <c r="R45" s="2475">
        <f t="shared" si="10"/>
        <v>0</v>
      </c>
      <c r="S45" s="2476">
        <f t="shared" si="2"/>
        <v>0</v>
      </c>
      <c r="T45" s="2476">
        <f t="shared" si="3"/>
        <v>0</v>
      </c>
      <c r="U45" s="2477">
        <f>IF(OR(E45="QS",B45=""),0,
IF(C45="F",VLOOKUP($T45,'表30-5-2-5-1'!$B:$AF,MATCH($D45&amp;"a",'表30-5-2-5-1'!$4:$4,0)-1,FALSE)
-IF($S45-1&lt;=0,0,VLOOKUP($S45-1,'表30-5-2-5-1'!$B:$AF,MATCH($D45&amp;"a",'表30-5-2-5-1'!$4:$4,0)-1,FALSE))
-VLOOKUP($T45,'表30-5-2-5-1'!$B:$AF,MATCH($D45,'表30-5-2-5-1'!$4:$4,0)-1,FALSE)*(T45/100-N45/H45)*100
-VLOOKUP($S45,'表30-5-2-5-1'!$B:$AF,MATCH($D45,'表30-5-2-5-1'!$4:$4,0)-1,FALSE)*(1-(S45/100-M45/H45)*100),
IF(C45="E1",VLOOKUP($T45,'表30-5-2-5-2'!$B$4:$AF$104,MATCH($D45&amp;"a",'表30-5-2-5-2'!$4:$4,0)-1,FALSE)
-IF($S45-1&lt;=0,0,VLOOKUP($S45-1,'表30-5-2-5-2'!$B$4:$AF$104,MATCH($D45&amp;"a",'表30-5-2-5-2'!$4:$4,0)-1,FALSE))
-VLOOKUP($T45,'表30-5-2-5-2'!$B$4:$AF$104,MATCH($D45,'表30-5-2-5-2'!$4:$4,0)-1,FALSE)*(T45/100-N45/H45)*100
-VLOOKUP($S45,'表30-5-2-5-2'!$B$4:$AF$104,MATCH($D45,'表30-5-2-5-2'!$4:$4,0)-1,FALSE)*(1-(S45/100-M45/H45)*100),
IF(C45="E2",VLOOKUP($T45,'表30-5-2-5-2'!$B$114:$AF$214,MATCH($D45&amp;"a",'表30-5-2-5-2'!$4:$4,0)-1,FALSE)
-IF($S45-1&lt;=0,0,VLOOKUP($S45-1,'表30-5-2-5-2'!$B$114:$AF$214,MATCH($D45&amp;"a",'表30-5-2-5-2'!$4:$4,0)-1,FALSE))
-VLOOKUP($T45,'表30-5-2-5-2'!$B$114:$AF$214,MATCH($D45,'表30-5-2-5-2'!$4:$4,0)-1,FALSE)*(T45/100-N45/H45)*100
-VLOOKUP($S45,'表30-5-2-5-2'!$B$114:$AF$214,MATCH($D45,'表30-5-2-5-2'!$4:$4,0)-1,FALSE)*(1-(S45/100-M45/H45)*100),0))))</f>
        <v>0</v>
      </c>
      <c r="V45" s="2478">
        <f t="shared" si="4"/>
        <v>0</v>
      </c>
      <c r="W45" s="2478">
        <f t="shared" si="5"/>
        <v>0</v>
      </c>
      <c r="X45" s="2718">
        <f t="shared" si="7"/>
        <v>0</v>
      </c>
      <c r="Y45" s="2718">
        <f t="shared" si="8"/>
        <v>0</v>
      </c>
    </row>
    <row r="46" spans="1:25">
      <c r="A46" s="2473" t="str">
        <f t="shared" si="6"/>
        <v/>
      </c>
      <c r="B46" s="2737"/>
      <c r="C46" s="2737"/>
      <c r="D46" s="2737"/>
      <c r="E46" s="2738"/>
      <c r="F46" s="2738"/>
      <c r="G46" s="2738"/>
      <c r="H46" s="2739"/>
      <c r="I46" s="2741"/>
      <c r="J46" s="2741"/>
      <c r="K46" s="2742"/>
      <c r="L46" s="2742"/>
      <c r="M46" s="2738"/>
      <c r="N46" s="2738"/>
      <c r="O46" s="2474">
        <f t="shared" si="0"/>
        <v>0</v>
      </c>
      <c r="P46" s="2474">
        <f t="shared" si="1"/>
        <v>0</v>
      </c>
      <c r="Q46" s="2475">
        <f t="shared" si="9"/>
        <v>0</v>
      </c>
      <c r="R46" s="2475">
        <f t="shared" si="10"/>
        <v>0</v>
      </c>
      <c r="S46" s="2476">
        <f t="shared" si="2"/>
        <v>0</v>
      </c>
      <c r="T46" s="2476">
        <f t="shared" si="3"/>
        <v>0</v>
      </c>
      <c r="U46" s="2477">
        <f>IF(OR(E46="QS",B46=""),0,
IF(C46="F",VLOOKUP($T46,'表30-5-2-5-1'!$B:$AF,MATCH($D46&amp;"a",'表30-5-2-5-1'!$4:$4,0)-1,FALSE)
-IF($S46-1&lt;=0,0,VLOOKUP($S46-1,'表30-5-2-5-1'!$B:$AF,MATCH($D46&amp;"a",'表30-5-2-5-1'!$4:$4,0)-1,FALSE))
-VLOOKUP($T46,'表30-5-2-5-1'!$B:$AF,MATCH($D46,'表30-5-2-5-1'!$4:$4,0)-1,FALSE)*(T46/100-N46/H46)*100
-VLOOKUP($S46,'表30-5-2-5-1'!$B:$AF,MATCH($D46,'表30-5-2-5-1'!$4:$4,0)-1,FALSE)*(1-(S46/100-M46/H46)*100),
IF(C46="E1",VLOOKUP($T46,'表30-5-2-5-2'!$B$4:$AF$104,MATCH($D46&amp;"a",'表30-5-2-5-2'!$4:$4,0)-1,FALSE)
-IF($S46-1&lt;=0,0,VLOOKUP($S46-1,'表30-5-2-5-2'!$B$4:$AF$104,MATCH($D46&amp;"a",'表30-5-2-5-2'!$4:$4,0)-1,FALSE))
-VLOOKUP($T46,'表30-5-2-5-2'!$B$4:$AF$104,MATCH($D46,'表30-5-2-5-2'!$4:$4,0)-1,FALSE)*(T46/100-N46/H46)*100
-VLOOKUP($S46,'表30-5-2-5-2'!$B$4:$AF$104,MATCH($D46,'表30-5-2-5-2'!$4:$4,0)-1,FALSE)*(1-(S46/100-M46/H46)*100),
IF(C46="E2",VLOOKUP($T46,'表30-5-2-5-2'!$B$114:$AF$214,MATCH($D46&amp;"a",'表30-5-2-5-2'!$4:$4,0)-1,FALSE)
-IF($S46-1&lt;=0,0,VLOOKUP($S46-1,'表30-5-2-5-2'!$B$114:$AF$214,MATCH($D46&amp;"a",'表30-5-2-5-2'!$4:$4,0)-1,FALSE))
-VLOOKUP($T46,'表30-5-2-5-2'!$B$114:$AF$214,MATCH($D46,'表30-5-2-5-2'!$4:$4,0)-1,FALSE)*(T46/100-N46/H46)*100
-VLOOKUP($S46,'表30-5-2-5-2'!$B$114:$AF$214,MATCH($D46,'表30-5-2-5-2'!$4:$4,0)-1,FALSE)*(1-(S46/100-M46/H46)*100),0))))</f>
        <v>0</v>
      </c>
      <c r="V46" s="2478">
        <f t="shared" si="4"/>
        <v>0</v>
      </c>
      <c r="W46" s="2478">
        <f t="shared" si="5"/>
        <v>0</v>
      </c>
      <c r="X46" s="2718">
        <f t="shared" si="7"/>
        <v>0</v>
      </c>
      <c r="Y46" s="2718">
        <f t="shared" si="8"/>
        <v>0</v>
      </c>
    </row>
    <row r="47" spans="1:25">
      <c r="A47" s="2473" t="str">
        <f t="shared" si="6"/>
        <v/>
      </c>
      <c r="B47" s="2737"/>
      <c r="C47" s="2737"/>
      <c r="D47" s="2737"/>
      <c r="E47" s="2738"/>
      <c r="F47" s="2738"/>
      <c r="G47" s="2738"/>
      <c r="H47" s="2739"/>
      <c r="I47" s="2741"/>
      <c r="J47" s="2741"/>
      <c r="K47" s="2742"/>
      <c r="L47" s="2742"/>
      <c r="M47" s="2738"/>
      <c r="N47" s="2738"/>
      <c r="O47" s="2474">
        <f t="shared" si="0"/>
        <v>0</v>
      </c>
      <c r="P47" s="2474">
        <f t="shared" si="1"/>
        <v>0</v>
      </c>
      <c r="Q47" s="2475">
        <f t="shared" si="9"/>
        <v>0</v>
      </c>
      <c r="R47" s="2475">
        <f t="shared" si="10"/>
        <v>0</v>
      </c>
      <c r="S47" s="2476">
        <f t="shared" si="2"/>
        <v>0</v>
      </c>
      <c r="T47" s="2476">
        <f t="shared" si="3"/>
        <v>0</v>
      </c>
      <c r="U47" s="2477">
        <f>IF(OR(E47="QS",B47=""),0,
IF(C47="F",VLOOKUP($T47,'表30-5-2-5-1'!$B:$AF,MATCH($D47&amp;"a",'表30-5-2-5-1'!$4:$4,0)-1,FALSE)
-IF($S47-1&lt;=0,0,VLOOKUP($S47-1,'表30-5-2-5-1'!$B:$AF,MATCH($D47&amp;"a",'表30-5-2-5-1'!$4:$4,0)-1,FALSE))
-VLOOKUP($T47,'表30-5-2-5-1'!$B:$AF,MATCH($D47,'表30-5-2-5-1'!$4:$4,0)-1,FALSE)*(T47/100-N47/H47)*100
-VLOOKUP($S47,'表30-5-2-5-1'!$B:$AF,MATCH($D47,'表30-5-2-5-1'!$4:$4,0)-1,FALSE)*(1-(S47/100-M47/H47)*100),
IF(C47="E1",VLOOKUP($T47,'表30-5-2-5-2'!$B$4:$AF$104,MATCH($D47&amp;"a",'表30-5-2-5-2'!$4:$4,0)-1,FALSE)
-IF($S47-1&lt;=0,0,VLOOKUP($S47-1,'表30-5-2-5-2'!$B$4:$AF$104,MATCH($D47&amp;"a",'表30-5-2-5-2'!$4:$4,0)-1,FALSE))
-VLOOKUP($T47,'表30-5-2-5-2'!$B$4:$AF$104,MATCH($D47,'表30-5-2-5-2'!$4:$4,0)-1,FALSE)*(T47/100-N47/H47)*100
-VLOOKUP($S47,'表30-5-2-5-2'!$B$4:$AF$104,MATCH($D47,'表30-5-2-5-2'!$4:$4,0)-1,FALSE)*(1-(S47/100-M47/H47)*100),
IF(C47="E2",VLOOKUP($T47,'表30-5-2-5-2'!$B$114:$AF$214,MATCH($D47&amp;"a",'表30-5-2-5-2'!$4:$4,0)-1,FALSE)
-IF($S47-1&lt;=0,0,VLOOKUP($S47-1,'表30-5-2-5-2'!$B$114:$AF$214,MATCH($D47&amp;"a",'表30-5-2-5-2'!$4:$4,0)-1,FALSE))
-VLOOKUP($T47,'表30-5-2-5-2'!$B$114:$AF$214,MATCH($D47,'表30-5-2-5-2'!$4:$4,0)-1,FALSE)*(T47/100-N47/H47)*100
-VLOOKUP($S47,'表30-5-2-5-2'!$B$114:$AF$214,MATCH($D47,'表30-5-2-5-2'!$4:$4,0)-1,FALSE)*(1-(S47/100-M47/H47)*100),0))))</f>
        <v>0</v>
      </c>
      <c r="V47" s="2478">
        <f t="shared" si="4"/>
        <v>0</v>
      </c>
      <c r="W47" s="2478">
        <f t="shared" si="5"/>
        <v>0</v>
      </c>
      <c r="X47" s="2718">
        <f t="shared" si="7"/>
        <v>0</v>
      </c>
      <c r="Y47" s="2718">
        <f t="shared" si="8"/>
        <v>0</v>
      </c>
    </row>
    <row r="48" spans="1:25">
      <c r="A48" s="2473" t="str">
        <f t="shared" si="6"/>
        <v/>
      </c>
      <c r="B48" s="2737"/>
      <c r="C48" s="2737"/>
      <c r="D48" s="2737"/>
      <c r="E48" s="2738"/>
      <c r="F48" s="2738"/>
      <c r="G48" s="2738"/>
      <c r="H48" s="2739"/>
      <c r="I48" s="2741"/>
      <c r="J48" s="2741"/>
      <c r="K48" s="2742"/>
      <c r="L48" s="2742"/>
      <c r="M48" s="2738"/>
      <c r="N48" s="2738"/>
      <c r="O48" s="2474">
        <f t="shared" si="0"/>
        <v>0</v>
      </c>
      <c r="P48" s="2474">
        <f t="shared" si="1"/>
        <v>0</v>
      </c>
      <c r="Q48" s="2475">
        <f t="shared" si="9"/>
        <v>0</v>
      </c>
      <c r="R48" s="2475">
        <f t="shared" si="10"/>
        <v>0</v>
      </c>
      <c r="S48" s="2476">
        <f t="shared" si="2"/>
        <v>0</v>
      </c>
      <c r="T48" s="2476">
        <f t="shared" si="3"/>
        <v>0</v>
      </c>
      <c r="U48" s="2477">
        <f>IF(OR(E48="QS",B48=""),0,
IF(C48="F",VLOOKUP($T48,'表30-5-2-5-1'!$B:$AF,MATCH($D48&amp;"a",'表30-5-2-5-1'!$4:$4,0)-1,FALSE)
-IF($S48-1&lt;=0,0,VLOOKUP($S48-1,'表30-5-2-5-1'!$B:$AF,MATCH($D48&amp;"a",'表30-5-2-5-1'!$4:$4,0)-1,FALSE))
-VLOOKUP($T48,'表30-5-2-5-1'!$B:$AF,MATCH($D48,'表30-5-2-5-1'!$4:$4,0)-1,FALSE)*(T48/100-N48/H48)*100
-VLOOKUP($S48,'表30-5-2-5-1'!$B:$AF,MATCH($D48,'表30-5-2-5-1'!$4:$4,0)-1,FALSE)*(1-(S48/100-M48/H48)*100),
IF(C48="E1",VLOOKUP($T48,'表30-5-2-5-2'!$B$4:$AF$104,MATCH($D48&amp;"a",'表30-5-2-5-2'!$4:$4,0)-1,FALSE)
-IF($S48-1&lt;=0,0,VLOOKUP($S48-1,'表30-5-2-5-2'!$B$4:$AF$104,MATCH($D48&amp;"a",'表30-5-2-5-2'!$4:$4,0)-1,FALSE))
-VLOOKUP($T48,'表30-5-2-5-2'!$B$4:$AF$104,MATCH($D48,'表30-5-2-5-2'!$4:$4,0)-1,FALSE)*(T48/100-N48/H48)*100
-VLOOKUP($S48,'表30-5-2-5-2'!$B$4:$AF$104,MATCH($D48,'表30-5-2-5-2'!$4:$4,0)-1,FALSE)*(1-(S48/100-M48/H48)*100),
IF(C48="E2",VLOOKUP($T48,'表30-5-2-5-2'!$B$114:$AF$214,MATCH($D48&amp;"a",'表30-5-2-5-2'!$4:$4,0)-1,FALSE)
-IF($S48-1&lt;=0,0,VLOOKUP($S48-1,'表30-5-2-5-2'!$B$114:$AF$214,MATCH($D48&amp;"a",'表30-5-2-5-2'!$4:$4,0)-1,FALSE))
-VLOOKUP($T48,'表30-5-2-5-2'!$B$114:$AF$214,MATCH($D48,'表30-5-2-5-2'!$4:$4,0)-1,FALSE)*(T48/100-N48/H48)*100
-VLOOKUP($S48,'表30-5-2-5-2'!$B$114:$AF$214,MATCH($D48,'表30-5-2-5-2'!$4:$4,0)-1,FALSE)*(1-(S48/100-M48/H48)*100),0))))</f>
        <v>0</v>
      </c>
      <c r="V48" s="2478">
        <f t="shared" si="4"/>
        <v>0</v>
      </c>
      <c r="W48" s="2478">
        <f t="shared" si="5"/>
        <v>0</v>
      </c>
      <c r="X48" s="2718">
        <f t="shared" si="7"/>
        <v>0</v>
      </c>
      <c r="Y48" s="2718">
        <f t="shared" si="8"/>
        <v>0</v>
      </c>
    </row>
    <row r="49" spans="1:25">
      <c r="A49" s="2473" t="str">
        <f t="shared" si="6"/>
        <v/>
      </c>
      <c r="B49" s="2737"/>
      <c r="C49" s="2737"/>
      <c r="D49" s="2737"/>
      <c r="E49" s="2738"/>
      <c r="F49" s="2738"/>
      <c r="G49" s="2738"/>
      <c r="H49" s="2739"/>
      <c r="I49" s="2741"/>
      <c r="J49" s="2741"/>
      <c r="K49" s="2742"/>
      <c r="L49" s="2742"/>
      <c r="M49" s="2738"/>
      <c r="N49" s="2738"/>
      <c r="O49" s="2474">
        <f t="shared" si="0"/>
        <v>0</v>
      </c>
      <c r="P49" s="2474">
        <f t="shared" si="1"/>
        <v>0</v>
      </c>
      <c r="Q49" s="2475">
        <f t="shared" si="9"/>
        <v>0</v>
      </c>
      <c r="R49" s="2475">
        <f t="shared" si="10"/>
        <v>0</v>
      </c>
      <c r="S49" s="2476">
        <f t="shared" si="2"/>
        <v>0</v>
      </c>
      <c r="T49" s="2476">
        <f t="shared" si="3"/>
        <v>0</v>
      </c>
      <c r="U49" s="2477">
        <f>IF(OR(E49="QS",B49=""),0,
IF(C49="F",VLOOKUP($T49,'表30-5-2-5-1'!$B:$AF,MATCH($D49&amp;"a",'表30-5-2-5-1'!$4:$4,0)-1,FALSE)
-IF($S49-1&lt;=0,0,VLOOKUP($S49-1,'表30-5-2-5-1'!$B:$AF,MATCH($D49&amp;"a",'表30-5-2-5-1'!$4:$4,0)-1,FALSE))
-VLOOKUP($T49,'表30-5-2-5-1'!$B:$AF,MATCH($D49,'表30-5-2-5-1'!$4:$4,0)-1,FALSE)*(T49/100-N49/H49)*100
-VLOOKUP($S49,'表30-5-2-5-1'!$B:$AF,MATCH($D49,'表30-5-2-5-1'!$4:$4,0)-1,FALSE)*(1-(S49/100-M49/H49)*100),
IF(C49="E1",VLOOKUP($T49,'表30-5-2-5-2'!$B$4:$AF$104,MATCH($D49&amp;"a",'表30-5-2-5-2'!$4:$4,0)-1,FALSE)
-IF($S49-1&lt;=0,0,VLOOKUP($S49-1,'表30-5-2-5-2'!$B$4:$AF$104,MATCH($D49&amp;"a",'表30-5-2-5-2'!$4:$4,0)-1,FALSE))
-VLOOKUP($T49,'表30-5-2-5-2'!$B$4:$AF$104,MATCH($D49,'表30-5-2-5-2'!$4:$4,0)-1,FALSE)*(T49/100-N49/H49)*100
-VLOOKUP($S49,'表30-5-2-5-2'!$B$4:$AF$104,MATCH($D49,'表30-5-2-5-2'!$4:$4,0)-1,FALSE)*(1-(S49/100-M49/H49)*100),
IF(C49="E2",VLOOKUP($T49,'表30-5-2-5-2'!$B$114:$AF$214,MATCH($D49&amp;"a",'表30-5-2-5-2'!$4:$4,0)-1,FALSE)
-IF($S49-1&lt;=0,0,VLOOKUP($S49-1,'表30-5-2-5-2'!$B$114:$AF$214,MATCH($D49&amp;"a",'表30-5-2-5-2'!$4:$4,0)-1,FALSE))
-VLOOKUP($T49,'表30-5-2-5-2'!$B$114:$AF$214,MATCH($D49,'表30-5-2-5-2'!$4:$4,0)-1,FALSE)*(T49/100-N49/H49)*100
-VLOOKUP($S49,'表30-5-2-5-2'!$B$114:$AF$214,MATCH($D49,'表30-5-2-5-2'!$4:$4,0)-1,FALSE)*(1-(S49/100-M49/H49)*100),0))))</f>
        <v>0</v>
      </c>
      <c r="V49" s="2478">
        <f t="shared" si="4"/>
        <v>0</v>
      </c>
      <c r="W49" s="2478">
        <f t="shared" si="5"/>
        <v>0</v>
      </c>
      <c r="X49" s="2718">
        <f t="shared" si="7"/>
        <v>0</v>
      </c>
      <c r="Y49" s="2718">
        <f t="shared" si="8"/>
        <v>0</v>
      </c>
    </row>
    <row r="50" spans="1:25">
      <c r="A50" s="2473" t="str">
        <f t="shared" si="6"/>
        <v/>
      </c>
      <c r="B50" s="2737"/>
      <c r="C50" s="2737"/>
      <c r="D50" s="2737"/>
      <c r="E50" s="2738"/>
      <c r="F50" s="2738"/>
      <c r="G50" s="2738"/>
      <c r="H50" s="2739"/>
      <c r="I50" s="2741"/>
      <c r="J50" s="2741"/>
      <c r="K50" s="2742"/>
      <c r="L50" s="2742"/>
      <c r="M50" s="2738"/>
      <c r="N50" s="2738"/>
      <c r="O50" s="2474">
        <f t="shared" si="0"/>
        <v>0</v>
      </c>
      <c r="P50" s="2474">
        <f t="shared" si="1"/>
        <v>0</v>
      </c>
      <c r="Q50" s="2475">
        <f t="shared" si="9"/>
        <v>0</v>
      </c>
      <c r="R50" s="2475">
        <f t="shared" si="10"/>
        <v>0</v>
      </c>
      <c r="S50" s="2476">
        <f t="shared" si="2"/>
        <v>0</v>
      </c>
      <c r="T50" s="2476">
        <f t="shared" si="3"/>
        <v>0</v>
      </c>
      <c r="U50" s="2477">
        <f>IF(OR(E50="QS",B50=""),0,
IF(C50="F",VLOOKUP($T50,'表30-5-2-5-1'!$B:$AF,MATCH($D50&amp;"a",'表30-5-2-5-1'!$4:$4,0)-1,FALSE)
-IF($S50-1&lt;=0,0,VLOOKUP($S50-1,'表30-5-2-5-1'!$B:$AF,MATCH($D50&amp;"a",'表30-5-2-5-1'!$4:$4,0)-1,FALSE))
-VLOOKUP($T50,'表30-5-2-5-1'!$B:$AF,MATCH($D50,'表30-5-2-5-1'!$4:$4,0)-1,FALSE)*(T50/100-N50/H50)*100
-VLOOKUP($S50,'表30-5-2-5-1'!$B:$AF,MATCH($D50,'表30-5-2-5-1'!$4:$4,0)-1,FALSE)*(1-(S50/100-M50/H50)*100),
IF(C50="E1",VLOOKUP($T50,'表30-5-2-5-2'!$B$4:$AF$104,MATCH($D50&amp;"a",'表30-5-2-5-2'!$4:$4,0)-1,FALSE)
-IF($S50-1&lt;=0,0,VLOOKUP($S50-1,'表30-5-2-5-2'!$B$4:$AF$104,MATCH($D50&amp;"a",'表30-5-2-5-2'!$4:$4,0)-1,FALSE))
-VLOOKUP($T50,'表30-5-2-5-2'!$B$4:$AF$104,MATCH($D50,'表30-5-2-5-2'!$4:$4,0)-1,FALSE)*(T50/100-N50/H50)*100
-VLOOKUP($S50,'表30-5-2-5-2'!$B$4:$AF$104,MATCH($D50,'表30-5-2-5-2'!$4:$4,0)-1,FALSE)*(1-(S50/100-M50/H50)*100),
IF(C50="E2",VLOOKUP($T50,'表30-5-2-5-2'!$B$114:$AF$214,MATCH($D50&amp;"a",'表30-5-2-5-2'!$4:$4,0)-1,FALSE)
-IF($S50-1&lt;=0,0,VLOOKUP($S50-1,'表30-5-2-5-2'!$B$114:$AF$214,MATCH($D50&amp;"a",'表30-5-2-5-2'!$4:$4,0)-1,FALSE))
-VLOOKUP($T50,'表30-5-2-5-2'!$B$114:$AF$214,MATCH($D50,'表30-5-2-5-2'!$4:$4,0)-1,FALSE)*(T50/100-N50/H50)*100
-VLOOKUP($S50,'表30-5-2-5-2'!$B$114:$AF$214,MATCH($D50,'表30-5-2-5-2'!$4:$4,0)-1,FALSE)*(1-(S50/100-M50/H50)*100),0))))</f>
        <v>0</v>
      </c>
      <c r="V50" s="2478">
        <f t="shared" si="4"/>
        <v>0</v>
      </c>
      <c r="W50" s="2478">
        <f t="shared" si="5"/>
        <v>0</v>
      </c>
      <c r="X50" s="2718">
        <f t="shared" si="7"/>
        <v>0</v>
      </c>
      <c r="Y50" s="2718">
        <f t="shared" si="8"/>
        <v>0</v>
      </c>
    </row>
    <row r="51" spans="1:25">
      <c r="A51" s="2473" t="str">
        <f t="shared" si="6"/>
        <v/>
      </c>
      <c r="B51" s="2737"/>
      <c r="C51" s="2737"/>
      <c r="D51" s="2737"/>
      <c r="E51" s="2738"/>
      <c r="F51" s="2738"/>
      <c r="G51" s="2738"/>
      <c r="H51" s="2739"/>
      <c r="I51" s="2741"/>
      <c r="J51" s="2741"/>
      <c r="K51" s="2742"/>
      <c r="L51" s="2742"/>
      <c r="M51" s="2738"/>
      <c r="N51" s="2738"/>
      <c r="O51" s="2474">
        <f t="shared" si="0"/>
        <v>0</v>
      </c>
      <c r="P51" s="2474">
        <f t="shared" si="1"/>
        <v>0</v>
      </c>
      <c r="Q51" s="2475">
        <f t="shared" si="9"/>
        <v>0</v>
      </c>
      <c r="R51" s="2475">
        <f t="shared" si="10"/>
        <v>0</v>
      </c>
      <c r="S51" s="2476">
        <f t="shared" si="2"/>
        <v>0</v>
      </c>
      <c r="T51" s="2476">
        <f t="shared" si="3"/>
        <v>0</v>
      </c>
      <c r="U51" s="2477">
        <f>IF(OR(E51="QS",B51=""),0,
IF(C51="F",VLOOKUP($T51,'表30-5-2-5-1'!$B:$AF,MATCH($D51&amp;"a",'表30-5-2-5-1'!$4:$4,0)-1,FALSE)
-IF($S51-1&lt;=0,0,VLOOKUP($S51-1,'表30-5-2-5-1'!$B:$AF,MATCH($D51&amp;"a",'表30-5-2-5-1'!$4:$4,0)-1,FALSE))
-VLOOKUP($T51,'表30-5-2-5-1'!$B:$AF,MATCH($D51,'表30-5-2-5-1'!$4:$4,0)-1,FALSE)*(T51/100-N51/H51)*100
-VLOOKUP($S51,'表30-5-2-5-1'!$B:$AF,MATCH($D51,'表30-5-2-5-1'!$4:$4,0)-1,FALSE)*(1-(S51/100-M51/H51)*100),
IF(C51="E1",VLOOKUP($T51,'表30-5-2-5-2'!$B$4:$AF$104,MATCH($D51&amp;"a",'表30-5-2-5-2'!$4:$4,0)-1,FALSE)
-IF($S51-1&lt;=0,0,VLOOKUP($S51-1,'表30-5-2-5-2'!$B$4:$AF$104,MATCH($D51&amp;"a",'表30-5-2-5-2'!$4:$4,0)-1,FALSE))
-VLOOKUP($T51,'表30-5-2-5-2'!$B$4:$AF$104,MATCH($D51,'表30-5-2-5-2'!$4:$4,0)-1,FALSE)*(T51/100-N51/H51)*100
-VLOOKUP($S51,'表30-5-2-5-2'!$B$4:$AF$104,MATCH($D51,'表30-5-2-5-2'!$4:$4,0)-1,FALSE)*(1-(S51/100-M51/H51)*100),
IF(C51="E2",VLOOKUP($T51,'表30-5-2-5-2'!$B$114:$AF$214,MATCH($D51&amp;"a",'表30-5-2-5-2'!$4:$4,0)-1,FALSE)
-IF($S51-1&lt;=0,0,VLOOKUP($S51-1,'表30-5-2-5-2'!$B$114:$AF$214,MATCH($D51&amp;"a",'表30-5-2-5-2'!$4:$4,0)-1,FALSE))
-VLOOKUP($T51,'表30-5-2-5-2'!$B$114:$AF$214,MATCH($D51,'表30-5-2-5-2'!$4:$4,0)-1,FALSE)*(T51/100-N51/H51)*100
-VLOOKUP($S51,'表30-5-2-5-2'!$B$114:$AF$214,MATCH($D51,'表30-5-2-5-2'!$4:$4,0)-1,FALSE)*(1-(S51/100-M51/H51)*100),0))))</f>
        <v>0</v>
      </c>
      <c r="V51" s="2478">
        <f t="shared" si="4"/>
        <v>0</v>
      </c>
      <c r="W51" s="2478">
        <f t="shared" si="5"/>
        <v>0</v>
      </c>
      <c r="X51" s="2718">
        <f t="shared" si="7"/>
        <v>0</v>
      </c>
      <c r="Y51" s="2718">
        <f t="shared" si="8"/>
        <v>0</v>
      </c>
    </row>
    <row r="52" spans="1:25">
      <c r="A52" s="2473" t="str">
        <f t="shared" si="6"/>
        <v/>
      </c>
      <c r="B52" s="2737"/>
      <c r="C52" s="2737"/>
      <c r="D52" s="2737"/>
      <c r="E52" s="2738"/>
      <c r="F52" s="2738"/>
      <c r="G52" s="2738"/>
      <c r="H52" s="2739"/>
      <c r="I52" s="2741"/>
      <c r="J52" s="2741"/>
      <c r="K52" s="2742"/>
      <c r="L52" s="2742"/>
      <c r="M52" s="2738"/>
      <c r="N52" s="2738"/>
      <c r="O52" s="2474">
        <f t="shared" si="0"/>
        <v>0</v>
      </c>
      <c r="P52" s="2474">
        <f t="shared" si="1"/>
        <v>0</v>
      </c>
      <c r="Q52" s="2475">
        <f t="shared" si="9"/>
        <v>0</v>
      </c>
      <c r="R52" s="2475">
        <f t="shared" si="10"/>
        <v>0</v>
      </c>
      <c r="S52" s="2476">
        <f t="shared" si="2"/>
        <v>0</v>
      </c>
      <c r="T52" s="2476">
        <f t="shared" si="3"/>
        <v>0</v>
      </c>
      <c r="U52" s="2477">
        <f>IF(OR(E52="QS",B52=""),0,
IF(C52="F",VLOOKUP($T52,'表30-5-2-5-1'!$B:$AF,MATCH($D52&amp;"a",'表30-5-2-5-1'!$4:$4,0)-1,FALSE)
-IF($S52-1&lt;=0,0,VLOOKUP($S52-1,'表30-5-2-5-1'!$B:$AF,MATCH($D52&amp;"a",'表30-5-2-5-1'!$4:$4,0)-1,FALSE))
-VLOOKUP($T52,'表30-5-2-5-1'!$B:$AF,MATCH($D52,'表30-5-2-5-1'!$4:$4,0)-1,FALSE)*(T52/100-N52/H52)*100
-VLOOKUP($S52,'表30-5-2-5-1'!$B:$AF,MATCH($D52,'表30-5-2-5-1'!$4:$4,0)-1,FALSE)*(1-(S52/100-M52/H52)*100),
IF(C52="E1",VLOOKUP($T52,'表30-5-2-5-2'!$B$4:$AF$104,MATCH($D52&amp;"a",'表30-5-2-5-2'!$4:$4,0)-1,FALSE)
-IF($S52-1&lt;=0,0,VLOOKUP($S52-1,'表30-5-2-5-2'!$B$4:$AF$104,MATCH($D52&amp;"a",'表30-5-2-5-2'!$4:$4,0)-1,FALSE))
-VLOOKUP($T52,'表30-5-2-5-2'!$B$4:$AF$104,MATCH($D52,'表30-5-2-5-2'!$4:$4,0)-1,FALSE)*(T52/100-N52/H52)*100
-VLOOKUP($S52,'表30-5-2-5-2'!$B$4:$AF$104,MATCH($D52,'表30-5-2-5-2'!$4:$4,0)-1,FALSE)*(1-(S52/100-M52/H52)*100),
IF(C52="E2",VLOOKUP($T52,'表30-5-2-5-2'!$B$114:$AF$214,MATCH($D52&amp;"a",'表30-5-2-5-2'!$4:$4,0)-1,FALSE)
-IF($S52-1&lt;=0,0,VLOOKUP($S52-1,'表30-5-2-5-2'!$B$114:$AF$214,MATCH($D52&amp;"a",'表30-5-2-5-2'!$4:$4,0)-1,FALSE))
-VLOOKUP($T52,'表30-5-2-5-2'!$B$114:$AF$214,MATCH($D52,'表30-5-2-5-2'!$4:$4,0)-1,FALSE)*(T52/100-N52/H52)*100
-VLOOKUP($S52,'表30-5-2-5-2'!$B$114:$AF$214,MATCH($D52,'表30-5-2-5-2'!$4:$4,0)-1,FALSE)*(1-(S52/100-M52/H52)*100),0))))</f>
        <v>0</v>
      </c>
      <c r="V52" s="2478">
        <f t="shared" si="4"/>
        <v>0</v>
      </c>
      <c r="W52" s="2478">
        <f t="shared" si="5"/>
        <v>0</v>
      </c>
      <c r="X52" s="2718">
        <f t="shared" si="7"/>
        <v>0</v>
      </c>
      <c r="Y52" s="2718">
        <f t="shared" si="8"/>
        <v>0</v>
      </c>
    </row>
    <row r="53" spans="1:25">
      <c r="A53" s="2473" t="str">
        <f t="shared" si="6"/>
        <v/>
      </c>
      <c r="B53" s="2737"/>
      <c r="C53" s="2737"/>
      <c r="D53" s="2737"/>
      <c r="E53" s="2738"/>
      <c r="F53" s="2738"/>
      <c r="G53" s="2738"/>
      <c r="H53" s="2739"/>
      <c r="I53" s="2741"/>
      <c r="J53" s="2741"/>
      <c r="K53" s="2742"/>
      <c r="L53" s="2742"/>
      <c r="M53" s="2738"/>
      <c r="N53" s="2738"/>
      <c r="O53" s="2474">
        <f t="shared" si="0"/>
        <v>0</v>
      </c>
      <c r="P53" s="2474">
        <f t="shared" si="1"/>
        <v>0</v>
      </c>
      <c r="Q53" s="2475">
        <f t="shared" si="9"/>
        <v>0</v>
      </c>
      <c r="R53" s="2475">
        <f t="shared" si="10"/>
        <v>0</v>
      </c>
      <c r="S53" s="2476">
        <f t="shared" si="2"/>
        <v>0</v>
      </c>
      <c r="T53" s="2476">
        <f t="shared" si="3"/>
        <v>0</v>
      </c>
      <c r="U53" s="2477">
        <f>IF(OR(E53="QS",B53=""),0,
IF(C53="F",VLOOKUP($T53,'表30-5-2-5-1'!$B:$AF,MATCH($D53&amp;"a",'表30-5-2-5-1'!$4:$4,0)-1,FALSE)
-IF($S53-1&lt;=0,0,VLOOKUP($S53-1,'表30-5-2-5-1'!$B:$AF,MATCH($D53&amp;"a",'表30-5-2-5-1'!$4:$4,0)-1,FALSE))
-VLOOKUP($T53,'表30-5-2-5-1'!$B:$AF,MATCH($D53,'表30-5-2-5-1'!$4:$4,0)-1,FALSE)*(T53/100-N53/H53)*100
-VLOOKUP($S53,'表30-5-2-5-1'!$B:$AF,MATCH($D53,'表30-5-2-5-1'!$4:$4,0)-1,FALSE)*(1-(S53/100-M53/H53)*100),
IF(C53="E1",VLOOKUP($T53,'表30-5-2-5-2'!$B$4:$AF$104,MATCH($D53&amp;"a",'表30-5-2-5-2'!$4:$4,0)-1,FALSE)
-IF($S53-1&lt;=0,0,VLOOKUP($S53-1,'表30-5-2-5-2'!$B$4:$AF$104,MATCH($D53&amp;"a",'表30-5-2-5-2'!$4:$4,0)-1,FALSE))
-VLOOKUP($T53,'表30-5-2-5-2'!$B$4:$AF$104,MATCH($D53,'表30-5-2-5-2'!$4:$4,0)-1,FALSE)*(T53/100-N53/H53)*100
-VLOOKUP($S53,'表30-5-2-5-2'!$B$4:$AF$104,MATCH($D53,'表30-5-2-5-2'!$4:$4,0)-1,FALSE)*(1-(S53/100-M53/H53)*100),
IF(C53="E2",VLOOKUP($T53,'表30-5-2-5-2'!$B$114:$AF$214,MATCH($D53&amp;"a",'表30-5-2-5-2'!$4:$4,0)-1,FALSE)
-IF($S53-1&lt;=0,0,VLOOKUP($S53-1,'表30-5-2-5-2'!$B$114:$AF$214,MATCH($D53&amp;"a",'表30-5-2-5-2'!$4:$4,0)-1,FALSE))
-VLOOKUP($T53,'表30-5-2-5-2'!$B$114:$AF$214,MATCH($D53,'表30-5-2-5-2'!$4:$4,0)-1,FALSE)*(T53/100-N53/H53)*100
-VLOOKUP($S53,'表30-5-2-5-2'!$B$114:$AF$214,MATCH($D53,'表30-5-2-5-2'!$4:$4,0)-1,FALSE)*(1-(S53/100-M53/H53)*100),0))))</f>
        <v>0</v>
      </c>
      <c r="V53" s="2478">
        <f t="shared" si="4"/>
        <v>0</v>
      </c>
      <c r="W53" s="2478">
        <f t="shared" si="5"/>
        <v>0</v>
      </c>
      <c r="X53" s="2718">
        <f t="shared" si="7"/>
        <v>0</v>
      </c>
      <c r="Y53" s="2718">
        <f t="shared" si="8"/>
        <v>0</v>
      </c>
    </row>
    <row r="54" spans="1:25">
      <c r="A54" s="2473" t="str">
        <f t="shared" si="6"/>
        <v/>
      </c>
      <c r="B54" s="2737"/>
      <c r="C54" s="2737"/>
      <c r="D54" s="2737"/>
      <c r="E54" s="2738"/>
      <c r="F54" s="2738"/>
      <c r="G54" s="2738"/>
      <c r="H54" s="2739"/>
      <c r="I54" s="2741"/>
      <c r="J54" s="2741"/>
      <c r="K54" s="2742"/>
      <c r="L54" s="2742"/>
      <c r="M54" s="2738"/>
      <c r="N54" s="2738"/>
      <c r="O54" s="2474">
        <f t="shared" si="0"/>
        <v>0</v>
      </c>
      <c r="P54" s="2474">
        <f t="shared" si="1"/>
        <v>0</v>
      </c>
      <c r="Q54" s="2475">
        <f t="shared" si="9"/>
        <v>0</v>
      </c>
      <c r="R54" s="2475">
        <f t="shared" si="10"/>
        <v>0</v>
      </c>
      <c r="S54" s="2476">
        <f t="shared" si="2"/>
        <v>0</v>
      </c>
      <c r="T54" s="2476">
        <f t="shared" si="3"/>
        <v>0</v>
      </c>
      <c r="U54" s="2477">
        <f>IF(OR(E54="QS",B54=""),0,
IF(C54="F",VLOOKUP($T54,'表30-5-2-5-1'!$B:$AF,MATCH($D54&amp;"a",'表30-5-2-5-1'!$4:$4,0)-1,FALSE)
-IF($S54-1&lt;=0,0,VLOOKUP($S54-1,'表30-5-2-5-1'!$B:$AF,MATCH($D54&amp;"a",'表30-5-2-5-1'!$4:$4,0)-1,FALSE))
-VLOOKUP($T54,'表30-5-2-5-1'!$B:$AF,MATCH($D54,'表30-5-2-5-1'!$4:$4,0)-1,FALSE)*(T54/100-N54/H54)*100
-VLOOKUP($S54,'表30-5-2-5-1'!$B:$AF,MATCH($D54,'表30-5-2-5-1'!$4:$4,0)-1,FALSE)*(1-(S54/100-M54/H54)*100),
IF(C54="E1",VLOOKUP($T54,'表30-5-2-5-2'!$B$4:$AF$104,MATCH($D54&amp;"a",'表30-5-2-5-2'!$4:$4,0)-1,FALSE)
-IF($S54-1&lt;=0,0,VLOOKUP($S54-1,'表30-5-2-5-2'!$B$4:$AF$104,MATCH($D54&amp;"a",'表30-5-2-5-2'!$4:$4,0)-1,FALSE))
-VLOOKUP($T54,'表30-5-2-5-2'!$B$4:$AF$104,MATCH($D54,'表30-5-2-5-2'!$4:$4,0)-1,FALSE)*(T54/100-N54/H54)*100
-VLOOKUP($S54,'表30-5-2-5-2'!$B$4:$AF$104,MATCH($D54,'表30-5-2-5-2'!$4:$4,0)-1,FALSE)*(1-(S54/100-M54/H54)*100),
IF(C54="E2",VLOOKUP($T54,'表30-5-2-5-2'!$B$114:$AF$214,MATCH($D54&amp;"a",'表30-5-2-5-2'!$4:$4,0)-1,FALSE)
-IF($S54-1&lt;=0,0,VLOOKUP($S54-1,'表30-5-2-5-2'!$B$114:$AF$214,MATCH($D54&amp;"a",'表30-5-2-5-2'!$4:$4,0)-1,FALSE))
-VLOOKUP($T54,'表30-5-2-5-2'!$B$114:$AF$214,MATCH($D54,'表30-5-2-5-2'!$4:$4,0)-1,FALSE)*(T54/100-N54/H54)*100
-VLOOKUP($S54,'表30-5-2-5-2'!$B$114:$AF$214,MATCH($D54,'表30-5-2-5-2'!$4:$4,0)-1,FALSE)*(1-(S54/100-M54/H54)*100),0))))</f>
        <v>0</v>
      </c>
      <c r="V54" s="2478">
        <f t="shared" si="4"/>
        <v>0</v>
      </c>
      <c r="W54" s="2478">
        <f t="shared" si="5"/>
        <v>0</v>
      </c>
      <c r="X54" s="2718">
        <f t="shared" si="7"/>
        <v>0</v>
      </c>
      <c r="Y54" s="2718">
        <f t="shared" si="8"/>
        <v>0</v>
      </c>
    </row>
    <row r="55" spans="1:25">
      <c r="A55" s="2473" t="str">
        <f t="shared" si="6"/>
        <v/>
      </c>
      <c r="B55" s="2737"/>
      <c r="C55" s="2737"/>
      <c r="D55" s="2737"/>
      <c r="E55" s="2738"/>
      <c r="F55" s="2738"/>
      <c r="G55" s="2738"/>
      <c r="H55" s="2739"/>
      <c r="I55" s="2741"/>
      <c r="J55" s="2741"/>
      <c r="K55" s="2742"/>
      <c r="L55" s="2742"/>
      <c r="M55" s="2738"/>
      <c r="N55" s="2738"/>
      <c r="O55" s="2474">
        <f t="shared" si="0"/>
        <v>0</v>
      </c>
      <c r="P55" s="2474">
        <f t="shared" si="1"/>
        <v>0</v>
      </c>
      <c r="Q55" s="2475">
        <f t="shared" si="9"/>
        <v>0</v>
      </c>
      <c r="R55" s="2475">
        <f t="shared" si="10"/>
        <v>0</v>
      </c>
      <c r="S55" s="2476">
        <f t="shared" si="2"/>
        <v>0</v>
      </c>
      <c r="T55" s="2476">
        <f t="shared" si="3"/>
        <v>0</v>
      </c>
      <c r="U55" s="2477">
        <f>IF(OR(E55="QS",B55=""),0,
IF(C55="F",VLOOKUP($T55,'表30-5-2-5-1'!$B:$AF,MATCH($D55&amp;"a",'表30-5-2-5-1'!$4:$4,0)-1,FALSE)
-IF($S55-1&lt;=0,0,VLOOKUP($S55-1,'表30-5-2-5-1'!$B:$AF,MATCH($D55&amp;"a",'表30-5-2-5-1'!$4:$4,0)-1,FALSE))
-VLOOKUP($T55,'表30-5-2-5-1'!$B:$AF,MATCH($D55,'表30-5-2-5-1'!$4:$4,0)-1,FALSE)*(T55/100-N55/H55)*100
-VLOOKUP($S55,'表30-5-2-5-1'!$B:$AF,MATCH($D55,'表30-5-2-5-1'!$4:$4,0)-1,FALSE)*(1-(S55/100-M55/H55)*100),
IF(C55="E1",VLOOKUP($T55,'表30-5-2-5-2'!$B$4:$AF$104,MATCH($D55&amp;"a",'表30-5-2-5-2'!$4:$4,0)-1,FALSE)
-IF($S55-1&lt;=0,0,VLOOKUP($S55-1,'表30-5-2-5-2'!$B$4:$AF$104,MATCH($D55&amp;"a",'表30-5-2-5-2'!$4:$4,0)-1,FALSE))
-VLOOKUP($T55,'表30-5-2-5-2'!$B$4:$AF$104,MATCH($D55,'表30-5-2-5-2'!$4:$4,0)-1,FALSE)*(T55/100-N55/H55)*100
-VLOOKUP($S55,'表30-5-2-5-2'!$B$4:$AF$104,MATCH($D55,'表30-5-2-5-2'!$4:$4,0)-1,FALSE)*(1-(S55/100-M55/H55)*100),
IF(C55="E2",VLOOKUP($T55,'表30-5-2-5-2'!$B$114:$AF$214,MATCH($D55&amp;"a",'表30-5-2-5-2'!$4:$4,0)-1,FALSE)
-IF($S55-1&lt;=0,0,VLOOKUP($S55-1,'表30-5-2-5-2'!$B$114:$AF$214,MATCH($D55&amp;"a",'表30-5-2-5-2'!$4:$4,0)-1,FALSE))
-VLOOKUP($T55,'表30-5-2-5-2'!$B$114:$AF$214,MATCH($D55,'表30-5-2-5-2'!$4:$4,0)-1,FALSE)*(T55/100-N55/H55)*100
-VLOOKUP($S55,'表30-5-2-5-2'!$B$114:$AF$214,MATCH($D55,'表30-5-2-5-2'!$4:$4,0)-1,FALSE)*(1-(S55/100-M55/H55)*100),0))))</f>
        <v>0</v>
      </c>
      <c r="V55" s="2478">
        <f t="shared" si="4"/>
        <v>0</v>
      </c>
      <c r="W55" s="2478">
        <f t="shared" si="5"/>
        <v>0</v>
      </c>
      <c r="X55" s="2718">
        <f t="shared" si="7"/>
        <v>0</v>
      </c>
      <c r="Y55" s="2718">
        <f t="shared" si="8"/>
        <v>0</v>
      </c>
    </row>
    <row r="56" spans="1:25">
      <c r="A56" s="2473" t="str">
        <f t="shared" si="6"/>
        <v/>
      </c>
      <c r="B56" s="2737"/>
      <c r="C56" s="2737"/>
      <c r="D56" s="2737"/>
      <c r="E56" s="2738"/>
      <c r="F56" s="2738"/>
      <c r="G56" s="2738"/>
      <c r="H56" s="2739"/>
      <c r="I56" s="2741"/>
      <c r="J56" s="2741"/>
      <c r="K56" s="2742"/>
      <c r="L56" s="2742"/>
      <c r="M56" s="2738"/>
      <c r="N56" s="2738"/>
      <c r="O56" s="2474">
        <f t="shared" si="0"/>
        <v>0</v>
      </c>
      <c r="P56" s="2474">
        <f t="shared" si="1"/>
        <v>0</v>
      </c>
      <c r="Q56" s="2475">
        <f t="shared" si="9"/>
        <v>0</v>
      </c>
      <c r="R56" s="2475">
        <f t="shared" si="10"/>
        <v>0</v>
      </c>
      <c r="S56" s="2476">
        <f t="shared" si="2"/>
        <v>0</v>
      </c>
      <c r="T56" s="2476">
        <f t="shared" si="3"/>
        <v>0</v>
      </c>
      <c r="U56" s="2477">
        <f>IF(OR(E56="QS",B56=""),0,
IF(C56="F",VLOOKUP($T56,'表30-5-2-5-1'!$B:$AF,MATCH($D56&amp;"a",'表30-5-2-5-1'!$4:$4,0)-1,FALSE)
-IF($S56-1&lt;=0,0,VLOOKUP($S56-1,'表30-5-2-5-1'!$B:$AF,MATCH($D56&amp;"a",'表30-5-2-5-1'!$4:$4,0)-1,FALSE))
-VLOOKUP($T56,'表30-5-2-5-1'!$B:$AF,MATCH($D56,'表30-5-2-5-1'!$4:$4,0)-1,FALSE)*(T56/100-N56/H56)*100
-VLOOKUP($S56,'表30-5-2-5-1'!$B:$AF,MATCH($D56,'表30-5-2-5-1'!$4:$4,0)-1,FALSE)*(1-(S56/100-M56/H56)*100),
IF(C56="E1",VLOOKUP($T56,'表30-5-2-5-2'!$B$4:$AF$104,MATCH($D56&amp;"a",'表30-5-2-5-2'!$4:$4,0)-1,FALSE)
-IF($S56-1&lt;=0,0,VLOOKUP($S56-1,'表30-5-2-5-2'!$B$4:$AF$104,MATCH($D56&amp;"a",'表30-5-2-5-2'!$4:$4,0)-1,FALSE))
-VLOOKUP($T56,'表30-5-2-5-2'!$B$4:$AF$104,MATCH($D56,'表30-5-2-5-2'!$4:$4,0)-1,FALSE)*(T56/100-N56/H56)*100
-VLOOKUP($S56,'表30-5-2-5-2'!$B$4:$AF$104,MATCH($D56,'表30-5-2-5-2'!$4:$4,0)-1,FALSE)*(1-(S56/100-M56/H56)*100),
IF(C56="E2",VLOOKUP($T56,'表30-5-2-5-2'!$B$114:$AF$214,MATCH($D56&amp;"a",'表30-5-2-5-2'!$4:$4,0)-1,FALSE)
-IF($S56-1&lt;=0,0,VLOOKUP($S56-1,'表30-5-2-5-2'!$B$114:$AF$214,MATCH($D56&amp;"a",'表30-5-2-5-2'!$4:$4,0)-1,FALSE))
-VLOOKUP($T56,'表30-5-2-5-2'!$B$114:$AF$214,MATCH($D56,'表30-5-2-5-2'!$4:$4,0)-1,FALSE)*(T56/100-N56/H56)*100
-VLOOKUP($S56,'表30-5-2-5-2'!$B$114:$AF$214,MATCH($D56,'表30-5-2-5-2'!$4:$4,0)-1,FALSE)*(1-(S56/100-M56/H56)*100),0))))</f>
        <v>0</v>
      </c>
      <c r="V56" s="2478">
        <f t="shared" si="4"/>
        <v>0</v>
      </c>
      <c r="W56" s="2478">
        <f t="shared" si="5"/>
        <v>0</v>
      </c>
      <c r="X56" s="2718">
        <f t="shared" si="7"/>
        <v>0</v>
      </c>
      <c r="Y56" s="2718">
        <f t="shared" si="8"/>
        <v>0</v>
      </c>
    </row>
    <row r="57" spans="1:25">
      <c r="A57" s="2473" t="str">
        <f t="shared" si="6"/>
        <v/>
      </c>
      <c r="B57" s="2737"/>
      <c r="C57" s="2737"/>
      <c r="D57" s="2737"/>
      <c r="E57" s="2738"/>
      <c r="F57" s="2738"/>
      <c r="G57" s="2738"/>
      <c r="H57" s="2739"/>
      <c r="I57" s="2741"/>
      <c r="J57" s="2741"/>
      <c r="K57" s="2742"/>
      <c r="L57" s="2742"/>
      <c r="M57" s="2738"/>
      <c r="N57" s="2738"/>
      <c r="O57" s="2474">
        <f t="shared" si="0"/>
        <v>0</v>
      </c>
      <c r="P57" s="2474">
        <f t="shared" si="1"/>
        <v>0</v>
      </c>
      <c r="Q57" s="2475">
        <f t="shared" si="9"/>
        <v>0</v>
      </c>
      <c r="R57" s="2475">
        <f t="shared" si="10"/>
        <v>0</v>
      </c>
      <c r="S57" s="2476">
        <f t="shared" si="2"/>
        <v>0</v>
      </c>
      <c r="T57" s="2476">
        <f t="shared" si="3"/>
        <v>0</v>
      </c>
      <c r="U57" s="2477">
        <f>IF(OR(E57="QS",B57=""),0,
IF(C57="F",VLOOKUP($T57,'表30-5-2-5-1'!$B:$AF,MATCH($D57&amp;"a",'表30-5-2-5-1'!$4:$4,0)-1,FALSE)
-IF($S57-1&lt;=0,0,VLOOKUP($S57-1,'表30-5-2-5-1'!$B:$AF,MATCH($D57&amp;"a",'表30-5-2-5-1'!$4:$4,0)-1,FALSE))
-VLOOKUP($T57,'表30-5-2-5-1'!$B:$AF,MATCH($D57,'表30-5-2-5-1'!$4:$4,0)-1,FALSE)*(T57/100-N57/H57)*100
-VLOOKUP($S57,'表30-5-2-5-1'!$B:$AF,MATCH($D57,'表30-5-2-5-1'!$4:$4,0)-1,FALSE)*(1-(S57/100-M57/H57)*100),
IF(C57="E1",VLOOKUP($T57,'表30-5-2-5-2'!$B$4:$AF$104,MATCH($D57&amp;"a",'表30-5-2-5-2'!$4:$4,0)-1,FALSE)
-IF($S57-1&lt;=0,0,VLOOKUP($S57-1,'表30-5-2-5-2'!$B$4:$AF$104,MATCH($D57&amp;"a",'表30-5-2-5-2'!$4:$4,0)-1,FALSE))
-VLOOKUP($T57,'表30-5-2-5-2'!$B$4:$AF$104,MATCH($D57,'表30-5-2-5-2'!$4:$4,0)-1,FALSE)*(T57/100-N57/H57)*100
-VLOOKUP($S57,'表30-5-2-5-2'!$B$4:$AF$104,MATCH($D57,'表30-5-2-5-2'!$4:$4,0)-1,FALSE)*(1-(S57/100-M57/H57)*100),
IF(C57="E2",VLOOKUP($T57,'表30-5-2-5-2'!$B$114:$AF$214,MATCH($D57&amp;"a",'表30-5-2-5-2'!$4:$4,0)-1,FALSE)
-IF($S57-1&lt;=0,0,VLOOKUP($S57-1,'表30-5-2-5-2'!$B$114:$AF$214,MATCH($D57&amp;"a",'表30-5-2-5-2'!$4:$4,0)-1,FALSE))
-VLOOKUP($T57,'表30-5-2-5-2'!$B$114:$AF$214,MATCH($D57,'表30-5-2-5-2'!$4:$4,0)-1,FALSE)*(T57/100-N57/H57)*100
-VLOOKUP($S57,'表30-5-2-5-2'!$B$114:$AF$214,MATCH($D57,'表30-5-2-5-2'!$4:$4,0)-1,FALSE)*(1-(S57/100-M57/H57)*100),0))))</f>
        <v>0</v>
      </c>
      <c r="V57" s="2478">
        <f t="shared" si="4"/>
        <v>0</v>
      </c>
      <c r="W57" s="2478">
        <f t="shared" si="5"/>
        <v>0</v>
      </c>
      <c r="X57" s="2718">
        <f t="shared" si="7"/>
        <v>0</v>
      </c>
      <c r="Y57" s="2718">
        <f t="shared" si="8"/>
        <v>0</v>
      </c>
    </row>
    <row r="58" spans="1:25">
      <c r="A58" s="2473" t="str">
        <f t="shared" si="6"/>
        <v/>
      </c>
      <c r="B58" s="2737"/>
      <c r="C58" s="2737"/>
      <c r="D58" s="2737"/>
      <c r="E58" s="2738"/>
      <c r="F58" s="2738"/>
      <c r="G58" s="2738"/>
      <c r="H58" s="2739"/>
      <c r="I58" s="2741"/>
      <c r="J58" s="2741"/>
      <c r="K58" s="2742"/>
      <c r="L58" s="2742"/>
      <c r="M58" s="2738"/>
      <c r="N58" s="2738"/>
      <c r="O58" s="2474">
        <f t="shared" si="0"/>
        <v>0</v>
      </c>
      <c r="P58" s="2474">
        <f t="shared" si="1"/>
        <v>0</v>
      </c>
      <c r="Q58" s="2475">
        <f t="shared" si="9"/>
        <v>0</v>
      </c>
      <c r="R58" s="2475">
        <f t="shared" si="10"/>
        <v>0</v>
      </c>
      <c r="S58" s="2476">
        <f t="shared" si="2"/>
        <v>0</v>
      </c>
      <c r="T58" s="2476">
        <f t="shared" si="3"/>
        <v>0</v>
      </c>
      <c r="U58" s="2477">
        <f>IF(OR(E58="QS",B58=""),0,
IF(C58="F",VLOOKUP($T58,'表30-5-2-5-1'!$B:$AF,MATCH($D58&amp;"a",'表30-5-2-5-1'!$4:$4,0)-1,FALSE)
-IF($S58-1&lt;=0,0,VLOOKUP($S58-1,'表30-5-2-5-1'!$B:$AF,MATCH($D58&amp;"a",'表30-5-2-5-1'!$4:$4,0)-1,FALSE))
-VLOOKUP($T58,'表30-5-2-5-1'!$B:$AF,MATCH($D58,'表30-5-2-5-1'!$4:$4,0)-1,FALSE)*(T58/100-N58/H58)*100
-VLOOKUP($S58,'表30-5-2-5-1'!$B:$AF,MATCH($D58,'表30-5-2-5-1'!$4:$4,0)-1,FALSE)*(1-(S58/100-M58/H58)*100),
IF(C58="E1",VLOOKUP($T58,'表30-5-2-5-2'!$B$4:$AF$104,MATCH($D58&amp;"a",'表30-5-2-5-2'!$4:$4,0)-1,FALSE)
-IF($S58-1&lt;=0,0,VLOOKUP($S58-1,'表30-5-2-5-2'!$B$4:$AF$104,MATCH($D58&amp;"a",'表30-5-2-5-2'!$4:$4,0)-1,FALSE))
-VLOOKUP($T58,'表30-5-2-5-2'!$B$4:$AF$104,MATCH($D58,'表30-5-2-5-2'!$4:$4,0)-1,FALSE)*(T58/100-N58/H58)*100
-VLOOKUP($S58,'表30-5-2-5-2'!$B$4:$AF$104,MATCH($D58,'表30-5-2-5-2'!$4:$4,0)-1,FALSE)*(1-(S58/100-M58/H58)*100),
IF(C58="E2",VLOOKUP($T58,'表30-5-2-5-2'!$B$114:$AF$214,MATCH($D58&amp;"a",'表30-5-2-5-2'!$4:$4,0)-1,FALSE)
-IF($S58-1&lt;=0,0,VLOOKUP($S58-1,'表30-5-2-5-2'!$B$114:$AF$214,MATCH($D58&amp;"a",'表30-5-2-5-2'!$4:$4,0)-1,FALSE))
-VLOOKUP($T58,'表30-5-2-5-2'!$B$114:$AF$214,MATCH($D58,'表30-5-2-5-2'!$4:$4,0)-1,FALSE)*(T58/100-N58/H58)*100
-VLOOKUP($S58,'表30-5-2-5-2'!$B$114:$AF$214,MATCH($D58,'表30-5-2-5-2'!$4:$4,0)-1,FALSE)*(1-(S58/100-M58/H58)*100),0))))</f>
        <v>0</v>
      </c>
      <c r="V58" s="2478">
        <f t="shared" si="4"/>
        <v>0</v>
      </c>
      <c r="W58" s="2478">
        <f t="shared" si="5"/>
        <v>0</v>
      </c>
      <c r="X58" s="2718">
        <f t="shared" si="7"/>
        <v>0</v>
      </c>
      <c r="Y58" s="2718">
        <f t="shared" si="8"/>
        <v>0</v>
      </c>
    </row>
    <row r="59" spans="1:25">
      <c r="A59" s="2473" t="str">
        <f t="shared" si="6"/>
        <v/>
      </c>
      <c r="B59" s="2737"/>
      <c r="C59" s="2737"/>
      <c r="D59" s="2737"/>
      <c r="E59" s="2738"/>
      <c r="F59" s="2738"/>
      <c r="G59" s="2738"/>
      <c r="H59" s="2739"/>
      <c r="I59" s="2741"/>
      <c r="J59" s="2741"/>
      <c r="K59" s="2742"/>
      <c r="L59" s="2742"/>
      <c r="M59" s="2738"/>
      <c r="N59" s="2738"/>
      <c r="O59" s="2474">
        <f t="shared" si="0"/>
        <v>0</v>
      </c>
      <c r="P59" s="2474">
        <f t="shared" si="1"/>
        <v>0</v>
      </c>
      <c r="Q59" s="2475">
        <f t="shared" si="9"/>
        <v>0</v>
      </c>
      <c r="R59" s="2475">
        <f t="shared" si="10"/>
        <v>0</v>
      </c>
      <c r="S59" s="2476">
        <f t="shared" si="2"/>
        <v>0</v>
      </c>
      <c r="T59" s="2476">
        <f t="shared" si="3"/>
        <v>0</v>
      </c>
      <c r="U59" s="2477">
        <f>IF(OR(E59="QS",B59=""),0,
IF(C59="F",VLOOKUP($T59,'表30-5-2-5-1'!$B:$AF,MATCH($D59&amp;"a",'表30-5-2-5-1'!$4:$4,0)-1,FALSE)
-IF($S59-1&lt;=0,0,VLOOKUP($S59-1,'表30-5-2-5-1'!$B:$AF,MATCH($D59&amp;"a",'表30-5-2-5-1'!$4:$4,0)-1,FALSE))
-VLOOKUP($T59,'表30-5-2-5-1'!$B:$AF,MATCH($D59,'表30-5-2-5-1'!$4:$4,0)-1,FALSE)*(T59/100-N59/H59)*100
-VLOOKUP($S59,'表30-5-2-5-1'!$B:$AF,MATCH($D59,'表30-5-2-5-1'!$4:$4,0)-1,FALSE)*(1-(S59/100-M59/H59)*100),
IF(C59="E1",VLOOKUP($T59,'表30-5-2-5-2'!$B$4:$AF$104,MATCH($D59&amp;"a",'表30-5-2-5-2'!$4:$4,0)-1,FALSE)
-IF($S59-1&lt;=0,0,VLOOKUP($S59-1,'表30-5-2-5-2'!$B$4:$AF$104,MATCH($D59&amp;"a",'表30-5-2-5-2'!$4:$4,0)-1,FALSE))
-VLOOKUP($T59,'表30-5-2-5-2'!$B$4:$AF$104,MATCH($D59,'表30-5-2-5-2'!$4:$4,0)-1,FALSE)*(T59/100-N59/H59)*100
-VLOOKUP($S59,'表30-5-2-5-2'!$B$4:$AF$104,MATCH($D59,'表30-5-2-5-2'!$4:$4,0)-1,FALSE)*(1-(S59/100-M59/H59)*100),
IF(C59="E2",VLOOKUP($T59,'表30-5-2-5-2'!$B$114:$AF$214,MATCH($D59&amp;"a",'表30-5-2-5-2'!$4:$4,0)-1,FALSE)
-IF($S59-1&lt;=0,0,VLOOKUP($S59-1,'表30-5-2-5-2'!$B$114:$AF$214,MATCH($D59&amp;"a",'表30-5-2-5-2'!$4:$4,0)-1,FALSE))
-VLOOKUP($T59,'表30-5-2-5-2'!$B$114:$AF$214,MATCH($D59,'表30-5-2-5-2'!$4:$4,0)-1,FALSE)*(T59/100-N59/H59)*100
-VLOOKUP($S59,'表30-5-2-5-2'!$B$114:$AF$214,MATCH($D59,'表30-5-2-5-2'!$4:$4,0)-1,FALSE)*(1-(S59/100-M59/H59)*100),0))))</f>
        <v>0</v>
      </c>
      <c r="V59" s="2478">
        <f t="shared" si="4"/>
        <v>0</v>
      </c>
      <c r="W59" s="2478">
        <f t="shared" si="5"/>
        <v>0</v>
      </c>
      <c r="X59" s="2718">
        <f t="shared" si="7"/>
        <v>0</v>
      </c>
      <c r="Y59" s="2718">
        <f t="shared" si="8"/>
        <v>0</v>
      </c>
    </row>
    <row r="60" spans="1:25">
      <c r="A60" s="2473" t="str">
        <f t="shared" si="6"/>
        <v/>
      </c>
      <c r="B60" s="2737"/>
      <c r="C60" s="2737"/>
      <c r="D60" s="2737"/>
      <c r="E60" s="2738"/>
      <c r="F60" s="2738"/>
      <c r="G60" s="2738"/>
      <c r="H60" s="2739"/>
      <c r="I60" s="2741"/>
      <c r="J60" s="2741"/>
      <c r="K60" s="2742"/>
      <c r="L60" s="2742"/>
      <c r="M60" s="2738"/>
      <c r="N60" s="2738"/>
      <c r="O60" s="2474">
        <f t="shared" si="0"/>
        <v>0</v>
      </c>
      <c r="P60" s="2474">
        <f t="shared" si="1"/>
        <v>0</v>
      </c>
      <c r="Q60" s="2475">
        <f t="shared" si="9"/>
        <v>0</v>
      </c>
      <c r="R60" s="2475">
        <f t="shared" si="10"/>
        <v>0</v>
      </c>
      <c r="S60" s="2476">
        <f t="shared" si="2"/>
        <v>0</v>
      </c>
      <c r="T60" s="2476">
        <f t="shared" si="3"/>
        <v>0</v>
      </c>
      <c r="U60" s="2477">
        <f>IF(OR(E60="QS",B60=""),0,
IF(C60="F",VLOOKUP($T60,'表30-5-2-5-1'!$B:$AF,MATCH($D60&amp;"a",'表30-5-2-5-1'!$4:$4,0)-1,FALSE)
-IF($S60-1&lt;=0,0,VLOOKUP($S60-1,'表30-5-2-5-1'!$B:$AF,MATCH($D60&amp;"a",'表30-5-2-5-1'!$4:$4,0)-1,FALSE))
-VLOOKUP($T60,'表30-5-2-5-1'!$B:$AF,MATCH($D60,'表30-5-2-5-1'!$4:$4,0)-1,FALSE)*(T60/100-N60/H60)*100
-VLOOKUP($S60,'表30-5-2-5-1'!$B:$AF,MATCH($D60,'表30-5-2-5-1'!$4:$4,0)-1,FALSE)*(1-(S60/100-M60/H60)*100),
IF(C60="E1",VLOOKUP($T60,'表30-5-2-5-2'!$B$4:$AF$104,MATCH($D60&amp;"a",'表30-5-2-5-2'!$4:$4,0)-1,FALSE)
-IF($S60-1&lt;=0,0,VLOOKUP($S60-1,'表30-5-2-5-2'!$B$4:$AF$104,MATCH($D60&amp;"a",'表30-5-2-5-2'!$4:$4,0)-1,FALSE))
-VLOOKUP($T60,'表30-5-2-5-2'!$B$4:$AF$104,MATCH($D60,'表30-5-2-5-2'!$4:$4,0)-1,FALSE)*(T60/100-N60/H60)*100
-VLOOKUP($S60,'表30-5-2-5-2'!$B$4:$AF$104,MATCH($D60,'表30-5-2-5-2'!$4:$4,0)-1,FALSE)*(1-(S60/100-M60/H60)*100),
IF(C60="E2",VLOOKUP($T60,'表30-5-2-5-2'!$B$114:$AF$214,MATCH($D60&amp;"a",'表30-5-2-5-2'!$4:$4,0)-1,FALSE)
-IF($S60-1&lt;=0,0,VLOOKUP($S60-1,'表30-5-2-5-2'!$B$114:$AF$214,MATCH($D60&amp;"a",'表30-5-2-5-2'!$4:$4,0)-1,FALSE))
-VLOOKUP($T60,'表30-5-2-5-2'!$B$114:$AF$214,MATCH($D60,'表30-5-2-5-2'!$4:$4,0)-1,FALSE)*(T60/100-N60/H60)*100
-VLOOKUP($S60,'表30-5-2-5-2'!$B$114:$AF$214,MATCH($D60,'表30-5-2-5-2'!$4:$4,0)-1,FALSE)*(1-(S60/100-M60/H60)*100),0))))</f>
        <v>0</v>
      </c>
      <c r="V60" s="2478">
        <f t="shared" si="4"/>
        <v>0</v>
      </c>
      <c r="W60" s="2478">
        <f t="shared" si="5"/>
        <v>0</v>
      </c>
      <c r="X60" s="2718">
        <f t="shared" si="7"/>
        <v>0</v>
      </c>
      <c r="Y60" s="2718">
        <f t="shared" si="8"/>
        <v>0</v>
      </c>
    </row>
    <row r="61" spans="1:25">
      <c r="A61" s="2473" t="str">
        <f t="shared" si="6"/>
        <v/>
      </c>
      <c r="B61" s="2737"/>
      <c r="C61" s="2737"/>
      <c r="D61" s="2737"/>
      <c r="E61" s="2738"/>
      <c r="F61" s="2738"/>
      <c r="G61" s="2738"/>
      <c r="H61" s="2739"/>
      <c r="I61" s="2741"/>
      <c r="J61" s="2741"/>
      <c r="K61" s="2742"/>
      <c r="L61" s="2742"/>
      <c r="M61" s="2738"/>
      <c r="N61" s="2738"/>
      <c r="O61" s="2474">
        <f t="shared" si="0"/>
        <v>0</v>
      </c>
      <c r="P61" s="2474">
        <f t="shared" si="1"/>
        <v>0</v>
      </c>
      <c r="Q61" s="2475">
        <f t="shared" si="9"/>
        <v>0</v>
      </c>
      <c r="R61" s="2475">
        <f t="shared" si="10"/>
        <v>0</v>
      </c>
      <c r="S61" s="2476">
        <f t="shared" si="2"/>
        <v>0</v>
      </c>
      <c r="T61" s="2476">
        <f t="shared" si="3"/>
        <v>0</v>
      </c>
      <c r="U61" s="2477">
        <f>IF(OR(E61="QS",B61=""),0,
IF(C61="F",VLOOKUP($T61,'表30-5-2-5-1'!$B:$AF,MATCH($D61&amp;"a",'表30-5-2-5-1'!$4:$4,0)-1,FALSE)
-IF($S61-1&lt;=0,0,VLOOKUP($S61-1,'表30-5-2-5-1'!$B:$AF,MATCH($D61&amp;"a",'表30-5-2-5-1'!$4:$4,0)-1,FALSE))
-VLOOKUP($T61,'表30-5-2-5-1'!$B:$AF,MATCH($D61,'表30-5-2-5-1'!$4:$4,0)-1,FALSE)*(T61/100-N61/H61)*100
-VLOOKUP($S61,'表30-5-2-5-1'!$B:$AF,MATCH($D61,'表30-5-2-5-1'!$4:$4,0)-1,FALSE)*(1-(S61/100-M61/H61)*100),
IF(C61="E1",VLOOKUP($T61,'表30-5-2-5-2'!$B$4:$AF$104,MATCH($D61&amp;"a",'表30-5-2-5-2'!$4:$4,0)-1,FALSE)
-IF($S61-1&lt;=0,0,VLOOKUP($S61-1,'表30-5-2-5-2'!$B$4:$AF$104,MATCH($D61&amp;"a",'表30-5-2-5-2'!$4:$4,0)-1,FALSE))
-VLOOKUP($T61,'表30-5-2-5-2'!$B$4:$AF$104,MATCH($D61,'表30-5-2-5-2'!$4:$4,0)-1,FALSE)*(T61/100-N61/H61)*100
-VLOOKUP($S61,'表30-5-2-5-2'!$B$4:$AF$104,MATCH($D61,'表30-5-2-5-2'!$4:$4,0)-1,FALSE)*(1-(S61/100-M61/H61)*100),
IF(C61="E2",VLOOKUP($T61,'表30-5-2-5-2'!$B$114:$AF$214,MATCH($D61&amp;"a",'表30-5-2-5-2'!$4:$4,0)-1,FALSE)
-IF($S61-1&lt;=0,0,VLOOKUP($S61-1,'表30-5-2-5-2'!$B$114:$AF$214,MATCH($D61&amp;"a",'表30-5-2-5-2'!$4:$4,0)-1,FALSE))
-VLOOKUP($T61,'表30-5-2-5-2'!$B$114:$AF$214,MATCH($D61,'表30-5-2-5-2'!$4:$4,0)-1,FALSE)*(T61/100-N61/H61)*100
-VLOOKUP($S61,'表30-5-2-5-2'!$B$114:$AF$214,MATCH($D61,'表30-5-2-5-2'!$4:$4,0)-1,FALSE)*(1-(S61/100-M61/H61)*100),0))))</f>
        <v>0</v>
      </c>
      <c r="V61" s="2478">
        <f t="shared" si="4"/>
        <v>0</v>
      </c>
      <c r="W61" s="2478">
        <f t="shared" si="5"/>
        <v>0</v>
      </c>
      <c r="X61" s="2718">
        <f t="shared" si="7"/>
        <v>0</v>
      </c>
      <c r="Y61" s="2718">
        <f t="shared" si="8"/>
        <v>0</v>
      </c>
    </row>
    <row r="62" spans="1:25">
      <c r="A62" s="2473" t="str">
        <f t="shared" si="6"/>
        <v/>
      </c>
      <c r="B62" s="2737"/>
      <c r="C62" s="2737"/>
      <c r="D62" s="2737"/>
      <c r="E62" s="2738"/>
      <c r="F62" s="2738"/>
      <c r="G62" s="2738"/>
      <c r="H62" s="2739"/>
      <c r="I62" s="2741"/>
      <c r="J62" s="2741"/>
      <c r="K62" s="2742"/>
      <c r="L62" s="2742"/>
      <c r="M62" s="2738"/>
      <c r="N62" s="2738"/>
      <c r="O62" s="2474">
        <f t="shared" si="0"/>
        <v>0</v>
      </c>
      <c r="P62" s="2474">
        <f t="shared" si="1"/>
        <v>0</v>
      </c>
      <c r="Q62" s="2475">
        <f t="shared" si="9"/>
        <v>0</v>
      </c>
      <c r="R62" s="2475">
        <f t="shared" si="10"/>
        <v>0</v>
      </c>
      <c r="S62" s="2476">
        <f t="shared" si="2"/>
        <v>0</v>
      </c>
      <c r="T62" s="2476">
        <f t="shared" si="3"/>
        <v>0</v>
      </c>
      <c r="U62" s="2477">
        <f>IF(OR(E62="QS",B62=""),0,
IF(C62="F",VLOOKUP($T62,'表30-5-2-5-1'!$B:$AF,MATCH($D62&amp;"a",'表30-5-2-5-1'!$4:$4,0)-1,FALSE)
-IF($S62-1&lt;=0,0,VLOOKUP($S62-1,'表30-5-2-5-1'!$B:$AF,MATCH($D62&amp;"a",'表30-5-2-5-1'!$4:$4,0)-1,FALSE))
-VLOOKUP($T62,'表30-5-2-5-1'!$B:$AF,MATCH($D62,'表30-5-2-5-1'!$4:$4,0)-1,FALSE)*(T62/100-N62/H62)*100
-VLOOKUP($S62,'表30-5-2-5-1'!$B:$AF,MATCH($D62,'表30-5-2-5-1'!$4:$4,0)-1,FALSE)*(1-(S62/100-M62/H62)*100),
IF(C62="E1",VLOOKUP($T62,'表30-5-2-5-2'!$B$4:$AF$104,MATCH($D62&amp;"a",'表30-5-2-5-2'!$4:$4,0)-1,FALSE)
-IF($S62-1&lt;=0,0,VLOOKUP($S62-1,'表30-5-2-5-2'!$B$4:$AF$104,MATCH($D62&amp;"a",'表30-5-2-5-2'!$4:$4,0)-1,FALSE))
-VLOOKUP($T62,'表30-5-2-5-2'!$B$4:$AF$104,MATCH($D62,'表30-5-2-5-2'!$4:$4,0)-1,FALSE)*(T62/100-N62/H62)*100
-VLOOKUP($S62,'表30-5-2-5-2'!$B$4:$AF$104,MATCH($D62,'表30-5-2-5-2'!$4:$4,0)-1,FALSE)*(1-(S62/100-M62/H62)*100),
IF(C62="E2",VLOOKUP($T62,'表30-5-2-5-2'!$B$114:$AF$214,MATCH($D62&amp;"a",'表30-5-2-5-2'!$4:$4,0)-1,FALSE)
-IF($S62-1&lt;=0,0,VLOOKUP($S62-1,'表30-5-2-5-2'!$B$114:$AF$214,MATCH($D62&amp;"a",'表30-5-2-5-2'!$4:$4,0)-1,FALSE))
-VLOOKUP($T62,'表30-5-2-5-2'!$B$114:$AF$214,MATCH($D62,'表30-5-2-5-2'!$4:$4,0)-1,FALSE)*(T62/100-N62/H62)*100
-VLOOKUP($S62,'表30-5-2-5-2'!$B$114:$AF$214,MATCH($D62,'表30-5-2-5-2'!$4:$4,0)-1,FALSE)*(1-(S62/100-M62/H62)*100),0))))</f>
        <v>0</v>
      </c>
      <c r="V62" s="2478">
        <f t="shared" si="4"/>
        <v>0</v>
      </c>
      <c r="W62" s="2478">
        <f t="shared" si="5"/>
        <v>0</v>
      </c>
      <c r="X62" s="2718">
        <f t="shared" si="7"/>
        <v>0</v>
      </c>
      <c r="Y62" s="2718">
        <f t="shared" si="8"/>
        <v>0</v>
      </c>
    </row>
    <row r="63" spans="1:25">
      <c r="A63" s="2473" t="str">
        <f t="shared" si="6"/>
        <v/>
      </c>
      <c r="B63" s="2737"/>
      <c r="C63" s="2737"/>
      <c r="D63" s="2737"/>
      <c r="E63" s="2738"/>
      <c r="F63" s="2738"/>
      <c r="G63" s="2738"/>
      <c r="H63" s="2739"/>
      <c r="I63" s="2741"/>
      <c r="J63" s="2741"/>
      <c r="K63" s="2742"/>
      <c r="L63" s="2742"/>
      <c r="M63" s="2738"/>
      <c r="N63" s="2738"/>
      <c r="O63" s="2474">
        <f t="shared" si="0"/>
        <v>0</v>
      </c>
      <c r="P63" s="2474">
        <f t="shared" si="1"/>
        <v>0</v>
      </c>
      <c r="Q63" s="2475">
        <f t="shared" si="9"/>
        <v>0</v>
      </c>
      <c r="R63" s="2475">
        <f t="shared" si="10"/>
        <v>0</v>
      </c>
      <c r="S63" s="2476">
        <f t="shared" si="2"/>
        <v>0</v>
      </c>
      <c r="T63" s="2476">
        <f t="shared" si="3"/>
        <v>0</v>
      </c>
      <c r="U63" s="2477">
        <f>IF(OR(E63="QS",B63=""),0,
IF(C63="F",VLOOKUP($T63,'表30-5-2-5-1'!$B:$AF,MATCH($D63&amp;"a",'表30-5-2-5-1'!$4:$4,0)-1,FALSE)
-IF($S63-1&lt;=0,0,VLOOKUP($S63-1,'表30-5-2-5-1'!$B:$AF,MATCH($D63&amp;"a",'表30-5-2-5-1'!$4:$4,0)-1,FALSE))
-VLOOKUP($T63,'表30-5-2-5-1'!$B:$AF,MATCH($D63,'表30-5-2-5-1'!$4:$4,0)-1,FALSE)*(T63/100-N63/H63)*100
-VLOOKUP($S63,'表30-5-2-5-1'!$B:$AF,MATCH($D63,'表30-5-2-5-1'!$4:$4,0)-1,FALSE)*(1-(S63/100-M63/H63)*100),
IF(C63="E1",VLOOKUP($T63,'表30-5-2-5-2'!$B$4:$AF$104,MATCH($D63&amp;"a",'表30-5-2-5-2'!$4:$4,0)-1,FALSE)
-IF($S63-1&lt;=0,0,VLOOKUP($S63-1,'表30-5-2-5-2'!$B$4:$AF$104,MATCH($D63&amp;"a",'表30-5-2-5-2'!$4:$4,0)-1,FALSE))
-VLOOKUP($T63,'表30-5-2-5-2'!$B$4:$AF$104,MATCH($D63,'表30-5-2-5-2'!$4:$4,0)-1,FALSE)*(T63/100-N63/H63)*100
-VLOOKUP($S63,'表30-5-2-5-2'!$B$4:$AF$104,MATCH($D63,'表30-5-2-5-2'!$4:$4,0)-1,FALSE)*(1-(S63/100-M63/H63)*100),
IF(C63="E2",VLOOKUP($T63,'表30-5-2-5-2'!$B$114:$AF$214,MATCH($D63&amp;"a",'表30-5-2-5-2'!$4:$4,0)-1,FALSE)
-IF($S63-1&lt;=0,0,VLOOKUP($S63-1,'表30-5-2-5-2'!$B$114:$AF$214,MATCH($D63&amp;"a",'表30-5-2-5-2'!$4:$4,0)-1,FALSE))
-VLOOKUP($T63,'表30-5-2-5-2'!$B$114:$AF$214,MATCH($D63,'表30-5-2-5-2'!$4:$4,0)-1,FALSE)*(T63/100-N63/H63)*100
-VLOOKUP($S63,'表30-5-2-5-2'!$B$114:$AF$214,MATCH($D63,'表30-5-2-5-2'!$4:$4,0)-1,FALSE)*(1-(S63/100-M63/H63)*100),0))))</f>
        <v>0</v>
      </c>
      <c r="V63" s="2478">
        <f t="shared" si="4"/>
        <v>0</v>
      </c>
      <c r="W63" s="2478">
        <f t="shared" si="5"/>
        <v>0</v>
      </c>
      <c r="X63" s="2718">
        <f t="shared" si="7"/>
        <v>0</v>
      </c>
      <c r="Y63" s="2718">
        <f t="shared" si="8"/>
        <v>0</v>
      </c>
    </row>
    <row r="64" spans="1:25">
      <c r="A64" s="2473" t="str">
        <f t="shared" si="6"/>
        <v/>
      </c>
      <c r="B64" s="2737"/>
      <c r="C64" s="2737"/>
      <c r="D64" s="2737"/>
      <c r="E64" s="2738"/>
      <c r="F64" s="2738"/>
      <c r="G64" s="2738"/>
      <c r="H64" s="2739"/>
      <c r="I64" s="2741"/>
      <c r="J64" s="2741"/>
      <c r="K64" s="2742"/>
      <c r="L64" s="2742"/>
      <c r="M64" s="2738"/>
      <c r="N64" s="2738"/>
      <c r="O64" s="2474">
        <f t="shared" si="0"/>
        <v>0</v>
      </c>
      <c r="P64" s="2474">
        <f t="shared" si="1"/>
        <v>0</v>
      </c>
      <c r="Q64" s="2475">
        <f t="shared" si="9"/>
        <v>0</v>
      </c>
      <c r="R64" s="2475">
        <f t="shared" si="10"/>
        <v>0</v>
      </c>
      <c r="S64" s="2476">
        <f t="shared" si="2"/>
        <v>0</v>
      </c>
      <c r="T64" s="2476">
        <f t="shared" si="3"/>
        <v>0</v>
      </c>
      <c r="U64" s="2477">
        <f>IF(OR(E64="QS",B64=""),0,
IF(C64="F",VLOOKUP($T64,'表30-5-2-5-1'!$B:$AF,MATCH($D64&amp;"a",'表30-5-2-5-1'!$4:$4,0)-1,FALSE)
-IF($S64-1&lt;=0,0,VLOOKUP($S64-1,'表30-5-2-5-1'!$B:$AF,MATCH($D64&amp;"a",'表30-5-2-5-1'!$4:$4,0)-1,FALSE))
-VLOOKUP($T64,'表30-5-2-5-1'!$B:$AF,MATCH($D64,'表30-5-2-5-1'!$4:$4,0)-1,FALSE)*(T64/100-N64/H64)*100
-VLOOKUP($S64,'表30-5-2-5-1'!$B:$AF,MATCH($D64,'表30-5-2-5-1'!$4:$4,0)-1,FALSE)*(1-(S64/100-M64/H64)*100),
IF(C64="E1",VLOOKUP($T64,'表30-5-2-5-2'!$B$4:$AF$104,MATCH($D64&amp;"a",'表30-5-2-5-2'!$4:$4,0)-1,FALSE)
-IF($S64-1&lt;=0,0,VLOOKUP($S64-1,'表30-5-2-5-2'!$B$4:$AF$104,MATCH($D64&amp;"a",'表30-5-2-5-2'!$4:$4,0)-1,FALSE))
-VLOOKUP($T64,'表30-5-2-5-2'!$B$4:$AF$104,MATCH($D64,'表30-5-2-5-2'!$4:$4,0)-1,FALSE)*(T64/100-N64/H64)*100
-VLOOKUP($S64,'表30-5-2-5-2'!$B$4:$AF$104,MATCH($D64,'表30-5-2-5-2'!$4:$4,0)-1,FALSE)*(1-(S64/100-M64/H64)*100),
IF(C64="E2",VLOOKUP($T64,'表30-5-2-5-2'!$B$114:$AF$214,MATCH($D64&amp;"a",'表30-5-2-5-2'!$4:$4,0)-1,FALSE)
-IF($S64-1&lt;=0,0,VLOOKUP($S64-1,'表30-5-2-5-2'!$B$114:$AF$214,MATCH($D64&amp;"a",'表30-5-2-5-2'!$4:$4,0)-1,FALSE))
-VLOOKUP($T64,'表30-5-2-5-2'!$B$114:$AF$214,MATCH($D64,'表30-5-2-5-2'!$4:$4,0)-1,FALSE)*(T64/100-N64/H64)*100
-VLOOKUP($S64,'表30-5-2-5-2'!$B$114:$AF$214,MATCH($D64,'表30-5-2-5-2'!$4:$4,0)-1,FALSE)*(1-(S64/100-M64/H64)*100),0))))</f>
        <v>0</v>
      </c>
      <c r="V64" s="2478">
        <f t="shared" si="4"/>
        <v>0</v>
      </c>
      <c r="W64" s="2478">
        <f t="shared" si="5"/>
        <v>0</v>
      </c>
      <c r="X64" s="2718">
        <f t="shared" si="7"/>
        <v>0</v>
      </c>
      <c r="Y64" s="2718">
        <f t="shared" si="8"/>
        <v>0</v>
      </c>
    </row>
    <row r="65" spans="1:25">
      <c r="A65" s="2473" t="str">
        <f t="shared" si="6"/>
        <v/>
      </c>
      <c r="B65" s="2737"/>
      <c r="C65" s="2737"/>
      <c r="D65" s="2737"/>
      <c r="E65" s="2738"/>
      <c r="F65" s="2738"/>
      <c r="G65" s="2738"/>
      <c r="H65" s="2739"/>
      <c r="I65" s="2741"/>
      <c r="J65" s="2741"/>
      <c r="K65" s="2742"/>
      <c r="L65" s="2742"/>
      <c r="M65" s="2738"/>
      <c r="N65" s="2738"/>
      <c r="O65" s="2474">
        <f t="shared" si="0"/>
        <v>0</v>
      </c>
      <c r="P65" s="2474">
        <f t="shared" si="1"/>
        <v>0</v>
      </c>
      <c r="Q65" s="2475">
        <f t="shared" si="9"/>
        <v>0</v>
      </c>
      <c r="R65" s="2475">
        <f t="shared" si="10"/>
        <v>0</v>
      </c>
      <c r="S65" s="2476">
        <f t="shared" si="2"/>
        <v>0</v>
      </c>
      <c r="T65" s="2476">
        <f t="shared" si="3"/>
        <v>0</v>
      </c>
      <c r="U65" s="2477">
        <f>IF(OR(E65="QS",B65=""),0,
IF(C65="F",VLOOKUP($T65,'表30-5-2-5-1'!$B:$AF,MATCH($D65&amp;"a",'表30-5-2-5-1'!$4:$4,0)-1,FALSE)
-IF($S65-1&lt;=0,0,VLOOKUP($S65-1,'表30-5-2-5-1'!$B:$AF,MATCH($D65&amp;"a",'表30-5-2-5-1'!$4:$4,0)-1,FALSE))
-VLOOKUP($T65,'表30-5-2-5-1'!$B:$AF,MATCH($D65,'表30-5-2-5-1'!$4:$4,0)-1,FALSE)*(T65/100-N65/H65)*100
-VLOOKUP($S65,'表30-5-2-5-1'!$B:$AF,MATCH($D65,'表30-5-2-5-1'!$4:$4,0)-1,FALSE)*(1-(S65/100-M65/H65)*100),
IF(C65="E1",VLOOKUP($T65,'表30-5-2-5-2'!$B$4:$AF$104,MATCH($D65&amp;"a",'表30-5-2-5-2'!$4:$4,0)-1,FALSE)
-IF($S65-1&lt;=0,0,VLOOKUP($S65-1,'表30-5-2-5-2'!$B$4:$AF$104,MATCH($D65&amp;"a",'表30-5-2-5-2'!$4:$4,0)-1,FALSE))
-VLOOKUP($T65,'表30-5-2-5-2'!$B$4:$AF$104,MATCH($D65,'表30-5-2-5-2'!$4:$4,0)-1,FALSE)*(T65/100-N65/H65)*100
-VLOOKUP($S65,'表30-5-2-5-2'!$B$4:$AF$104,MATCH($D65,'表30-5-2-5-2'!$4:$4,0)-1,FALSE)*(1-(S65/100-M65/H65)*100),
IF(C65="E2",VLOOKUP($T65,'表30-5-2-5-2'!$B$114:$AF$214,MATCH($D65&amp;"a",'表30-5-2-5-2'!$4:$4,0)-1,FALSE)
-IF($S65-1&lt;=0,0,VLOOKUP($S65-1,'表30-5-2-5-2'!$B$114:$AF$214,MATCH($D65&amp;"a",'表30-5-2-5-2'!$4:$4,0)-1,FALSE))
-VLOOKUP($T65,'表30-5-2-5-2'!$B$114:$AF$214,MATCH($D65,'表30-5-2-5-2'!$4:$4,0)-1,FALSE)*(T65/100-N65/H65)*100
-VLOOKUP($S65,'表30-5-2-5-2'!$B$114:$AF$214,MATCH($D65,'表30-5-2-5-2'!$4:$4,0)-1,FALSE)*(1-(S65/100-M65/H65)*100),0))))</f>
        <v>0</v>
      </c>
      <c r="V65" s="2478">
        <f t="shared" si="4"/>
        <v>0</v>
      </c>
      <c r="W65" s="2478">
        <f t="shared" si="5"/>
        <v>0</v>
      </c>
      <c r="X65" s="2718">
        <f t="shared" si="7"/>
        <v>0</v>
      </c>
      <c r="Y65" s="2718">
        <f t="shared" si="8"/>
        <v>0</v>
      </c>
    </row>
    <row r="66" spans="1:25">
      <c r="A66" s="2473" t="str">
        <f t="shared" si="6"/>
        <v/>
      </c>
      <c r="B66" s="2737"/>
      <c r="C66" s="2737"/>
      <c r="D66" s="2737"/>
      <c r="E66" s="2738"/>
      <c r="F66" s="2738"/>
      <c r="G66" s="2738"/>
      <c r="H66" s="2739"/>
      <c r="I66" s="2741"/>
      <c r="J66" s="2741"/>
      <c r="K66" s="2742"/>
      <c r="L66" s="2742"/>
      <c r="M66" s="2738"/>
      <c r="N66" s="2738"/>
      <c r="O66" s="2474">
        <f t="shared" si="0"/>
        <v>0</v>
      </c>
      <c r="P66" s="2474">
        <f t="shared" si="1"/>
        <v>0</v>
      </c>
      <c r="Q66" s="2475">
        <f t="shared" si="9"/>
        <v>0</v>
      </c>
      <c r="R66" s="2475">
        <f t="shared" si="10"/>
        <v>0</v>
      </c>
      <c r="S66" s="2476">
        <f t="shared" si="2"/>
        <v>0</v>
      </c>
      <c r="T66" s="2476">
        <f t="shared" si="3"/>
        <v>0</v>
      </c>
      <c r="U66" s="2477">
        <f>IF(OR(E66="QS",B66=""),0,
IF(C66="F",VLOOKUP($T66,'表30-5-2-5-1'!$B:$AF,MATCH($D66&amp;"a",'表30-5-2-5-1'!$4:$4,0)-1,FALSE)
-IF($S66-1&lt;=0,0,VLOOKUP($S66-1,'表30-5-2-5-1'!$B:$AF,MATCH($D66&amp;"a",'表30-5-2-5-1'!$4:$4,0)-1,FALSE))
-VLOOKUP($T66,'表30-5-2-5-1'!$B:$AF,MATCH($D66,'表30-5-2-5-1'!$4:$4,0)-1,FALSE)*(T66/100-N66/H66)*100
-VLOOKUP($S66,'表30-5-2-5-1'!$B:$AF,MATCH($D66,'表30-5-2-5-1'!$4:$4,0)-1,FALSE)*(1-(S66/100-M66/H66)*100),
IF(C66="E1",VLOOKUP($T66,'表30-5-2-5-2'!$B$4:$AF$104,MATCH($D66&amp;"a",'表30-5-2-5-2'!$4:$4,0)-1,FALSE)
-IF($S66-1&lt;=0,0,VLOOKUP($S66-1,'表30-5-2-5-2'!$B$4:$AF$104,MATCH($D66&amp;"a",'表30-5-2-5-2'!$4:$4,0)-1,FALSE))
-VLOOKUP($T66,'表30-5-2-5-2'!$B$4:$AF$104,MATCH($D66,'表30-5-2-5-2'!$4:$4,0)-1,FALSE)*(T66/100-N66/H66)*100
-VLOOKUP($S66,'表30-5-2-5-2'!$B$4:$AF$104,MATCH($D66,'表30-5-2-5-2'!$4:$4,0)-1,FALSE)*(1-(S66/100-M66/H66)*100),
IF(C66="E2",VLOOKUP($T66,'表30-5-2-5-2'!$B$114:$AF$214,MATCH($D66&amp;"a",'表30-5-2-5-2'!$4:$4,0)-1,FALSE)
-IF($S66-1&lt;=0,0,VLOOKUP($S66-1,'表30-5-2-5-2'!$B$114:$AF$214,MATCH($D66&amp;"a",'表30-5-2-5-2'!$4:$4,0)-1,FALSE))
-VLOOKUP($T66,'表30-5-2-5-2'!$B$114:$AF$214,MATCH($D66,'表30-5-2-5-2'!$4:$4,0)-1,FALSE)*(T66/100-N66/H66)*100
-VLOOKUP($S66,'表30-5-2-5-2'!$B$114:$AF$214,MATCH($D66,'表30-5-2-5-2'!$4:$4,0)-1,FALSE)*(1-(S66/100-M66/H66)*100),0))))</f>
        <v>0</v>
      </c>
      <c r="V66" s="2478">
        <f t="shared" si="4"/>
        <v>0</v>
      </c>
      <c r="W66" s="2478">
        <f t="shared" si="5"/>
        <v>0</v>
      </c>
      <c r="X66" s="2718">
        <f t="shared" si="7"/>
        <v>0</v>
      </c>
      <c r="Y66" s="2718">
        <f t="shared" si="8"/>
        <v>0</v>
      </c>
    </row>
    <row r="67" spans="1:25">
      <c r="A67" s="2473" t="str">
        <f t="shared" si="6"/>
        <v/>
      </c>
      <c r="B67" s="2737"/>
      <c r="C67" s="2737"/>
      <c r="D67" s="2737"/>
      <c r="E67" s="2738"/>
      <c r="F67" s="2738"/>
      <c r="G67" s="2738"/>
      <c r="H67" s="2739"/>
      <c r="I67" s="2741"/>
      <c r="J67" s="2741"/>
      <c r="K67" s="2742"/>
      <c r="L67" s="2742"/>
      <c r="M67" s="2738"/>
      <c r="N67" s="2738"/>
      <c r="O67" s="2474">
        <f t="shared" si="0"/>
        <v>0</v>
      </c>
      <c r="P67" s="2474">
        <f t="shared" si="1"/>
        <v>0</v>
      </c>
      <c r="Q67" s="2475">
        <f t="shared" si="9"/>
        <v>0</v>
      </c>
      <c r="R67" s="2475">
        <f t="shared" si="10"/>
        <v>0</v>
      </c>
      <c r="S67" s="2476">
        <f t="shared" si="2"/>
        <v>0</v>
      </c>
      <c r="T67" s="2476">
        <f t="shared" si="3"/>
        <v>0</v>
      </c>
      <c r="U67" s="2477">
        <f>IF(OR(E67="QS",B67=""),0,
IF(C67="F",VLOOKUP($T67,'表30-5-2-5-1'!$B:$AF,MATCH($D67&amp;"a",'表30-5-2-5-1'!$4:$4,0)-1,FALSE)
-IF($S67-1&lt;=0,0,VLOOKUP($S67-1,'表30-5-2-5-1'!$B:$AF,MATCH($D67&amp;"a",'表30-5-2-5-1'!$4:$4,0)-1,FALSE))
-VLOOKUP($T67,'表30-5-2-5-1'!$B:$AF,MATCH($D67,'表30-5-2-5-1'!$4:$4,0)-1,FALSE)*(T67/100-N67/H67)*100
-VLOOKUP($S67,'表30-5-2-5-1'!$B:$AF,MATCH($D67,'表30-5-2-5-1'!$4:$4,0)-1,FALSE)*(1-(S67/100-M67/H67)*100),
IF(C67="E1",VLOOKUP($T67,'表30-5-2-5-2'!$B$4:$AF$104,MATCH($D67&amp;"a",'表30-5-2-5-2'!$4:$4,0)-1,FALSE)
-IF($S67-1&lt;=0,0,VLOOKUP($S67-1,'表30-5-2-5-2'!$B$4:$AF$104,MATCH($D67&amp;"a",'表30-5-2-5-2'!$4:$4,0)-1,FALSE))
-VLOOKUP($T67,'表30-5-2-5-2'!$B$4:$AF$104,MATCH($D67,'表30-5-2-5-2'!$4:$4,0)-1,FALSE)*(T67/100-N67/H67)*100
-VLOOKUP($S67,'表30-5-2-5-2'!$B$4:$AF$104,MATCH($D67,'表30-5-2-5-2'!$4:$4,0)-1,FALSE)*(1-(S67/100-M67/H67)*100),
IF(C67="E2",VLOOKUP($T67,'表30-5-2-5-2'!$B$114:$AF$214,MATCH($D67&amp;"a",'表30-5-2-5-2'!$4:$4,0)-1,FALSE)
-IF($S67-1&lt;=0,0,VLOOKUP($S67-1,'表30-5-2-5-2'!$B$114:$AF$214,MATCH($D67&amp;"a",'表30-5-2-5-2'!$4:$4,0)-1,FALSE))
-VLOOKUP($T67,'表30-5-2-5-2'!$B$114:$AF$214,MATCH($D67,'表30-5-2-5-2'!$4:$4,0)-1,FALSE)*(T67/100-N67/H67)*100
-VLOOKUP($S67,'表30-5-2-5-2'!$B$114:$AF$214,MATCH($D67,'表30-5-2-5-2'!$4:$4,0)-1,FALSE)*(1-(S67/100-M67/H67)*100),0))))</f>
        <v>0</v>
      </c>
      <c r="V67" s="2478">
        <f t="shared" si="4"/>
        <v>0</v>
      </c>
      <c r="W67" s="2478">
        <f t="shared" si="5"/>
        <v>0</v>
      </c>
      <c r="X67" s="2718">
        <f t="shared" si="7"/>
        <v>0</v>
      </c>
      <c r="Y67" s="2718">
        <f t="shared" si="8"/>
        <v>0</v>
      </c>
    </row>
    <row r="68" spans="1:25">
      <c r="A68" s="2473" t="str">
        <f t="shared" si="6"/>
        <v/>
      </c>
      <c r="B68" s="2737"/>
      <c r="C68" s="2737"/>
      <c r="D68" s="2737"/>
      <c r="E68" s="2738"/>
      <c r="F68" s="2738"/>
      <c r="G68" s="2738"/>
      <c r="H68" s="2739"/>
      <c r="I68" s="2741"/>
      <c r="J68" s="2741"/>
      <c r="K68" s="2742"/>
      <c r="L68" s="2742"/>
      <c r="M68" s="2738"/>
      <c r="N68" s="2738"/>
      <c r="O68" s="2474">
        <f t="shared" si="0"/>
        <v>0</v>
      </c>
      <c r="P68" s="2474">
        <f t="shared" si="1"/>
        <v>0</v>
      </c>
      <c r="Q68" s="2475">
        <f t="shared" si="9"/>
        <v>0</v>
      </c>
      <c r="R68" s="2475">
        <f t="shared" si="10"/>
        <v>0</v>
      </c>
      <c r="S68" s="2476">
        <f t="shared" si="2"/>
        <v>0</v>
      </c>
      <c r="T68" s="2476">
        <f t="shared" si="3"/>
        <v>0</v>
      </c>
      <c r="U68" s="2477">
        <f>IF(OR(E68="QS",B68=""),0,
IF(C68="F",VLOOKUP($T68,'表30-5-2-5-1'!$B:$AF,MATCH($D68&amp;"a",'表30-5-2-5-1'!$4:$4,0)-1,FALSE)
-IF($S68-1&lt;=0,0,VLOOKUP($S68-1,'表30-5-2-5-1'!$B:$AF,MATCH($D68&amp;"a",'表30-5-2-5-1'!$4:$4,0)-1,FALSE))
-VLOOKUP($T68,'表30-5-2-5-1'!$B:$AF,MATCH($D68,'表30-5-2-5-1'!$4:$4,0)-1,FALSE)*(T68/100-N68/H68)*100
-VLOOKUP($S68,'表30-5-2-5-1'!$B:$AF,MATCH($D68,'表30-5-2-5-1'!$4:$4,0)-1,FALSE)*(1-(S68/100-M68/H68)*100),
IF(C68="E1",VLOOKUP($T68,'表30-5-2-5-2'!$B$4:$AF$104,MATCH($D68&amp;"a",'表30-5-2-5-2'!$4:$4,0)-1,FALSE)
-IF($S68-1&lt;=0,0,VLOOKUP($S68-1,'表30-5-2-5-2'!$B$4:$AF$104,MATCH($D68&amp;"a",'表30-5-2-5-2'!$4:$4,0)-1,FALSE))
-VLOOKUP($T68,'表30-5-2-5-2'!$B$4:$AF$104,MATCH($D68,'表30-5-2-5-2'!$4:$4,0)-1,FALSE)*(T68/100-N68/H68)*100
-VLOOKUP($S68,'表30-5-2-5-2'!$B$4:$AF$104,MATCH($D68,'表30-5-2-5-2'!$4:$4,0)-1,FALSE)*(1-(S68/100-M68/H68)*100),
IF(C68="E2",VLOOKUP($T68,'表30-5-2-5-2'!$B$114:$AF$214,MATCH($D68&amp;"a",'表30-5-2-5-2'!$4:$4,0)-1,FALSE)
-IF($S68-1&lt;=0,0,VLOOKUP($S68-1,'表30-5-2-5-2'!$B$114:$AF$214,MATCH($D68&amp;"a",'表30-5-2-5-2'!$4:$4,0)-1,FALSE))
-VLOOKUP($T68,'表30-5-2-5-2'!$B$114:$AF$214,MATCH($D68,'表30-5-2-5-2'!$4:$4,0)-1,FALSE)*(T68/100-N68/H68)*100
-VLOOKUP($S68,'表30-5-2-5-2'!$B$114:$AF$214,MATCH($D68,'表30-5-2-5-2'!$4:$4,0)-1,FALSE)*(1-(S68/100-M68/H68)*100),0))))</f>
        <v>0</v>
      </c>
      <c r="V68" s="2478">
        <f t="shared" si="4"/>
        <v>0</v>
      </c>
      <c r="W68" s="2478">
        <f t="shared" si="5"/>
        <v>0</v>
      </c>
      <c r="X68" s="2718">
        <f t="shared" si="7"/>
        <v>0</v>
      </c>
      <c r="Y68" s="2718">
        <f t="shared" si="8"/>
        <v>0</v>
      </c>
    </row>
    <row r="69" spans="1:25">
      <c r="A69" s="2473" t="str">
        <f t="shared" si="6"/>
        <v/>
      </c>
      <c r="B69" s="2737"/>
      <c r="C69" s="2737"/>
      <c r="D69" s="2737"/>
      <c r="E69" s="2738"/>
      <c r="F69" s="2738"/>
      <c r="G69" s="2738"/>
      <c r="H69" s="2739"/>
      <c r="I69" s="2741"/>
      <c r="J69" s="2741"/>
      <c r="K69" s="2742"/>
      <c r="L69" s="2742"/>
      <c r="M69" s="2738"/>
      <c r="N69" s="2738"/>
      <c r="O69" s="2474">
        <f t="shared" si="0"/>
        <v>0</v>
      </c>
      <c r="P69" s="2474">
        <f t="shared" si="1"/>
        <v>0</v>
      </c>
      <c r="Q69" s="2475">
        <f t="shared" si="9"/>
        <v>0</v>
      </c>
      <c r="R69" s="2475">
        <f t="shared" si="10"/>
        <v>0</v>
      </c>
      <c r="S69" s="2476">
        <f t="shared" si="2"/>
        <v>0</v>
      </c>
      <c r="T69" s="2476">
        <f t="shared" si="3"/>
        <v>0</v>
      </c>
      <c r="U69" s="2477">
        <f>IF(OR(E69="QS",B69=""),0,
IF(C69="F",VLOOKUP($T69,'表30-5-2-5-1'!$B:$AF,MATCH($D69&amp;"a",'表30-5-2-5-1'!$4:$4,0)-1,FALSE)
-IF($S69-1&lt;=0,0,VLOOKUP($S69-1,'表30-5-2-5-1'!$B:$AF,MATCH($D69&amp;"a",'表30-5-2-5-1'!$4:$4,0)-1,FALSE))
-VLOOKUP($T69,'表30-5-2-5-1'!$B:$AF,MATCH($D69,'表30-5-2-5-1'!$4:$4,0)-1,FALSE)*(T69/100-N69/H69)*100
-VLOOKUP($S69,'表30-5-2-5-1'!$B:$AF,MATCH($D69,'表30-5-2-5-1'!$4:$4,0)-1,FALSE)*(1-(S69/100-M69/H69)*100),
IF(C69="E1",VLOOKUP($T69,'表30-5-2-5-2'!$B$4:$AF$104,MATCH($D69&amp;"a",'表30-5-2-5-2'!$4:$4,0)-1,FALSE)
-IF($S69-1&lt;=0,0,VLOOKUP($S69-1,'表30-5-2-5-2'!$B$4:$AF$104,MATCH($D69&amp;"a",'表30-5-2-5-2'!$4:$4,0)-1,FALSE))
-VLOOKUP($T69,'表30-5-2-5-2'!$B$4:$AF$104,MATCH($D69,'表30-5-2-5-2'!$4:$4,0)-1,FALSE)*(T69/100-N69/H69)*100
-VLOOKUP($S69,'表30-5-2-5-2'!$B$4:$AF$104,MATCH($D69,'表30-5-2-5-2'!$4:$4,0)-1,FALSE)*(1-(S69/100-M69/H69)*100),
IF(C69="E2",VLOOKUP($T69,'表30-5-2-5-2'!$B$114:$AF$214,MATCH($D69&amp;"a",'表30-5-2-5-2'!$4:$4,0)-1,FALSE)
-IF($S69-1&lt;=0,0,VLOOKUP($S69-1,'表30-5-2-5-2'!$B$114:$AF$214,MATCH($D69&amp;"a",'表30-5-2-5-2'!$4:$4,0)-1,FALSE))
-VLOOKUP($T69,'表30-5-2-5-2'!$B$114:$AF$214,MATCH($D69,'表30-5-2-5-2'!$4:$4,0)-1,FALSE)*(T69/100-N69/H69)*100
-VLOOKUP($S69,'表30-5-2-5-2'!$B$114:$AF$214,MATCH($D69,'表30-5-2-5-2'!$4:$4,0)-1,FALSE)*(1-(S69/100-M69/H69)*100),0))))</f>
        <v>0</v>
      </c>
      <c r="V69" s="2478">
        <f t="shared" si="4"/>
        <v>0</v>
      </c>
      <c r="W69" s="2478">
        <f t="shared" si="5"/>
        <v>0</v>
      </c>
      <c r="X69" s="2718">
        <f t="shared" si="7"/>
        <v>0</v>
      </c>
      <c r="Y69" s="2718">
        <f t="shared" si="8"/>
        <v>0</v>
      </c>
    </row>
    <row r="70" spans="1:25">
      <c r="A70" s="2473" t="str">
        <f t="shared" si="6"/>
        <v/>
      </c>
      <c r="B70" s="2737"/>
      <c r="C70" s="2737"/>
      <c r="D70" s="2737"/>
      <c r="E70" s="2738"/>
      <c r="F70" s="2738"/>
      <c r="G70" s="2738"/>
      <c r="H70" s="2739"/>
      <c r="I70" s="2741"/>
      <c r="J70" s="2741"/>
      <c r="K70" s="2742"/>
      <c r="L70" s="2742"/>
      <c r="M70" s="2738"/>
      <c r="N70" s="2738"/>
      <c r="O70" s="2474">
        <f t="shared" ref="O70:O133" si="11">IF(E70="QS",G70*I70,0)</f>
        <v>0</v>
      </c>
      <c r="P70" s="2474">
        <f t="shared" ref="P70:P133" si="12">IF(E70="QS",G70*J70,0)</f>
        <v>0</v>
      </c>
      <c r="Q70" s="2475">
        <f t="shared" si="9"/>
        <v>0</v>
      </c>
      <c r="R70" s="2475">
        <f t="shared" si="10"/>
        <v>0</v>
      </c>
      <c r="S70" s="2476">
        <f t="shared" ref="S70:S133" si="13">IF(OR(E70="QS",B70=""),0,CEILING((M70+1)/H70*100,1))</f>
        <v>0</v>
      </c>
      <c r="T70" s="2476">
        <f t="shared" ref="T70:T133" si="14">IF(OR(E70="QS",B70=""),0,CEILING(N70/H70*100,1))</f>
        <v>0</v>
      </c>
      <c r="U70" s="2477">
        <f>IF(OR(E70="QS",B70=""),0,
IF(C70="F",VLOOKUP($T70,'表30-5-2-5-1'!$B:$AF,MATCH($D70&amp;"a",'表30-5-2-5-1'!$4:$4,0)-1,FALSE)
-IF($S70-1&lt;=0,0,VLOOKUP($S70-1,'表30-5-2-5-1'!$B:$AF,MATCH($D70&amp;"a",'表30-5-2-5-1'!$4:$4,0)-1,FALSE))
-VLOOKUP($T70,'表30-5-2-5-1'!$B:$AF,MATCH($D70,'表30-5-2-5-1'!$4:$4,0)-1,FALSE)*(T70/100-N70/H70)*100
-VLOOKUP($S70,'表30-5-2-5-1'!$B:$AF,MATCH($D70,'表30-5-2-5-1'!$4:$4,0)-1,FALSE)*(1-(S70/100-M70/H70)*100),
IF(C70="E1",VLOOKUP($T70,'表30-5-2-5-2'!$B$4:$AF$104,MATCH($D70&amp;"a",'表30-5-2-5-2'!$4:$4,0)-1,FALSE)
-IF($S70-1&lt;=0,0,VLOOKUP($S70-1,'表30-5-2-5-2'!$B$4:$AF$104,MATCH($D70&amp;"a",'表30-5-2-5-2'!$4:$4,0)-1,FALSE))
-VLOOKUP($T70,'表30-5-2-5-2'!$B$4:$AF$104,MATCH($D70,'表30-5-2-5-2'!$4:$4,0)-1,FALSE)*(T70/100-N70/H70)*100
-VLOOKUP($S70,'表30-5-2-5-2'!$B$4:$AF$104,MATCH($D70,'表30-5-2-5-2'!$4:$4,0)-1,FALSE)*(1-(S70/100-M70/H70)*100),
IF(C70="E2",VLOOKUP($T70,'表30-5-2-5-2'!$B$114:$AF$214,MATCH($D70&amp;"a",'表30-5-2-5-2'!$4:$4,0)-1,FALSE)
-IF($S70-1&lt;=0,0,VLOOKUP($S70-1,'表30-5-2-5-2'!$B$114:$AF$214,MATCH($D70&amp;"a",'表30-5-2-5-2'!$4:$4,0)-1,FALSE))
-VLOOKUP($T70,'表30-5-2-5-2'!$B$114:$AF$214,MATCH($D70,'表30-5-2-5-2'!$4:$4,0)-1,FALSE)*(T70/100-N70/H70)*100
-VLOOKUP($S70,'表30-5-2-5-2'!$B$114:$AF$214,MATCH($D70,'表30-5-2-5-2'!$4:$4,0)-1,FALSE)*(1-(S70/100-M70/H70)*100),0))))</f>
        <v>0</v>
      </c>
      <c r="V70" s="2478">
        <f t="shared" ref="V70:V133" si="15">H70*U70*Q70</f>
        <v>0</v>
      </c>
      <c r="W70" s="2478">
        <f t="shared" ref="W70:W133" si="16">H70*U70*R70</f>
        <v>0</v>
      </c>
      <c r="X70" s="2718">
        <f t="shared" si="7"/>
        <v>0</v>
      </c>
      <c r="Y70" s="2718">
        <f t="shared" si="8"/>
        <v>0</v>
      </c>
    </row>
    <row r="71" spans="1:25">
      <c r="A71" s="2473" t="str">
        <f t="shared" ref="A71:A134" si="17">C71&amp;D71&amp;LEFT(E71,1)</f>
        <v/>
      </c>
      <c r="B71" s="2737"/>
      <c r="C71" s="2737"/>
      <c r="D71" s="2737"/>
      <c r="E71" s="2738"/>
      <c r="F71" s="2738"/>
      <c r="G71" s="2738"/>
      <c r="H71" s="2739"/>
      <c r="I71" s="2741"/>
      <c r="J71" s="2741"/>
      <c r="K71" s="2742"/>
      <c r="L71" s="2742"/>
      <c r="M71" s="2738"/>
      <c r="N71" s="2738"/>
      <c r="O71" s="2474">
        <f t="shared" si="11"/>
        <v>0</v>
      </c>
      <c r="P71" s="2474">
        <f t="shared" si="12"/>
        <v>0</v>
      </c>
      <c r="Q71" s="2475">
        <f t="shared" si="9"/>
        <v>0</v>
      </c>
      <c r="R71" s="2475">
        <f t="shared" si="10"/>
        <v>0</v>
      </c>
      <c r="S71" s="2476">
        <f t="shared" si="13"/>
        <v>0</v>
      </c>
      <c r="T71" s="2476">
        <f t="shared" si="14"/>
        <v>0</v>
      </c>
      <c r="U71" s="2477">
        <f>IF(OR(E71="QS",B71=""),0,
IF(C71="F",VLOOKUP($T71,'表30-5-2-5-1'!$B:$AF,MATCH($D71&amp;"a",'表30-5-2-5-1'!$4:$4,0)-1,FALSE)
-IF($S71-1&lt;=0,0,VLOOKUP($S71-1,'表30-5-2-5-1'!$B:$AF,MATCH($D71&amp;"a",'表30-5-2-5-1'!$4:$4,0)-1,FALSE))
-VLOOKUP($T71,'表30-5-2-5-1'!$B:$AF,MATCH($D71,'表30-5-2-5-1'!$4:$4,0)-1,FALSE)*(T71/100-N71/H71)*100
-VLOOKUP($S71,'表30-5-2-5-1'!$B:$AF,MATCH($D71,'表30-5-2-5-1'!$4:$4,0)-1,FALSE)*(1-(S71/100-M71/H71)*100),
IF(C71="E1",VLOOKUP($T71,'表30-5-2-5-2'!$B$4:$AF$104,MATCH($D71&amp;"a",'表30-5-2-5-2'!$4:$4,0)-1,FALSE)
-IF($S71-1&lt;=0,0,VLOOKUP($S71-1,'表30-5-2-5-2'!$B$4:$AF$104,MATCH($D71&amp;"a",'表30-5-2-5-2'!$4:$4,0)-1,FALSE))
-VLOOKUP($T71,'表30-5-2-5-2'!$B$4:$AF$104,MATCH($D71,'表30-5-2-5-2'!$4:$4,0)-1,FALSE)*(T71/100-N71/H71)*100
-VLOOKUP($S71,'表30-5-2-5-2'!$B$4:$AF$104,MATCH($D71,'表30-5-2-5-2'!$4:$4,0)-1,FALSE)*(1-(S71/100-M71/H71)*100),
IF(C71="E2",VLOOKUP($T71,'表30-5-2-5-2'!$B$114:$AF$214,MATCH($D71&amp;"a",'表30-5-2-5-2'!$4:$4,0)-1,FALSE)
-IF($S71-1&lt;=0,0,VLOOKUP($S71-1,'表30-5-2-5-2'!$B$114:$AF$214,MATCH($D71&amp;"a",'表30-5-2-5-2'!$4:$4,0)-1,FALSE))
-VLOOKUP($T71,'表30-5-2-5-2'!$B$114:$AF$214,MATCH($D71,'表30-5-2-5-2'!$4:$4,0)-1,FALSE)*(T71/100-N71/H71)*100
-VLOOKUP($S71,'表30-5-2-5-2'!$B$114:$AF$214,MATCH($D71,'表30-5-2-5-2'!$4:$4,0)-1,FALSE)*(1-(S71/100-M71/H71)*100),0))))</f>
        <v>0</v>
      </c>
      <c r="V71" s="2478">
        <f t="shared" si="15"/>
        <v>0</v>
      </c>
      <c r="W71" s="2478">
        <f t="shared" si="16"/>
        <v>0</v>
      </c>
      <c r="X71" s="2718">
        <f t="shared" ref="X71:X134" si="18">U71*F71</f>
        <v>0</v>
      </c>
      <c r="Y71" s="2718">
        <f t="shared" ref="Y71:Y134" si="19">IFERROR(U71*F71*(L71/K71),0)</f>
        <v>0</v>
      </c>
    </row>
    <row r="72" spans="1:25">
      <c r="A72" s="2473" t="str">
        <f t="shared" si="17"/>
        <v/>
      </c>
      <c r="B72" s="2737"/>
      <c r="C72" s="2737"/>
      <c r="D72" s="2737"/>
      <c r="E72" s="2738"/>
      <c r="F72" s="2738"/>
      <c r="G72" s="2738"/>
      <c r="H72" s="2739"/>
      <c r="I72" s="2741"/>
      <c r="J72" s="2741"/>
      <c r="K72" s="2742"/>
      <c r="L72" s="2742"/>
      <c r="M72" s="2738"/>
      <c r="N72" s="2738"/>
      <c r="O72" s="2474">
        <f t="shared" si="11"/>
        <v>0</v>
      </c>
      <c r="P72" s="2474">
        <f t="shared" si="12"/>
        <v>0</v>
      </c>
      <c r="Q72" s="2475">
        <f t="shared" si="9"/>
        <v>0</v>
      </c>
      <c r="R72" s="2475">
        <f t="shared" si="10"/>
        <v>0</v>
      </c>
      <c r="S72" s="2476">
        <f t="shared" si="13"/>
        <v>0</v>
      </c>
      <c r="T72" s="2476">
        <f t="shared" si="14"/>
        <v>0</v>
      </c>
      <c r="U72" s="2477">
        <f>IF(OR(E72="QS",B72=""),0,
IF(C72="F",VLOOKUP($T72,'表30-5-2-5-1'!$B:$AF,MATCH($D72&amp;"a",'表30-5-2-5-1'!$4:$4,0)-1,FALSE)
-IF($S72-1&lt;=0,0,VLOOKUP($S72-1,'表30-5-2-5-1'!$B:$AF,MATCH($D72&amp;"a",'表30-5-2-5-1'!$4:$4,0)-1,FALSE))
-VLOOKUP($T72,'表30-5-2-5-1'!$B:$AF,MATCH($D72,'表30-5-2-5-1'!$4:$4,0)-1,FALSE)*(T72/100-N72/H72)*100
-VLOOKUP($S72,'表30-5-2-5-1'!$B:$AF,MATCH($D72,'表30-5-2-5-1'!$4:$4,0)-1,FALSE)*(1-(S72/100-M72/H72)*100),
IF(C72="E1",VLOOKUP($T72,'表30-5-2-5-2'!$B$4:$AF$104,MATCH($D72&amp;"a",'表30-5-2-5-2'!$4:$4,0)-1,FALSE)
-IF($S72-1&lt;=0,0,VLOOKUP($S72-1,'表30-5-2-5-2'!$B$4:$AF$104,MATCH($D72&amp;"a",'表30-5-2-5-2'!$4:$4,0)-1,FALSE))
-VLOOKUP($T72,'表30-5-2-5-2'!$B$4:$AF$104,MATCH($D72,'表30-5-2-5-2'!$4:$4,0)-1,FALSE)*(T72/100-N72/H72)*100
-VLOOKUP($S72,'表30-5-2-5-2'!$B$4:$AF$104,MATCH($D72,'表30-5-2-5-2'!$4:$4,0)-1,FALSE)*(1-(S72/100-M72/H72)*100),
IF(C72="E2",VLOOKUP($T72,'表30-5-2-5-2'!$B$114:$AF$214,MATCH($D72&amp;"a",'表30-5-2-5-2'!$4:$4,0)-1,FALSE)
-IF($S72-1&lt;=0,0,VLOOKUP($S72-1,'表30-5-2-5-2'!$B$114:$AF$214,MATCH($D72&amp;"a",'表30-5-2-5-2'!$4:$4,0)-1,FALSE))
-VLOOKUP($T72,'表30-5-2-5-2'!$B$114:$AF$214,MATCH($D72,'表30-5-2-5-2'!$4:$4,0)-1,FALSE)*(T72/100-N72/H72)*100
-VLOOKUP($S72,'表30-5-2-5-2'!$B$114:$AF$214,MATCH($D72,'表30-5-2-5-2'!$4:$4,0)-1,FALSE)*(1-(S72/100-M72/H72)*100),0))))</f>
        <v>0</v>
      </c>
      <c r="V72" s="2478">
        <f t="shared" si="15"/>
        <v>0</v>
      </c>
      <c r="W72" s="2478">
        <f t="shared" si="16"/>
        <v>0</v>
      </c>
      <c r="X72" s="2718">
        <f t="shared" si="18"/>
        <v>0</v>
      </c>
      <c r="Y72" s="2718">
        <f t="shared" si="19"/>
        <v>0</v>
      </c>
    </row>
    <row r="73" spans="1:25">
      <c r="A73" s="2473" t="str">
        <f t="shared" si="17"/>
        <v/>
      </c>
      <c r="B73" s="2737"/>
      <c r="C73" s="2737"/>
      <c r="D73" s="2737"/>
      <c r="E73" s="2738"/>
      <c r="F73" s="2738"/>
      <c r="G73" s="2738"/>
      <c r="H73" s="2739"/>
      <c r="I73" s="2741"/>
      <c r="J73" s="2741"/>
      <c r="K73" s="2742"/>
      <c r="L73" s="2742"/>
      <c r="M73" s="2738"/>
      <c r="N73" s="2738"/>
      <c r="O73" s="2474">
        <f t="shared" si="11"/>
        <v>0</v>
      </c>
      <c r="P73" s="2474">
        <f t="shared" si="12"/>
        <v>0</v>
      </c>
      <c r="Q73" s="2475">
        <f t="shared" ref="Q73:Q136" si="20">IF(OR(E73="QS",E73=""),0,(N73-M73)/H73*K73)</f>
        <v>0</v>
      </c>
      <c r="R73" s="2475">
        <f t="shared" ref="R73:R136" si="21">IF(OR(E73="QS",E73=""),0,(N73-M73)/H73*L73)</f>
        <v>0</v>
      </c>
      <c r="S73" s="2476">
        <f t="shared" si="13"/>
        <v>0</v>
      </c>
      <c r="T73" s="2476">
        <f t="shared" si="14"/>
        <v>0</v>
      </c>
      <c r="U73" s="2477">
        <f>IF(OR(E73="QS",B73=""),0,
IF(C73="F",VLOOKUP($T73,'表30-5-2-5-1'!$B:$AF,MATCH($D73&amp;"a",'表30-5-2-5-1'!$4:$4,0)-1,FALSE)
-IF($S73-1&lt;=0,0,VLOOKUP($S73-1,'表30-5-2-5-1'!$B:$AF,MATCH($D73&amp;"a",'表30-5-2-5-1'!$4:$4,0)-1,FALSE))
-VLOOKUP($T73,'表30-5-2-5-1'!$B:$AF,MATCH($D73,'表30-5-2-5-1'!$4:$4,0)-1,FALSE)*(T73/100-N73/H73)*100
-VLOOKUP($S73,'表30-5-2-5-1'!$B:$AF,MATCH($D73,'表30-5-2-5-1'!$4:$4,0)-1,FALSE)*(1-(S73/100-M73/H73)*100),
IF(C73="E1",VLOOKUP($T73,'表30-5-2-5-2'!$B$4:$AF$104,MATCH($D73&amp;"a",'表30-5-2-5-2'!$4:$4,0)-1,FALSE)
-IF($S73-1&lt;=0,0,VLOOKUP($S73-1,'表30-5-2-5-2'!$B$4:$AF$104,MATCH($D73&amp;"a",'表30-5-2-5-2'!$4:$4,0)-1,FALSE))
-VLOOKUP($T73,'表30-5-2-5-2'!$B$4:$AF$104,MATCH($D73,'表30-5-2-5-2'!$4:$4,0)-1,FALSE)*(T73/100-N73/H73)*100
-VLOOKUP($S73,'表30-5-2-5-2'!$B$4:$AF$104,MATCH($D73,'表30-5-2-5-2'!$4:$4,0)-1,FALSE)*(1-(S73/100-M73/H73)*100),
IF(C73="E2",VLOOKUP($T73,'表30-5-2-5-2'!$B$114:$AF$214,MATCH($D73&amp;"a",'表30-5-2-5-2'!$4:$4,0)-1,FALSE)
-IF($S73-1&lt;=0,0,VLOOKUP($S73-1,'表30-5-2-5-2'!$B$114:$AF$214,MATCH($D73&amp;"a",'表30-5-2-5-2'!$4:$4,0)-1,FALSE))
-VLOOKUP($T73,'表30-5-2-5-2'!$B$114:$AF$214,MATCH($D73,'表30-5-2-5-2'!$4:$4,0)-1,FALSE)*(T73/100-N73/H73)*100
-VLOOKUP($S73,'表30-5-2-5-2'!$B$114:$AF$214,MATCH($D73,'表30-5-2-5-2'!$4:$4,0)-1,FALSE)*(1-(S73/100-M73/H73)*100),0))))</f>
        <v>0</v>
      </c>
      <c r="V73" s="2478">
        <f t="shared" si="15"/>
        <v>0</v>
      </c>
      <c r="W73" s="2478">
        <f t="shared" si="16"/>
        <v>0</v>
      </c>
      <c r="X73" s="2718">
        <f t="shared" si="18"/>
        <v>0</v>
      </c>
      <c r="Y73" s="2718">
        <f t="shared" si="19"/>
        <v>0</v>
      </c>
    </row>
    <row r="74" spans="1:25">
      <c r="A74" s="2473" t="str">
        <f t="shared" si="17"/>
        <v/>
      </c>
      <c r="B74" s="2737"/>
      <c r="C74" s="2737"/>
      <c r="D74" s="2737"/>
      <c r="E74" s="2738"/>
      <c r="F74" s="2738"/>
      <c r="G74" s="2738"/>
      <c r="H74" s="2739"/>
      <c r="I74" s="2741"/>
      <c r="J74" s="2741"/>
      <c r="K74" s="2742"/>
      <c r="L74" s="2742"/>
      <c r="M74" s="2738"/>
      <c r="N74" s="2738"/>
      <c r="O74" s="2474">
        <f t="shared" si="11"/>
        <v>0</v>
      </c>
      <c r="P74" s="2474">
        <f t="shared" si="12"/>
        <v>0</v>
      </c>
      <c r="Q74" s="2475">
        <f t="shared" si="20"/>
        <v>0</v>
      </c>
      <c r="R74" s="2475">
        <f t="shared" si="21"/>
        <v>0</v>
      </c>
      <c r="S74" s="2476">
        <f t="shared" si="13"/>
        <v>0</v>
      </c>
      <c r="T74" s="2476">
        <f t="shared" si="14"/>
        <v>0</v>
      </c>
      <c r="U74" s="2477">
        <f>IF(OR(E74="QS",B74=""),0,
IF(C74="F",VLOOKUP($T74,'表30-5-2-5-1'!$B:$AF,MATCH($D74&amp;"a",'表30-5-2-5-1'!$4:$4,0)-1,FALSE)
-IF($S74-1&lt;=0,0,VLOOKUP($S74-1,'表30-5-2-5-1'!$B:$AF,MATCH($D74&amp;"a",'表30-5-2-5-1'!$4:$4,0)-1,FALSE))
-VLOOKUP($T74,'表30-5-2-5-1'!$B:$AF,MATCH($D74,'表30-5-2-5-1'!$4:$4,0)-1,FALSE)*(T74/100-N74/H74)*100
-VLOOKUP($S74,'表30-5-2-5-1'!$B:$AF,MATCH($D74,'表30-5-2-5-1'!$4:$4,0)-1,FALSE)*(1-(S74/100-M74/H74)*100),
IF(C74="E1",VLOOKUP($T74,'表30-5-2-5-2'!$B$4:$AF$104,MATCH($D74&amp;"a",'表30-5-2-5-2'!$4:$4,0)-1,FALSE)
-IF($S74-1&lt;=0,0,VLOOKUP($S74-1,'表30-5-2-5-2'!$B$4:$AF$104,MATCH($D74&amp;"a",'表30-5-2-5-2'!$4:$4,0)-1,FALSE))
-VLOOKUP($T74,'表30-5-2-5-2'!$B$4:$AF$104,MATCH($D74,'表30-5-2-5-2'!$4:$4,0)-1,FALSE)*(T74/100-N74/H74)*100
-VLOOKUP($S74,'表30-5-2-5-2'!$B$4:$AF$104,MATCH($D74,'表30-5-2-5-2'!$4:$4,0)-1,FALSE)*(1-(S74/100-M74/H74)*100),
IF(C74="E2",VLOOKUP($T74,'表30-5-2-5-2'!$B$114:$AF$214,MATCH($D74&amp;"a",'表30-5-2-5-2'!$4:$4,0)-1,FALSE)
-IF($S74-1&lt;=0,0,VLOOKUP($S74-1,'表30-5-2-5-2'!$B$114:$AF$214,MATCH($D74&amp;"a",'表30-5-2-5-2'!$4:$4,0)-1,FALSE))
-VLOOKUP($T74,'表30-5-2-5-2'!$B$114:$AF$214,MATCH($D74,'表30-5-2-5-2'!$4:$4,0)-1,FALSE)*(T74/100-N74/H74)*100
-VLOOKUP($S74,'表30-5-2-5-2'!$B$114:$AF$214,MATCH($D74,'表30-5-2-5-2'!$4:$4,0)-1,FALSE)*(1-(S74/100-M74/H74)*100),0))))</f>
        <v>0</v>
      </c>
      <c r="V74" s="2478">
        <f t="shared" si="15"/>
        <v>0</v>
      </c>
      <c r="W74" s="2478">
        <f t="shared" si="16"/>
        <v>0</v>
      </c>
      <c r="X74" s="2718">
        <f t="shared" si="18"/>
        <v>0</v>
      </c>
      <c r="Y74" s="2718">
        <f t="shared" si="19"/>
        <v>0</v>
      </c>
    </row>
    <row r="75" spans="1:25">
      <c r="A75" s="2473" t="str">
        <f t="shared" si="17"/>
        <v/>
      </c>
      <c r="B75" s="2737"/>
      <c r="C75" s="2737"/>
      <c r="D75" s="2737"/>
      <c r="E75" s="2738"/>
      <c r="F75" s="2738"/>
      <c r="G75" s="2738"/>
      <c r="H75" s="2739"/>
      <c r="I75" s="2741"/>
      <c r="J75" s="2741"/>
      <c r="K75" s="2742"/>
      <c r="L75" s="2742"/>
      <c r="M75" s="2738"/>
      <c r="N75" s="2738"/>
      <c r="O75" s="2474">
        <f t="shared" si="11"/>
        <v>0</v>
      </c>
      <c r="P75" s="2474">
        <f t="shared" si="12"/>
        <v>0</v>
      </c>
      <c r="Q75" s="2475">
        <f t="shared" si="20"/>
        <v>0</v>
      </c>
      <c r="R75" s="2475">
        <f t="shared" si="21"/>
        <v>0</v>
      </c>
      <c r="S75" s="2476">
        <f t="shared" si="13"/>
        <v>0</v>
      </c>
      <c r="T75" s="2476">
        <f t="shared" si="14"/>
        <v>0</v>
      </c>
      <c r="U75" s="2477">
        <f>IF(OR(E75="QS",B75=""),0,
IF(C75="F",VLOOKUP($T75,'表30-5-2-5-1'!$B:$AF,MATCH($D75&amp;"a",'表30-5-2-5-1'!$4:$4,0)-1,FALSE)
-IF($S75-1&lt;=0,0,VLOOKUP($S75-1,'表30-5-2-5-1'!$B:$AF,MATCH($D75&amp;"a",'表30-5-2-5-1'!$4:$4,0)-1,FALSE))
-VLOOKUP($T75,'表30-5-2-5-1'!$B:$AF,MATCH($D75,'表30-5-2-5-1'!$4:$4,0)-1,FALSE)*(T75/100-N75/H75)*100
-VLOOKUP($S75,'表30-5-2-5-1'!$B:$AF,MATCH($D75,'表30-5-2-5-1'!$4:$4,0)-1,FALSE)*(1-(S75/100-M75/H75)*100),
IF(C75="E1",VLOOKUP($T75,'表30-5-2-5-2'!$B$4:$AF$104,MATCH($D75&amp;"a",'表30-5-2-5-2'!$4:$4,0)-1,FALSE)
-IF($S75-1&lt;=0,0,VLOOKUP($S75-1,'表30-5-2-5-2'!$B$4:$AF$104,MATCH($D75&amp;"a",'表30-5-2-5-2'!$4:$4,0)-1,FALSE))
-VLOOKUP($T75,'表30-5-2-5-2'!$B$4:$AF$104,MATCH($D75,'表30-5-2-5-2'!$4:$4,0)-1,FALSE)*(T75/100-N75/H75)*100
-VLOOKUP($S75,'表30-5-2-5-2'!$B$4:$AF$104,MATCH($D75,'表30-5-2-5-2'!$4:$4,0)-1,FALSE)*(1-(S75/100-M75/H75)*100),
IF(C75="E2",VLOOKUP($T75,'表30-5-2-5-2'!$B$114:$AF$214,MATCH($D75&amp;"a",'表30-5-2-5-2'!$4:$4,0)-1,FALSE)
-IF($S75-1&lt;=0,0,VLOOKUP($S75-1,'表30-5-2-5-2'!$B$114:$AF$214,MATCH($D75&amp;"a",'表30-5-2-5-2'!$4:$4,0)-1,FALSE))
-VLOOKUP($T75,'表30-5-2-5-2'!$B$114:$AF$214,MATCH($D75,'表30-5-2-5-2'!$4:$4,0)-1,FALSE)*(T75/100-N75/H75)*100
-VLOOKUP($S75,'表30-5-2-5-2'!$B$114:$AF$214,MATCH($D75,'表30-5-2-5-2'!$4:$4,0)-1,FALSE)*(1-(S75/100-M75/H75)*100),0))))</f>
        <v>0</v>
      </c>
      <c r="V75" s="2478">
        <f t="shared" si="15"/>
        <v>0</v>
      </c>
      <c r="W75" s="2478">
        <f t="shared" si="16"/>
        <v>0</v>
      </c>
      <c r="X75" s="2718">
        <f t="shared" si="18"/>
        <v>0</v>
      </c>
      <c r="Y75" s="2718">
        <f t="shared" si="19"/>
        <v>0</v>
      </c>
    </row>
    <row r="76" spans="1:25">
      <c r="A76" s="2473" t="str">
        <f t="shared" si="17"/>
        <v/>
      </c>
      <c r="B76" s="2737"/>
      <c r="C76" s="2737"/>
      <c r="D76" s="2737"/>
      <c r="E76" s="2738"/>
      <c r="F76" s="2738"/>
      <c r="G76" s="2738"/>
      <c r="H76" s="2739"/>
      <c r="I76" s="2741"/>
      <c r="J76" s="2741"/>
      <c r="K76" s="2742"/>
      <c r="L76" s="2742"/>
      <c r="M76" s="2738"/>
      <c r="N76" s="2738"/>
      <c r="O76" s="2474">
        <f t="shared" si="11"/>
        <v>0</v>
      </c>
      <c r="P76" s="2474">
        <f t="shared" si="12"/>
        <v>0</v>
      </c>
      <c r="Q76" s="2475">
        <f t="shared" si="20"/>
        <v>0</v>
      </c>
      <c r="R76" s="2475">
        <f t="shared" si="21"/>
        <v>0</v>
      </c>
      <c r="S76" s="2476">
        <f t="shared" si="13"/>
        <v>0</v>
      </c>
      <c r="T76" s="2476">
        <f t="shared" si="14"/>
        <v>0</v>
      </c>
      <c r="U76" s="2477">
        <f>IF(OR(E76="QS",B76=""),0,
IF(C76="F",VLOOKUP($T76,'表30-5-2-5-1'!$B:$AF,MATCH($D76&amp;"a",'表30-5-2-5-1'!$4:$4,0)-1,FALSE)
-IF($S76-1&lt;=0,0,VLOOKUP($S76-1,'表30-5-2-5-1'!$B:$AF,MATCH($D76&amp;"a",'表30-5-2-5-1'!$4:$4,0)-1,FALSE))
-VLOOKUP($T76,'表30-5-2-5-1'!$B:$AF,MATCH($D76,'表30-5-2-5-1'!$4:$4,0)-1,FALSE)*(T76/100-N76/H76)*100
-VLOOKUP($S76,'表30-5-2-5-1'!$B:$AF,MATCH($D76,'表30-5-2-5-1'!$4:$4,0)-1,FALSE)*(1-(S76/100-M76/H76)*100),
IF(C76="E1",VLOOKUP($T76,'表30-5-2-5-2'!$B$4:$AF$104,MATCH($D76&amp;"a",'表30-5-2-5-2'!$4:$4,0)-1,FALSE)
-IF($S76-1&lt;=0,0,VLOOKUP($S76-1,'表30-5-2-5-2'!$B$4:$AF$104,MATCH($D76&amp;"a",'表30-5-2-5-2'!$4:$4,0)-1,FALSE))
-VLOOKUP($T76,'表30-5-2-5-2'!$B$4:$AF$104,MATCH($D76,'表30-5-2-5-2'!$4:$4,0)-1,FALSE)*(T76/100-N76/H76)*100
-VLOOKUP($S76,'表30-5-2-5-2'!$B$4:$AF$104,MATCH($D76,'表30-5-2-5-2'!$4:$4,0)-1,FALSE)*(1-(S76/100-M76/H76)*100),
IF(C76="E2",VLOOKUP($T76,'表30-5-2-5-2'!$B$114:$AF$214,MATCH($D76&amp;"a",'表30-5-2-5-2'!$4:$4,0)-1,FALSE)
-IF($S76-1&lt;=0,0,VLOOKUP($S76-1,'表30-5-2-5-2'!$B$114:$AF$214,MATCH($D76&amp;"a",'表30-5-2-5-2'!$4:$4,0)-1,FALSE))
-VLOOKUP($T76,'表30-5-2-5-2'!$B$114:$AF$214,MATCH($D76,'表30-5-2-5-2'!$4:$4,0)-1,FALSE)*(T76/100-N76/H76)*100
-VLOOKUP($S76,'表30-5-2-5-2'!$B$114:$AF$214,MATCH($D76,'表30-5-2-5-2'!$4:$4,0)-1,FALSE)*(1-(S76/100-M76/H76)*100),0))))</f>
        <v>0</v>
      </c>
      <c r="V76" s="2478">
        <f t="shared" si="15"/>
        <v>0</v>
      </c>
      <c r="W76" s="2478">
        <f t="shared" si="16"/>
        <v>0</v>
      </c>
      <c r="X76" s="2718">
        <f t="shared" si="18"/>
        <v>0</v>
      </c>
      <c r="Y76" s="2718">
        <f t="shared" si="19"/>
        <v>0</v>
      </c>
    </row>
    <row r="77" spans="1:25">
      <c r="A77" s="2473" t="str">
        <f t="shared" si="17"/>
        <v/>
      </c>
      <c r="B77" s="2737"/>
      <c r="C77" s="2737"/>
      <c r="D77" s="2737"/>
      <c r="E77" s="2738"/>
      <c r="F77" s="2738"/>
      <c r="G77" s="2738"/>
      <c r="H77" s="2739"/>
      <c r="I77" s="2741"/>
      <c r="J77" s="2741"/>
      <c r="K77" s="2742"/>
      <c r="L77" s="2742"/>
      <c r="M77" s="2738"/>
      <c r="N77" s="2738"/>
      <c r="O77" s="2474">
        <f t="shared" si="11"/>
        <v>0</v>
      </c>
      <c r="P77" s="2474">
        <f t="shared" si="12"/>
        <v>0</v>
      </c>
      <c r="Q77" s="2475">
        <f t="shared" si="20"/>
        <v>0</v>
      </c>
      <c r="R77" s="2475">
        <f t="shared" si="21"/>
        <v>0</v>
      </c>
      <c r="S77" s="2476">
        <f t="shared" si="13"/>
        <v>0</v>
      </c>
      <c r="T77" s="2476">
        <f t="shared" si="14"/>
        <v>0</v>
      </c>
      <c r="U77" s="2477">
        <f>IF(OR(E77="QS",B77=""),0,
IF(C77="F",VLOOKUP($T77,'表30-5-2-5-1'!$B:$AF,MATCH($D77&amp;"a",'表30-5-2-5-1'!$4:$4,0)-1,FALSE)
-IF($S77-1&lt;=0,0,VLOOKUP($S77-1,'表30-5-2-5-1'!$B:$AF,MATCH($D77&amp;"a",'表30-5-2-5-1'!$4:$4,0)-1,FALSE))
-VLOOKUP($T77,'表30-5-2-5-1'!$B:$AF,MATCH($D77,'表30-5-2-5-1'!$4:$4,0)-1,FALSE)*(T77/100-N77/H77)*100
-VLOOKUP($S77,'表30-5-2-5-1'!$B:$AF,MATCH($D77,'表30-5-2-5-1'!$4:$4,0)-1,FALSE)*(1-(S77/100-M77/H77)*100),
IF(C77="E1",VLOOKUP($T77,'表30-5-2-5-2'!$B$4:$AF$104,MATCH($D77&amp;"a",'表30-5-2-5-2'!$4:$4,0)-1,FALSE)
-IF($S77-1&lt;=0,0,VLOOKUP($S77-1,'表30-5-2-5-2'!$B$4:$AF$104,MATCH($D77&amp;"a",'表30-5-2-5-2'!$4:$4,0)-1,FALSE))
-VLOOKUP($T77,'表30-5-2-5-2'!$B$4:$AF$104,MATCH($D77,'表30-5-2-5-2'!$4:$4,0)-1,FALSE)*(T77/100-N77/H77)*100
-VLOOKUP($S77,'表30-5-2-5-2'!$B$4:$AF$104,MATCH($D77,'表30-5-2-5-2'!$4:$4,0)-1,FALSE)*(1-(S77/100-M77/H77)*100),
IF(C77="E2",VLOOKUP($T77,'表30-5-2-5-2'!$B$114:$AF$214,MATCH($D77&amp;"a",'表30-5-2-5-2'!$4:$4,0)-1,FALSE)
-IF($S77-1&lt;=0,0,VLOOKUP($S77-1,'表30-5-2-5-2'!$B$114:$AF$214,MATCH($D77&amp;"a",'表30-5-2-5-2'!$4:$4,0)-1,FALSE))
-VLOOKUP($T77,'表30-5-2-5-2'!$B$114:$AF$214,MATCH($D77,'表30-5-2-5-2'!$4:$4,0)-1,FALSE)*(T77/100-N77/H77)*100
-VLOOKUP($S77,'表30-5-2-5-2'!$B$114:$AF$214,MATCH($D77,'表30-5-2-5-2'!$4:$4,0)-1,FALSE)*(1-(S77/100-M77/H77)*100),0))))</f>
        <v>0</v>
      </c>
      <c r="V77" s="2478">
        <f t="shared" si="15"/>
        <v>0</v>
      </c>
      <c r="W77" s="2478">
        <f t="shared" si="16"/>
        <v>0</v>
      </c>
      <c r="X77" s="2718">
        <f t="shared" si="18"/>
        <v>0</v>
      </c>
      <c r="Y77" s="2718">
        <f t="shared" si="19"/>
        <v>0</v>
      </c>
    </row>
    <row r="78" spans="1:25">
      <c r="A78" s="2473" t="str">
        <f t="shared" si="17"/>
        <v/>
      </c>
      <c r="B78" s="2737"/>
      <c r="C78" s="2737"/>
      <c r="D78" s="2737"/>
      <c r="E78" s="2738"/>
      <c r="F78" s="2738"/>
      <c r="G78" s="2738"/>
      <c r="H78" s="2739"/>
      <c r="I78" s="2741"/>
      <c r="J78" s="2741"/>
      <c r="K78" s="2742"/>
      <c r="L78" s="2742"/>
      <c r="M78" s="2738"/>
      <c r="N78" s="2738"/>
      <c r="O78" s="2474">
        <f t="shared" si="11"/>
        <v>0</v>
      </c>
      <c r="P78" s="2474">
        <f t="shared" si="12"/>
        <v>0</v>
      </c>
      <c r="Q78" s="2475">
        <f t="shared" si="20"/>
        <v>0</v>
      </c>
      <c r="R78" s="2475">
        <f t="shared" si="21"/>
        <v>0</v>
      </c>
      <c r="S78" s="2476">
        <f t="shared" si="13"/>
        <v>0</v>
      </c>
      <c r="T78" s="2476">
        <f t="shared" si="14"/>
        <v>0</v>
      </c>
      <c r="U78" s="2477">
        <f>IF(OR(E78="QS",B78=""),0,
IF(C78="F",VLOOKUP($T78,'表30-5-2-5-1'!$B:$AF,MATCH($D78&amp;"a",'表30-5-2-5-1'!$4:$4,0)-1,FALSE)
-IF($S78-1&lt;=0,0,VLOOKUP($S78-1,'表30-5-2-5-1'!$B:$AF,MATCH($D78&amp;"a",'表30-5-2-5-1'!$4:$4,0)-1,FALSE))
-VLOOKUP($T78,'表30-5-2-5-1'!$B:$AF,MATCH($D78,'表30-5-2-5-1'!$4:$4,0)-1,FALSE)*(T78/100-N78/H78)*100
-VLOOKUP($S78,'表30-5-2-5-1'!$B:$AF,MATCH($D78,'表30-5-2-5-1'!$4:$4,0)-1,FALSE)*(1-(S78/100-M78/H78)*100),
IF(C78="E1",VLOOKUP($T78,'表30-5-2-5-2'!$B$4:$AF$104,MATCH($D78&amp;"a",'表30-5-2-5-2'!$4:$4,0)-1,FALSE)
-IF($S78-1&lt;=0,0,VLOOKUP($S78-1,'表30-5-2-5-2'!$B$4:$AF$104,MATCH($D78&amp;"a",'表30-5-2-5-2'!$4:$4,0)-1,FALSE))
-VLOOKUP($T78,'表30-5-2-5-2'!$B$4:$AF$104,MATCH($D78,'表30-5-2-5-2'!$4:$4,0)-1,FALSE)*(T78/100-N78/H78)*100
-VLOOKUP($S78,'表30-5-2-5-2'!$B$4:$AF$104,MATCH($D78,'表30-5-2-5-2'!$4:$4,0)-1,FALSE)*(1-(S78/100-M78/H78)*100),
IF(C78="E2",VLOOKUP($T78,'表30-5-2-5-2'!$B$114:$AF$214,MATCH($D78&amp;"a",'表30-5-2-5-2'!$4:$4,0)-1,FALSE)
-IF($S78-1&lt;=0,0,VLOOKUP($S78-1,'表30-5-2-5-2'!$B$114:$AF$214,MATCH($D78&amp;"a",'表30-5-2-5-2'!$4:$4,0)-1,FALSE))
-VLOOKUP($T78,'表30-5-2-5-2'!$B$114:$AF$214,MATCH($D78,'表30-5-2-5-2'!$4:$4,0)-1,FALSE)*(T78/100-N78/H78)*100
-VLOOKUP($S78,'表30-5-2-5-2'!$B$114:$AF$214,MATCH($D78,'表30-5-2-5-2'!$4:$4,0)-1,FALSE)*(1-(S78/100-M78/H78)*100),0))))</f>
        <v>0</v>
      </c>
      <c r="V78" s="2478">
        <f t="shared" si="15"/>
        <v>0</v>
      </c>
      <c r="W78" s="2478">
        <f t="shared" si="16"/>
        <v>0</v>
      </c>
      <c r="X78" s="2718">
        <f t="shared" si="18"/>
        <v>0</v>
      </c>
      <c r="Y78" s="2718">
        <f t="shared" si="19"/>
        <v>0</v>
      </c>
    </row>
    <row r="79" spans="1:25">
      <c r="A79" s="2473" t="str">
        <f t="shared" si="17"/>
        <v/>
      </c>
      <c r="B79" s="2737"/>
      <c r="C79" s="2737"/>
      <c r="D79" s="2737"/>
      <c r="E79" s="2738"/>
      <c r="F79" s="2738"/>
      <c r="G79" s="2738"/>
      <c r="H79" s="2739"/>
      <c r="I79" s="2741"/>
      <c r="J79" s="2741"/>
      <c r="K79" s="2742"/>
      <c r="L79" s="2742"/>
      <c r="M79" s="2738"/>
      <c r="N79" s="2738"/>
      <c r="O79" s="2474">
        <f t="shared" si="11"/>
        <v>0</v>
      </c>
      <c r="P79" s="2474">
        <f t="shared" si="12"/>
        <v>0</v>
      </c>
      <c r="Q79" s="2475">
        <f t="shared" si="20"/>
        <v>0</v>
      </c>
      <c r="R79" s="2475">
        <f t="shared" si="21"/>
        <v>0</v>
      </c>
      <c r="S79" s="2476">
        <f t="shared" si="13"/>
        <v>0</v>
      </c>
      <c r="T79" s="2476">
        <f t="shared" si="14"/>
        <v>0</v>
      </c>
      <c r="U79" s="2477">
        <f>IF(OR(E79="QS",B79=""),0,
IF(C79="F",VLOOKUP($T79,'表30-5-2-5-1'!$B:$AF,MATCH($D79&amp;"a",'表30-5-2-5-1'!$4:$4,0)-1,FALSE)
-IF($S79-1&lt;=0,0,VLOOKUP($S79-1,'表30-5-2-5-1'!$B:$AF,MATCH($D79&amp;"a",'表30-5-2-5-1'!$4:$4,0)-1,FALSE))
-VLOOKUP($T79,'表30-5-2-5-1'!$B:$AF,MATCH($D79,'表30-5-2-5-1'!$4:$4,0)-1,FALSE)*(T79/100-N79/H79)*100
-VLOOKUP($S79,'表30-5-2-5-1'!$B:$AF,MATCH($D79,'表30-5-2-5-1'!$4:$4,0)-1,FALSE)*(1-(S79/100-M79/H79)*100),
IF(C79="E1",VLOOKUP($T79,'表30-5-2-5-2'!$B$4:$AF$104,MATCH($D79&amp;"a",'表30-5-2-5-2'!$4:$4,0)-1,FALSE)
-IF($S79-1&lt;=0,0,VLOOKUP($S79-1,'表30-5-2-5-2'!$B$4:$AF$104,MATCH($D79&amp;"a",'表30-5-2-5-2'!$4:$4,0)-1,FALSE))
-VLOOKUP($T79,'表30-5-2-5-2'!$B$4:$AF$104,MATCH($D79,'表30-5-2-5-2'!$4:$4,0)-1,FALSE)*(T79/100-N79/H79)*100
-VLOOKUP($S79,'表30-5-2-5-2'!$B$4:$AF$104,MATCH($D79,'表30-5-2-5-2'!$4:$4,0)-1,FALSE)*(1-(S79/100-M79/H79)*100),
IF(C79="E2",VLOOKUP($T79,'表30-5-2-5-2'!$B$114:$AF$214,MATCH($D79&amp;"a",'表30-5-2-5-2'!$4:$4,0)-1,FALSE)
-IF($S79-1&lt;=0,0,VLOOKUP($S79-1,'表30-5-2-5-2'!$B$114:$AF$214,MATCH($D79&amp;"a",'表30-5-2-5-2'!$4:$4,0)-1,FALSE))
-VLOOKUP($T79,'表30-5-2-5-2'!$B$114:$AF$214,MATCH($D79,'表30-5-2-5-2'!$4:$4,0)-1,FALSE)*(T79/100-N79/H79)*100
-VLOOKUP($S79,'表30-5-2-5-2'!$B$114:$AF$214,MATCH($D79,'表30-5-2-5-2'!$4:$4,0)-1,FALSE)*(1-(S79/100-M79/H79)*100),0))))</f>
        <v>0</v>
      </c>
      <c r="V79" s="2478">
        <f t="shared" si="15"/>
        <v>0</v>
      </c>
      <c r="W79" s="2478">
        <f t="shared" si="16"/>
        <v>0</v>
      </c>
      <c r="X79" s="2718">
        <f t="shared" si="18"/>
        <v>0</v>
      </c>
      <c r="Y79" s="2718">
        <f t="shared" si="19"/>
        <v>0</v>
      </c>
    </row>
    <row r="80" spans="1:25">
      <c r="A80" s="2473" t="str">
        <f t="shared" si="17"/>
        <v/>
      </c>
      <c r="B80" s="2737"/>
      <c r="C80" s="2737"/>
      <c r="D80" s="2737"/>
      <c r="E80" s="2738"/>
      <c r="F80" s="2738"/>
      <c r="G80" s="2738"/>
      <c r="H80" s="2739"/>
      <c r="I80" s="2741"/>
      <c r="J80" s="2741"/>
      <c r="K80" s="2742"/>
      <c r="L80" s="2742"/>
      <c r="M80" s="2738"/>
      <c r="N80" s="2738"/>
      <c r="O80" s="2474">
        <f t="shared" si="11"/>
        <v>0</v>
      </c>
      <c r="P80" s="2474">
        <f t="shared" si="12"/>
        <v>0</v>
      </c>
      <c r="Q80" s="2475">
        <f t="shared" si="20"/>
        <v>0</v>
      </c>
      <c r="R80" s="2475">
        <f t="shared" si="21"/>
        <v>0</v>
      </c>
      <c r="S80" s="2476">
        <f t="shared" si="13"/>
        <v>0</v>
      </c>
      <c r="T80" s="2476">
        <f t="shared" si="14"/>
        <v>0</v>
      </c>
      <c r="U80" s="2477">
        <f>IF(OR(E80="QS",B80=""),0,
IF(C80="F",VLOOKUP($T80,'表30-5-2-5-1'!$B:$AF,MATCH($D80&amp;"a",'表30-5-2-5-1'!$4:$4,0)-1,FALSE)
-IF($S80-1&lt;=0,0,VLOOKUP($S80-1,'表30-5-2-5-1'!$B:$AF,MATCH($D80&amp;"a",'表30-5-2-5-1'!$4:$4,0)-1,FALSE))
-VLOOKUP($T80,'表30-5-2-5-1'!$B:$AF,MATCH($D80,'表30-5-2-5-1'!$4:$4,0)-1,FALSE)*(T80/100-N80/H80)*100
-VLOOKUP($S80,'表30-5-2-5-1'!$B:$AF,MATCH($D80,'表30-5-2-5-1'!$4:$4,0)-1,FALSE)*(1-(S80/100-M80/H80)*100),
IF(C80="E1",VLOOKUP($T80,'表30-5-2-5-2'!$B$4:$AF$104,MATCH($D80&amp;"a",'表30-5-2-5-2'!$4:$4,0)-1,FALSE)
-IF($S80-1&lt;=0,0,VLOOKUP($S80-1,'表30-5-2-5-2'!$B$4:$AF$104,MATCH($D80&amp;"a",'表30-5-2-5-2'!$4:$4,0)-1,FALSE))
-VLOOKUP($T80,'表30-5-2-5-2'!$B$4:$AF$104,MATCH($D80,'表30-5-2-5-2'!$4:$4,0)-1,FALSE)*(T80/100-N80/H80)*100
-VLOOKUP($S80,'表30-5-2-5-2'!$B$4:$AF$104,MATCH($D80,'表30-5-2-5-2'!$4:$4,0)-1,FALSE)*(1-(S80/100-M80/H80)*100),
IF(C80="E2",VLOOKUP($T80,'表30-5-2-5-2'!$B$114:$AF$214,MATCH($D80&amp;"a",'表30-5-2-5-2'!$4:$4,0)-1,FALSE)
-IF($S80-1&lt;=0,0,VLOOKUP($S80-1,'表30-5-2-5-2'!$B$114:$AF$214,MATCH($D80&amp;"a",'表30-5-2-5-2'!$4:$4,0)-1,FALSE))
-VLOOKUP($T80,'表30-5-2-5-2'!$B$114:$AF$214,MATCH($D80,'表30-5-2-5-2'!$4:$4,0)-1,FALSE)*(T80/100-N80/H80)*100
-VLOOKUP($S80,'表30-5-2-5-2'!$B$114:$AF$214,MATCH($D80,'表30-5-2-5-2'!$4:$4,0)-1,FALSE)*(1-(S80/100-M80/H80)*100),0))))</f>
        <v>0</v>
      </c>
      <c r="V80" s="2478">
        <f t="shared" si="15"/>
        <v>0</v>
      </c>
      <c r="W80" s="2478">
        <f t="shared" si="16"/>
        <v>0</v>
      </c>
      <c r="X80" s="2718">
        <f t="shared" si="18"/>
        <v>0</v>
      </c>
      <c r="Y80" s="2718">
        <f t="shared" si="19"/>
        <v>0</v>
      </c>
    </row>
    <row r="81" spans="1:25">
      <c r="A81" s="2473" t="str">
        <f t="shared" si="17"/>
        <v/>
      </c>
      <c r="B81" s="2737"/>
      <c r="C81" s="2737"/>
      <c r="D81" s="2737"/>
      <c r="E81" s="2738"/>
      <c r="F81" s="2738"/>
      <c r="G81" s="2738"/>
      <c r="H81" s="2739"/>
      <c r="I81" s="2741"/>
      <c r="J81" s="2741"/>
      <c r="K81" s="2742"/>
      <c r="L81" s="2742"/>
      <c r="M81" s="2738"/>
      <c r="N81" s="2738"/>
      <c r="O81" s="2474">
        <f t="shared" si="11"/>
        <v>0</v>
      </c>
      <c r="P81" s="2474">
        <f t="shared" si="12"/>
        <v>0</v>
      </c>
      <c r="Q81" s="2475">
        <f t="shared" si="20"/>
        <v>0</v>
      </c>
      <c r="R81" s="2475">
        <f t="shared" si="21"/>
        <v>0</v>
      </c>
      <c r="S81" s="2476">
        <f t="shared" si="13"/>
        <v>0</v>
      </c>
      <c r="T81" s="2476">
        <f t="shared" si="14"/>
        <v>0</v>
      </c>
      <c r="U81" s="2477">
        <f>IF(OR(E81="QS",B81=""),0,
IF(C81="F",VLOOKUP($T81,'表30-5-2-5-1'!$B:$AF,MATCH($D81&amp;"a",'表30-5-2-5-1'!$4:$4,0)-1,FALSE)
-IF($S81-1&lt;=0,0,VLOOKUP($S81-1,'表30-5-2-5-1'!$B:$AF,MATCH($D81&amp;"a",'表30-5-2-5-1'!$4:$4,0)-1,FALSE))
-VLOOKUP($T81,'表30-5-2-5-1'!$B:$AF,MATCH($D81,'表30-5-2-5-1'!$4:$4,0)-1,FALSE)*(T81/100-N81/H81)*100
-VLOOKUP($S81,'表30-5-2-5-1'!$B:$AF,MATCH($D81,'表30-5-2-5-1'!$4:$4,0)-1,FALSE)*(1-(S81/100-M81/H81)*100),
IF(C81="E1",VLOOKUP($T81,'表30-5-2-5-2'!$B$4:$AF$104,MATCH($D81&amp;"a",'表30-5-2-5-2'!$4:$4,0)-1,FALSE)
-IF($S81-1&lt;=0,0,VLOOKUP($S81-1,'表30-5-2-5-2'!$B$4:$AF$104,MATCH($D81&amp;"a",'表30-5-2-5-2'!$4:$4,0)-1,FALSE))
-VLOOKUP($T81,'表30-5-2-5-2'!$B$4:$AF$104,MATCH($D81,'表30-5-2-5-2'!$4:$4,0)-1,FALSE)*(T81/100-N81/H81)*100
-VLOOKUP($S81,'表30-5-2-5-2'!$B$4:$AF$104,MATCH($D81,'表30-5-2-5-2'!$4:$4,0)-1,FALSE)*(1-(S81/100-M81/H81)*100),
IF(C81="E2",VLOOKUP($T81,'表30-5-2-5-2'!$B$114:$AF$214,MATCH($D81&amp;"a",'表30-5-2-5-2'!$4:$4,0)-1,FALSE)
-IF($S81-1&lt;=0,0,VLOOKUP($S81-1,'表30-5-2-5-2'!$B$114:$AF$214,MATCH($D81&amp;"a",'表30-5-2-5-2'!$4:$4,0)-1,FALSE))
-VLOOKUP($T81,'表30-5-2-5-2'!$B$114:$AF$214,MATCH($D81,'表30-5-2-5-2'!$4:$4,0)-1,FALSE)*(T81/100-N81/H81)*100
-VLOOKUP($S81,'表30-5-2-5-2'!$B$114:$AF$214,MATCH($D81,'表30-5-2-5-2'!$4:$4,0)-1,FALSE)*(1-(S81/100-M81/H81)*100),0))))</f>
        <v>0</v>
      </c>
      <c r="V81" s="2478">
        <f t="shared" si="15"/>
        <v>0</v>
      </c>
      <c r="W81" s="2478">
        <f t="shared" si="16"/>
        <v>0</v>
      </c>
      <c r="X81" s="2718">
        <f t="shared" si="18"/>
        <v>0</v>
      </c>
      <c r="Y81" s="2718">
        <f t="shared" si="19"/>
        <v>0</v>
      </c>
    </row>
    <row r="82" spans="1:25">
      <c r="A82" s="2473" t="str">
        <f t="shared" si="17"/>
        <v/>
      </c>
      <c r="B82" s="2737"/>
      <c r="C82" s="2737"/>
      <c r="D82" s="2737"/>
      <c r="E82" s="2738"/>
      <c r="F82" s="2738"/>
      <c r="G82" s="2738"/>
      <c r="H82" s="2739"/>
      <c r="I82" s="2741"/>
      <c r="J82" s="2741"/>
      <c r="K82" s="2742"/>
      <c r="L82" s="2742"/>
      <c r="M82" s="2738"/>
      <c r="N82" s="2738"/>
      <c r="O82" s="2474">
        <f t="shared" si="11"/>
        <v>0</v>
      </c>
      <c r="P82" s="2474">
        <f t="shared" si="12"/>
        <v>0</v>
      </c>
      <c r="Q82" s="2475">
        <f t="shared" si="20"/>
        <v>0</v>
      </c>
      <c r="R82" s="2475">
        <f t="shared" si="21"/>
        <v>0</v>
      </c>
      <c r="S82" s="2476">
        <f t="shared" si="13"/>
        <v>0</v>
      </c>
      <c r="T82" s="2476">
        <f t="shared" si="14"/>
        <v>0</v>
      </c>
      <c r="U82" s="2477">
        <f>IF(OR(E82="QS",B82=""),0,
IF(C82="F",VLOOKUP($T82,'表30-5-2-5-1'!$B:$AF,MATCH($D82&amp;"a",'表30-5-2-5-1'!$4:$4,0)-1,FALSE)
-IF($S82-1&lt;=0,0,VLOOKUP($S82-1,'表30-5-2-5-1'!$B:$AF,MATCH($D82&amp;"a",'表30-5-2-5-1'!$4:$4,0)-1,FALSE))
-VLOOKUP($T82,'表30-5-2-5-1'!$B:$AF,MATCH($D82,'表30-5-2-5-1'!$4:$4,0)-1,FALSE)*(T82/100-N82/H82)*100
-VLOOKUP($S82,'表30-5-2-5-1'!$B:$AF,MATCH($D82,'表30-5-2-5-1'!$4:$4,0)-1,FALSE)*(1-(S82/100-M82/H82)*100),
IF(C82="E1",VLOOKUP($T82,'表30-5-2-5-2'!$B$4:$AF$104,MATCH($D82&amp;"a",'表30-5-2-5-2'!$4:$4,0)-1,FALSE)
-IF($S82-1&lt;=0,0,VLOOKUP($S82-1,'表30-5-2-5-2'!$B$4:$AF$104,MATCH($D82&amp;"a",'表30-5-2-5-2'!$4:$4,0)-1,FALSE))
-VLOOKUP($T82,'表30-5-2-5-2'!$B$4:$AF$104,MATCH($D82,'表30-5-2-5-2'!$4:$4,0)-1,FALSE)*(T82/100-N82/H82)*100
-VLOOKUP($S82,'表30-5-2-5-2'!$B$4:$AF$104,MATCH($D82,'表30-5-2-5-2'!$4:$4,0)-1,FALSE)*(1-(S82/100-M82/H82)*100),
IF(C82="E2",VLOOKUP($T82,'表30-5-2-5-2'!$B$114:$AF$214,MATCH($D82&amp;"a",'表30-5-2-5-2'!$4:$4,0)-1,FALSE)
-IF($S82-1&lt;=0,0,VLOOKUP($S82-1,'表30-5-2-5-2'!$B$114:$AF$214,MATCH($D82&amp;"a",'表30-5-2-5-2'!$4:$4,0)-1,FALSE))
-VLOOKUP($T82,'表30-5-2-5-2'!$B$114:$AF$214,MATCH($D82,'表30-5-2-5-2'!$4:$4,0)-1,FALSE)*(T82/100-N82/H82)*100
-VLOOKUP($S82,'表30-5-2-5-2'!$B$114:$AF$214,MATCH($D82,'表30-5-2-5-2'!$4:$4,0)-1,FALSE)*(1-(S82/100-M82/H82)*100),0))))</f>
        <v>0</v>
      </c>
      <c r="V82" s="2478">
        <f t="shared" si="15"/>
        <v>0</v>
      </c>
      <c r="W82" s="2478">
        <f t="shared" si="16"/>
        <v>0</v>
      </c>
      <c r="X82" s="2718">
        <f t="shared" si="18"/>
        <v>0</v>
      </c>
      <c r="Y82" s="2718">
        <f t="shared" si="19"/>
        <v>0</v>
      </c>
    </row>
    <row r="83" spans="1:25">
      <c r="A83" s="2473" t="str">
        <f t="shared" si="17"/>
        <v/>
      </c>
      <c r="B83" s="2737"/>
      <c r="C83" s="2737"/>
      <c r="D83" s="2737"/>
      <c r="E83" s="2738"/>
      <c r="F83" s="2738"/>
      <c r="G83" s="2738"/>
      <c r="H83" s="2739"/>
      <c r="I83" s="2741"/>
      <c r="J83" s="2741"/>
      <c r="K83" s="2742"/>
      <c r="L83" s="2742"/>
      <c r="M83" s="2738"/>
      <c r="N83" s="2738"/>
      <c r="O83" s="2474">
        <f t="shared" si="11"/>
        <v>0</v>
      </c>
      <c r="P83" s="2474">
        <f t="shared" si="12"/>
        <v>0</v>
      </c>
      <c r="Q83" s="2475">
        <f t="shared" si="20"/>
        <v>0</v>
      </c>
      <c r="R83" s="2475">
        <f t="shared" si="21"/>
        <v>0</v>
      </c>
      <c r="S83" s="2476">
        <f t="shared" si="13"/>
        <v>0</v>
      </c>
      <c r="T83" s="2476">
        <f t="shared" si="14"/>
        <v>0</v>
      </c>
      <c r="U83" s="2477">
        <f>IF(OR(E83="QS",B83=""),0,
IF(C83="F",VLOOKUP($T83,'表30-5-2-5-1'!$B:$AF,MATCH($D83&amp;"a",'表30-5-2-5-1'!$4:$4,0)-1,FALSE)
-IF($S83-1&lt;=0,0,VLOOKUP($S83-1,'表30-5-2-5-1'!$B:$AF,MATCH($D83&amp;"a",'表30-5-2-5-1'!$4:$4,0)-1,FALSE))
-VLOOKUP($T83,'表30-5-2-5-1'!$B:$AF,MATCH($D83,'表30-5-2-5-1'!$4:$4,0)-1,FALSE)*(T83/100-N83/H83)*100
-VLOOKUP($S83,'表30-5-2-5-1'!$B:$AF,MATCH($D83,'表30-5-2-5-1'!$4:$4,0)-1,FALSE)*(1-(S83/100-M83/H83)*100),
IF(C83="E1",VLOOKUP($T83,'表30-5-2-5-2'!$B$4:$AF$104,MATCH($D83&amp;"a",'表30-5-2-5-2'!$4:$4,0)-1,FALSE)
-IF($S83-1&lt;=0,0,VLOOKUP($S83-1,'表30-5-2-5-2'!$B$4:$AF$104,MATCH($D83&amp;"a",'表30-5-2-5-2'!$4:$4,0)-1,FALSE))
-VLOOKUP($T83,'表30-5-2-5-2'!$B$4:$AF$104,MATCH($D83,'表30-5-2-5-2'!$4:$4,0)-1,FALSE)*(T83/100-N83/H83)*100
-VLOOKUP($S83,'表30-5-2-5-2'!$B$4:$AF$104,MATCH($D83,'表30-5-2-5-2'!$4:$4,0)-1,FALSE)*(1-(S83/100-M83/H83)*100),
IF(C83="E2",VLOOKUP($T83,'表30-5-2-5-2'!$B$114:$AF$214,MATCH($D83&amp;"a",'表30-5-2-5-2'!$4:$4,0)-1,FALSE)
-IF($S83-1&lt;=0,0,VLOOKUP($S83-1,'表30-5-2-5-2'!$B$114:$AF$214,MATCH($D83&amp;"a",'表30-5-2-5-2'!$4:$4,0)-1,FALSE))
-VLOOKUP($T83,'表30-5-2-5-2'!$B$114:$AF$214,MATCH($D83,'表30-5-2-5-2'!$4:$4,0)-1,FALSE)*(T83/100-N83/H83)*100
-VLOOKUP($S83,'表30-5-2-5-2'!$B$114:$AF$214,MATCH($D83,'表30-5-2-5-2'!$4:$4,0)-1,FALSE)*(1-(S83/100-M83/H83)*100),0))))</f>
        <v>0</v>
      </c>
      <c r="V83" s="2478">
        <f t="shared" si="15"/>
        <v>0</v>
      </c>
      <c r="W83" s="2478">
        <f t="shared" si="16"/>
        <v>0</v>
      </c>
      <c r="X83" s="2718">
        <f t="shared" si="18"/>
        <v>0</v>
      </c>
      <c r="Y83" s="2718">
        <f t="shared" si="19"/>
        <v>0</v>
      </c>
    </row>
    <row r="84" spans="1:25">
      <c r="A84" s="2473" t="str">
        <f t="shared" si="17"/>
        <v/>
      </c>
      <c r="B84" s="2737"/>
      <c r="C84" s="2737"/>
      <c r="D84" s="2737"/>
      <c r="E84" s="2738"/>
      <c r="F84" s="2738"/>
      <c r="G84" s="2738"/>
      <c r="H84" s="2739"/>
      <c r="I84" s="2741"/>
      <c r="J84" s="2741"/>
      <c r="K84" s="2742"/>
      <c r="L84" s="2742"/>
      <c r="M84" s="2738"/>
      <c r="N84" s="2738"/>
      <c r="O84" s="2474">
        <f t="shared" si="11"/>
        <v>0</v>
      </c>
      <c r="P84" s="2474">
        <f t="shared" si="12"/>
        <v>0</v>
      </c>
      <c r="Q84" s="2475">
        <f t="shared" si="20"/>
        <v>0</v>
      </c>
      <c r="R84" s="2475">
        <f t="shared" si="21"/>
        <v>0</v>
      </c>
      <c r="S84" s="2476">
        <f t="shared" si="13"/>
        <v>0</v>
      </c>
      <c r="T84" s="2476">
        <f t="shared" si="14"/>
        <v>0</v>
      </c>
      <c r="U84" s="2477">
        <f>IF(OR(E84="QS",B84=""),0,
IF(C84="F",VLOOKUP($T84,'表30-5-2-5-1'!$B:$AF,MATCH($D84&amp;"a",'表30-5-2-5-1'!$4:$4,0)-1,FALSE)
-IF($S84-1&lt;=0,0,VLOOKUP($S84-1,'表30-5-2-5-1'!$B:$AF,MATCH($D84&amp;"a",'表30-5-2-5-1'!$4:$4,0)-1,FALSE))
-VLOOKUP($T84,'表30-5-2-5-1'!$B:$AF,MATCH($D84,'表30-5-2-5-1'!$4:$4,0)-1,FALSE)*(T84/100-N84/H84)*100
-VLOOKUP($S84,'表30-5-2-5-1'!$B:$AF,MATCH($D84,'表30-5-2-5-1'!$4:$4,0)-1,FALSE)*(1-(S84/100-M84/H84)*100),
IF(C84="E1",VLOOKUP($T84,'表30-5-2-5-2'!$B$4:$AF$104,MATCH($D84&amp;"a",'表30-5-2-5-2'!$4:$4,0)-1,FALSE)
-IF($S84-1&lt;=0,0,VLOOKUP($S84-1,'表30-5-2-5-2'!$B$4:$AF$104,MATCH($D84&amp;"a",'表30-5-2-5-2'!$4:$4,0)-1,FALSE))
-VLOOKUP($T84,'表30-5-2-5-2'!$B$4:$AF$104,MATCH($D84,'表30-5-2-5-2'!$4:$4,0)-1,FALSE)*(T84/100-N84/H84)*100
-VLOOKUP($S84,'表30-5-2-5-2'!$B$4:$AF$104,MATCH($D84,'表30-5-2-5-2'!$4:$4,0)-1,FALSE)*(1-(S84/100-M84/H84)*100),
IF(C84="E2",VLOOKUP($T84,'表30-5-2-5-2'!$B$114:$AF$214,MATCH($D84&amp;"a",'表30-5-2-5-2'!$4:$4,0)-1,FALSE)
-IF($S84-1&lt;=0,0,VLOOKUP($S84-1,'表30-5-2-5-2'!$B$114:$AF$214,MATCH($D84&amp;"a",'表30-5-2-5-2'!$4:$4,0)-1,FALSE))
-VLOOKUP($T84,'表30-5-2-5-2'!$B$114:$AF$214,MATCH($D84,'表30-5-2-5-2'!$4:$4,0)-1,FALSE)*(T84/100-N84/H84)*100
-VLOOKUP($S84,'表30-5-2-5-2'!$B$114:$AF$214,MATCH($D84,'表30-5-2-5-2'!$4:$4,0)-1,FALSE)*(1-(S84/100-M84/H84)*100),0))))</f>
        <v>0</v>
      </c>
      <c r="V84" s="2478">
        <f t="shared" si="15"/>
        <v>0</v>
      </c>
      <c r="W84" s="2478">
        <f t="shared" si="16"/>
        <v>0</v>
      </c>
      <c r="X84" s="2718">
        <f t="shared" si="18"/>
        <v>0</v>
      </c>
      <c r="Y84" s="2718">
        <f t="shared" si="19"/>
        <v>0</v>
      </c>
    </row>
    <row r="85" spans="1:25">
      <c r="A85" s="2473" t="str">
        <f t="shared" si="17"/>
        <v/>
      </c>
      <c r="B85" s="2737"/>
      <c r="C85" s="2737"/>
      <c r="D85" s="2737"/>
      <c r="E85" s="2738"/>
      <c r="F85" s="2738"/>
      <c r="G85" s="2738"/>
      <c r="H85" s="2739"/>
      <c r="I85" s="2741"/>
      <c r="J85" s="2741"/>
      <c r="K85" s="2742"/>
      <c r="L85" s="2742"/>
      <c r="M85" s="2738"/>
      <c r="N85" s="2738"/>
      <c r="O85" s="2474">
        <f t="shared" si="11"/>
        <v>0</v>
      </c>
      <c r="P85" s="2474">
        <f t="shared" si="12"/>
        <v>0</v>
      </c>
      <c r="Q85" s="2475">
        <f t="shared" si="20"/>
        <v>0</v>
      </c>
      <c r="R85" s="2475">
        <f t="shared" si="21"/>
        <v>0</v>
      </c>
      <c r="S85" s="2476">
        <f t="shared" si="13"/>
        <v>0</v>
      </c>
      <c r="T85" s="2476">
        <f t="shared" si="14"/>
        <v>0</v>
      </c>
      <c r="U85" s="2477">
        <f>IF(OR(E85="QS",B85=""),0,
IF(C85="F",VLOOKUP($T85,'表30-5-2-5-1'!$B:$AF,MATCH($D85&amp;"a",'表30-5-2-5-1'!$4:$4,0)-1,FALSE)
-IF($S85-1&lt;=0,0,VLOOKUP($S85-1,'表30-5-2-5-1'!$B:$AF,MATCH($D85&amp;"a",'表30-5-2-5-1'!$4:$4,0)-1,FALSE))
-VLOOKUP($T85,'表30-5-2-5-1'!$B:$AF,MATCH($D85,'表30-5-2-5-1'!$4:$4,0)-1,FALSE)*(T85/100-N85/H85)*100
-VLOOKUP($S85,'表30-5-2-5-1'!$B:$AF,MATCH($D85,'表30-5-2-5-1'!$4:$4,0)-1,FALSE)*(1-(S85/100-M85/H85)*100),
IF(C85="E1",VLOOKUP($T85,'表30-5-2-5-2'!$B$4:$AF$104,MATCH($D85&amp;"a",'表30-5-2-5-2'!$4:$4,0)-1,FALSE)
-IF($S85-1&lt;=0,0,VLOOKUP($S85-1,'表30-5-2-5-2'!$B$4:$AF$104,MATCH($D85&amp;"a",'表30-5-2-5-2'!$4:$4,0)-1,FALSE))
-VLOOKUP($T85,'表30-5-2-5-2'!$B$4:$AF$104,MATCH($D85,'表30-5-2-5-2'!$4:$4,0)-1,FALSE)*(T85/100-N85/H85)*100
-VLOOKUP($S85,'表30-5-2-5-2'!$B$4:$AF$104,MATCH($D85,'表30-5-2-5-2'!$4:$4,0)-1,FALSE)*(1-(S85/100-M85/H85)*100),
IF(C85="E2",VLOOKUP($T85,'表30-5-2-5-2'!$B$114:$AF$214,MATCH($D85&amp;"a",'表30-5-2-5-2'!$4:$4,0)-1,FALSE)
-IF($S85-1&lt;=0,0,VLOOKUP($S85-1,'表30-5-2-5-2'!$B$114:$AF$214,MATCH($D85&amp;"a",'表30-5-2-5-2'!$4:$4,0)-1,FALSE))
-VLOOKUP($T85,'表30-5-2-5-2'!$B$114:$AF$214,MATCH($D85,'表30-5-2-5-2'!$4:$4,0)-1,FALSE)*(T85/100-N85/H85)*100
-VLOOKUP($S85,'表30-5-2-5-2'!$B$114:$AF$214,MATCH($D85,'表30-5-2-5-2'!$4:$4,0)-1,FALSE)*(1-(S85/100-M85/H85)*100),0))))</f>
        <v>0</v>
      </c>
      <c r="V85" s="2478">
        <f t="shared" si="15"/>
        <v>0</v>
      </c>
      <c r="W85" s="2478">
        <f t="shared" si="16"/>
        <v>0</v>
      </c>
      <c r="X85" s="2718">
        <f t="shared" si="18"/>
        <v>0</v>
      </c>
      <c r="Y85" s="2718">
        <f t="shared" si="19"/>
        <v>0</v>
      </c>
    </row>
    <row r="86" spans="1:25">
      <c r="A86" s="2473" t="str">
        <f t="shared" si="17"/>
        <v/>
      </c>
      <c r="B86" s="2737"/>
      <c r="C86" s="2737"/>
      <c r="D86" s="2737"/>
      <c r="E86" s="2738"/>
      <c r="F86" s="2738"/>
      <c r="G86" s="2738"/>
      <c r="H86" s="2739"/>
      <c r="I86" s="2741"/>
      <c r="J86" s="2741"/>
      <c r="K86" s="2742"/>
      <c r="L86" s="2742"/>
      <c r="M86" s="2738"/>
      <c r="N86" s="2738"/>
      <c r="O86" s="2474">
        <f t="shared" si="11"/>
        <v>0</v>
      </c>
      <c r="P86" s="2474">
        <f t="shared" si="12"/>
        <v>0</v>
      </c>
      <c r="Q86" s="2475">
        <f t="shared" si="20"/>
        <v>0</v>
      </c>
      <c r="R86" s="2475">
        <f t="shared" si="21"/>
        <v>0</v>
      </c>
      <c r="S86" s="2476">
        <f t="shared" si="13"/>
        <v>0</v>
      </c>
      <c r="T86" s="2476">
        <f t="shared" si="14"/>
        <v>0</v>
      </c>
      <c r="U86" s="2477">
        <f>IF(OR(E86="QS",B86=""),0,
IF(C86="F",VLOOKUP($T86,'表30-5-2-5-1'!$B:$AF,MATCH($D86&amp;"a",'表30-5-2-5-1'!$4:$4,0)-1,FALSE)
-IF($S86-1&lt;=0,0,VLOOKUP($S86-1,'表30-5-2-5-1'!$B:$AF,MATCH($D86&amp;"a",'表30-5-2-5-1'!$4:$4,0)-1,FALSE))
-VLOOKUP($T86,'表30-5-2-5-1'!$B:$AF,MATCH($D86,'表30-5-2-5-1'!$4:$4,0)-1,FALSE)*(T86/100-N86/H86)*100
-VLOOKUP($S86,'表30-5-2-5-1'!$B:$AF,MATCH($D86,'表30-5-2-5-1'!$4:$4,0)-1,FALSE)*(1-(S86/100-M86/H86)*100),
IF(C86="E1",VLOOKUP($T86,'表30-5-2-5-2'!$B$4:$AF$104,MATCH($D86&amp;"a",'表30-5-2-5-2'!$4:$4,0)-1,FALSE)
-IF($S86-1&lt;=0,0,VLOOKUP($S86-1,'表30-5-2-5-2'!$B$4:$AF$104,MATCH($D86&amp;"a",'表30-5-2-5-2'!$4:$4,0)-1,FALSE))
-VLOOKUP($T86,'表30-5-2-5-2'!$B$4:$AF$104,MATCH($D86,'表30-5-2-5-2'!$4:$4,0)-1,FALSE)*(T86/100-N86/H86)*100
-VLOOKUP($S86,'表30-5-2-5-2'!$B$4:$AF$104,MATCH($D86,'表30-5-2-5-2'!$4:$4,0)-1,FALSE)*(1-(S86/100-M86/H86)*100),
IF(C86="E2",VLOOKUP($T86,'表30-5-2-5-2'!$B$114:$AF$214,MATCH($D86&amp;"a",'表30-5-2-5-2'!$4:$4,0)-1,FALSE)
-IF($S86-1&lt;=0,0,VLOOKUP($S86-1,'表30-5-2-5-2'!$B$114:$AF$214,MATCH($D86&amp;"a",'表30-5-2-5-2'!$4:$4,0)-1,FALSE))
-VLOOKUP($T86,'表30-5-2-5-2'!$B$114:$AF$214,MATCH($D86,'表30-5-2-5-2'!$4:$4,0)-1,FALSE)*(T86/100-N86/H86)*100
-VLOOKUP($S86,'表30-5-2-5-2'!$B$114:$AF$214,MATCH($D86,'表30-5-2-5-2'!$4:$4,0)-1,FALSE)*(1-(S86/100-M86/H86)*100),0))))</f>
        <v>0</v>
      </c>
      <c r="V86" s="2478">
        <f t="shared" si="15"/>
        <v>0</v>
      </c>
      <c r="W86" s="2478">
        <f t="shared" si="16"/>
        <v>0</v>
      </c>
      <c r="X86" s="2718">
        <f t="shared" si="18"/>
        <v>0</v>
      </c>
      <c r="Y86" s="2718">
        <f t="shared" si="19"/>
        <v>0</v>
      </c>
    </row>
    <row r="87" spans="1:25">
      <c r="A87" s="2473" t="str">
        <f t="shared" si="17"/>
        <v/>
      </c>
      <c r="B87" s="2737"/>
      <c r="C87" s="2737"/>
      <c r="D87" s="2737"/>
      <c r="E87" s="2738"/>
      <c r="F87" s="2738"/>
      <c r="G87" s="2738"/>
      <c r="H87" s="2739"/>
      <c r="I87" s="2741"/>
      <c r="J87" s="2741"/>
      <c r="K87" s="2742"/>
      <c r="L87" s="2742"/>
      <c r="M87" s="2738"/>
      <c r="N87" s="2738"/>
      <c r="O87" s="2474">
        <f t="shared" si="11"/>
        <v>0</v>
      </c>
      <c r="P87" s="2474">
        <f t="shared" si="12"/>
        <v>0</v>
      </c>
      <c r="Q87" s="2475">
        <f t="shared" si="20"/>
        <v>0</v>
      </c>
      <c r="R87" s="2475">
        <f t="shared" si="21"/>
        <v>0</v>
      </c>
      <c r="S87" s="2476">
        <f t="shared" si="13"/>
        <v>0</v>
      </c>
      <c r="T87" s="2476">
        <f t="shared" si="14"/>
        <v>0</v>
      </c>
      <c r="U87" s="2477">
        <f>IF(OR(E87="QS",B87=""),0,
IF(C87="F",VLOOKUP($T87,'表30-5-2-5-1'!$B:$AF,MATCH($D87&amp;"a",'表30-5-2-5-1'!$4:$4,0)-1,FALSE)
-IF($S87-1&lt;=0,0,VLOOKUP($S87-1,'表30-5-2-5-1'!$B:$AF,MATCH($D87&amp;"a",'表30-5-2-5-1'!$4:$4,0)-1,FALSE))
-VLOOKUP($T87,'表30-5-2-5-1'!$B:$AF,MATCH($D87,'表30-5-2-5-1'!$4:$4,0)-1,FALSE)*(T87/100-N87/H87)*100
-VLOOKUP($S87,'表30-5-2-5-1'!$B:$AF,MATCH($D87,'表30-5-2-5-1'!$4:$4,0)-1,FALSE)*(1-(S87/100-M87/H87)*100),
IF(C87="E1",VLOOKUP($T87,'表30-5-2-5-2'!$B$4:$AF$104,MATCH($D87&amp;"a",'表30-5-2-5-2'!$4:$4,0)-1,FALSE)
-IF($S87-1&lt;=0,0,VLOOKUP($S87-1,'表30-5-2-5-2'!$B$4:$AF$104,MATCH($D87&amp;"a",'表30-5-2-5-2'!$4:$4,0)-1,FALSE))
-VLOOKUP($T87,'表30-5-2-5-2'!$B$4:$AF$104,MATCH($D87,'表30-5-2-5-2'!$4:$4,0)-1,FALSE)*(T87/100-N87/H87)*100
-VLOOKUP($S87,'表30-5-2-5-2'!$B$4:$AF$104,MATCH($D87,'表30-5-2-5-2'!$4:$4,0)-1,FALSE)*(1-(S87/100-M87/H87)*100),
IF(C87="E2",VLOOKUP($T87,'表30-5-2-5-2'!$B$114:$AF$214,MATCH($D87&amp;"a",'表30-5-2-5-2'!$4:$4,0)-1,FALSE)
-IF($S87-1&lt;=0,0,VLOOKUP($S87-1,'表30-5-2-5-2'!$B$114:$AF$214,MATCH($D87&amp;"a",'表30-5-2-5-2'!$4:$4,0)-1,FALSE))
-VLOOKUP($T87,'表30-5-2-5-2'!$B$114:$AF$214,MATCH($D87,'表30-5-2-5-2'!$4:$4,0)-1,FALSE)*(T87/100-N87/H87)*100
-VLOOKUP($S87,'表30-5-2-5-2'!$B$114:$AF$214,MATCH($D87,'表30-5-2-5-2'!$4:$4,0)-1,FALSE)*(1-(S87/100-M87/H87)*100),0))))</f>
        <v>0</v>
      </c>
      <c r="V87" s="2478">
        <f t="shared" si="15"/>
        <v>0</v>
      </c>
      <c r="W87" s="2478">
        <f t="shared" si="16"/>
        <v>0</v>
      </c>
      <c r="X87" s="2718">
        <f t="shared" si="18"/>
        <v>0</v>
      </c>
      <c r="Y87" s="2718">
        <f t="shared" si="19"/>
        <v>0</v>
      </c>
    </row>
    <row r="88" spans="1:25">
      <c r="A88" s="2473" t="str">
        <f t="shared" si="17"/>
        <v/>
      </c>
      <c r="B88" s="2737"/>
      <c r="C88" s="2737"/>
      <c r="D88" s="2737"/>
      <c r="E88" s="2738"/>
      <c r="F88" s="2738"/>
      <c r="G88" s="2738"/>
      <c r="H88" s="2739"/>
      <c r="I88" s="2741"/>
      <c r="J88" s="2741"/>
      <c r="K88" s="2742"/>
      <c r="L88" s="2742"/>
      <c r="M88" s="2738"/>
      <c r="N88" s="2738"/>
      <c r="O88" s="2474">
        <f t="shared" si="11"/>
        <v>0</v>
      </c>
      <c r="P88" s="2474">
        <f t="shared" si="12"/>
        <v>0</v>
      </c>
      <c r="Q88" s="2475">
        <f t="shared" si="20"/>
        <v>0</v>
      </c>
      <c r="R88" s="2475">
        <f t="shared" si="21"/>
        <v>0</v>
      </c>
      <c r="S88" s="2476">
        <f t="shared" si="13"/>
        <v>0</v>
      </c>
      <c r="T88" s="2476">
        <f t="shared" si="14"/>
        <v>0</v>
      </c>
      <c r="U88" s="2477">
        <f>IF(OR(E88="QS",B88=""),0,
IF(C88="F",VLOOKUP($T88,'表30-5-2-5-1'!$B:$AF,MATCH($D88&amp;"a",'表30-5-2-5-1'!$4:$4,0)-1,FALSE)
-IF($S88-1&lt;=0,0,VLOOKUP($S88-1,'表30-5-2-5-1'!$B:$AF,MATCH($D88&amp;"a",'表30-5-2-5-1'!$4:$4,0)-1,FALSE))
-VLOOKUP($T88,'表30-5-2-5-1'!$B:$AF,MATCH($D88,'表30-5-2-5-1'!$4:$4,0)-1,FALSE)*(T88/100-N88/H88)*100
-VLOOKUP($S88,'表30-5-2-5-1'!$B:$AF,MATCH($D88,'表30-5-2-5-1'!$4:$4,0)-1,FALSE)*(1-(S88/100-M88/H88)*100),
IF(C88="E1",VLOOKUP($T88,'表30-5-2-5-2'!$B$4:$AF$104,MATCH($D88&amp;"a",'表30-5-2-5-2'!$4:$4,0)-1,FALSE)
-IF($S88-1&lt;=0,0,VLOOKUP($S88-1,'表30-5-2-5-2'!$B$4:$AF$104,MATCH($D88&amp;"a",'表30-5-2-5-2'!$4:$4,0)-1,FALSE))
-VLOOKUP($T88,'表30-5-2-5-2'!$B$4:$AF$104,MATCH($D88,'表30-5-2-5-2'!$4:$4,0)-1,FALSE)*(T88/100-N88/H88)*100
-VLOOKUP($S88,'表30-5-2-5-2'!$B$4:$AF$104,MATCH($D88,'表30-5-2-5-2'!$4:$4,0)-1,FALSE)*(1-(S88/100-M88/H88)*100),
IF(C88="E2",VLOOKUP($T88,'表30-5-2-5-2'!$B$114:$AF$214,MATCH($D88&amp;"a",'表30-5-2-5-2'!$4:$4,0)-1,FALSE)
-IF($S88-1&lt;=0,0,VLOOKUP($S88-1,'表30-5-2-5-2'!$B$114:$AF$214,MATCH($D88&amp;"a",'表30-5-2-5-2'!$4:$4,0)-1,FALSE))
-VLOOKUP($T88,'表30-5-2-5-2'!$B$114:$AF$214,MATCH($D88,'表30-5-2-5-2'!$4:$4,0)-1,FALSE)*(T88/100-N88/H88)*100
-VLOOKUP($S88,'表30-5-2-5-2'!$B$114:$AF$214,MATCH($D88,'表30-5-2-5-2'!$4:$4,0)-1,FALSE)*(1-(S88/100-M88/H88)*100),0))))</f>
        <v>0</v>
      </c>
      <c r="V88" s="2478">
        <f t="shared" si="15"/>
        <v>0</v>
      </c>
      <c r="W88" s="2478">
        <f t="shared" si="16"/>
        <v>0</v>
      </c>
      <c r="X88" s="2718">
        <f t="shared" si="18"/>
        <v>0</v>
      </c>
      <c r="Y88" s="2718">
        <f t="shared" si="19"/>
        <v>0</v>
      </c>
    </row>
    <row r="89" spans="1:25">
      <c r="A89" s="2473" t="str">
        <f t="shared" si="17"/>
        <v/>
      </c>
      <c r="B89" s="2737"/>
      <c r="C89" s="2737"/>
      <c r="D89" s="2737"/>
      <c r="E89" s="2738"/>
      <c r="F89" s="2738"/>
      <c r="G89" s="2738"/>
      <c r="H89" s="2739"/>
      <c r="I89" s="2741"/>
      <c r="J89" s="2741"/>
      <c r="K89" s="2742"/>
      <c r="L89" s="2742"/>
      <c r="M89" s="2738"/>
      <c r="N89" s="2738"/>
      <c r="O89" s="2474">
        <f t="shared" si="11"/>
        <v>0</v>
      </c>
      <c r="P89" s="2474">
        <f t="shared" si="12"/>
        <v>0</v>
      </c>
      <c r="Q89" s="2475">
        <f t="shared" si="20"/>
        <v>0</v>
      </c>
      <c r="R89" s="2475">
        <f t="shared" si="21"/>
        <v>0</v>
      </c>
      <c r="S89" s="2476">
        <f t="shared" si="13"/>
        <v>0</v>
      </c>
      <c r="T89" s="2476">
        <f t="shared" si="14"/>
        <v>0</v>
      </c>
      <c r="U89" s="2477">
        <f>IF(OR(E89="QS",B89=""),0,
IF(C89="F",VLOOKUP($T89,'表30-5-2-5-1'!$B:$AF,MATCH($D89&amp;"a",'表30-5-2-5-1'!$4:$4,0)-1,FALSE)
-IF($S89-1&lt;=0,0,VLOOKUP($S89-1,'表30-5-2-5-1'!$B:$AF,MATCH($D89&amp;"a",'表30-5-2-5-1'!$4:$4,0)-1,FALSE))
-VLOOKUP($T89,'表30-5-2-5-1'!$B:$AF,MATCH($D89,'表30-5-2-5-1'!$4:$4,0)-1,FALSE)*(T89/100-N89/H89)*100
-VLOOKUP($S89,'表30-5-2-5-1'!$B:$AF,MATCH($D89,'表30-5-2-5-1'!$4:$4,0)-1,FALSE)*(1-(S89/100-M89/H89)*100),
IF(C89="E1",VLOOKUP($T89,'表30-5-2-5-2'!$B$4:$AF$104,MATCH($D89&amp;"a",'表30-5-2-5-2'!$4:$4,0)-1,FALSE)
-IF($S89-1&lt;=0,0,VLOOKUP($S89-1,'表30-5-2-5-2'!$B$4:$AF$104,MATCH($D89&amp;"a",'表30-5-2-5-2'!$4:$4,0)-1,FALSE))
-VLOOKUP($T89,'表30-5-2-5-2'!$B$4:$AF$104,MATCH($D89,'表30-5-2-5-2'!$4:$4,0)-1,FALSE)*(T89/100-N89/H89)*100
-VLOOKUP($S89,'表30-5-2-5-2'!$B$4:$AF$104,MATCH($D89,'表30-5-2-5-2'!$4:$4,0)-1,FALSE)*(1-(S89/100-M89/H89)*100),
IF(C89="E2",VLOOKUP($T89,'表30-5-2-5-2'!$B$114:$AF$214,MATCH($D89&amp;"a",'表30-5-2-5-2'!$4:$4,0)-1,FALSE)
-IF($S89-1&lt;=0,0,VLOOKUP($S89-1,'表30-5-2-5-2'!$B$114:$AF$214,MATCH($D89&amp;"a",'表30-5-2-5-2'!$4:$4,0)-1,FALSE))
-VLOOKUP($T89,'表30-5-2-5-2'!$B$114:$AF$214,MATCH($D89,'表30-5-2-5-2'!$4:$4,0)-1,FALSE)*(T89/100-N89/H89)*100
-VLOOKUP($S89,'表30-5-2-5-2'!$B$114:$AF$214,MATCH($D89,'表30-5-2-5-2'!$4:$4,0)-1,FALSE)*(1-(S89/100-M89/H89)*100),0))))</f>
        <v>0</v>
      </c>
      <c r="V89" s="2478">
        <f t="shared" si="15"/>
        <v>0</v>
      </c>
      <c r="W89" s="2478">
        <f t="shared" si="16"/>
        <v>0</v>
      </c>
      <c r="X89" s="2718">
        <f t="shared" si="18"/>
        <v>0</v>
      </c>
      <c r="Y89" s="2718">
        <f t="shared" si="19"/>
        <v>0</v>
      </c>
    </row>
    <row r="90" spans="1:25">
      <c r="A90" s="2473" t="str">
        <f t="shared" si="17"/>
        <v/>
      </c>
      <c r="B90" s="2737"/>
      <c r="C90" s="2737"/>
      <c r="D90" s="2737"/>
      <c r="E90" s="2738"/>
      <c r="F90" s="2738"/>
      <c r="G90" s="2738"/>
      <c r="H90" s="2739"/>
      <c r="I90" s="2741"/>
      <c r="J90" s="2741"/>
      <c r="K90" s="2742"/>
      <c r="L90" s="2742"/>
      <c r="M90" s="2738"/>
      <c r="N90" s="2738"/>
      <c r="O90" s="2474">
        <f t="shared" si="11"/>
        <v>0</v>
      </c>
      <c r="P90" s="2474">
        <f t="shared" si="12"/>
        <v>0</v>
      </c>
      <c r="Q90" s="2475">
        <f t="shared" si="20"/>
        <v>0</v>
      </c>
      <c r="R90" s="2475">
        <f t="shared" si="21"/>
        <v>0</v>
      </c>
      <c r="S90" s="2476">
        <f t="shared" si="13"/>
        <v>0</v>
      </c>
      <c r="T90" s="2476">
        <f t="shared" si="14"/>
        <v>0</v>
      </c>
      <c r="U90" s="2477">
        <f>IF(OR(E90="QS",B90=""),0,
IF(C90="F",VLOOKUP($T90,'表30-5-2-5-1'!$B:$AF,MATCH($D90&amp;"a",'表30-5-2-5-1'!$4:$4,0)-1,FALSE)
-IF($S90-1&lt;=0,0,VLOOKUP($S90-1,'表30-5-2-5-1'!$B:$AF,MATCH($D90&amp;"a",'表30-5-2-5-1'!$4:$4,0)-1,FALSE))
-VLOOKUP($T90,'表30-5-2-5-1'!$B:$AF,MATCH($D90,'表30-5-2-5-1'!$4:$4,0)-1,FALSE)*(T90/100-N90/H90)*100
-VLOOKUP($S90,'表30-5-2-5-1'!$B:$AF,MATCH($D90,'表30-5-2-5-1'!$4:$4,0)-1,FALSE)*(1-(S90/100-M90/H90)*100),
IF(C90="E1",VLOOKUP($T90,'表30-5-2-5-2'!$B$4:$AF$104,MATCH($D90&amp;"a",'表30-5-2-5-2'!$4:$4,0)-1,FALSE)
-IF($S90-1&lt;=0,0,VLOOKUP($S90-1,'表30-5-2-5-2'!$B$4:$AF$104,MATCH($D90&amp;"a",'表30-5-2-5-2'!$4:$4,0)-1,FALSE))
-VLOOKUP($T90,'表30-5-2-5-2'!$B$4:$AF$104,MATCH($D90,'表30-5-2-5-2'!$4:$4,0)-1,FALSE)*(T90/100-N90/H90)*100
-VLOOKUP($S90,'表30-5-2-5-2'!$B$4:$AF$104,MATCH($D90,'表30-5-2-5-2'!$4:$4,0)-1,FALSE)*(1-(S90/100-M90/H90)*100),
IF(C90="E2",VLOOKUP($T90,'表30-5-2-5-2'!$B$114:$AF$214,MATCH($D90&amp;"a",'表30-5-2-5-2'!$4:$4,0)-1,FALSE)
-IF($S90-1&lt;=0,0,VLOOKUP($S90-1,'表30-5-2-5-2'!$B$114:$AF$214,MATCH($D90&amp;"a",'表30-5-2-5-2'!$4:$4,0)-1,FALSE))
-VLOOKUP($T90,'表30-5-2-5-2'!$B$114:$AF$214,MATCH($D90,'表30-5-2-5-2'!$4:$4,0)-1,FALSE)*(T90/100-N90/H90)*100
-VLOOKUP($S90,'表30-5-2-5-2'!$B$114:$AF$214,MATCH($D90,'表30-5-2-5-2'!$4:$4,0)-1,FALSE)*(1-(S90/100-M90/H90)*100),0))))</f>
        <v>0</v>
      </c>
      <c r="V90" s="2478">
        <f t="shared" si="15"/>
        <v>0</v>
      </c>
      <c r="W90" s="2478">
        <f t="shared" si="16"/>
        <v>0</v>
      </c>
      <c r="X90" s="2718">
        <f t="shared" si="18"/>
        <v>0</v>
      </c>
      <c r="Y90" s="2718">
        <f t="shared" si="19"/>
        <v>0</v>
      </c>
    </row>
    <row r="91" spans="1:25">
      <c r="A91" s="2473" t="str">
        <f t="shared" si="17"/>
        <v/>
      </c>
      <c r="B91" s="2737"/>
      <c r="C91" s="2737"/>
      <c r="D91" s="2737"/>
      <c r="E91" s="2738"/>
      <c r="F91" s="2738"/>
      <c r="G91" s="2738"/>
      <c r="H91" s="2739"/>
      <c r="I91" s="2741"/>
      <c r="J91" s="2741"/>
      <c r="K91" s="2742"/>
      <c r="L91" s="2742"/>
      <c r="M91" s="2738"/>
      <c r="N91" s="2738"/>
      <c r="O91" s="2474">
        <f t="shared" si="11"/>
        <v>0</v>
      </c>
      <c r="P91" s="2474">
        <f t="shared" si="12"/>
        <v>0</v>
      </c>
      <c r="Q91" s="2475">
        <f t="shared" si="20"/>
        <v>0</v>
      </c>
      <c r="R91" s="2475">
        <f t="shared" si="21"/>
        <v>0</v>
      </c>
      <c r="S91" s="2476">
        <f t="shared" si="13"/>
        <v>0</v>
      </c>
      <c r="T91" s="2476">
        <f t="shared" si="14"/>
        <v>0</v>
      </c>
      <c r="U91" s="2477">
        <f>IF(OR(E91="QS",B91=""),0,
IF(C91="F",VLOOKUP($T91,'表30-5-2-5-1'!$B:$AF,MATCH($D91&amp;"a",'表30-5-2-5-1'!$4:$4,0)-1,FALSE)
-IF($S91-1&lt;=0,0,VLOOKUP($S91-1,'表30-5-2-5-1'!$B:$AF,MATCH($D91&amp;"a",'表30-5-2-5-1'!$4:$4,0)-1,FALSE))
-VLOOKUP($T91,'表30-5-2-5-1'!$B:$AF,MATCH($D91,'表30-5-2-5-1'!$4:$4,0)-1,FALSE)*(T91/100-N91/H91)*100
-VLOOKUP($S91,'表30-5-2-5-1'!$B:$AF,MATCH($D91,'表30-5-2-5-1'!$4:$4,0)-1,FALSE)*(1-(S91/100-M91/H91)*100),
IF(C91="E1",VLOOKUP($T91,'表30-5-2-5-2'!$B$4:$AF$104,MATCH($D91&amp;"a",'表30-5-2-5-2'!$4:$4,0)-1,FALSE)
-IF($S91-1&lt;=0,0,VLOOKUP($S91-1,'表30-5-2-5-2'!$B$4:$AF$104,MATCH($D91&amp;"a",'表30-5-2-5-2'!$4:$4,0)-1,FALSE))
-VLOOKUP($T91,'表30-5-2-5-2'!$B$4:$AF$104,MATCH($D91,'表30-5-2-5-2'!$4:$4,0)-1,FALSE)*(T91/100-N91/H91)*100
-VLOOKUP($S91,'表30-5-2-5-2'!$B$4:$AF$104,MATCH($D91,'表30-5-2-5-2'!$4:$4,0)-1,FALSE)*(1-(S91/100-M91/H91)*100),
IF(C91="E2",VLOOKUP($T91,'表30-5-2-5-2'!$B$114:$AF$214,MATCH($D91&amp;"a",'表30-5-2-5-2'!$4:$4,0)-1,FALSE)
-IF($S91-1&lt;=0,0,VLOOKUP($S91-1,'表30-5-2-5-2'!$B$114:$AF$214,MATCH($D91&amp;"a",'表30-5-2-5-2'!$4:$4,0)-1,FALSE))
-VLOOKUP($T91,'表30-5-2-5-2'!$B$114:$AF$214,MATCH($D91,'表30-5-2-5-2'!$4:$4,0)-1,FALSE)*(T91/100-N91/H91)*100
-VLOOKUP($S91,'表30-5-2-5-2'!$B$114:$AF$214,MATCH($D91,'表30-5-2-5-2'!$4:$4,0)-1,FALSE)*(1-(S91/100-M91/H91)*100),0))))</f>
        <v>0</v>
      </c>
      <c r="V91" s="2478">
        <f t="shared" si="15"/>
        <v>0</v>
      </c>
      <c r="W91" s="2478">
        <f t="shared" si="16"/>
        <v>0</v>
      </c>
      <c r="X91" s="2718">
        <f t="shared" si="18"/>
        <v>0</v>
      </c>
      <c r="Y91" s="2718">
        <f t="shared" si="19"/>
        <v>0</v>
      </c>
    </row>
    <row r="92" spans="1:25">
      <c r="A92" s="2473" t="str">
        <f t="shared" si="17"/>
        <v/>
      </c>
      <c r="B92" s="2737"/>
      <c r="C92" s="2737"/>
      <c r="D92" s="2737"/>
      <c r="E92" s="2738"/>
      <c r="F92" s="2738"/>
      <c r="G92" s="2738"/>
      <c r="H92" s="2739"/>
      <c r="I92" s="2741"/>
      <c r="J92" s="2741"/>
      <c r="K92" s="2742"/>
      <c r="L92" s="2742"/>
      <c r="M92" s="2738"/>
      <c r="N92" s="2738"/>
      <c r="O92" s="2474">
        <f t="shared" si="11"/>
        <v>0</v>
      </c>
      <c r="P92" s="2474">
        <f t="shared" si="12"/>
        <v>0</v>
      </c>
      <c r="Q92" s="2475">
        <f t="shared" si="20"/>
        <v>0</v>
      </c>
      <c r="R92" s="2475">
        <f t="shared" si="21"/>
        <v>0</v>
      </c>
      <c r="S92" s="2476">
        <f t="shared" si="13"/>
        <v>0</v>
      </c>
      <c r="T92" s="2476">
        <f t="shared" si="14"/>
        <v>0</v>
      </c>
      <c r="U92" s="2477">
        <f>IF(OR(E92="QS",B92=""),0,
IF(C92="F",VLOOKUP($T92,'表30-5-2-5-1'!$B:$AF,MATCH($D92&amp;"a",'表30-5-2-5-1'!$4:$4,0)-1,FALSE)
-IF($S92-1&lt;=0,0,VLOOKUP($S92-1,'表30-5-2-5-1'!$B:$AF,MATCH($D92&amp;"a",'表30-5-2-5-1'!$4:$4,0)-1,FALSE))
-VLOOKUP($T92,'表30-5-2-5-1'!$B:$AF,MATCH($D92,'表30-5-2-5-1'!$4:$4,0)-1,FALSE)*(T92/100-N92/H92)*100
-VLOOKUP($S92,'表30-5-2-5-1'!$B:$AF,MATCH($D92,'表30-5-2-5-1'!$4:$4,0)-1,FALSE)*(1-(S92/100-M92/H92)*100),
IF(C92="E1",VLOOKUP($T92,'表30-5-2-5-2'!$B$4:$AF$104,MATCH($D92&amp;"a",'表30-5-2-5-2'!$4:$4,0)-1,FALSE)
-IF($S92-1&lt;=0,0,VLOOKUP($S92-1,'表30-5-2-5-2'!$B$4:$AF$104,MATCH($D92&amp;"a",'表30-5-2-5-2'!$4:$4,0)-1,FALSE))
-VLOOKUP($T92,'表30-5-2-5-2'!$B$4:$AF$104,MATCH($D92,'表30-5-2-5-2'!$4:$4,0)-1,FALSE)*(T92/100-N92/H92)*100
-VLOOKUP($S92,'表30-5-2-5-2'!$B$4:$AF$104,MATCH($D92,'表30-5-2-5-2'!$4:$4,0)-1,FALSE)*(1-(S92/100-M92/H92)*100),
IF(C92="E2",VLOOKUP($T92,'表30-5-2-5-2'!$B$114:$AF$214,MATCH($D92&amp;"a",'表30-5-2-5-2'!$4:$4,0)-1,FALSE)
-IF($S92-1&lt;=0,0,VLOOKUP($S92-1,'表30-5-2-5-2'!$B$114:$AF$214,MATCH($D92&amp;"a",'表30-5-2-5-2'!$4:$4,0)-1,FALSE))
-VLOOKUP($T92,'表30-5-2-5-2'!$B$114:$AF$214,MATCH($D92,'表30-5-2-5-2'!$4:$4,0)-1,FALSE)*(T92/100-N92/H92)*100
-VLOOKUP($S92,'表30-5-2-5-2'!$B$114:$AF$214,MATCH($D92,'表30-5-2-5-2'!$4:$4,0)-1,FALSE)*(1-(S92/100-M92/H92)*100),0))))</f>
        <v>0</v>
      </c>
      <c r="V92" s="2478">
        <f t="shared" si="15"/>
        <v>0</v>
      </c>
      <c r="W92" s="2478">
        <f t="shared" si="16"/>
        <v>0</v>
      </c>
      <c r="X92" s="2718">
        <f t="shared" si="18"/>
        <v>0</v>
      </c>
      <c r="Y92" s="2718">
        <f t="shared" si="19"/>
        <v>0</v>
      </c>
    </row>
    <row r="93" spans="1:25">
      <c r="A93" s="2473" t="str">
        <f t="shared" si="17"/>
        <v/>
      </c>
      <c r="B93" s="2737"/>
      <c r="C93" s="2737"/>
      <c r="D93" s="2737"/>
      <c r="E93" s="2738"/>
      <c r="F93" s="2738"/>
      <c r="G93" s="2738"/>
      <c r="H93" s="2739"/>
      <c r="I93" s="2741"/>
      <c r="J93" s="2741"/>
      <c r="K93" s="2742"/>
      <c r="L93" s="2742"/>
      <c r="M93" s="2738"/>
      <c r="N93" s="2738"/>
      <c r="O93" s="2474">
        <f t="shared" si="11"/>
        <v>0</v>
      </c>
      <c r="P93" s="2474">
        <f t="shared" si="12"/>
        <v>0</v>
      </c>
      <c r="Q93" s="2475">
        <f t="shared" si="20"/>
        <v>0</v>
      </c>
      <c r="R93" s="2475">
        <f t="shared" si="21"/>
        <v>0</v>
      </c>
      <c r="S93" s="2476">
        <f t="shared" si="13"/>
        <v>0</v>
      </c>
      <c r="T93" s="2476">
        <f t="shared" si="14"/>
        <v>0</v>
      </c>
      <c r="U93" s="2477">
        <f>IF(OR(E93="QS",B93=""),0,
IF(C93="F",VLOOKUP($T93,'表30-5-2-5-1'!$B:$AF,MATCH($D93&amp;"a",'表30-5-2-5-1'!$4:$4,0)-1,FALSE)
-IF($S93-1&lt;=0,0,VLOOKUP($S93-1,'表30-5-2-5-1'!$B:$AF,MATCH($D93&amp;"a",'表30-5-2-5-1'!$4:$4,0)-1,FALSE))
-VLOOKUP($T93,'表30-5-2-5-1'!$B:$AF,MATCH($D93,'表30-5-2-5-1'!$4:$4,0)-1,FALSE)*(T93/100-N93/H93)*100
-VLOOKUP($S93,'表30-5-2-5-1'!$B:$AF,MATCH($D93,'表30-5-2-5-1'!$4:$4,0)-1,FALSE)*(1-(S93/100-M93/H93)*100),
IF(C93="E1",VLOOKUP($T93,'表30-5-2-5-2'!$B$4:$AF$104,MATCH($D93&amp;"a",'表30-5-2-5-2'!$4:$4,0)-1,FALSE)
-IF($S93-1&lt;=0,0,VLOOKUP($S93-1,'表30-5-2-5-2'!$B$4:$AF$104,MATCH($D93&amp;"a",'表30-5-2-5-2'!$4:$4,0)-1,FALSE))
-VLOOKUP($T93,'表30-5-2-5-2'!$B$4:$AF$104,MATCH($D93,'表30-5-2-5-2'!$4:$4,0)-1,FALSE)*(T93/100-N93/H93)*100
-VLOOKUP($S93,'表30-5-2-5-2'!$B$4:$AF$104,MATCH($D93,'表30-5-2-5-2'!$4:$4,0)-1,FALSE)*(1-(S93/100-M93/H93)*100),
IF(C93="E2",VLOOKUP($T93,'表30-5-2-5-2'!$B$114:$AF$214,MATCH($D93&amp;"a",'表30-5-2-5-2'!$4:$4,0)-1,FALSE)
-IF($S93-1&lt;=0,0,VLOOKUP($S93-1,'表30-5-2-5-2'!$B$114:$AF$214,MATCH($D93&amp;"a",'表30-5-2-5-2'!$4:$4,0)-1,FALSE))
-VLOOKUP($T93,'表30-5-2-5-2'!$B$114:$AF$214,MATCH($D93,'表30-5-2-5-2'!$4:$4,0)-1,FALSE)*(T93/100-N93/H93)*100
-VLOOKUP($S93,'表30-5-2-5-2'!$B$114:$AF$214,MATCH($D93,'表30-5-2-5-2'!$4:$4,0)-1,FALSE)*(1-(S93/100-M93/H93)*100),0))))</f>
        <v>0</v>
      </c>
      <c r="V93" s="2478">
        <f t="shared" si="15"/>
        <v>0</v>
      </c>
      <c r="W93" s="2478">
        <f t="shared" si="16"/>
        <v>0</v>
      </c>
      <c r="X93" s="2718">
        <f t="shared" si="18"/>
        <v>0</v>
      </c>
      <c r="Y93" s="2718">
        <f t="shared" si="19"/>
        <v>0</v>
      </c>
    </row>
    <row r="94" spans="1:25">
      <c r="A94" s="2473" t="str">
        <f t="shared" si="17"/>
        <v/>
      </c>
      <c r="B94" s="2737"/>
      <c r="C94" s="2737"/>
      <c r="D94" s="2737"/>
      <c r="E94" s="2738"/>
      <c r="F94" s="2738"/>
      <c r="G94" s="2738"/>
      <c r="H94" s="2739"/>
      <c r="I94" s="2741"/>
      <c r="J94" s="2741"/>
      <c r="K94" s="2742"/>
      <c r="L94" s="2742"/>
      <c r="M94" s="2738"/>
      <c r="N94" s="2738"/>
      <c r="O94" s="2474">
        <f t="shared" si="11"/>
        <v>0</v>
      </c>
      <c r="P94" s="2474">
        <f t="shared" si="12"/>
        <v>0</v>
      </c>
      <c r="Q94" s="2475">
        <f t="shared" si="20"/>
        <v>0</v>
      </c>
      <c r="R94" s="2475">
        <f t="shared" si="21"/>
        <v>0</v>
      </c>
      <c r="S94" s="2476">
        <f t="shared" si="13"/>
        <v>0</v>
      </c>
      <c r="T94" s="2476">
        <f t="shared" si="14"/>
        <v>0</v>
      </c>
      <c r="U94" s="2477">
        <f>IF(OR(E94="QS",B94=""),0,
IF(C94="F",VLOOKUP($T94,'表30-5-2-5-1'!$B:$AF,MATCH($D94&amp;"a",'表30-5-2-5-1'!$4:$4,0)-1,FALSE)
-IF($S94-1&lt;=0,0,VLOOKUP($S94-1,'表30-5-2-5-1'!$B:$AF,MATCH($D94&amp;"a",'表30-5-2-5-1'!$4:$4,0)-1,FALSE))
-VLOOKUP($T94,'表30-5-2-5-1'!$B:$AF,MATCH($D94,'表30-5-2-5-1'!$4:$4,0)-1,FALSE)*(T94/100-N94/H94)*100
-VLOOKUP($S94,'表30-5-2-5-1'!$B:$AF,MATCH($D94,'表30-5-2-5-1'!$4:$4,0)-1,FALSE)*(1-(S94/100-M94/H94)*100),
IF(C94="E1",VLOOKUP($T94,'表30-5-2-5-2'!$B$4:$AF$104,MATCH($D94&amp;"a",'表30-5-2-5-2'!$4:$4,0)-1,FALSE)
-IF($S94-1&lt;=0,0,VLOOKUP($S94-1,'表30-5-2-5-2'!$B$4:$AF$104,MATCH($D94&amp;"a",'表30-5-2-5-2'!$4:$4,0)-1,FALSE))
-VLOOKUP($T94,'表30-5-2-5-2'!$B$4:$AF$104,MATCH($D94,'表30-5-2-5-2'!$4:$4,0)-1,FALSE)*(T94/100-N94/H94)*100
-VLOOKUP($S94,'表30-5-2-5-2'!$B$4:$AF$104,MATCH($D94,'表30-5-2-5-2'!$4:$4,0)-1,FALSE)*(1-(S94/100-M94/H94)*100),
IF(C94="E2",VLOOKUP($T94,'表30-5-2-5-2'!$B$114:$AF$214,MATCH($D94&amp;"a",'表30-5-2-5-2'!$4:$4,0)-1,FALSE)
-IF($S94-1&lt;=0,0,VLOOKUP($S94-1,'表30-5-2-5-2'!$B$114:$AF$214,MATCH($D94&amp;"a",'表30-5-2-5-2'!$4:$4,0)-1,FALSE))
-VLOOKUP($T94,'表30-5-2-5-2'!$B$114:$AF$214,MATCH($D94,'表30-5-2-5-2'!$4:$4,0)-1,FALSE)*(T94/100-N94/H94)*100
-VLOOKUP($S94,'表30-5-2-5-2'!$B$114:$AF$214,MATCH($D94,'表30-5-2-5-2'!$4:$4,0)-1,FALSE)*(1-(S94/100-M94/H94)*100),0))))</f>
        <v>0</v>
      </c>
      <c r="V94" s="2478">
        <f t="shared" si="15"/>
        <v>0</v>
      </c>
      <c r="W94" s="2478">
        <f t="shared" si="16"/>
        <v>0</v>
      </c>
      <c r="X94" s="2718">
        <f t="shared" si="18"/>
        <v>0</v>
      </c>
      <c r="Y94" s="2718">
        <f t="shared" si="19"/>
        <v>0</v>
      </c>
    </row>
    <row r="95" spans="1:25">
      <c r="A95" s="2473" t="str">
        <f t="shared" si="17"/>
        <v/>
      </c>
      <c r="B95" s="2737"/>
      <c r="C95" s="2737"/>
      <c r="D95" s="2737"/>
      <c r="E95" s="2738"/>
      <c r="F95" s="2738"/>
      <c r="G95" s="2738"/>
      <c r="H95" s="2739"/>
      <c r="I95" s="2741"/>
      <c r="J95" s="2741"/>
      <c r="K95" s="2742"/>
      <c r="L95" s="2742"/>
      <c r="M95" s="2738"/>
      <c r="N95" s="2738"/>
      <c r="O95" s="2474">
        <f t="shared" si="11"/>
        <v>0</v>
      </c>
      <c r="P95" s="2474">
        <f t="shared" si="12"/>
        <v>0</v>
      </c>
      <c r="Q95" s="2475">
        <f t="shared" si="20"/>
        <v>0</v>
      </c>
      <c r="R95" s="2475">
        <f t="shared" si="21"/>
        <v>0</v>
      </c>
      <c r="S95" s="2476">
        <f t="shared" si="13"/>
        <v>0</v>
      </c>
      <c r="T95" s="2476">
        <f t="shared" si="14"/>
        <v>0</v>
      </c>
      <c r="U95" s="2477">
        <f>IF(OR(E95="QS",B95=""),0,
IF(C95="F",VLOOKUP($T95,'表30-5-2-5-1'!$B:$AF,MATCH($D95&amp;"a",'表30-5-2-5-1'!$4:$4,0)-1,FALSE)
-IF($S95-1&lt;=0,0,VLOOKUP($S95-1,'表30-5-2-5-1'!$B:$AF,MATCH($D95&amp;"a",'表30-5-2-5-1'!$4:$4,0)-1,FALSE))
-VLOOKUP($T95,'表30-5-2-5-1'!$B:$AF,MATCH($D95,'表30-5-2-5-1'!$4:$4,0)-1,FALSE)*(T95/100-N95/H95)*100
-VLOOKUP($S95,'表30-5-2-5-1'!$B:$AF,MATCH($D95,'表30-5-2-5-1'!$4:$4,0)-1,FALSE)*(1-(S95/100-M95/H95)*100),
IF(C95="E1",VLOOKUP($T95,'表30-5-2-5-2'!$B$4:$AF$104,MATCH($D95&amp;"a",'表30-5-2-5-2'!$4:$4,0)-1,FALSE)
-IF($S95-1&lt;=0,0,VLOOKUP($S95-1,'表30-5-2-5-2'!$B$4:$AF$104,MATCH($D95&amp;"a",'表30-5-2-5-2'!$4:$4,0)-1,FALSE))
-VLOOKUP($T95,'表30-5-2-5-2'!$B$4:$AF$104,MATCH($D95,'表30-5-2-5-2'!$4:$4,0)-1,FALSE)*(T95/100-N95/H95)*100
-VLOOKUP($S95,'表30-5-2-5-2'!$B$4:$AF$104,MATCH($D95,'表30-5-2-5-2'!$4:$4,0)-1,FALSE)*(1-(S95/100-M95/H95)*100),
IF(C95="E2",VLOOKUP($T95,'表30-5-2-5-2'!$B$114:$AF$214,MATCH($D95&amp;"a",'表30-5-2-5-2'!$4:$4,0)-1,FALSE)
-IF($S95-1&lt;=0,0,VLOOKUP($S95-1,'表30-5-2-5-2'!$B$114:$AF$214,MATCH($D95&amp;"a",'表30-5-2-5-2'!$4:$4,0)-1,FALSE))
-VLOOKUP($T95,'表30-5-2-5-2'!$B$114:$AF$214,MATCH($D95,'表30-5-2-5-2'!$4:$4,0)-1,FALSE)*(T95/100-N95/H95)*100
-VLOOKUP($S95,'表30-5-2-5-2'!$B$114:$AF$214,MATCH($D95,'表30-5-2-5-2'!$4:$4,0)-1,FALSE)*(1-(S95/100-M95/H95)*100),0))))</f>
        <v>0</v>
      </c>
      <c r="V95" s="2478">
        <f t="shared" si="15"/>
        <v>0</v>
      </c>
      <c r="W95" s="2478">
        <f t="shared" si="16"/>
        <v>0</v>
      </c>
      <c r="X95" s="2718">
        <f t="shared" si="18"/>
        <v>0</v>
      </c>
      <c r="Y95" s="2718">
        <f t="shared" si="19"/>
        <v>0</v>
      </c>
    </row>
    <row r="96" spans="1:25">
      <c r="A96" s="2473" t="str">
        <f t="shared" si="17"/>
        <v/>
      </c>
      <c r="B96" s="2737"/>
      <c r="C96" s="2737"/>
      <c r="D96" s="2737"/>
      <c r="E96" s="2738"/>
      <c r="F96" s="2738"/>
      <c r="G96" s="2738"/>
      <c r="H96" s="2739"/>
      <c r="I96" s="2741"/>
      <c r="J96" s="2741"/>
      <c r="K96" s="2742"/>
      <c r="L96" s="2742"/>
      <c r="M96" s="2738"/>
      <c r="N96" s="2738"/>
      <c r="O96" s="2474">
        <f t="shared" si="11"/>
        <v>0</v>
      </c>
      <c r="P96" s="2474">
        <f t="shared" si="12"/>
        <v>0</v>
      </c>
      <c r="Q96" s="2475">
        <f t="shared" si="20"/>
        <v>0</v>
      </c>
      <c r="R96" s="2475">
        <f t="shared" si="21"/>
        <v>0</v>
      </c>
      <c r="S96" s="2476">
        <f t="shared" si="13"/>
        <v>0</v>
      </c>
      <c r="T96" s="2476">
        <f t="shared" si="14"/>
        <v>0</v>
      </c>
      <c r="U96" s="2477">
        <f>IF(OR(E96="QS",B96=""),0,
IF(C96="F",VLOOKUP($T96,'表30-5-2-5-1'!$B:$AF,MATCH($D96&amp;"a",'表30-5-2-5-1'!$4:$4,0)-1,FALSE)
-IF($S96-1&lt;=0,0,VLOOKUP($S96-1,'表30-5-2-5-1'!$B:$AF,MATCH($D96&amp;"a",'表30-5-2-5-1'!$4:$4,0)-1,FALSE))
-VLOOKUP($T96,'表30-5-2-5-1'!$B:$AF,MATCH($D96,'表30-5-2-5-1'!$4:$4,0)-1,FALSE)*(T96/100-N96/H96)*100
-VLOOKUP($S96,'表30-5-2-5-1'!$B:$AF,MATCH($D96,'表30-5-2-5-1'!$4:$4,0)-1,FALSE)*(1-(S96/100-M96/H96)*100),
IF(C96="E1",VLOOKUP($T96,'表30-5-2-5-2'!$B$4:$AF$104,MATCH($D96&amp;"a",'表30-5-2-5-2'!$4:$4,0)-1,FALSE)
-IF($S96-1&lt;=0,0,VLOOKUP($S96-1,'表30-5-2-5-2'!$B$4:$AF$104,MATCH($D96&amp;"a",'表30-5-2-5-2'!$4:$4,0)-1,FALSE))
-VLOOKUP($T96,'表30-5-2-5-2'!$B$4:$AF$104,MATCH($D96,'表30-5-2-5-2'!$4:$4,0)-1,FALSE)*(T96/100-N96/H96)*100
-VLOOKUP($S96,'表30-5-2-5-2'!$B$4:$AF$104,MATCH($D96,'表30-5-2-5-2'!$4:$4,0)-1,FALSE)*(1-(S96/100-M96/H96)*100),
IF(C96="E2",VLOOKUP($T96,'表30-5-2-5-2'!$B$114:$AF$214,MATCH($D96&amp;"a",'表30-5-2-5-2'!$4:$4,0)-1,FALSE)
-IF($S96-1&lt;=0,0,VLOOKUP($S96-1,'表30-5-2-5-2'!$B$114:$AF$214,MATCH($D96&amp;"a",'表30-5-2-5-2'!$4:$4,0)-1,FALSE))
-VLOOKUP($T96,'表30-5-2-5-2'!$B$114:$AF$214,MATCH($D96,'表30-5-2-5-2'!$4:$4,0)-1,FALSE)*(T96/100-N96/H96)*100
-VLOOKUP($S96,'表30-5-2-5-2'!$B$114:$AF$214,MATCH($D96,'表30-5-2-5-2'!$4:$4,0)-1,FALSE)*(1-(S96/100-M96/H96)*100),0))))</f>
        <v>0</v>
      </c>
      <c r="V96" s="2478">
        <f t="shared" si="15"/>
        <v>0</v>
      </c>
      <c r="W96" s="2478">
        <f t="shared" si="16"/>
        <v>0</v>
      </c>
      <c r="X96" s="2718">
        <f t="shared" si="18"/>
        <v>0</v>
      </c>
      <c r="Y96" s="2718">
        <f t="shared" si="19"/>
        <v>0</v>
      </c>
    </row>
    <row r="97" spans="1:25">
      <c r="A97" s="2473" t="str">
        <f t="shared" si="17"/>
        <v/>
      </c>
      <c r="B97" s="2737"/>
      <c r="C97" s="2737"/>
      <c r="D97" s="2737"/>
      <c r="E97" s="2738"/>
      <c r="F97" s="2738"/>
      <c r="G97" s="2738"/>
      <c r="H97" s="2739"/>
      <c r="I97" s="2741"/>
      <c r="J97" s="2741"/>
      <c r="K97" s="2742"/>
      <c r="L97" s="2742"/>
      <c r="M97" s="2738"/>
      <c r="N97" s="2738"/>
      <c r="O97" s="2474">
        <f t="shared" si="11"/>
        <v>0</v>
      </c>
      <c r="P97" s="2474">
        <f t="shared" si="12"/>
        <v>0</v>
      </c>
      <c r="Q97" s="2475">
        <f t="shared" si="20"/>
        <v>0</v>
      </c>
      <c r="R97" s="2475">
        <f t="shared" si="21"/>
        <v>0</v>
      </c>
      <c r="S97" s="2476">
        <f t="shared" si="13"/>
        <v>0</v>
      </c>
      <c r="T97" s="2476">
        <f t="shared" si="14"/>
        <v>0</v>
      </c>
      <c r="U97" s="2477">
        <f>IF(OR(E97="QS",B97=""),0,
IF(C97="F",VLOOKUP($T97,'表30-5-2-5-1'!$B:$AF,MATCH($D97&amp;"a",'表30-5-2-5-1'!$4:$4,0)-1,FALSE)
-IF($S97-1&lt;=0,0,VLOOKUP($S97-1,'表30-5-2-5-1'!$B:$AF,MATCH($D97&amp;"a",'表30-5-2-5-1'!$4:$4,0)-1,FALSE))
-VLOOKUP($T97,'表30-5-2-5-1'!$B:$AF,MATCH($D97,'表30-5-2-5-1'!$4:$4,0)-1,FALSE)*(T97/100-N97/H97)*100
-VLOOKUP($S97,'表30-5-2-5-1'!$B:$AF,MATCH($D97,'表30-5-2-5-1'!$4:$4,0)-1,FALSE)*(1-(S97/100-M97/H97)*100),
IF(C97="E1",VLOOKUP($T97,'表30-5-2-5-2'!$B$4:$AF$104,MATCH($D97&amp;"a",'表30-5-2-5-2'!$4:$4,0)-1,FALSE)
-IF($S97-1&lt;=0,0,VLOOKUP($S97-1,'表30-5-2-5-2'!$B$4:$AF$104,MATCH($D97&amp;"a",'表30-5-2-5-2'!$4:$4,0)-1,FALSE))
-VLOOKUP($T97,'表30-5-2-5-2'!$B$4:$AF$104,MATCH($D97,'表30-5-2-5-2'!$4:$4,0)-1,FALSE)*(T97/100-N97/H97)*100
-VLOOKUP($S97,'表30-5-2-5-2'!$B$4:$AF$104,MATCH($D97,'表30-5-2-5-2'!$4:$4,0)-1,FALSE)*(1-(S97/100-M97/H97)*100),
IF(C97="E2",VLOOKUP($T97,'表30-5-2-5-2'!$B$114:$AF$214,MATCH($D97&amp;"a",'表30-5-2-5-2'!$4:$4,0)-1,FALSE)
-IF($S97-1&lt;=0,0,VLOOKUP($S97-1,'表30-5-2-5-2'!$B$114:$AF$214,MATCH($D97&amp;"a",'表30-5-2-5-2'!$4:$4,0)-1,FALSE))
-VLOOKUP($T97,'表30-5-2-5-2'!$B$114:$AF$214,MATCH($D97,'表30-5-2-5-2'!$4:$4,0)-1,FALSE)*(T97/100-N97/H97)*100
-VLOOKUP($S97,'表30-5-2-5-2'!$B$114:$AF$214,MATCH($D97,'表30-5-2-5-2'!$4:$4,0)-1,FALSE)*(1-(S97/100-M97/H97)*100),0))))</f>
        <v>0</v>
      </c>
      <c r="V97" s="2478">
        <f t="shared" si="15"/>
        <v>0</v>
      </c>
      <c r="W97" s="2478">
        <f t="shared" si="16"/>
        <v>0</v>
      </c>
      <c r="X97" s="2718">
        <f t="shared" si="18"/>
        <v>0</v>
      </c>
      <c r="Y97" s="2718">
        <f t="shared" si="19"/>
        <v>0</v>
      </c>
    </row>
    <row r="98" spans="1:25">
      <c r="A98" s="2473" t="str">
        <f t="shared" si="17"/>
        <v/>
      </c>
      <c r="B98" s="2737"/>
      <c r="C98" s="2737"/>
      <c r="D98" s="2737"/>
      <c r="E98" s="2738"/>
      <c r="F98" s="2738"/>
      <c r="G98" s="2738"/>
      <c r="H98" s="2739"/>
      <c r="I98" s="2741"/>
      <c r="J98" s="2741"/>
      <c r="K98" s="2742"/>
      <c r="L98" s="2742"/>
      <c r="M98" s="2738"/>
      <c r="N98" s="2738"/>
      <c r="O98" s="2474">
        <f t="shared" si="11"/>
        <v>0</v>
      </c>
      <c r="P98" s="2474">
        <f t="shared" si="12"/>
        <v>0</v>
      </c>
      <c r="Q98" s="2475">
        <f t="shared" si="20"/>
        <v>0</v>
      </c>
      <c r="R98" s="2475">
        <f t="shared" si="21"/>
        <v>0</v>
      </c>
      <c r="S98" s="2476">
        <f t="shared" si="13"/>
        <v>0</v>
      </c>
      <c r="T98" s="2476">
        <f t="shared" si="14"/>
        <v>0</v>
      </c>
      <c r="U98" s="2477">
        <f>IF(OR(E98="QS",B98=""),0,
IF(C98="F",VLOOKUP($T98,'表30-5-2-5-1'!$B:$AF,MATCH($D98&amp;"a",'表30-5-2-5-1'!$4:$4,0)-1,FALSE)
-IF($S98-1&lt;=0,0,VLOOKUP($S98-1,'表30-5-2-5-1'!$B:$AF,MATCH($D98&amp;"a",'表30-5-2-5-1'!$4:$4,0)-1,FALSE))
-VLOOKUP($T98,'表30-5-2-5-1'!$B:$AF,MATCH($D98,'表30-5-2-5-1'!$4:$4,0)-1,FALSE)*(T98/100-N98/H98)*100
-VLOOKUP($S98,'表30-5-2-5-1'!$B:$AF,MATCH($D98,'表30-5-2-5-1'!$4:$4,0)-1,FALSE)*(1-(S98/100-M98/H98)*100),
IF(C98="E1",VLOOKUP($T98,'表30-5-2-5-2'!$B$4:$AF$104,MATCH($D98&amp;"a",'表30-5-2-5-2'!$4:$4,0)-1,FALSE)
-IF($S98-1&lt;=0,0,VLOOKUP($S98-1,'表30-5-2-5-2'!$B$4:$AF$104,MATCH($D98&amp;"a",'表30-5-2-5-2'!$4:$4,0)-1,FALSE))
-VLOOKUP($T98,'表30-5-2-5-2'!$B$4:$AF$104,MATCH($D98,'表30-5-2-5-2'!$4:$4,0)-1,FALSE)*(T98/100-N98/H98)*100
-VLOOKUP($S98,'表30-5-2-5-2'!$B$4:$AF$104,MATCH($D98,'表30-5-2-5-2'!$4:$4,0)-1,FALSE)*(1-(S98/100-M98/H98)*100),
IF(C98="E2",VLOOKUP($T98,'表30-5-2-5-2'!$B$114:$AF$214,MATCH($D98&amp;"a",'表30-5-2-5-2'!$4:$4,0)-1,FALSE)
-IF($S98-1&lt;=0,0,VLOOKUP($S98-1,'表30-5-2-5-2'!$B$114:$AF$214,MATCH($D98&amp;"a",'表30-5-2-5-2'!$4:$4,0)-1,FALSE))
-VLOOKUP($T98,'表30-5-2-5-2'!$B$114:$AF$214,MATCH($D98,'表30-5-2-5-2'!$4:$4,0)-1,FALSE)*(T98/100-N98/H98)*100
-VLOOKUP($S98,'表30-5-2-5-2'!$B$114:$AF$214,MATCH($D98,'表30-5-2-5-2'!$4:$4,0)-1,FALSE)*(1-(S98/100-M98/H98)*100),0))))</f>
        <v>0</v>
      </c>
      <c r="V98" s="2478">
        <f t="shared" si="15"/>
        <v>0</v>
      </c>
      <c r="W98" s="2478">
        <f t="shared" si="16"/>
        <v>0</v>
      </c>
      <c r="X98" s="2718">
        <f t="shared" si="18"/>
        <v>0</v>
      </c>
      <c r="Y98" s="2718">
        <f t="shared" si="19"/>
        <v>0</v>
      </c>
    </row>
    <row r="99" spans="1:25">
      <c r="A99" s="2473" t="str">
        <f t="shared" si="17"/>
        <v/>
      </c>
      <c r="B99" s="2737"/>
      <c r="C99" s="2737"/>
      <c r="D99" s="2737"/>
      <c r="E99" s="2738"/>
      <c r="F99" s="2738"/>
      <c r="G99" s="2738"/>
      <c r="H99" s="2739"/>
      <c r="I99" s="2741"/>
      <c r="J99" s="2741"/>
      <c r="K99" s="2742"/>
      <c r="L99" s="2742"/>
      <c r="M99" s="2738"/>
      <c r="N99" s="2738"/>
      <c r="O99" s="2474">
        <f t="shared" si="11"/>
        <v>0</v>
      </c>
      <c r="P99" s="2474">
        <f t="shared" si="12"/>
        <v>0</v>
      </c>
      <c r="Q99" s="2475">
        <f t="shared" si="20"/>
        <v>0</v>
      </c>
      <c r="R99" s="2475">
        <f t="shared" si="21"/>
        <v>0</v>
      </c>
      <c r="S99" s="2476">
        <f t="shared" si="13"/>
        <v>0</v>
      </c>
      <c r="T99" s="2476">
        <f t="shared" si="14"/>
        <v>0</v>
      </c>
      <c r="U99" s="2477">
        <f>IF(OR(E99="QS",B99=""),0,
IF(C99="F",VLOOKUP($T99,'表30-5-2-5-1'!$B:$AF,MATCH($D99&amp;"a",'表30-5-2-5-1'!$4:$4,0)-1,FALSE)
-IF($S99-1&lt;=0,0,VLOOKUP($S99-1,'表30-5-2-5-1'!$B:$AF,MATCH($D99&amp;"a",'表30-5-2-5-1'!$4:$4,0)-1,FALSE))
-VLOOKUP($T99,'表30-5-2-5-1'!$B:$AF,MATCH($D99,'表30-5-2-5-1'!$4:$4,0)-1,FALSE)*(T99/100-N99/H99)*100
-VLOOKUP($S99,'表30-5-2-5-1'!$B:$AF,MATCH($D99,'表30-5-2-5-1'!$4:$4,0)-1,FALSE)*(1-(S99/100-M99/H99)*100),
IF(C99="E1",VLOOKUP($T99,'表30-5-2-5-2'!$B$4:$AF$104,MATCH($D99&amp;"a",'表30-5-2-5-2'!$4:$4,0)-1,FALSE)
-IF($S99-1&lt;=0,0,VLOOKUP($S99-1,'表30-5-2-5-2'!$B$4:$AF$104,MATCH($D99&amp;"a",'表30-5-2-5-2'!$4:$4,0)-1,FALSE))
-VLOOKUP($T99,'表30-5-2-5-2'!$B$4:$AF$104,MATCH($D99,'表30-5-2-5-2'!$4:$4,0)-1,FALSE)*(T99/100-N99/H99)*100
-VLOOKUP($S99,'表30-5-2-5-2'!$B$4:$AF$104,MATCH($D99,'表30-5-2-5-2'!$4:$4,0)-1,FALSE)*(1-(S99/100-M99/H99)*100),
IF(C99="E2",VLOOKUP($T99,'表30-5-2-5-2'!$B$114:$AF$214,MATCH($D99&amp;"a",'表30-5-2-5-2'!$4:$4,0)-1,FALSE)
-IF($S99-1&lt;=0,0,VLOOKUP($S99-1,'表30-5-2-5-2'!$B$114:$AF$214,MATCH($D99&amp;"a",'表30-5-2-5-2'!$4:$4,0)-1,FALSE))
-VLOOKUP($T99,'表30-5-2-5-2'!$B$114:$AF$214,MATCH($D99,'表30-5-2-5-2'!$4:$4,0)-1,FALSE)*(T99/100-N99/H99)*100
-VLOOKUP($S99,'表30-5-2-5-2'!$B$114:$AF$214,MATCH($D99,'表30-5-2-5-2'!$4:$4,0)-1,FALSE)*(1-(S99/100-M99/H99)*100),0))))</f>
        <v>0</v>
      </c>
      <c r="V99" s="2478">
        <f t="shared" si="15"/>
        <v>0</v>
      </c>
      <c r="W99" s="2478">
        <f t="shared" si="16"/>
        <v>0</v>
      </c>
      <c r="X99" s="2718">
        <f t="shared" si="18"/>
        <v>0</v>
      </c>
      <c r="Y99" s="2718">
        <f t="shared" si="19"/>
        <v>0</v>
      </c>
    </row>
    <row r="100" spans="1:25">
      <c r="A100" s="2473" t="str">
        <f t="shared" si="17"/>
        <v/>
      </c>
      <c r="B100" s="2737"/>
      <c r="C100" s="2737"/>
      <c r="D100" s="2737"/>
      <c r="E100" s="2738"/>
      <c r="F100" s="2738"/>
      <c r="G100" s="2738"/>
      <c r="H100" s="2739"/>
      <c r="I100" s="2741"/>
      <c r="J100" s="2741"/>
      <c r="K100" s="2742"/>
      <c r="L100" s="2742"/>
      <c r="M100" s="2738"/>
      <c r="N100" s="2738"/>
      <c r="O100" s="2474">
        <f t="shared" si="11"/>
        <v>0</v>
      </c>
      <c r="P100" s="2474">
        <f t="shared" si="12"/>
        <v>0</v>
      </c>
      <c r="Q100" s="2475">
        <f t="shared" si="20"/>
        <v>0</v>
      </c>
      <c r="R100" s="2475">
        <f t="shared" si="21"/>
        <v>0</v>
      </c>
      <c r="S100" s="2476">
        <f t="shared" si="13"/>
        <v>0</v>
      </c>
      <c r="T100" s="2476">
        <f t="shared" si="14"/>
        <v>0</v>
      </c>
      <c r="U100" s="2477">
        <f>IF(OR(E100="QS",B100=""),0,
IF(C100="F",VLOOKUP($T100,'表30-5-2-5-1'!$B:$AF,MATCH($D100&amp;"a",'表30-5-2-5-1'!$4:$4,0)-1,FALSE)
-IF($S100-1&lt;=0,0,VLOOKUP($S100-1,'表30-5-2-5-1'!$B:$AF,MATCH($D100&amp;"a",'表30-5-2-5-1'!$4:$4,0)-1,FALSE))
-VLOOKUP($T100,'表30-5-2-5-1'!$B:$AF,MATCH($D100,'表30-5-2-5-1'!$4:$4,0)-1,FALSE)*(T100/100-N100/H100)*100
-VLOOKUP($S100,'表30-5-2-5-1'!$B:$AF,MATCH($D100,'表30-5-2-5-1'!$4:$4,0)-1,FALSE)*(1-(S100/100-M100/H100)*100),
IF(C100="E1",VLOOKUP($T100,'表30-5-2-5-2'!$B$4:$AF$104,MATCH($D100&amp;"a",'表30-5-2-5-2'!$4:$4,0)-1,FALSE)
-IF($S100-1&lt;=0,0,VLOOKUP($S100-1,'表30-5-2-5-2'!$B$4:$AF$104,MATCH($D100&amp;"a",'表30-5-2-5-2'!$4:$4,0)-1,FALSE))
-VLOOKUP($T100,'表30-5-2-5-2'!$B$4:$AF$104,MATCH($D100,'表30-5-2-5-2'!$4:$4,0)-1,FALSE)*(T100/100-N100/H100)*100
-VLOOKUP($S100,'表30-5-2-5-2'!$B$4:$AF$104,MATCH($D100,'表30-5-2-5-2'!$4:$4,0)-1,FALSE)*(1-(S100/100-M100/H100)*100),
IF(C100="E2",VLOOKUP($T100,'表30-5-2-5-2'!$B$114:$AF$214,MATCH($D100&amp;"a",'表30-5-2-5-2'!$4:$4,0)-1,FALSE)
-IF($S100-1&lt;=0,0,VLOOKUP($S100-1,'表30-5-2-5-2'!$B$114:$AF$214,MATCH($D100&amp;"a",'表30-5-2-5-2'!$4:$4,0)-1,FALSE))
-VLOOKUP($T100,'表30-5-2-5-2'!$B$114:$AF$214,MATCH($D100,'表30-5-2-5-2'!$4:$4,0)-1,FALSE)*(T100/100-N100/H100)*100
-VLOOKUP($S100,'表30-5-2-5-2'!$B$114:$AF$214,MATCH($D100,'表30-5-2-5-2'!$4:$4,0)-1,FALSE)*(1-(S100/100-M100/H100)*100),0))))</f>
        <v>0</v>
      </c>
      <c r="V100" s="2478">
        <f t="shared" si="15"/>
        <v>0</v>
      </c>
      <c r="W100" s="2478">
        <f t="shared" si="16"/>
        <v>0</v>
      </c>
      <c r="X100" s="2718">
        <f t="shared" si="18"/>
        <v>0</v>
      </c>
      <c r="Y100" s="2718">
        <f t="shared" si="19"/>
        <v>0</v>
      </c>
    </row>
    <row r="101" spans="1:25">
      <c r="A101" s="2473" t="str">
        <f t="shared" si="17"/>
        <v/>
      </c>
      <c r="B101" s="2737"/>
      <c r="C101" s="2737"/>
      <c r="D101" s="2737"/>
      <c r="E101" s="2738"/>
      <c r="F101" s="2738"/>
      <c r="G101" s="2738"/>
      <c r="H101" s="2739"/>
      <c r="I101" s="2741"/>
      <c r="J101" s="2741"/>
      <c r="K101" s="2742"/>
      <c r="L101" s="2742"/>
      <c r="M101" s="2738"/>
      <c r="N101" s="2738"/>
      <c r="O101" s="2474">
        <f t="shared" si="11"/>
        <v>0</v>
      </c>
      <c r="P101" s="2474">
        <f t="shared" si="12"/>
        <v>0</v>
      </c>
      <c r="Q101" s="2475">
        <f t="shared" si="20"/>
        <v>0</v>
      </c>
      <c r="R101" s="2475">
        <f t="shared" si="21"/>
        <v>0</v>
      </c>
      <c r="S101" s="2476">
        <f t="shared" si="13"/>
        <v>0</v>
      </c>
      <c r="T101" s="2476">
        <f t="shared" si="14"/>
        <v>0</v>
      </c>
      <c r="U101" s="2477">
        <f>IF(OR(E101="QS",B101=""),0,
IF(C101="F",VLOOKUP($T101,'表30-5-2-5-1'!$B:$AF,MATCH($D101&amp;"a",'表30-5-2-5-1'!$4:$4,0)-1,FALSE)
-IF($S101-1&lt;=0,0,VLOOKUP($S101-1,'表30-5-2-5-1'!$B:$AF,MATCH($D101&amp;"a",'表30-5-2-5-1'!$4:$4,0)-1,FALSE))
-VLOOKUP($T101,'表30-5-2-5-1'!$B:$AF,MATCH($D101,'表30-5-2-5-1'!$4:$4,0)-1,FALSE)*(T101/100-N101/H101)*100
-VLOOKUP($S101,'表30-5-2-5-1'!$B:$AF,MATCH($D101,'表30-5-2-5-1'!$4:$4,0)-1,FALSE)*(1-(S101/100-M101/H101)*100),
IF(C101="E1",VLOOKUP($T101,'表30-5-2-5-2'!$B$4:$AF$104,MATCH($D101&amp;"a",'表30-5-2-5-2'!$4:$4,0)-1,FALSE)
-IF($S101-1&lt;=0,0,VLOOKUP($S101-1,'表30-5-2-5-2'!$B$4:$AF$104,MATCH($D101&amp;"a",'表30-5-2-5-2'!$4:$4,0)-1,FALSE))
-VLOOKUP($T101,'表30-5-2-5-2'!$B$4:$AF$104,MATCH($D101,'表30-5-2-5-2'!$4:$4,0)-1,FALSE)*(T101/100-N101/H101)*100
-VLOOKUP($S101,'表30-5-2-5-2'!$B$4:$AF$104,MATCH($D101,'表30-5-2-5-2'!$4:$4,0)-1,FALSE)*(1-(S101/100-M101/H101)*100),
IF(C101="E2",VLOOKUP($T101,'表30-5-2-5-2'!$B$114:$AF$214,MATCH($D101&amp;"a",'表30-5-2-5-2'!$4:$4,0)-1,FALSE)
-IF($S101-1&lt;=0,0,VLOOKUP($S101-1,'表30-5-2-5-2'!$B$114:$AF$214,MATCH($D101&amp;"a",'表30-5-2-5-2'!$4:$4,0)-1,FALSE))
-VLOOKUP($T101,'表30-5-2-5-2'!$B$114:$AF$214,MATCH($D101,'表30-5-2-5-2'!$4:$4,0)-1,FALSE)*(T101/100-N101/H101)*100
-VLOOKUP($S101,'表30-5-2-5-2'!$B$114:$AF$214,MATCH($D101,'表30-5-2-5-2'!$4:$4,0)-1,FALSE)*(1-(S101/100-M101/H101)*100),0))))</f>
        <v>0</v>
      </c>
      <c r="V101" s="2478">
        <f t="shared" si="15"/>
        <v>0</v>
      </c>
      <c r="W101" s="2478">
        <f t="shared" si="16"/>
        <v>0</v>
      </c>
      <c r="X101" s="2718">
        <f t="shared" si="18"/>
        <v>0</v>
      </c>
      <c r="Y101" s="2718">
        <f t="shared" si="19"/>
        <v>0</v>
      </c>
    </row>
    <row r="102" spans="1:25">
      <c r="A102" s="2473" t="str">
        <f t="shared" si="17"/>
        <v/>
      </c>
      <c r="B102" s="2737"/>
      <c r="C102" s="2737"/>
      <c r="D102" s="2737"/>
      <c r="E102" s="2738"/>
      <c r="F102" s="2738"/>
      <c r="G102" s="2738"/>
      <c r="H102" s="2739"/>
      <c r="I102" s="2741"/>
      <c r="J102" s="2741"/>
      <c r="K102" s="2742"/>
      <c r="L102" s="2742"/>
      <c r="M102" s="2738"/>
      <c r="N102" s="2738"/>
      <c r="O102" s="2474">
        <f t="shared" si="11"/>
        <v>0</v>
      </c>
      <c r="P102" s="2474">
        <f t="shared" si="12"/>
        <v>0</v>
      </c>
      <c r="Q102" s="2475">
        <f t="shared" si="20"/>
        <v>0</v>
      </c>
      <c r="R102" s="2475">
        <f t="shared" si="21"/>
        <v>0</v>
      </c>
      <c r="S102" s="2476">
        <f t="shared" si="13"/>
        <v>0</v>
      </c>
      <c r="T102" s="2476">
        <f t="shared" si="14"/>
        <v>0</v>
      </c>
      <c r="U102" s="2477">
        <f>IF(OR(E102="QS",B102=""),0,
IF(C102="F",VLOOKUP($T102,'表30-5-2-5-1'!$B:$AF,MATCH($D102&amp;"a",'表30-5-2-5-1'!$4:$4,0)-1,FALSE)
-IF($S102-1&lt;=0,0,VLOOKUP($S102-1,'表30-5-2-5-1'!$B:$AF,MATCH($D102&amp;"a",'表30-5-2-5-1'!$4:$4,0)-1,FALSE))
-VLOOKUP($T102,'表30-5-2-5-1'!$B:$AF,MATCH($D102,'表30-5-2-5-1'!$4:$4,0)-1,FALSE)*(T102/100-N102/H102)*100
-VLOOKUP($S102,'表30-5-2-5-1'!$B:$AF,MATCH($D102,'表30-5-2-5-1'!$4:$4,0)-1,FALSE)*(1-(S102/100-M102/H102)*100),
IF(C102="E1",VLOOKUP($T102,'表30-5-2-5-2'!$B$4:$AF$104,MATCH($D102&amp;"a",'表30-5-2-5-2'!$4:$4,0)-1,FALSE)
-IF($S102-1&lt;=0,0,VLOOKUP($S102-1,'表30-5-2-5-2'!$B$4:$AF$104,MATCH($D102&amp;"a",'表30-5-2-5-2'!$4:$4,0)-1,FALSE))
-VLOOKUP($T102,'表30-5-2-5-2'!$B$4:$AF$104,MATCH($D102,'表30-5-2-5-2'!$4:$4,0)-1,FALSE)*(T102/100-N102/H102)*100
-VLOOKUP($S102,'表30-5-2-5-2'!$B$4:$AF$104,MATCH($D102,'表30-5-2-5-2'!$4:$4,0)-1,FALSE)*(1-(S102/100-M102/H102)*100),
IF(C102="E2",VLOOKUP($T102,'表30-5-2-5-2'!$B$114:$AF$214,MATCH($D102&amp;"a",'表30-5-2-5-2'!$4:$4,0)-1,FALSE)
-IF($S102-1&lt;=0,0,VLOOKUP($S102-1,'表30-5-2-5-2'!$B$114:$AF$214,MATCH($D102&amp;"a",'表30-5-2-5-2'!$4:$4,0)-1,FALSE))
-VLOOKUP($T102,'表30-5-2-5-2'!$B$114:$AF$214,MATCH($D102,'表30-5-2-5-2'!$4:$4,0)-1,FALSE)*(T102/100-N102/H102)*100
-VLOOKUP($S102,'表30-5-2-5-2'!$B$114:$AF$214,MATCH($D102,'表30-5-2-5-2'!$4:$4,0)-1,FALSE)*(1-(S102/100-M102/H102)*100),0))))</f>
        <v>0</v>
      </c>
      <c r="V102" s="2478">
        <f t="shared" si="15"/>
        <v>0</v>
      </c>
      <c r="W102" s="2478">
        <f t="shared" si="16"/>
        <v>0</v>
      </c>
      <c r="X102" s="2718">
        <f t="shared" si="18"/>
        <v>0</v>
      </c>
      <c r="Y102" s="2718">
        <f t="shared" si="19"/>
        <v>0</v>
      </c>
    </row>
    <row r="103" spans="1:25">
      <c r="A103" s="2473" t="str">
        <f t="shared" si="17"/>
        <v/>
      </c>
      <c r="B103" s="2737"/>
      <c r="C103" s="2737"/>
      <c r="D103" s="2737"/>
      <c r="E103" s="2738"/>
      <c r="F103" s="2738"/>
      <c r="G103" s="2738"/>
      <c r="H103" s="2739"/>
      <c r="I103" s="2741"/>
      <c r="J103" s="2741"/>
      <c r="K103" s="2742"/>
      <c r="L103" s="2742"/>
      <c r="M103" s="2738"/>
      <c r="N103" s="2738"/>
      <c r="O103" s="2474">
        <f t="shared" si="11"/>
        <v>0</v>
      </c>
      <c r="P103" s="2474">
        <f t="shared" si="12"/>
        <v>0</v>
      </c>
      <c r="Q103" s="2475">
        <f t="shared" si="20"/>
        <v>0</v>
      </c>
      <c r="R103" s="2475">
        <f t="shared" si="21"/>
        <v>0</v>
      </c>
      <c r="S103" s="2476">
        <f t="shared" si="13"/>
        <v>0</v>
      </c>
      <c r="T103" s="2476">
        <f t="shared" si="14"/>
        <v>0</v>
      </c>
      <c r="U103" s="2477">
        <f>IF(OR(E103="QS",B103=""),0,
IF(C103="F",VLOOKUP($T103,'表30-5-2-5-1'!$B:$AF,MATCH($D103&amp;"a",'表30-5-2-5-1'!$4:$4,0)-1,FALSE)
-IF($S103-1&lt;=0,0,VLOOKUP($S103-1,'表30-5-2-5-1'!$B:$AF,MATCH($D103&amp;"a",'表30-5-2-5-1'!$4:$4,0)-1,FALSE))
-VLOOKUP($T103,'表30-5-2-5-1'!$B:$AF,MATCH($D103,'表30-5-2-5-1'!$4:$4,0)-1,FALSE)*(T103/100-N103/H103)*100
-VLOOKUP($S103,'表30-5-2-5-1'!$B:$AF,MATCH($D103,'表30-5-2-5-1'!$4:$4,0)-1,FALSE)*(1-(S103/100-M103/H103)*100),
IF(C103="E1",VLOOKUP($T103,'表30-5-2-5-2'!$B$4:$AF$104,MATCH($D103&amp;"a",'表30-5-2-5-2'!$4:$4,0)-1,FALSE)
-IF($S103-1&lt;=0,0,VLOOKUP($S103-1,'表30-5-2-5-2'!$B$4:$AF$104,MATCH($D103&amp;"a",'表30-5-2-5-2'!$4:$4,0)-1,FALSE))
-VLOOKUP($T103,'表30-5-2-5-2'!$B$4:$AF$104,MATCH($D103,'表30-5-2-5-2'!$4:$4,0)-1,FALSE)*(T103/100-N103/H103)*100
-VLOOKUP($S103,'表30-5-2-5-2'!$B$4:$AF$104,MATCH($D103,'表30-5-2-5-2'!$4:$4,0)-1,FALSE)*(1-(S103/100-M103/H103)*100),
IF(C103="E2",VLOOKUP($T103,'表30-5-2-5-2'!$B$114:$AF$214,MATCH($D103&amp;"a",'表30-5-2-5-2'!$4:$4,0)-1,FALSE)
-IF($S103-1&lt;=0,0,VLOOKUP($S103-1,'表30-5-2-5-2'!$B$114:$AF$214,MATCH($D103&amp;"a",'表30-5-2-5-2'!$4:$4,0)-1,FALSE))
-VLOOKUP($T103,'表30-5-2-5-2'!$B$114:$AF$214,MATCH($D103,'表30-5-2-5-2'!$4:$4,0)-1,FALSE)*(T103/100-N103/H103)*100
-VLOOKUP($S103,'表30-5-2-5-2'!$B$114:$AF$214,MATCH($D103,'表30-5-2-5-2'!$4:$4,0)-1,FALSE)*(1-(S103/100-M103/H103)*100),0))))</f>
        <v>0</v>
      </c>
      <c r="V103" s="2478">
        <f t="shared" si="15"/>
        <v>0</v>
      </c>
      <c r="W103" s="2478">
        <f t="shared" si="16"/>
        <v>0</v>
      </c>
      <c r="X103" s="2718">
        <f t="shared" si="18"/>
        <v>0</v>
      </c>
      <c r="Y103" s="2718">
        <f t="shared" si="19"/>
        <v>0</v>
      </c>
    </row>
    <row r="104" spans="1:25">
      <c r="A104" s="2473" t="str">
        <f t="shared" si="17"/>
        <v/>
      </c>
      <c r="B104" s="2737"/>
      <c r="C104" s="2737"/>
      <c r="D104" s="2737"/>
      <c r="E104" s="2738"/>
      <c r="F104" s="2738"/>
      <c r="G104" s="2738"/>
      <c r="H104" s="2739"/>
      <c r="I104" s="2741"/>
      <c r="J104" s="2741"/>
      <c r="K104" s="2742"/>
      <c r="L104" s="2742"/>
      <c r="M104" s="2738"/>
      <c r="N104" s="2738"/>
      <c r="O104" s="2474">
        <f t="shared" si="11"/>
        <v>0</v>
      </c>
      <c r="P104" s="2474">
        <f t="shared" si="12"/>
        <v>0</v>
      </c>
      <c r="Q104" s="2475">
        <f t="shared" si="20"/>
        <v>0</v>
      </c>
      <c r="R104" s="2475">
        <f t="shared" si="21"/>
        <v>0</v>
      </c>
      <c r="S104" s="2476">
        <f t="shared" si="13"/>
        <v>0</v>
      </c>
      <c r="T104" s="2476">
        <f t="shared" si="14"/>
        <v>0</v>
      </c>
      <c r="U104" s="2477">
        <f>IF(OR(E104="QS",B104=""),0,
IF(C104="F",VLOOKUP($T104,'表30-5-2-5-1'!$B:$AF,MATCH($D104&amp;"a",'表30-5-2-5-1'!$4:$4,0)-1,FALSE)
-IF($S104-1&lt;=0,0,VLOOKUP($S104-1,'表30-5-2-5-1'!$B:$AF,MATCH($D104&amp;"a",'表30-5-2-5-1'!$4:$4,0)-1,FALSE))
-VLOOKUP($T104,'表30-5-2-5-1'!$B:$AF,MATCH($D104,'表30-5-2-5-1'!$4:$4,0)-1,FALSE)*(T104/100-N104/H104)*100
-VLOOKUP($S104,'表30-5-2-5-1'!$B:$AF,MATCH($D104,'表30-5-2-5-1'!$4:$4,0)-1,FALSE)*(1-(S104/100-M104/H104)*100),
IF(C104="E1",VLOOKUP($T104,'表30-5-2-5-2'!$B$4:$AF$104,MATCH($D104&amp;"a",'表30-5-2-5-2'!$4:$4,0)-1,FALSE)
-IF($S104-1&lt;=0,0,VLOOKUP($S104-1,'表30-5-2-5-2'!$B$4:$AF$104,MATCH($D104&amp;"a",'表30-5-2-5-2'!$4:$4,0)-1,FALSE))
-VLOOKUP($T104,'表30-5-2-5-2'!$B$4:$AF$104,MATCH($D104,'表30-5-2-5-2'!$4:$4,0)-1,FALSE)*(T104/100-N104/H104)*100
-VLOOKUP($S104,'表30-5-2-5-2'!$B$4:$AF$104,MATCH($D104,'表30-5-2-5-2'!$4:$4,0)-1,FALSE)*(1-(S104/100-M104/H104)*100),
IF(C104="E2",VLOOKUP($T104,'表30-5-2-5-2'!$B$114:$AF$214,MATCH($D104&amp;"a",'表30-5-2-5-2'!$4:$4,0)-1,FALSE)
-IF($S104-1&lt;=0,0,VLOOKUP($S104-1,'表30-5-2-5-2'!$B$114:$AF$214,MATCH($D104&amp;"a",'表30-5-2-5-2'!$4:$4,0)-1,FALSE))
-VLOOKUP($T104,'表30-5-2-5-2'!$B$114:$AF$214,MATCH($D104,'表30-5-2-5-2'!$4:$4,0)-1,FALSE)*(T104/100-N104/H104)*100
-VLOOKUP($S104,'表30-5-2-5-2'!$B$114:$AF$214,MATCH($D104,'表30-5-2-5-2'!$4:$4,0)-1,FALSE)*(1-(S104/100-M104/H104)*100),0))))</f>
        <v>0</v>
      </c>
      <c r="V104" s="2478">
        <f t="shared" si="15"/>
        <v>0</v>
      </c>
      <c r="W104" s="2478">
        <f t="shared" si="16"/>
        <v>0</v>
      </c>
      <c r="X104" s="2718">
        <f t="shared" si="18"/>
        <v>0</v>
      </c>
      <c r="Y104" s="2718">
        <f t="shared" si="19"/>
        <v>0</v>
      </c>
    </row>
    <row r="105" spans="1:25">
      <c r="A105" s="2473" t="str">
        <f t="shared" si="17"/>
        <v/>
      </c>
      <c r="B105" s="2737"/>
      <c r="C105" s="2737"/>
      <c r="D105" s="2737"/>
      <c r="E105" s="2738"/>
      <c r="F105" s="2738"/>
      <c r="G105" s="2738"/>
      <c r="H105" s="2739"/>
      <c r="I105" s="2741"/>
      <c r="J105" s="2741"/>
      <c r="K105" s="2742"/>
      <c r="L105" s="2742"/>
      <c r="M105" s="2738"/>
      <c r="N105" s="2738"/>
      <c r="O105" s="2474">
        <f t="shared" si="11"/>
        <v>0</v>
      </c>
      <c r="P105" s="2474">
        <f t="shared" si="12"/>
        <v>0</v>
      </c>
      <c r="Q105" s="2475">
        <f t="shared" si="20"/>
        <v>0</v>
      </c>
      <c r="R105" s="2475">
        <f t="shared" si="21"/>
        <v>0</v>
      </c>
      <c r="S105" s="2476">
        <f t="shared" si="13"/>
        <v>0</v>
      </c>
      <c r="T105" s="2476">
        <f t="shared" si="14"/>
        <v>0</v>
      </c>
      <c r="U105" s="2477">
        <f>IF(OR(E105="QS",B105=""),0,
IF(C105="F",VLOOKUP($T105,'表30-5-2-5-1'!$B:$AF,MATCH($D105&amp;"a",'表30-5-2-5-1'!$4:$4,0)-1,FALSE)
-IF($S105-1&lt;=0,0,VLOOKUP($S105-1,'表30-5-2-5-1'!$B:$AF,MATCH($D105&amp;"a",'表30-5-2-5-1'!$4:$4,0)-1,FALSE))
-VLOOKUP($T105,'表30-5-2-5-1'!$B:$AF,MATCH($D105,'表30-5-2-5-1'!$4:$4,0)-1,FALSE)*(T105/100-N105/H105)*100
-VLOOKUP($S105,'表30-5-2-5-1'!$B:$AF,MATCH($D105,'表30-5-2-5-1'!$4:$4,0)-1,FALSE)*(1-(S105/100-M105/H105)*100),
IF(C105="E1",VLOOKUP($T105,'表30-5-2-5-2'!$B$4:$AF$104,MATCH($D105&amp;"a",'表30-5-2-5-2'!$4:$4,0)-1,FALSE)
-IF($S105-1&lt;=0,0,VLOOKUP($S105-1,'表30-5-2-5-2'!$B$4:$AF$104,MATCH($D105&amp;"a",'表30-5-2-5-2'!$4:$4,0)-1,FALSE))
-VLOOKUP($T105,'表30-5-2-5-2'!$B$4:$AF$104,MATCH($D105,'表30-5-2-5-2'!$4:$4,0)-1,FALSE)*(T105/100-N105/H105)*100
-VLOOKUP($S105,'表30-5-2-5-2'!$B$4:$AF$104,MATCH($D105,'表30-5-2-5-2'!$4:$4,0)-1,FALSE)*(1-(S105/100-M105/H105)*100),
IF(C105="E2",VLOOKUP($T105,'表30-5-2-5-2'!$B$114:$AF$214,MATCH($D105&amp;"a",'表30-5-2-5-2'!$4:$4,0)-1,FALSE)
-IF($S105-1&lt;=0,0,VLOOKUP($S105-1,'表30-5-2-5-2'!$B$114:$AF$214,MATCH($D105&amp;"a",'表30-5-2-5-2'!$4:$4,0)-1,FALSE))
-VLOOKUP($T105,'表30-5-2-5-2'!$B$114:$AF$214,MATCH($D105,'表30-5-2-5-2'!$4:$4,0)-1,FALSE)*(T105/100-N105/H105)*100
-VLOOKUP($S105,'表30-5-2-5-2'!$B$114:$AF$214,MATCH($D105,'表30-5-2-5-2'!$4:$4,0)-1,FALSE)*(1-(S105/100-M105/H105)*100),0))))</f>
        <v>0</v>
      </c>
      <c r="V105" s="2478">
        <f t="shared" si="15"/>
        <v>0</v>
      </c>
      <c r="W105" s="2478">
        <f t="shared" si="16"/>
        <v>0</v>
      </c>
      <c r="X105" s="2718">
        <f t="shared" si="18"/>
        <v>0</v>
      </c>
      <c r="Y105" s="2718">
        <f t="shared" si="19"/>
        <v>0</v>
      </c>
    </row>
    <row r="106" spans="1:25">
      <c r="A106" s="2473" t="str">
        <f t="shared" si="17"/>
        <v/>
      </c>
      <c r="B106" s="2737"/>
      <c r="C106" s="2737"/>
      <c r="D106" s="2737"/>
      <c r="E106" s="2738"/>
      <c r="F106" s="2738"/>
      <c r="G106" s="2738"/>
      <c r="H106" s="2739"/>
      <c r="I106" s="2741"/>
      <c r="J106" s="2741"/>
      <c r="K106" s="2742"/>
      <c r="L106" s="2742"/>
      <c r="M106" s="2738"/>
      <c r="N106" s="2738"/>
      <c r="O106" s="2474">
        <f t="shared" si="11"/>
        <v>0</v>
      </c>
      <c r="P106" s="2474">
        <f t="shared" si="12"/>
        <v>0</v>
      </c>
      <c r="Q106" s="2475">
        <f t="shared" si="20"/>
        <v>0</v>
      </c>
      <c r="R106" s="2475">
        <f t="shared" si="21"/>
        <v>0</v>
      </c>
      <c r="S106" s="2476">
        <f t="shared" si="13"/>
        <v>0</v>
      </c>
      <c r="T106" s="2476">
        <f t="shared" si="14"/>
        <v>0</v>
      </c>
      <c r="U106" s="2477">
        <f>IF(OR(E106="QS",B106=""),0,
IF(C106="F",VLOOKUP($T106,'表30-5-2-5-1'!$B:$AF,MATCH($D106&amp;"a",'表30-5-2-5-1'!$4:$4,0)-1,FALSE)
-IF($S106-1&lt;=0,0,VLOOKUP($S106-1,'表30-5-2-5-1'!$B:$AF,MATCH($D106&amp;"a",'表30-5-2-5-1'!$4:$4,0)-1,FALSE))
-VLOOKUP($T106,'表30-5-2-5-1'!$B:$AF,MATCH($D106,'表30-5-2-5-1'!$4:$4,0)-1,FALSE)*(T106/100-N106/H106)*100
-VLOOKUP($S106,'表30-5-2-5-1'!$B:$AF,MATCH($D106,'表30-5-2-5-1'!$4:$4,0)-1,FALSE)*(1-(S106/100-M106/H106)*100),
IF(C106="E1",VLOOKUP($T106,'表30-5-2-5-2'!$B$4:$AF$104,MATCH($D106&amp;"a",'表30-5-2-5-2'!$4:$4,0)-1,FALSE)
-IF($S106-1&lt;=0,0,VLOOKUP($S106-1,'表30-5-2-5-2'!$B$4:$AF$104,MATCH($D106&amp;"a",'表30-5-2-5-2'!$4:$4,0)-1,FALSE))
-VLOOKUP($T106,'表30-5-2-5-2'!$B$4:$AF$104,MATCH($D106,'表30-5-2-5-2'!$4:$4,0)-1,FALSE)*(T106/100-N106/H106)*100
-VLOOKUP($S106,'表30-5-2-5-2'!$B$4:$AF$104,MATCH($D106,'表30-5-2-5-2'!$4:$4,0)-1,FALSE)*(1-(S106/100-M106/H106)*100),
IF(C106="E2",VLOOKUP($T106,'表30-5-2-5-2'!$B$114:$AF$214,MATCH($D106&amp;"a",'表30-5-2-5-2'!$4:$4,0)-1,FALSE)
-IF($S106-1&lt;=0,0,VLOOKUP($S106-1,'表30-5-2-5-2'!$B$114:$AF$214,MATCH($D106&amp;"a",'表30-5-2-5-2'!$4:$4,0)-1,FALSE))
-VLOOKUP($T106,'表30-5-2-5-2'!$B$114:$AF$214,MATCH($D106,'表30-5-2-5-2'!$4:$4,0)-1,FALSE)*(T106/100-N106/H106)*100
-VLOOKUP($S106,'表30-5-2-5-2'!$B$114:$AF$214,MATCH($D106,'表30-5-2-5-2'!$4:$4,0)-1,FALSE)*(1-(S106/100-M106/H106)*100),0))))</f>
        <v>0</v>
      </c>
      <c r="V106" s="2478">
        <f t="shared" si="15"/>
        <v>0</v>
      </c>
      <c r="W106" s="2478">
        <f t="shared" si="16"/>
        <v>0</v>
      </c>
      <c r="X106" s="2718">
        <f t="shared" si="18"/>
        <v>0</v>
      </c>
      <c r="Y106" s="2718">
        <f t="shared" si="19"/>
        <v>0</v>
      </c>
    </row>
    <row r="107" spans="1:25">
      <c r="A107" s="2473" t="str">
        <f t="shared" si="17"/>
        <v/>
      </c>
      <c r="B107" s="2737"/>
      <c r="C107" s="2737"/>
      <c r="D107" s="2737"/>
      <c r="E107" s="2738"/>
      <c r="F107" s="2738"/>
      <c r="G107" s="2738"/>
      <c r="H107" s="2739"/>
      <c r="I107" s="2741"/>
      <c r="J107" s="2741"/>
      <c r="K107" s="2742"/>
      <c r="L107" s="2742"/>
      <c r="M107" s="2738"/>
      <c r="N107" s="2738"/>
      <c r="O107" s="2474">
        <f t="shared" si="11"/>
        <v>0</v>
      </c>
      <c r="P107" s="2474">
        <f t="shared" si="12"/>
        <v>0</v>
      </c>
      <c r="Q107" s="2475">
        <f t="shared" si="20"/>
        <v>0</v>
      </c>
      <c r="R107" s="2475">
        <f t="shared" si="21"/>
        <v>0</v>
      </c>
      <c r="S107" s="2476">
        <f t="shared" si="13"/>
        <v>0</v>
      </c>
      <c r="T107" s="2476">
        <f t="shared" si="14"/>
        <v>0</v>
      </c>
      <c r="U107" s="2477">
        <f>IF(OR(E107="QS",B107=""),0,
IF(C107="F",VLOOKUP($T107,'表30-5-2-5-1'!$B:$AF,MATCH($D107&amp;"a",'表30-5-2-5-1'!$4:$4,0)-1,FALSE)
-IF($S107-1&lt;=0,0,VLOOKUP($S107-1,'表30-5-2-5-1'!$B:$AF,MATCH($D107&amp;"a",'表30-5-2-5-1'!$4:$4,0)-1,FALSE))
-VLOOKUP($T107,'表30-5-2-5-1'!$B:$AF,MATCH($D107,'表30-5-2-5-1'!$4:$4,0)-1,FALSE)*(T107/100-N107/H107)*100
-VLOOKUP($S107,'表30-5-2-5-1'!$B:$AF,MATCH($D107,'表30-5-2-5-1'!$4:$4,0)-1,FALSE)*(1-(S107/100-M107/H107)*100),
IF(C107="E1",VLOOKUP($T107,'表30-5-2-5-2'!$B$4:$AF$104,MATCH($D107&amp;"a",'表30-5-2-5-2'!$4:$4,0)-1,FALSE)
-IF($S107-1&lt;=0,0,VLOOKUP($S107-1,'表30-5-2-5-2'!$B$4:$AF$104,MATCH($D107&amp;"a",'表30-5-2-5-2'!$4:$4,0)-1,FALSE))
-VLOOKUP($T107,'表30-5-2-5-2'!$B$4:$AF$104,MATCH($D107,'表30-5-2-5-2'!$4:$4,0)-1,FALSE)*(T107/100-N107/H107)*100
-VLOOKUP($S107,'表30-5-2-5-2'!$B$4:$AF$104,MATCH($D107,'表30-5-2-5-2'!$4:$4,0)-1,FALSE)*(1-(S107/100-M107/H107)*100),
IF(C107="E2",VLOOKUP($T107,'表30-5-2-5-2'!$B$114:$AF$214,MATCH($D107&amp;"a",'表30-5-2-5-2'!$4:$4,0)-1,FALSE)
-IF($S107-1&lt;=0,0,VLOOKUP($S107-1,'表30-5-2-5-2'!$B$114:$AF$214,MATCH($D107&amp;"a",'表30-5-2-5-2'!$4:$4,0)-1,FALSE))
-VLOOKUP($T107,'表30-5-2-5-2'!$B$114:$AF$214,MATCH($D107,'表30-5-2-5-2'!$4:$4,0)-1,FALSE)*(T107/100-N107/H107)*100
-VLOOKUP($S107,'表30-5-2-5-2'!$B$114:$AF$214,MATCH($D107,'表30-5-2-5-2'!$4:$4,0)-1,FALSE)*(1-(S107/100-M107/H107)*100),0))))</f>
        <v>0</v>
      </c>
      <c r="V107" s="2478">
        <f t="shared" si="15"/>
        <v>0</v>
      </c>
      <c r="W107" s="2478">
        <f t="shared" si="16"/>
        <v>0</v>
      </c>
      <c r="X107" s="2718">
        <f t="shared" si="18"/>
        <v>0</v>
      </c>
      <c r="Y107" s="2718">
        <f t="shared" si="19"/>
        <v>0</v>
      </c>
    </row>
    <row r="108" spans="1:25">
      <c r="A108" s="2473" t="str">
        <f t="shared" si="17"/>
        <v/>
      </c>
      <c r="B108" s="2737"/>
      <c r="C108" s="2737"/>
      <c r="D108" s="2737"/>
      <c r="E108" s="2738"/>
      <c r="F108" s="2738"/>
      <c r="G108" s="2738"/>
      <c r="H108" s="2739"/>
      <c r="I108" s="2741"/>
      <c r="J108" s="2741"/>
      <c r="K108" s="2742"/>
      <c r="L108" s="2742"/>
      <c r="M108" s="2738"/>
      <c r="N108" s="2738"/>
      <c r="O108" s="2474">
        <f t="shared" si="11"/>
        <v>0</v>
      </c>
      <c r="P108" s="2474">
        <f t="shared" si="12"/>
        <v>0</v>
      </c>
      <c r="Q108" s="2475">
        <f t="shared" si="20"/>
        <v>0</v>
      </c>
      <c r="R108" s="2475">
        <f t="shared" si="21"/>
        <v>0</v>
      </c>
      <c r="S108" s="2476">
        <f t="shared" si="13"/>
        <v>0</v>
      </c>
      <c r="T108" s="2476">
        <f t="shared" si="14"/>
        <v>0</v>
      </c>
      <c r="U108" s="2477">
        <f>IF(OR(E108="QS",B108=""),0,
IF(C108="F",VLOOKUP($T108,'表30-5-2-5-1'!$B:$AF,MATCH($D108&amp;"a",'表30-5-2-5-1'!$4:$4,0)-1,FALSE)
-IF($S108-1&lt;=0,0,VLOOKUP($S108-1,'表30-5-2-5-1'!$B:$AF,MATCH($D108&amp;"a",'表30-5-2-5-1'!$4:$4,0)-1,FALSE))
-VLOOKUP($T108,'表30-5-2-5-1'!$B:$AF,MATCH($D108,'表30-5-2-5-1'!$4:$4,0)-1,FALSE)*(T108/100-N108/H108)*100
-VLOOKUP($S108,'表30-5-2-5-1'!$B:$AF,MATCH($D108,'表30-5-2-5-1'!$4:$4,0)-1,FALSE)*(1-(S108/100-M108/H108)*100),
IF(C108="E1",VLOOKUP($T108,'表30-5-2-5-2'!$B$4:$AF$104,MATCH($D108&amp;"a",'表30-5-2-5-2'!$4:$4,0)-1,FALSE)
-IF($S108-1&lt;=0,0,VLOOKUP($S108-1,'表30-5-2-5-2'!$B$4:$AF$104,MATCH($D108&amp;"a",'表30-5-2-5-2'!$4:$4,0)-1,FALSE))
-VLOOKUP($T108,'表30-5-2-5-2'!$B$4:$AF$104,MATCH($D108,'表30-5-2-5-2'!$4:$4,0)-1,FALSE)*(T108/100-N108/H108)*100
-VLOOKUP($S108,'表30-5-2-5-2'!$B$4:$AF$104,MATCH($D108,'表30-5-2-5-2'!$4:$4,0)-1,FALSE)*(1-(S108/100-M108/H108)*100),
IF(C108="E2",VLOOKUP($T108,'表30-5-2-5-2'!$B$114:$AF$214,MATCH($D108&amp;"a",'表30-5-2-5-2'!$4:$4,0)-1,FALSE)
-IF($S108-1&lt;=0,0,VLOOKUP($S108-1,'表30-5-2-5-2'!$B$114:$AF$214,MATCH($D108&amp;"a",'表30-5-2-5-2'!$4:$4,0)-1,FALSE))
-VLOOKUP($T108,'表30-5-2-5-2'!$B$114:$AF$214,MATCH($D108,'表30-5-2-5-2'!$4:$4,0)-1,FALSE)*(T108/100-N108/H108)*100
-VLOOKUP($S108,'表30-5-2-5-2'!$B$114:$AF$214,MATCH($D108,'表30-5-2-5-2'!$4:$4,0)-1,FALSE)*(1-(S108/100-M108/H108)*100),0))))</f>
        <v>0</v>
      </c>
      <c r="V108" s="2478">
        <f t="shared" si="15"/>
        <v>0</v>
      </c>
      <c r="W108" s="2478">
        <f t="shared" si="16"/>
        <v>0</v>
      </c>
      <c r="X108" s="2718">
        <f t="shared" si="18"/>
        <v>0</v>
      </c>
      <c r="Y108" s="2718">
        <f t="shared" si="19"/>
        <v>0</v>
      </c>
    </row>
    <row r="109" spans="1:25">
      <c r="A109" s="2473" t="str">
        <f t="shared" si="17"/>
        <v/>
      </c>
      <c r="B109" s="2737"/>
      <c r="C109" s="2737"/>
      <c r="D109" s="2737"/>
      <c r="E109" s="2738"/>
      <c r="F109" s="2738"/>
      <c r="G109" s="2738"/>
      <c r="H109" s="2739"/>
      <c r="I109" s="2741"/>
      <c r="J109" s="2741"/>
      <c r="K109" s="2742"/>
      <c r="L109" s="2742"/>
      <c r="M109" s="2738"/>
      <c r="N109" s="2738"/>
      <c r="O109" s="2474">
        <f t="shared" si="11"/>
        <v>0</v>
      </c>
      <c r="P109" s="2474">
        <f t="shared" si="12"/>
        <v>0</v>
      </c>
      <c r="Q109" s="2475">
        <f t="shared" si="20"/>
        <v>0</v>
      </c>
      <c r="R109" s="2475">
        <f t="shared" si="21"/>
        <v>0</v>
      </c>
      <c r="S109" s="2476">
        <f t="shared" si="13"/>
        <v>0</v>
      </c>
      <c r="T109" s="2476">
        <f t="shared" si="14"/>
        <v>0</v>
      </c>
      <c r="U109" s="2477">
        <f>IF(OR(E109="QS",B109=""),0,
IF(C109="F",VLOOKUP($T109,'表30-5-2-5-1'!$B:$AF,MATCH($D109&amp;"a",'表30-5-2-5-1'!$4:$4,0)-1,FALSE)
-IF($S109-1&lt;=0,0,VLOOKUP($S109-1,'表30-5-2-5-1'!$B:$AF,MATCH($D109&amp;"a",'表30-5-2-5-1'!$4:$4,0)-1,FALSE))
-VLOOKUP($T109,'表30-5-2-5-1'!$B:$AF,MATCH($D109,'表30-5-2-5-1'!$4:$4,0)-1,FALSE)*(T109/100-N109/H109)*100
-VLOOKUP($S109,'表30-5-2-5-1'!$B:$AF,MATCH($D109,'表30-5-2-5-1'!$4:$4,0)-1,FALSE)*(1-(S109/100-M109/H109)*100),
IF(C109="E1",VLOOKUP($T109,'表30-5-2-5-2'!$B$4:$AF$104,MATCH($D109&amp;"a",'表30-5-2-5-2'!$4:$4,0)-1,FALSE)
-IF($S109-1&lt;=0,0,VLOOKUP($S109-1,'表30-5-2-5-2'!$B$4:$AF$104,MATCH($D109&amp;"a",'表30-5-2-5-2'!$4:$4,0)-1,FALSE))
-VLOOKUP($T109,'表30-5-2-5-2'!$B$4:$AF$104,MATCH($D109,'表30-5-2-5-2'!$4:$4,0)-1,FALSE)*(T109/100-N109/H109)*100
-VLOOKUP($S109,'表30-5-2-5-2'!$B$4:$AF$104,MATCH($D109,'表30-5-2-5-2'!$4:$4,0)-1,FALSE)*(1-(S109/100-M109/H109)*100),
IF(C109="E2",VLOOKUP($T109,'表30-5-2-5-2'!$B$114:$AF$214,MATCH($D109&amp;"a",'表30-5-2-5-2'!$4:$4,0)-1,FALSE)
-IF($S109-1&lt;=0,0,VLOOKUP($S109-1,'表30-5-2-5-2'!$B$114:$AF$214,MATCH($D109&amp;"a",'表30-5-2-5-2'!$4:$4,0)-1,FALSE))
-VLOOKUP($T109,'表30-5-2-5-2'!$B$114:$AF$214,MATCH($D109,'表30-5-2-5-2'!$4:$4,0)-1,FALSE)*(T109/100-N109/H109)*100
-VLOOKUP($S109,'表30-5-2-5-2'!$B$114:$AF$214,MATCH($D109,'表30-5-2-5-2'!$4:$4,0)-1,FALSE)*(1-(S109/100-M109/H109)*100),0))))</f>
        <v>0</v>
      </c>
      <c r="V109" s="2478">
        <f t="shared" si="15"/>
        <v>0</v>
      </c>
      <c r="W109" s="2478">
        <f t="shared" si="16"/>
        <v>0</v>
      </c>
      <c r="X109" s="2718">
        <f t="shared" si="18"/>
        <v>0</v>
      </c>
      <c r="Y109" s="2718">
        <f t="shared" si="19"/>
        <v>0</v>
      </c>
    </row>
    <row r="110" spans="1:25">
      <c r="A110" s="2473" t="str">
        <f t="shared" si="17"/>
        <v/>
      </c>
      <c r="B110" s="2737"/>
      <c r="C110" s="2737"/>
      <c r="D110" s="2737"/>
      <c r="E110" s="2738"/>
      <c r="F110" s="2738"/>
      <c r="G110" s="2738"/>
      <c r="H110" s="2739"/>
      <c r="I110" s="2741"/>
      <c r="J110" s="2741"/>
      <c r="K110" s="2742"/>
      <c r="L110" s="2742"/>
      <c r="M110" s="2738"/>
      <c r="N110" s="2738"/>
      <c r="O110" s="2474">
        <f t="shared" si="11"/>
        <v>0</v>
      </c>
      <c r="P110" s="2474">
        <f t="shared" si="12"/>
        <v>0</v>
      </c>
      <c r="Q110" s="2475">
        <f t="shared" si="20"/>
        <v>0</v>
      </c>
      <c r="R110" s="2475">
        <f t="shared" si="21"/>
        <v>0</v>
      </c>
      <c r="S110" s="2476">
        <f t="shared" si="13"/>
        <v>0</v>
      </c>
      <c r="T110" s="2476">
        <f t="shared" si="14"/>
        <v>0</v>
      </c>
      <c r="U110" s="2477">
        <f>IF(OR(E110="QS",B110=""),0,
IF(C110="F",VLOOKUP($T110,'表30-5-2-5-1'!$B:$AF,MATCH($D110&amp;"a",'表30-5-2-5-1'!$4:$4,0)-1,FALSE)
-IF($S110-1&lt;=0,0,VLOOKUP($S110-1,'表30-5-2-5-1'!$B:$AF,MATCH($D110&amp;"a",'表30-5-2-5-1'!$4:$4,0)-1,FALSE))
-VLOOKUP($T110,'表30-5-2-5-1'!$B:$AF,MATCH($D110,'表30-5-2-5-1'!$4:$4,0)-1,FALSE)*(T110/100-N110/H110)*100
-VLOOKUP($S110,'表30-5-2-5-1'!$B:$AF,MATCH($D110,'表30-5-2-5-1'!$4:$4,0)-1,FALSE)*(1-(S110/100-M110/H110)*100),
IF(C110="E1",VLOOKUP($T110,'表30-5-2-5-2'!$B$4:$AF$104,MATCH($D110&amp;"a",'表30-5-2-5-2'!$4:$4,0)-1,FALSE)
-IF($S110-1&lt;=0,0,VLOOKUP($S110-1,'表30-5-2-5-2'!$B$4:$AF$104,MATCH($D110&amp;"a",'表30-5-2-5-2'!$4:$4,0)-1,FALSE))
-VLOOKUP($T110,'表30-5-2-5-2'!$B$4:$AF$104,MATCH($D110,'表30-5-2-5-2'!$4:$4,0)-1,FALSE)*(T110/100-N110/H110)*100
-VLOOKUP($S110,'表30-5-2-5-2'!$B$4:$AF$104,MATCH($D110,'表30-5-2-5-2'!$4:$4,0)-1,FALSE)*(1-(S110/100-M110/H110)*100),
IF(C110="E2",VLOOKUP($T110,'表30-5-2-5-2'!$B$114:$AF$214,MATCH($D110&amp;"a",'表30-5-2-5-2'!$4:$4,0)-1,FALSE)
-IF($S110-1&lt;=0,0,VLOOKUP($S110-1,'表30-5-2-5-2'!$B$114:$AF$214,MATCH($D110&amp;"a",'表30-5-2-5-2'!$4:$4,0)-1,FALSE))
-VLOOKUP($T110,'表30-5-2-5-2'!$B$114:$AF$214,MATCH($D110,'表30-5-2-5-2'!$4:$4,0)-1,FALSE)*(T110/100-N110/H110)*100
-VLOOKUP($S110,'表30-5-2-5-2'!$B$114:$AF$214,MATCH($D110,'表30-5-2-5-2'!$4:$4,0)-1,FALSE)*(1-(S110/100-M110/H110)*100),0))))</f>
        <v>0</v>
      </c>
      <c r="V110" s="2478">
        <f t="shared" si="15"/>
        <v>0</v>
      </c>
      <c r="W110" s="2478">
        <f t="shared" si="16"/>
        <v>0</v>
      </c>
      <c r="X110" s="2718">
        <f t="shared" si="18"/>
        <v>0</v>
      </c>
      <c r="Y110" s="2718">
        <f t="shared" si="19"/>
        <v>0</v>
      </c>
    </row>
    <row r="111" spans="1:25">
      <c r="A111" s="2473" t="str">
        <f t="shared" si="17"/>
        <v/>
      </c>
      <c r="B111" s="2737"/>
      <c r="C111" s="2737"/>
      <c r="D111" s="2737"/>
      <c r="E111" s="2738"/>
      <c r="F111" s="2738"/>
      <c r="G111" s="2738"/>
      <c r="H111" s="2739"/>
      <c r="I111" s="2741"/>
      <c r="J111" s="2741"/>
      <c r="K111" s="2742"/>
      <c r="L111" s="2742"/>
      <c r="M111" s="2738"/>
      <c r="N111" s="2738"/>
      <c r="O111" s="2474">
        <f t="shared" si="11"/>
        <v>0</v>
      </c>
      <c r="P111" s="2474">
        <f t="shared" si="12"/>
        <v>0</v>
      </c>
      <c r="Q111" s="2475">
        <f t="shared" si="20"/>
        <v>0</v>
      </c>
      <c r="R111" s="2475">
        <f t="shared" si="21"/>
        <v>0</v>
      </c>
      <c r="S111" s="2476">
        <f t="shared" si="13"/>
        <v>0</v>
      </c>
      <c r="T111" s="2476">
        <f t="shared" si="14"/>
        <v>0</v>
      </c>
      <c r="U111" s="2477">
        <f>IF(OR(E111="QS",B111=""),0,
IF(C111="F",VLOOKUP($T111,'表30-5-2-5-1'!$B:$AF,MATCH($D111&amp;"a",'表30-5-2-5-1'!$4:$4,0)-1,FALSE)
-IF($S111-1&lt;=0,0,VLOOKUP($S111-1,'表30-5-2-5-1'!$B:$AF,MATCH($D111&amp;"a",'表30-5-2-5-1'!$4:$4,0)-1,FALSE))
-VLOOKUP($T111,'表30-5-2-5-1'!$B:$AF,MATCH($D111,'表30-5-2-5-1'!$4:$4,0)-1,FALSE)*(T111/100-N111/H111)*100
-VLOOKUP($S111,'表30-5-2-5-1'!$B:$AF,MATCH($D111,'表30-5-2-5-1'!$4:$4,0)-1,FALSE)*(1-(S111/100-M111/H111)*100),
IF(C111="E1",VLOOKUP($T111,'表30-5-2-5-2'!$B$4:$AF$104,MATCH($D111&amp;"a",'表30-5-2-5-2'!$4:$4,0)-1,FALSE)
-IF($S111-1&lt;=0,0,VLOOKUP($S111-1,'表30-5-2-5-2'!$B$4:$AF$104,MATCH($D111&amp;"a",'表30-5-2-5-2'!$4:$4,0)-1,FALSE))
-VLOOKUP($T111,'表30-5-2-5-2'!$B$4:$AF$104,MATCH($D111,'表30-5-2-5-2'!$4:$4,0)-1,FALSE)*(T111/100-N111/H111)*100
-VLOOKUP($S111,'表30-5-2-5-2'!$B$4:$AF$104,MATCH($D111,'表30-5-2-5-2'!$4:$4,0)-1,FALSE)*(1-(S111/100-M111/H111)*100),
IF(C111="E2",VLOOKUP($T111,'表30-5-2-5-2'!$B$114:$AF$214,MATCH($D111&amp;"a",'表30-5-2-5-2'!$4:$4,0)-1,FALSE)
-IF($S111-1&lt;=0,0,VLOOKUP($S111-1,'表30-5-2-5-2'!$B$114:$AF$214,MATCH($D111&amp;"a",'表30-5-2-5-2'!$4:$4,0)-1,FALSE))
-VLOOKUP($T111,'表30-5-2-5-2'!$B$114:$AF$214,MATCH($D111,'表30-5-2-5-2'!$4:$4,0)-1,FALSE)*(T111/100-N111/H111)*100
-VLOOKUP($S111,'表30-5-2-5-2'!$B$114:$AF$214,MATCH($D111,'表30-5-2-5-2'!$4:$4,0)-1,FALSE)*(1-(S111/100-M111/H111)*100),0))))</f>
        <v>0</v>
      </c>
      <c r="V111" s="2478">
        <f t="shared" si="15"/>
        <v>0</v>
      </c>
      <c r="W111" s="2478">
        <f t="shared" si="16"/>
        <v>0</v>
      </c>
      <c r="X111" s="2718">
        <f t="shared" si="18"/>
        <v>0</v>
      </c>
      <c r="Y111" s="2718">
        <f t="shared" si="19"/>
        <v>0</v>
      </c>
    </row>
    <row r="112" spans="1:25">
      <c r="A112" s="2473" t="str">
        <f t="shared" si="17"/>
        <v/>
      </c>
      <c r="B112" s="2737"/>
      <c r="C112" s="2737"/>
      <c r="D112" s="2737"/>
      <c r="E112" s="2738"/>
      <c r="F112" s="2738"/>
      <c r="G112" s="2738"/>
      <c r="H112" s="2739"/>
      <c r="I112" s="2741"/>
      <c r="J112" s="2741"/>
      <c r="K112" s="2742"/>
      <c r="L112" s="2742"/>
      <c r="M112" s="2738"/>
      <c r="N112" s="2738"/>
      <c r="O112" s="2474">
        <f t="shared" si="11"/>
        <v>0</v>
      </c>
      <c r="P112" s="2474">
        <f t="shared" si="12"/>
        <v>0</v>
      </c>
      <c r="Q112" s="2475">
        <f t="shared" si="20"/>
        <v>0</v>
      </c>
      <c r="R112" s="2475">
        <f t="shared" si="21"/>
        <v>0</v>
      </c>
      <c r="S112" s="2476">
        <f t="shared" si="13"/>
        <v>0</v>
      </c>
      <c r="T112" s="2476">
        <f t="shared" si="14"/>
        <v>0</v>
      </c>
      <c r="U112" s="2477">
        <f>IF(OR(E112="QS",B112=""),0,
IF(C112="F",VLOOKUP($T112,'表30-5-2-5-1'!$B:$AF,MATCH($D112&amp;"a",'表30-5-2-5-1'!$4:$4,0)-1,FALSE)
-IF($S112-1&lt;=0,0,VLOOKUP($S112-1,'表30-5-2-5-1'!$B:$AF,MATCH($D112&amp;"a",'表30-5-2-5-1'!$4:$4,0)-1,FALSE))
-VLOOKUP($T112,'表30-5-2-5-1'!$B:$AF,MATCH($D112,'表30-5-2-5-1'!$4:$4,0)-1,FALSE)*(T112/100-N112/H112)*100
-VLOOKUP($S112,'表30-5-2-5-1'!$B:$AF,MATCH($D112,'表30-5-2-5-1'!$4:$4,0)-1,FALSE)*(1-(S112/100-M112/H112)*100),
IF(C112="E1",VLOOKUP($T112,'表30-5-2-5-2'!$B$4:$AF$104,MATCH($D112&amp;"a",'表30-5-2-5-2'!$4:$4,0)-1,FALSE)
-IF($S112-1&lt;=0,0,VLOOKUP($S112-1,'表30-5-2-5-2'!$B$4:$AF$104,MATCH($D112&amp;"a",'表30-5-2-5-2'!$4:$4,0)-1,FALSE))
-VLOOKUP($T112,'表30-5-2-5-2'!$B$4:$AF$104,MATCH($D112,'表30-5-2-5-2'!$4:$4,0)-1,FALSE)*(T112/100-N112/H112)*100
-VLOOKUP($S112,'表30-5-2-5-2'!$B$4:$AF$104,MATCH($D112,'表30-5-2-5-2'!$4:$4,0)-1,FALSE)*(1-(S112/100-M112/H112)*100),
IF(C112="E2",VLOOKUP($T112,'表30-5-2-5-2'!$B$114:$AF$214,MATCH($D112&amp;"a",'表30-5-2-5-2'!$4:$4,0)-1,FALSE)
-IF($S112-1&lt;=0,0,VLOOKUP($S112-1,'表30-5-2-5-2'!$B$114:$AF$214,MATCH($D112&amp;"a",'表30-5-2-5-2'!$4:$4,0)-1,FALSE))
-VLOOKUP($T112,'表30-5-2-5-2'!$B$114:$AF$214,MATCH($D112,'表30-5-2-5-2'!$4:$4,0)-1,FALSE)*(T112/100-N112/H112)*100
-VLOOKUP($S112,'表30-5-2-5-2'!$B$114:$AF$214,MATCH($D112,'表30-5-2-5-2'!$4:$4,0)-1,FALSE)*(1-(S112/100-M112/H112)*100),0))))</f>
        <v>0</v>
      </c>
      <c r="V112" s="2478">
        <f t="shared" si="15"/>
        <v>0</v>
      </c>
      <c r="W112" s="2478">
        <f t="shared" si="16"/>
        <v>0</v>
      </c>
      <c r="X112" s="2718">
        <f t="shared" si="18"/>
        <v>0</v>
      </c>
      <c r="Y112" s="2718">
        <f t="shared" si="19"/>
        <v>0</v>
      </c>
    </row>
    <row r="113" spans="1:25">
      <c r="A113" s="2473" t="str">
        <f t="shared" si="17"/>
        <v/>
      </c>
      <c r="B113" s="2737"/>
      <c r="C113" s="2737"/>
      <c r="D113" s="2737"/>
      <c r="E113" s="2738"/>
      <c r="F113" s="2738"/>
      <c r="G113" s="2738"/>
      <c r="H113" s="2739"/>
      <c r="I113" s="2741"/>
      <c r="J113" s="2741"/>
      <c r="K113" s="2742"/>
      <c r="L113" s="2742"/>
      <c r="M113" s="2738"/>
      <c r="N113" s="2738"/>
      <c r="O113" s="2474">
        <f t="shared" si="11"/>
        <v>0</v>
      </c>
      <c r="P113" s="2474">
        <f t="shared" si="12"/>
        <v>0</v>
      </c>
      <c r="Q113" s="2475">
        <f t="shared" si="20"/>
        <v>0</v>
      </c>
      <c r="R113" s="2475">
        <f t="shared" si="21"/>
        <v>0</v>
      </c>
      <c r="S113" s="2476">
        <f t="shared" si="13"/>
        <v>0</v>
      </c>
      <c r="T113" s="2476">
        <f t="shared" si="14"/>
        <v>0</v>
      </c>
      <c r="U113" s="2477">
        <f>IF(OR(E113="QS",B113=""),0,
IF(C113="F",VLOOKUP($T113,'表30-5-2-5-1'!$B:$AF,MATCH($D113&amp;"a",'表30-5-2-5-1'!$4:$4,0)-1,FALSE)
-IF($S113-1&lt;=0,0,VLOOKUP($S113-1,'表30-5-2-5-1'!$B:$AF,MATCH($D113&amp;"a",'表30-5-2-5-1'!$4:$4,0)-1,FALSE))
-VLOOKUP($T113,'表30-5-2-5-1'!$B:$AF,MATCH($D113,'表30-5-2-5-1'!$4:$4,0)-1,FALSE)*(T113/100-N113/H113)*100
-VLOOKUP($S113,'表30-5-2-5-1'!$B:$AF,MATCH($D113,'表30-5-2-5-1'!$4:$4,0)-1,FALSE)*(1-(S113/100-M113/H113)*100),
IF(C113="E1",VLOOKUP($T113,'表30-5-2-5-2'!$B$4:$AF$104,MATCH($D113&amp;"a",'表30-5-2-5-2'!$4:$4,0)-1,FALSE)
-IF($S113-1&lt;=0,0,VLOOKUP($S113-1,'表30-5-2-5-2'!$B$4:$AF$104,MATCH($D113&amp;"a",'表30-5-2-5-2'!$4:$4,0)-1,FALSE))
-VLOOKUP($T113,'表30-5-2-5-2'!$B$4:$AF$104,MATCH($D113,'表30-5-2-5-2'!$4:$4,0)-1,FALSE)*(T113/100-N113/H113)*100
-VLOOKUP($S113,'表30-5-2-5-2'!$B$4:$AF$104,MATCH($D113,'表30-5-2-5-2'!$4:$4,0)-1,FALSE)*(1-(S113/100-M113/H113)*100),
IF(C113="E2",VLOOKUP($T113,'表30-5-2-5-2'!$B$114:$AF$214,MATCH($D113&amp;"a",'表30-5-2-5-2'!$4:$4,0)-1,FALSE)
-IF($S113-1&lt;=0,0,VLOOKUP($S113-1,'表30-5-2-5-2'!$B$114:$AF$214,MATCH($D113&amp;"a",'表30-5-2-5-2'!$4:$4,0)-1,FALSE))
-VLOOKUP($T113,'表30-5-2-5-2'!$B$114:$AF$214,MATCH($D113,'表30-5-2-5-2'!$4:$4,0)-1,FALSE)*(T113/100-N113/H113)*100
-VLOOKUP($S113,'表30-5-2-5-2'!$B$114:$AF$214,MATCH($D113,'表30-5-2-5-2'!$4:$4,0)-1,FALSE)*(1-(S113/100-M113/H113)*100),0))))</f>
        <v>0</v>
      </c>
      <c r="V113" s="2478">
        <f t="shared" si="15"/>
        <v>0</v>
      </c>
      <c r="W113" s="2478">
        <f t="shared" si="16"/>
        <v>0</v>
      </c>
      <c r="X113" s="2718">
        <f t="shared" si="18"/>
        <v>0</v>
      </c>
      <c r="Y113" s="2718">
        <f t="shared" si="19"/>
        <v>0</v>
      </c>
    </row>
    <row r="114" spans="1:25">
      <c r="A114" s="2473" t="str">
        <f t="shared" si="17"/>
        <v/>
      </c>
      <c r="B114" s="2737"/>
      <c r="C114" s="2737"/>
      <c r="D114" s="2737"/>
      <c r="E114" s="2738"/>
      <c r="F114" s="2738"/>
      <c r="G114" s="2738"/>
      <c r="H114" s="2739"/>
      <c r="I114" s="2741"/>
      <c r="J114" s="2741"/>
      <c r="K114" s="2742"/>
      <c r="L114" s="2742"/>
      <c r="M114" s="2738"/>
      <c r="N114" s="2738"/>
      <c r="O114" s="2474">
        <f t="shared" si="11"/>
        <v>0</v>
      </c>
      <c r="P114" s="2474">
        <f t="shared" si="12"/>
        <v>0</v>
      </c>
      <c r="Q114" s="2475">
        <f t="shared" si="20"/>
        <v>0</v>
      </c>
      <c r="R114" s="2475">
        <f t="shared" si="21"/>
        <v>0</v>
      </c>
      <c r="S114" s="2476">
        <f t="shared" si="13"/>
        <v>0</v>
      </c>
      <c r="T114" s="2476">
        <f t="shared" si="14"/>
        <v>0</v>
      </c>
      <c r="U114" s="2477">
        <f>IF(OR(E114="QS",B114=""),0,
IF(C114="F",VLOOKUP($T114,'表30-5-2-5-1'!$B:$AF,MATCH($D114&amp;"a",'表30-5-2-5-1'!$4:$4,0)-1,FALSE)
-IF($S114-1&lt;=0,0,VLOOKUP($S114-1,'表30-5-2-5-1'!$B:$AF,MATCH($D114&amp;"a",'表30-5-2-5-1'!$4:$4,0)-1,FALSE))
-VLOOKUP($T114,'表30-5-2-5-1'!$B:$AF,MATCH($D114,'表30-5-2-5-1'!$4:$4,0)-1,FALSE)*(T114/100-N114/H114)*100
-VLOOKUP($S114,'表30-5-2-5-1'!$B:$AF,MATCH($D114,'表30-5-2-5-1'!$4:$4,0)-1,FALSE)*(1-(S114/100-M114/H114)*100),
IF(C114="E1",VLOOKUP($T114,'表30-5-2-5-2'!$B$4:$AF$104,MATCH($D114&amp;"a",'表30-5-2-5-2'!$4:$4,0)-1,FALSE)
-IF($S114-1&lt;=0,0,VLOOKUP($S114-1,'表30-5-2-5-2'!$B$4:$AF$104,MATCH($D114&amp;"a",'表30-5-2-5-2'!$4:$4,0)-1,FALSE))
-VLOOKUP($T114,'表30-5-2-5-2'!$B$4:$AF$104,MATCH($D114,'表30-5-2-5-2'!$4:$4,0)-1,FALSE)*(T114/100-N114/H114)*100
-VLOOKUP($S114,'表30-5-2-5-2'!$B$4:$AF$104,MATCH($D114,'表30-5-2-5-2'!$4:$4,0)-1,FALSE)*(1-(S114/100-M114/H114)*100),
IF(C114="E2",VLOOKUP($T114,'表30-5-2-5-2'!$B$114:$AF$214,MATCH($D114&amp;"a",'表30-5-2-5-2'!$4:$4,0)-1,FALSE)
-IF($S114-1&lt;=0,0,VLOOKUP($S114-1,'表30-5-2-5-2'!$B$114:$AF$214,MATCH($D114&amp;"a",'表30-5-2-5-2'!$4:$4,0)-1,FALSE))
-VLOOKUP($T114,'表30-5-2-5-2'!$B$114:$AF$214,MATCH($D114,'表30-5-2-5-2'!$4:$4,0)-1,FALSE)*(T114/100-N114/H114)*100
-VLOOKUP($S114,'表30-5-2-5-2'!$B$114:$AF$214,MATCH($D114,'表30-5-2-5-2'!$4:$4,0)-1,FALSE)*(1-(S114/100-M114/H114)*100),0))))</f>
        <v>0</v>
      </c>
      <c r="V114" s="2478">
        <f t="shared" si="15"/>
        <v>0</v>
      </c>
      <c r="W114" s="2478">
        <f t="shared" si="16"/>
        <v>0</v>
      </c>
      <c r="X114" s="2718">
        <f t="shared" si="18"/>
        <v>0</v>
      </c>
      <c r="Y114" s="2718">
        <f t="shared" si="19"/>
        <v>0</v>
      </c>
    </row>
    <row r="115" spans="1:25">
      <c r="A115" s="2473" t="str">
        <f t="shared" si="17"/>
        <v/>
      </c>
      <c r="B115" s="2737"/>
      <c r="C115" s="2737"/>
      <c r="D115" s="2737"/>
      <c r="E115" s="2738"/>
      <c r="F115" s="2738"/>
      <c r="G115" s="2738"/>
      <c r="H115" s="2739"/>
      <c r="I115" s="2741"/>
      <c r="J115" s="2741"/>
      <c r="K115" s="2742"/>
      <c r="L115" s="2742"/>
      <c r="M115" s="2738"/>
      <c r="N115" s="2738"/>
      <c r="O115" s="2474">
        <f t="shared" si="11"/>
        <v>0</v>
      </c>
      <c r="P115" s="2474">
        <f t="shared" si="12"/>
        <v>0</v>
      </c>
      <c r="Q115" s="2475">
        <f t="shared" si="20"/>
        <v>0</v>
      </c>
      <c r="R115" s="2475">
        <f t="shared" si="21"/>
        <v>0</v>
      </c>
      <c r="S115" s="2476">
        <f t="shared" si="13"/>
        <v>0</v>
      </c>
      <c r="T115" s="2476">
        <f t="shared" si="14"/>
        <v>0</v>
      </c>
      <c r="U115" s="2477">
        <f>IF(OR(E115="QS",B115=""),0,
IF(C115="F",VLOOKUP($T115,'表30-5-2-5-1'!$B:$AF,MATCH($D115&amp;"a",'表30-5-2-5-1'!$4:$4,0)-1,FALSE)
-IF($S115-1&lt;=0,0,VLOOKUP($S115-1,'表30-5-2-5-1'!$B:$AF,MATCH($D115&amp;"a",'表30-5-2-5-1'!$4:$4,0)-1,FALSE))
-VLOOKUP($T115,'表30-5-2-5-1'!$B:$AF,MATCH($D115,'表30-5-2-5-1'!$4:$4,0)-1,FALSE)*(T115/100-N115/H115)*100
-VLOOKUP($S115,'表30-5-2-5-1'!$B:$AF,MATCH($D115,'表30-5-2-5-1'!$4:$4,0)-1,FALSE)*(1-(S115/100-M115/H115)*100),
IF(C115="E1",VLOOKUP($T115,'表30-5-2-5-2'!$B$4:$AF$104,MATCH($D115&amp;"a",'表30-5-2-5-2'!$4:$4,0)-1,FALSE)
-IF($S115-1&lt;=0,0,VLOOKUP($S115-1,'表30-5-2-5-2'!$B$4:$AF$104,MATCH($D115&amp;"a",'表30-5-2-5-2'!$4:$4,0)-1,FALSE))
-VLOOKUP($T115,'表30-5-2-5-2'!$B$4:$AF$104,MATCH($D115,'表30-5-2-5-2'!$4:$4,0)-1,FALSE)*(T115/100-N115/H115)*100
-VLOOKUP($S115,'表30-5-2-5-2'!$B$4:$AF$104,MATCH($D115,'表30-5-2-5-2'!$4:$4,0)-1,FALSE)*(1-(S115/100-M115/H115)*100),
IF(C115="E2",VLOOKUP($T115,'表30-5-2-5-2'!$B$114:$AF$214,MATCH($D115&amp;"a",'表30-5-2-5-2'!$4:$4,0)-1,FALSE)
-IF($S115-1&lt;=0,0,VLOOKUP($S115-1,'表30-5-2-5-2'!$B$114:$AF$214,MATCH($D115&amp;"a",'表30-5-2-5-2'!$4:$4,0)-1,FALSE))
-VLOOKUP($T115,'表30-5-2-5-2'!$B$114:$AF$214,MATCH($D115,'表30-5-2-5-2'!$4:$4,0)-1,FALSE)*(T115/100-N115/H115)*100
-VLOOKUP($S115,'表30-5-2-5-2'!$B$114:$AF$214,MATCH($D115,'表30-5-2-5-2'!$4:$4,0)-1,FALSE)*(1-(S115/100-M115/H115)*100),0))))</f>
        <v>0</v>
      </c>
      <c r="V115" s="2478">
        <f t="shared" si="15"/>
        <v>0</v>
      </c>
      <c r="W115" s="2478">
        <f t="shared" si="16"/>
        <v>0</v>
      </c>
      <c r="X115" s="2718">
        <f t="shared" si="18"/>
        <v>0</v>
      </c>
      <c r="Y115" s="2718">
        <f t="shared" si="19"/>
        <v>0</v>
      </c>
    </row>
    <row r="116" spans="1:25">
      <c r="A116" s="2473" t="str">
        <f t="shared" si="17"/>
        <v/>
      </c>
      <c r="B116" s="2737"/>
      <c r="C116" s="2737"/>
      <c r="D116" s="2737"/>
      <c r="E116" s="2738"/>
      <c r="F116" s="2738"/>
      <c r="G116" s="2738"/>
      <c r="H116" s="2739"/>
      <c r="I116" s="2741"/>
      <c r="J116" s="2741"/>
      <c r="K116" s="2742"/>
      <c r="L116" s="2742"/>
      <c r="M116" s="2738"/>
      <c r="N116" s="2738"/>
      <c r="O116" s="2474">
        <f t="shared" si="11"/>
        <v>0</v>
      </c>
      <c r="P116" s="2474">
        <f t="shared" si="12"/>
        <v>0</v>
      </c>
      <c r="Q116" s="2475">
        <f t="shared" si="20"/>
        <v>0</v>
      </c>
      <c r="R116" s="2475">
        <f t="shared" si="21"/>
        <v>0</v>
      </c>
      <c r="S116" s="2476">
        <f t="shared" si="13"/>
        <v>0</v>
      </c>
      <c r="T116" s="2476">
        <f t="shared" si="14"/>
        <v>0</v>
      </c>
      <c r="U116" s="2477">
        <f>IF(OR(E116="QS",B116=""),0,
IF(C116="F",VLOOKUP($T116,'表30-5-2-5-1'!$B:$AF,MATCH($D116&amp;"a",'表30-5-2-5-1'!$4:$4,0)-1,FALSE)
-IF($S116-1&lt;=0,0,VLOOKUP($S116-1,'表30-5-2-5-1'!$B:$AF,MATCH($D116&amp;"a",'表30-5-2-5-1'!$4:$4,0)-1,FALSE))
-VLOOKUP($T116,'表30-5-2-5-1'!$B:$AF,MATCH($D116,'表30-5-2-5-1'!$4:$4,0)-1,FALSE)*(T116/100-N116/H116)*100
-VLOOKUP($S116,'表30-5-2-5-1'!$B:$AF,MATCH($D116,'表30-5-2-5-1'!$4:$4,0)-1,FALSE)*(1-(S116/100-M116/H116)*100),
IF(C116="E1",VLOOKUP($T116,'表30-5-2-5-2'!$B$4:$AF$104,MATCH($D116&amp;"a",'表30-5-2-5-2'!$4:$4,0)-1,FALSE)
-IF($S116-1&lt;=0,0,VLOOKUP($S116-1,'表30-5-2-5-2'!$B$4:$AF$104,MATCH($D116&amp;"a",'表30-5-2-5-2'!$4:$4,0)-1,FALSE))
-VLOOKUP($T116,'表30-5-2-5-2'!$B$4:$AF$104,MATCH($D116,'表30-5-2-5-2'!$4:$4,0)-1,FALSE)*(T116/100-N116/H116)*100
-VLOOKUP($S116,'表30-5-2-5-2'!$B$4:$AF$104,MATCH($D116,'表30-5-2-5-2'!$4:$4,0)-1,FALSE)*(1-(S116/100-M116/H116)*100),
IF(C116="E2",VLOOKUP($T116,'表30-5-2-5-2'!$B$114:$AF$214,MATCH($D116&amp;"a",'表30-5-2-5-2'!$4:$4,0)-1,FALSE)
-IF($S116-1&lt;=0,0,VLOOKUP($S116-1,'表30-5-2-5-2'!$B$114:$AF$214,MATCH($D116&amp;"a",'表30-5-2-5-2'!$4:$4,0)-1,FALSE))
-VLOOKUP($T116,'表30-5-2-5-2'!$B$114:$AF$214,MATCH($D116,'表30-5-2-5-2'!$4:$4,0)-1,FALSE)*(T116/100-N116/H116)*100
-VLOOKUP($S116,'表30-5-2-5-2'!$B$114:$AF$214,MATCH($D116,'表30-5-2-5-2'!$4:$4,0)-1,FALSE)*(1-(S116/100-M116/H116)*100),0))))</f>
        <v>0</v>
      </c>
      <c r="V116" s="2478">
        <f t="shared" si="15"/>
        <v>0</v>
      </c>
      <c r="W116" s="2478">
        <f t="shared" si="16"/>
        <v>0</v>
      </c>
      <c r="X116" s="2718">
        <f t="shared" si="18"/>
        <v>0</v>
      </c>
      <c r="Y116" s="2718">
        <f t="shared" si="19"/>
        <v>0</v>
      </c>
    </row>
    <row r="117" spans="1:25">
      <c r="A117" s="2473" t="str">
        <f t="shared" si="17"/>
        <v/>
      </c>
      <c r="B117" s="2737"/>
      <c r="C117" s="2737"/>
      <c r="D117" s="2737"/>
      <c r="E117" s="2738"/>
      <c r="F117" s="2738"/>
      <c r="G117" s="2738"/>
      <c r="H117" s="2739"/>
      <c r="I117" s="2741"/>
      <c r="J117" s="2741"/>
      <c r="K117" s="2742"/>
      <c r="L117" s="2742"/>
      <c r="M117" s="2738"/>
      <c r="N117" s="2738"/>
      <c r="O117" s="2474">
        <f t="shared" si="11"/>
        <v>0</v>
      </c>
      <c r="P117" s="2474">
        <f t="shared" si="12"/>
        <v>0</v>
      </c>
      <c r="Q117" s="2475">
        <f t="shared" si="20"/>
        <v>0</v>
      </c>
      <c r="R117" s="2475">
        <f t="shared" si="21"/>
        <v>0</v>
      </c>
      <c r="S117" s="2476">
        <f t="shared" si="13"/>
        <v>0</v>
      </c>
      <c r="T117" s="2476">
        <f t="shared" si="14"/>
        <v>0</v>
      </c>
      <c r="U117" s="2477">
        <f>IF(OR(E117="QS",B117=""),0,
IF(C117="F",VLOOKUP($T117,'表30-5-2-5-1'!$B:$AF,MATCH($D117&amp;"a",'表30-5-2-5-1'!$4:$4,0)-1,FALSE)
-IF($S117-1&lt;=0,0,VLOOKUP($S117-1,'表30-5-2-5-1'!$B:$AF,MATCH($D117&amp;"a",'表30-5-2-5-1'!$4:$4,0)-1,FALSE))
-VLOOKUP($T117,'表30-5-2-5-1'!$B:$AF,MATCH($D117,'表30-5-2-5-1'!$4:$4,0)-1,FALSE)*(T117/100-N117/H117)*100
-VLOOKUP($S117,'表30-5-2-5-1'!$B:$AF,MATCH($D117,'表30-5-2-5-1'!$4:$4,0)-1,FALSE)*(1-(S117/100-M117/H117)*100),
IF(C117="E1",VLOOKUP($T117,'表30-5-2-5-2'!$B$4:$AF$104,MATCH($D117&amp;"a",'表30-5-2-5-2'!$4:$4,0)-1,FALSE)
-IF($S117-1&lt;=0,0,VLOOKUP($S117-1,'表30-5-2-5-2'!$B$4:$AF$104,MATCH($D117&amp;"a",'表30-5-2-5-2'!$4:$4,0)-1,FALSE))
-VLOOKUP($T117,'表30-5-2-5-2'!$B$4:$AF$104,MATCH($D117,'表30-5-2-5-2'!$4:$4,0)-1,FALSE)*(T117/100-N117/H117)*100
-VLOOKUP($S117,'表30-5-2-5-2'!$B$4:$AF$104,MATCH($D117,'表30-5-2-5-2'!$4:$4,0)-1,FALSE)*(1-(S117/100-M117/H117)*100),
IF(C117="E2",VLOOKUP($T117,'表30-5-2-5-2'!$B$114:$AF$214,MATCH($D117&amp;"a",'表30-5-2-5-2'!$4:$4,0)-1,FALSE)
-IF($S117-1&lt;=0,0,VLOOKUP($S117-1,'表30-5-2-5-2'!$B$114:$AF$214,MATCH($D117&amp;"a",'表30-5-2-5-2'!$4:$4,0)-1,FALSE))
-VLOOKUP($T117,'表30-5-2-5-2'!$B$114:$AF$214,MATCH($D117,'表30-5-2-5-2'!$4:$4,0)-1,FALSE)*(T117/100-N117/H117)*100
-VLOOKUP($S117,'表30-5-2-5-2'!$B$114:$AF$214,MATCH($D117,'表30-5-2-5-2'!$4:$4,0)-1,FALSE)*(1-(S117/100-M117/H117)*100),0))))</f>
        <v>0</v>
      </c>
      <c r="V117" s="2478">
        <f t="shared" si="15"/>
        <v>0</v>
      </c>
      <c r="W117" s="2478">
        <f t="shared" si="16"/>
        <v>0</v>
      </c>
      <c r="X117" s="2718">
        <f t="shared" si="18"/>
        <v>0</v>
      </c>
      <c r="Y117" s="2718">
        <f t="shared" si="19"/>
        <v>0</v>
      </c>
    </row>
    <row r="118" spans="1:25">
      <c r="A118" s="2473" t="str">
        <f t="shared" si="17"/>
        <v/>
      </c>
      <c r="B118" s="2737"/>
      <c r="C118" s="2737"/>
      <c r="D118" s="2737"/>
      <c r="E118" s="2738"/>
      <c r="F118" s="2738"/>
      <c r="G118" s="2738"/>
      <c r="H118" s="2739"/>
      <c r="I118" s="2741"/>
      <c r="J118" s="2741"/>
      <c r="K118" s="2742"/>
      <c r="L118" s="2742"/>
      <c r="M118" s="2738"/>
      <c r="N118" s="2738"/>
      <c r="O118" s="2474">
        <f t="shared" si="11"/>
        <v>0</v>
      </c>
      <c r="P118" s="2474">
        <f t="shared" si="12"/>
        <v>0</v>
      </c>
      <c r="Q118" s="2475">
        <f t="shared" si="20"/>
        <v>0</v>
      </c>
      <c r="R118" s="2475">
        <f t="shared" si="21"/>
        <v>0</v>
      </c>
      <c r="S118" s="2476">
        <f t="shared" si="13"/>
        <v>0</v>
      </c>
      <c r="T118" s="2476">
        <f t="shared" si="14"/>
        <v>0</v>
      </c>
      <c r="U118" s="2477">
        <f>IF(OR(E118="QS",B118=""),0,
IF(C118="F",VLOOKUP($T118,'表30-5-2-5-1'!$B:$AF,MATCH($D118&amp;"a",'表30-5-2-5-1'!$4:$4,0)-1,FALSE)
-IF($S118-1&lt;=0,0,VLOOKUP($S118-1,'表30-5-2-5-1'!$B:$AF,MATCH($D118&amp;"a",'表30-5-2-5-1'!$4:$4,0)-1,FALSE))
-VLOOKUP($T118,'表30-5-2-5-1'!$B:$AF,MATCH($D118,'表30-5-2-5-1'!$4:$4,0)-1,FALSE)*(T118/100-N118/H118)*100
-VLOOKUP($S118,'表30-5-2-5-1'!$B:$AF,MATCH($D118,'表30-5-2-5-1'!$4:$4,0)-1,FALSE)*(1-(S118/100-M118/H118)*100),
IF(C118="E1",VLOOKUP($T118,'表30-5-2-5-2'!$B$4:$AF$104,MATCH($D118&amp;"a",'表30-5-2-5-2'!$4:$4,0)-1,FALSE)
-IF($S118-1&lt;=0,0,VLOOKUP($S118-1,'表30-5-2-5-2'!$B$4:$AF$104,MATCH($D118&amp;"a",'表30-5-2-5-2'!$4:$4,0)-1,FALSE))
-VLOOKUP($T118,'表30-5-2-5-2'!$B$4:$AF$104,MATCH($D118,'表30-5-2-5-2'!$4:$4,0)-1,FALSE)*(T118/100-N118/H118)*100
-VLOOKUP($S118,'表30-5-2-5-2'!$B$4:$AF$104,MATCH($D118,'表30-5-2-5-2'!$4:$4,0)-1,FALSE)*(1-(S118/100-M118/H118)*100),
IF(C118="E2",VLOOKUP($T118,'表30-5-2-5-2'!$B$114:$AF$214,MATCH($D118&amp;"a",'表30-5-2-5-2'!$4:$4,0)-1,FALSE)
-IF($S118-1&lt;=0,0,VLOOKUP($S118-1,'表30-5-2-5-2'!$B$114:$AF$214,MATCH($D118&amp;"a",'表30-5-2-5-2'!$4:$4,0)-1,FALSE))
-VLOOKUP($T118,'表30-5-2-5-2'!$B$114:$AF$214,MATCH($D118,'表30-5-2-5-2'!$4:$4,0)-1,FALSE)*(T118/100-N118/H118)*100
-VLOOKUP($S118,'表30-5-2-5-2'!$B$114:$AF$214,MATCH($D118,'表30-5-2-5-2'!$4:$4,0)-1,FALSE)*(1-(S118/100-M118/H118)*100),0))))</f>
        <v>0</v>
      </c>
      <c r="V118" s="2478">
        <f t="shared" si="15"/>
        <v>0</v>
      </c>
      <c r="W118" s="2478">
        <f t="shared" si="16"/>
        <v>0</v>
      </c>
      <c r="X118" s="2718">
        <f t="shared" si="18"/>
        <v>0</v>
      </c>
      <c r="Y118" s="2718">
        <f t="shared" si="19"/>
        <v>0</v>
      </c>
    </row>
    <row r="119" spans="1:25">
      <c r="A119" s="2473" t="str">
        <f t="shared" si="17"/>
        <v/>
      </c>
      <c r="B119" s="2737"/>
      <c r="C119" s="2737"/>
      <c r="D119" s="2737"/>
      <c r="E119" s="2738"/>
      <c r="F119" s="2738"/>
      <c r="G119" s="2738"/>
      <c r="H119" s="2739"/>
      <c r="I119" s="2741"/>
      <c r="J119" s="2741"/>
      <c r="K119" s="2742"/>
      <c r="L119" s="2742"/>
      <c r="M119" s="2738"/>
      <c r="N119" s="2738"/>
      <c r="O119" s="2474">
        <f t="shared" si="11"/>
        <v>0</v>
      </c>
      <c r="P119" s="2474">
        <f t="shared" si="12"/>
        <v>0</v>
      </c>
      <c r="Q119" s="2475">
        <f t="shared" si="20"/>
        <v>0</v>
      </c>
      <c r="R119" s="2475">
        <f t="shared" si="21"/>
        <v>0</v>
      </c>
      <c r="S119" s="2476">
        <f t="shared" si="13"/>
        <v>0</v>
      </c>
      <c r="T119" s="2476">
        <f t="shared" si="14"/>
        <v>0</v>
      </c>
      <c r="U119" s="2477">
        <f>IF(OR(E119="QS",B119=""),0,
IF(C119="F",VLOOKUP($T119,'表30-5-2-5-1'!$B:$AF,MATCH($D119&amp;"a",'表30-5-2-5-1'!$4:$4,0)-1,FALSE)
-IF($S119-1&lt;=0,0,VLOOKUP($S119-1,'表30-5-2-5-1'!$B:$AF,MATCH($D119&amp;"a",'表30-5-2-5-1'!$4:$4,0)-1,FALSE))
-VLOOKUP($T119,'表30-5-2-5-1'!$B:$AF,MATCH($D119,'表30-5-2-5-1'!$4:$4,0)-1,FALSE)*(T119/100-N119/H119)*100
-VLOOKUP($S119,'表30-5-2-5-1'!$B:$AF,MATCH($D119,'表30-5-2-5-1'!$4:$4,0)-1,FALSE)*(1-(S119/100-M119/H119)*100),
IF(C119="E1",VLOOKUP($T119,'表30-5-2-5-2'!$B$4:$AF$104,MATCH($D119&amp;"a",'表30-5-2-5-2'!$4:$4,0)-1,FALSE)
-IF($S119-1&lt;=0,0,VLOOKUP($S119-1,'表30-5-2-5-2'!$B$4:$AF$104,MATCH($D119&amp;"a",'表30-5-2-5-2'!$4:$4,0)-1,FALSE))
-VLOOKUP($T119,'表30-5-2-5-2'!$B$4:$AF$104,MATCH($D119,'表30-5-2-5-2'!$4:$4,0)-1,FALSE)*(T119/100-N119/H119)*100
-VLOOKUP($S119,'表30-5-2-5-2'!$B$4:$AF$104,MATCH($D119,'表30-5-2-5-2'!$4:$4,0)-1,FALSE)*(1-(S119/100-M119/H119)*100),
IF(C119="E2",VLOOKUP($T119,'表30-5-2-5-2'!$B$114:$AF$214,MATCH($D119&amp;"a",'表30-5-2-5-2'!$4:$4,0)-1,FALSE)
-IF($S119-1&lt;=0,0,VLOOKUP($S119-1,'表30-5-2-5-2'!$B$114:$AF$214,MATCH($D119&amp;"a",'表30-5-2-5-2'!$4:$4,0)-1,FALSE))
-VLOOKUP($T119,'表30-5-2-5-2'!$B$114:$AF$214,MATCH($D119,'表30-5-2-5-2'!$4:$4,0)-1,FALSE)*(T119/100-N119/H119)*100
-VLOOKUP($S119,'表30-5-2-5-2'!$B$114:$AF$214,MATCH($D119,'表30-5-2-5-2'!$4:$4,0)-1,FALSE)*(1-(S119/100-M119/H119)*100),0))))</f>
        <v>0</v>
      </c>
      <c r="V119" s="2478">
        <f t="shared" si="15"/>
        <v>0</v>
      </c>
      <c r="W119" s="2478">
        <f t="shared" si="16"/>
        <v>0</v>
      </c>
      <c r="X119" s="2718">
        <f t="shared" si="18"/>
        <v>0</v>
      </c>
      <c r="Y119" s="2718">
        <f t="shared" si="19"/>
        <v>0</v>
      </c>
    </row>
    <row r="120" spans="1:25">
      <c r="A120" s="2473" t="str">
        <f t="shared" si="17"/>
        <v/>
      </c>
      <c r="B120" s="2737"/>
      <c r="C120" s="2737"/>
      <c r="D120" s="2737"/>
      <c r="E120" s="2738"/>
      <c r="F120" s="2738"/>
      <c r="G120" s="2738"/>
      <c r="H120" s="2739"/>
      <c r="I120" s="2741"/>
      <c r="J120" s="2741"/>
      <c r="K120" s="2742"/>
      <c r="L120" s="2742"/>
      <c r="M120" s="2738"/>
      <c r="N120" s="2738"/>
      <c r="O120" s="2474">
        <f t="shared" si="11"/>
        <v>0</v>
      </c>
      <c r="P120" s="2474">
        <f t="shared" si="12"/>
        <v>0</v>
      </c>
      <c r="Q120" s="2475">
        <f t="shared" si="20"/>
        <v>0</v>
      </c>
      <c r="R120" s="2475">
        <f t="shared" si="21"/>
        <v>0</v>
      </c>
      <c r="S120" s="2476">
        <f t="shared" si="13"/>
        <v>0</v>
      </c>
      <c r="T120" s="2476">
        <f t="shared" si="14"/>
        <v>0</v>
      </c>
      <c r="U120" s="2477">
        <f>IF(OR(E120="QS",B120=""),0,
IF(C120="F",VLOOKUP($T120,'表30-5-2-5-1'!$B:$AF,MATCH($D120&amp;"a",'表30-5-2-5-1'!$4:$4,0)-1,FALSE)
-IF($S120-1&lt;=0,0,VLOOKUP($S120-1,'表30-5-2-5-1'!$B:$AF,MATCH($D120&amp;"a",'表30-5-2-5-1'!$4:$4,0)-1,FALSE))
-VLOOKUP($T120,'表30-5-2-5-1'!$B:$AF,MATCH($D120,'表30-5-2-5-1'!$4:$4,0)-1,FALSE)*(T120/100-N120/H120)*100
-VLOOKUP($S120,'表30-5-2-5-1'!$B:$AF,MATCH($D120,'表30-5-2-5-1'!$4:$4,0)-1,FALSE)*(1-(S120/100-M120/H120)*100),
IF(C120="E1",VLOOKUP($T120,'表30-5-2-5-2'!$B$4:$AF$104,MATCH($D120&amp;"a",'表30-5-2-5-2'!$4:$4,0)-1,FALSE)
-IF($S120-1&lt;=0,0,VLOOKUP($S120-1,'表30-5-2-5-2'!$B$4:$AF$104,MATCH($D120&amp;"a",'表30-5-2-5-2'!$4:$4,0)-1,FALSE))
-VLOOKUP($T120,'表30-5-2-5-2'!$B$4:$AF$104,MATCH($D120,'表30-5-2-5-2'!$4:$4,0)-1,FALSE)*(T120/100-N120/H120)*100
-VLOOKUP($S120,'表30-5-2-5-2'!$B$4:$AF$104,MATCH($D120,'表30-5-2-5-2'!$4:$4,0)-1,FALSE)*(1-(S120/100-M120/H120)*100),
IF(C120="E2",VLOOKUP($T120,'表30-5-2-5-2'!$B$114:$AF$214,MATCH($D120&amp;"a",'表30-5-2-5-2'!$4:$4,0)-1,FALSE)
-IF($S120-1&lt;=0,0,VLOOKUP($S120-1,'表30-5-2-5-2'!$B$114:$AF$214,MATCH($D120&amp;"a",'表30-5-2-5-2'!$4:$4,0)-1,FALSE))
-VLOOKUP($T120,'表30-5-2-5-2'!$B$114:$AF$214,MATCH($D120,'表30-5-2-5-2'!$4:$4,0)-1,FALSE)*(T120/100-N120/H120)*100
-VLOOKUP($S120,'表30-5-2-5-2'!$B$114:$AF$214,MATCH($D120,'表30-5-2-5-2'!$4:$4,0)-1,FALSE)*(1-(S120/100-M120/H120)*100),0))))</f>
        <v>0</v>
      </c>
      <c r="V120" s="2478">
        <f t="shared" si="15"/>
        <v>0</v>
      </c>
      <c r="W120" s="2478">
        <f t="shared" si="16"/>
        <v>0</v>
      </c>
      <c r="X120" s="2718">
        <f t="shared" si="18"/>
        <v>0</v>
      </c>
      <c r="Y120" s="2718">
        <f t="shared" si="19"/>
        <v>0</v>
      </c>
    </row>
    <row r="121" spans="1:25">
      <c r="A121" s="2473" t="str">
        <f t="shared" si="17"/>
        <v/>
      </c>
      <c r="B121" s="2737"/>
      <c r="C121" s="2737"/>
      <c r="D121" s="2737"/>
      <c r="E121" s="2738"/>
      <c r="F121" s="2738"/>
      <c r="G121" s="2738"/>
      <c r="H121" s="2739"/>
      <c r="I121" s="2741"/>
      <c r="J121" s="2741"/>
      <c r="K121" s="2742"/>
      <c r="L121" s="2742"/>
      <c r="M121" s="2738"/>
      <c r="N121" s="2738"/>
      <c r="O121" s="2474">
        <f t="shared" si="11"/>
        <v>0</v>
      </c>
      <c r="P121" s="2474">
        <f t="shared" si="12"/>
        <v>0</v>
      </c>
      <c r="Q121" s="2475">
        <f t="shared" si="20"/>
        <v>0</v>
      </c>
      <c r="R121" s="2475">
        <f t="shared" si="21"/>
        <v>0</v>
      </c>
      <c r="S121" s="2476">
        <f t="shared" si="13"/>
        <v>0</v>
      </c>
      <c r="T121" s="2476">
        <f t="shared" si="14"/>
        <v>0</v>
      </c>
      <c r="U121" s="2477">
        <f>IF(OR(E121="QS",B121=""),0,
IF(C121="F",VLOOKUP($T121,'表30-5-2-5-1'!$B:$AF,MATCH($D121&amp;"a",'表30-5-2-5-1'!$4:$4,0)-1,FALSE)
-IF($S121-1&lt;=0,0,VLOOKUP($S121-1,'表30-5-2-5-1'!$B:$AF,MATCH($D121&amp;"a",'表30-5-2-5-1'!$4:$4,0)-1,FALSE))
-VLOOKUP($T121,'表30-5-2-5-1'!$B:$AF,MATCH($D121,'表30-5-2-5-1'!$4:$4,0)-1,FALSE)*(T121/100-N121/H121)*100
-VLOOKUP($S121,'表30-5-2-5-1'!$B:$AF,MATCH($D121,'表30-5-2-5-1'!$4:$4,0)-1,FALSE)*(1-(S121/100-M121/H121)*100),
IF(C121="E1",VLOOKUP($T121,'表30-5-2-5-2'!$B$4:$AF$104,MATCH($D121&amp;"a",'表30-5-2-5-2'!$4:$4,0)-1,FALSE)
-IF($S121-1&lt;=0,0,VLOOKUP($S121-1,'表30-5-2-5-2'!$B$4:$AF$104,MATCH($D121&amp;"a",'表30-5-2-5-2'!$4:$4,0)-1,FALSE))
-VLOOKUP($T121,'表30-5-2-5-2'!$B$4:$AF$104,MATCH($D121,'表30-5-2-5-2'!$4:$4,0)-1,FALSE)*(T121/100-N121/H121)*100
-VLOOKUP($S121,'表30-5-2-5-2'!$B$4:$AF$104,MATCH($D121,'表30-5-2-5-2'!$4:$4,0)-1,FALSE)*(1-(S121/100-M121/H121)*100),
IF(C121="E2",VLOOKUP($T121,'表30-5-2-5-2'!$B$114:$AF$214,MATCH($D121&amp;"a",'表30-5-2-5-2'!$4:$4,0)-1,FALSE)
-IF($S121-1&lt;=0,0,VLOOKUP($S121-1,'表30-5-2-5-2'!$B$114:$AF$214,MATCH($D121&amp;"a",'表30-5-2-5-2'!$4:$4,0)-1,FALSE))
-VLOOKUP($T121,'表30-5-2-5-2'!$B$114:$AF$214,MATCH($D121,'表30-5-2-5-2'!$4:$4,0)-1,FALSE)*(T121/100-N121/H121)*100
-VLOOKUP($S121,'表30-5-2-5-2'!$B$114:$AF$214,MATCH($D121,'表30-5-2-5-2'!$4:$4,0)-1,FALSE)*(1-(S121/100-M121/H121)*100),0))))</f>
        <v>0</v>
      </c>
      <c r="V121" s="2478">
        <f t="shared" si="15"/>
        <v>0</v>
      </c>
      <c r="W121" s="2478">
        <f t="shared" si="16"/>
        <v>0</v>
      </c>
      <c r="X121" s="2718">
        <f t="shared" si="18"/>
        <v>0</v>
      </c>
      <c r="Y121" s="2718">
        <f t="shared" si="19"/>
        <v>0</v>
      </c>
    </row>
    <row r="122" spans="1:25">
      <c r="A122" s="2473" t="str">
        <f t="shared" si="17"/>
        <v/>
      </c>
      <c r="B122" s="2737"/>
      <c r="C122" s="2737"/>
      <c r="D122" s="2737"/>
      <c r="E122" s="2738"/>
      <c r="F122" s="2738"/>
      <c r="G122" s="2738"/>
      <c r="H122" s="2739"/>
      <c r="I122" s="2741"/>
      <c r="J122" s="2741"/>
      <c r="K122" s="2742"/>
      <c r="L122" s="2742"/>
      <c r="M122" s="2738"/>
      <c r="N122" s="2738"/>
      <c r="O122" s="2474">
        <f t="shared" si="11"/>
        <v>0</v>
      </c>
      <c r="P122" s="2474">
        <f t="shared" si="12"/>
        <v>0</v>
      </c>
      <c r="Q122" s="2475">
        <f t="shared" si="20"/>
        <v>0</v>
      </c>
      <c r="R122" s="2475">
        <f t="shared" si="21"/>
        <v>0</v>
      </c>
      <c r="S122" s="2476">
        <f t="shared" si="13"/>
        <v>0</v>
      </c>
      <c r="T122" s="2476">
        <f t="shared" si="14"/>
        <v>0</v>
      </c>
      <c r="U122" s="2477">
        <f>IF(OR(E122="QS",B122=""),0,
IF(C122="F",VLOOKUP($T122,'表30-5-2-5-1'!$B:$AF,MATCH($D122&amp;"a",'表30-5-2-5-1'!$4:$4,0)-1,FALSE)
-IF($S122-1&lt;=0,0,VLOOKUP($S122-1,'表30-5-2-5-1'!$B:$AF,MATCH($D122&amp;"a",'表30-5-2-5-1'!$4:$4,0)-1,FALSE))
-VLOOKUP($T122,'表30-5-2-5-1'!$B:$AF,MATCH($D122,'表30-5-2-5-1'!$4:$4,0)-1,FALSE)*(T122/100-N122/H122)*100
-VLOOKUP($S122,'表30-5-2-5-1'!$B:$AF,MATCH($D122,'表30-5-2-5-1'!$4:$4,0)-1,FALSE)*(1-(S122/100-M122/H122)*100),
IF(C122="E1",VLOOKUP($T122,'表30-5-2-5-2'!$B$4:$AF$104,MATCH($D122&amp;"a",'表30-5-2-5-2'!$4:$4,0)-1,FALSE)
-IF($S122-1&lt;=0,0,VLOOKUP($S122-1,'表30-5-2-5-2'!$B$4:$AF$104,MATCH($D122&amp;"a",'表30-5-2-5-2'!$4:$4,0)-1,FALSE))
-VLOOKUP($T122,'表30-5-2-5-2'!$B$4:$AF$104,MATCH($D122,'表30-5-2-5-2'!$4:$4,0)-1,FALSE)*(T122/100-N122/H122)*100
-VLOOKUP($S122,'表30-5-2-5-2'!$B$4:$AF$104,MATCH($D122,'表30-5-2-5-2'!$4:$4,0)-1,FALSE)*(1-(S122/100-M122/H122)*100),
IF(C122="E2",VLOOKUP($T122,'表30-5-2-5-2'!$B$114:$AF$214,MATCH($D122&amp;"a",'表30-5-2-5-2'!$4:$4,0)-1,FALSE)
-IF($S122-1&lt;=0,0,VLOOKUP($S122-1,'表30-5-2-5-2'!$B$114:$AF$214,MATCH($D122&amp;"a",'表30-5-2-5-2'!$4:$4,0)-1,FALSE))
-VLOOKUP($T122,'表30-5-2-5-2'!$B$114:$AF$214,MATCH($D122,'表30-5-2-5-2'!$4:$4,0)-1,FALSE)*(T122/100-N122/H122)*100
-VLOOKUP($S122,'表30-5-2-5-2'!$B$114:$AF$214,MATCH($D122,'表30-5-2-5-2'!$4:$4,0)-1,FALSE)*(1-(S122/100-M122/H122)*100),0))))</f>
        <v>0</v>
      </c>
      <c r="V122" s="2478">
        <f t="shared" si="15"/>
        <v>0</v>
      </c>
      <c r="W122" s="2478">
        <f t="shared" si="16"/>
        <v>0</v>
      </c>
      <c r="X122" s="2718">
        <f t="shared" si="18"/>
        <v>0</v>
      </c>
      <c r="Y122" s="2718">
        <f t="shared" si="19"/>
        <v>0</v>
      </c>
    </row>
    <row r="123" spans="1:25">
      <c r="A123" s="2473" t="str">
        <f t="shared" si="17"/>
        <v/>
      </c>
      <c r="B123" s="2737"/>
      <c r="C123" s="2737"/>
      <c r="D123" s="2737"/>
      <c r="E123" s="2738"/>
      <c r="F123" s="2738"/>
      <c r="G123" s="2738"/>
      <c r="H123" s="2739"/>
      <c r="I123" s="2741"/>
      <c r="J123" s="2741"/>
      <c r="K123" s="2742"/>
      <c r="L123" s="2742"/>
      <c r="M123" s="2738"/>
      <c r="N123" s="2738"/>
      <c r="O123" s="2474">
        <f t="shared" si="11"/>
        <v>0</v>
      </c>
      <c r="P123" s="2474">
        <f t="shared" si="12"/>
        <v>0</v>
      </c>
      <c r="Q123" s="2475">
        <f t="shared" si="20"/>
        <v>0</v>
      </c>
      <c r="R123" s="2475">
        <f t="shared" si="21"/>
        <v>0</v>
      </c>
      <c r="S123" s="2476">
        <f t="shared" si="13"/>
        <v>0</v>
      </c>
      <c r="T123" s="2476">
        <f t="shared" si="14"/>
        <v>0</v>
      </c>
      <c r="U123" s="2477">
        <f>IF(OR(E123="QS",B123=""),0,
IF(C123="F",VLOOKUP($T123,'表30-5-2-5-1'!$B:$AF,MATCH($D123&amp;"a",'表30-5-2-5-1'!$4:$4,0)-1,FALSE)
-IF($S123-1&lt;=0,0,VLOOKUP($S123-1,'表30-5-2-5-1'!$B:$AF,MATCH($D123&amp;"a",'表30-5-2-5-1'!$4:$4,0)-1,FALSE))
-VLOOKUP($T123,'表30-5-2-5-1'!$B:$AF,MATCH($D123,'表30-5-2-5-1'!$4:$4,0)-1,FALSE)*(T123/100-N123/H123)*100
-VLOOKUP($S123,'表30-5-2-5-1'!$B:$AF,MATCH($D123,'表30-5-2-5-1'!$4:$4,0)-1,FALSE)*(1-(S123/100-M123/H123)*100),
IF(C123="E1",VLOOKUP($T123,'表30-5-2-5-2'!$B$4:$AF$104,MATCH($D123&amp;"a",'表30-5-2-5-2'!$4:$4,0)-1,FALSE)
-IF($S123-1&lt;=0,0,VLOOKUP($S123-1,'表30-5-2-5-2'!$B$4:$AF$104,MATCH($D123&amp;"a",'表30-5-2-5-2'!$4:$4,0)-1,FALSE))
-VLOOKUP($T123,'表30-5-2-5-2'!$B$4:$AF$104,MATCH($D123,'表30-5-2-5-2'!$4:$4,0)-1,FALSE)*(T123/100-N123/H123)*100
-VLOOKUP($S123,'表30-5-2-5-2'!$B$4:$AF$104,MATCH($D123,'表30-5-2-5-2'!$4:$4,0)-1,FALSE)*(1-(S123/100-M123/H123)*100),
IF(C123="E2",VLOOKUP($T123,'表30-5-2-5-2'!$B$114:$AF$214,MATCH($D123&amp;"a",'表30-5-2-5-2'!$4:$4,0)-1,FALSE)
-IF($S123-1&lt;=0,0,VLOOKUP($S123-1,'表30-5-2-5-2'!$B$114:$AF$214,MATCH($D123&amp;"a",'表30-5-2-5-2'!$4:$4,0)-1,FALSE))
-VLOOKUP($T123,'表30-5-2-5-2'!$B$114:$AF$214,MATCH($D123,'表30-5-2-5-2'!$4:$4,0)-1,FALSE)*(T123/100-N123/H123)*100
-VLOOKUP($S123,'表30-5-2-5-2'!$B$114:$AF$214,MATCH($D123,'表30-5-2-5-2'!$4:$4,0)-1,FALSE)*(1-(S123/100-M123/H123)*100),0))))</f>
        <v>0</v>
      </c>
      <c r="V123" s="2478">
        <f t="shared" si="15"/>
        <v>0</v>
      </c>
      <c r="W123" s="2478">
        <f t="shared" si="16"/>
        <v>0</v>
      </c>
      <c r="X123" s="2718">
        <f t="shared" si="18"/>
        <v>0</v>
      </c>
      <c r="Y123" s="2718">
        <f t="shared" si="19"/>
        <v>0</v>
      </c>
    </row>
    <row r="124" spans="1:25">
      <c r="A124" s="2473" t="str">
        <f t="shared" si="17"/>
        <v/>
      </c>
      <c r="B124" s="2737"/>
      <c r="C124" s="2737"/>
      <c r="D124" s="2737"/>
      <c r="E124" s="2738"/>
      <c r="F124" s="2738"/>
      <c r="G124" s="2738"/>
      <c r="H124" s="2739"/>
      <c r="I124" s="2741"/>
      <c r="J124" s="2741"/>
      <c r="K124" s="2742"/>
      <c r="L124" s="2742"/>
      <c r="M124" s="2738"/>
      <c r="N124" s="2738"/>
      <c r="O124" s="2474">
        <f t="shared" si="11"/>
        <v>0</v>
      </c>
      <c r="P124" s="2474">
        <f t="shared" si="12"/>
        <v>0</v>
      </c>
      <c r="Q124" s="2475">
        <f t="shared" si="20"/>
        <v>0</v>
      </c>
      <c r="R124" s="2475">
        <f t="shared" si="21"/>
        <v>0</v>
      </c>
      <c r="S124" s="2476">
        <f t="shared" si="13"/>
        <v>0</v>
      </c>
      <c r="T124" s="2476">
        <f t="shared" si="14"/>
        <v>0</v>
      </c>
      <c r="U124" s="2477">
        <f>IF(OR(E124="QS",B124=""),0,
IF(C124="F",VLOOKUP($T124,'表30-5-2-5-1'!$B:$AF,MATCH($D124&amp;"a",'表30-5-2-5-1'!$4:$4,0)-1,FALSE)
-IF($S124-1&lt;=0,0,VLOOKUP($S124-1,'表30-5-2-5-1'!$B:$AF,MATCH($D124&amp;"a",'表30-5-2-5-1'!$4:$4,0)-1,FALSE))
-VLOOKUP($T124,'表30-5-2-5-1'!$B:$AF,MATCH($D124,'表30-5-2-5-1'!$4:$4,0)-1,FALSE)*(T124/100-N124/H124)*100
-VLOOKUP($S124,'表30-5-2-5-1'!$B:$AF,MATCH($D124,'表30-5-2-5-1'!$4:$4,0)-1,FALSE)*(1-(S124/100-M124/H124)*100),
IF(C124="E1",VLOOKUP($T124,'表30-5-2-5-2'!$B$4:$AF$104,MATCH($D124&amp;"a",'表30-5-2-5-2'!$4:$4,0)-1,FALSE)
-IF($S124-1&lt;=0,0,VLOOKUP($S124-1,'表30-5-2-5-2'!$B$4:$AF$104,MATCH($D124&amp;"a",'表30-5-2-5-2'!$4:$4,0)-1,FALSE))
-VLOOKUP($T124,'表30-5-2-5-2'!$B$4:$AF$104,MATCH($D124,'表30-5-2-5-2'!$4:$4,0)-1,FALSE)*(T124/100-N124/H124)*100
-VLOOKUP($S124,'表30-5-2-5-2'!$B$4:$AF$104,MATCH($D124,'表30-5-2-5-2'!$4:$4,0)-1,FALSE)*(1-(S124/100-M124/H124)*100),
IF(C124="E2",VLOOKUP($T124,'表30-5-2-5-2'!$B$114:$AF$214,MATCH($D124&amp;"a",'表30-5-2-5-2'!$4:$4,0)-1,FALSE)
-IF($S124-1&lt;=0,0,VLOOKUP($S124-1,'表30-5-2-5-2'!$B$114:$AF$214,MATCH($D124&amp;"a",'表30-5-2-5-2'!$4:$4,0)-1,FALSE))
-VLOOKUP($T124,'表30-5-2-5-2'!$B$114:$AF$214,MATCH($D124,'表30-5-2-5-2'!$4:$4,0)-1,FALSE)*(T124/100-N124/H124)*100
-VLOOKUP($S124,'表30-5-2-5-2'!$B$114:$AF$214,MATCH($D124,'表30-5-2-5-2'!$4:$4,0)-1,FALSE)*(1-(S124/100-M124/H124)*100),0))))</f>
        <v>0</v>
      </c>
      <c r="V124" s="2478">
        <f t="shared" si="15"/>
        <v>0</v>
      </c>
      <c r="W124" s="2478">
        <f t="shared" si="16"/>
        <v>0</v>
      </c>
      <c r="X124" s="2718">
        <f t="shared" si="18"/>
        <v>0</v>
      </c>
      <c r="Y124" s="2718">
        <f t="shared" si="19"/>
        <v>0</v>
      </c>
    </row>
    <row r="125" spans="1:25">
      <c r="A125" s="2473" t="str">
        <f t="shared" si="17"/>
        <v/>
      </c>
      <c r="B125" s="2737"/>
      <c r="C125" s="2737"/>
      <c r="D125" s="2737"/>
      <c r="E125" s="2738"/>
      <c r="F125" s="2738"/>
      <c r="G125" s="2738"/>
      <c r="H125" s="2739"/>
      <c r="I125" s="2741"/>
      <c r="J125" s="2741"/>
      <c r="K125" s="2742"/>
      <c r="L125" s="2742"/>
      <c r="M125" s="2738"/>
      <c r="N125" s="2738"/>
      <c r="O125" s="2474">
        <f t="shared" si="11"/>
        <v>0</v>
      </c>
      <c r="P125" s="2474">
        <f t="shared" si="12"/>
        <v>0</v>
      </c>
      <c r="Q125" s="2475">
        <f t="shared" si="20"/>
        <v>0</v>
      </c>
      <c r="R125" s="2475">
        <f t="shared" si="21"/>
        <v>0</v>
      </c>
      <c r="S125" s="2476">
        <f t="shared" si="13"/>
        <v>0</v>
      </c>
      <c r="T125" s="2476">
        <f t="shared" si="14"/>
        <v>0</v>
      </c>
      <c r="U125" s="2477">
        <f>IF(OR(E125="QS",B125=""),0,
IF(C125="F",VLOOKUP($T125,'表30-5-2-5-1'!$B:$AF,MATCH($D125&amp;"a",'表30-5-2-5-1'!$4:$4,0)-1,FALSE)
-IF($S125-1&lt;=0,0,VLOOKUP($S125-1,'表30-5-2-5-1'!$B:$AF,MATCH($D125&amp;"a",'表30-5-2-5-1'!$4:$4,0)-1,FALSE))
-VLOOKUP($T125,'表30-5-2-5-1'!$B:$AF,MATCH($D125,'表30-5-2-5-1'!$4:$4,0)-1,FALSE)*(T125/100-N125/H125)*100
-VLOOKUP($S125,'表30-5-2-5-1'!$B:$AF,MATCH($D125,'表30-5-2-5-1'!$4:$4,0)-1,FALSE)*(1-(S125/100-M125/H125)*100),
IF(C125="E1",VLOOKUP($T125,'表30-5-2-5-2'!$B$4:$AF$104,MATCH($D125&amp;"a",'表30-5-2-5-2'!$4:$4,0)-1,FALSE)
-IF($S125-1&lt;=0,0,VLOOKUP($S125-1,'表30-5-2-5-2'!$B$4:$AF$104,MATCH($D125&amp;"a",'表30-5-2-5-2'!$4:$4,0)-1,FALSE))
-VLOOKUP($T125,'表30-5-2-5-2'!$B$4:$AF$104,MATCH($D125,'表30-5-2-5-2'!$4:$4,0)-1,FALSE)*(T125/100-N125/H125)*100
-VLOOKUP($S125,'表30-5-2-5-2'!$B$4:$AF$104,MATCH($D125,'表30-5-2-5-2'!$4:$4,0)-1,FALSE)*(1-(S125/100-M125/H125)*100),
IF(C125="E2",VLOOKUP($T125,'表30-5-2-5-2'!$B$114:$AF$214,MATCH($D125&amp;"a",'表30-5-2-5-2'!$4:$4,0)-1,FALSE)
-IF($S125-1&lt;=0,0,VLOOKUP($S125-1,'表30-5-2-5-2'!$B$114:$AF$214,MATCH($D125&amp;"a",'表30-5-2-5-2'!$4:$4,0)-1,FALSE))
-VLOOKUP($T125,'表30-5-2-5-2'!$B$114:$AF$214,MATCH($D125,'表30-5-2-5-2'!$4:$4,0)-1,FALSE)*(T125/100-N125/H125)*100
-VLOOKUP($S125,'表30-5-2-5-2'!$B$114:$AF$214,MATCH($D125,'表30-5-2-5-2'!$4:$4,0)-1,FALSE)*(1-(S125/100-M125/H125)*100),0))))</f>
        <v>0</v>
      </c>
      <c r="V125" s="2478">
        <f t="shared" si="15"/>
        <v>0</v>
      </c>
      <c r="W125" s="2478">
        <f t="shared" si="16"/>
        <v>0</v>
      </c>
      <c r="X125" s="2718">
        <f t="shared" si="18"/>
        <v>0</v>
      </c>
      <c r="Y125" s="2718">
        <f t="shared" si="19"/>
        <v>0</v>
      </c>
    </row>
    <row r="126" spans="1:25">
      <c r="A126" s="2473" t="str">
        <f t="shared" si="17"/>
        <v/>
      </c>
      <c r="B126" s="2737"/>
      <c r="C126" s="2737"/>
      <c r="D126" s="2737"/>
      <c r="E126" s="2738"/>
      <c r="F126" s="2738"/>
      <c r="G126" s="2738"/>
      <c r="H126" s="2739"/>
      <c r="I126" s="2741"/>
      <c r="J126" s="2741"/>
      <c r="K126" s="2742"/>
      <c r="L126" s="2742"/>
      <c r="M126" s="2738"/>
      <c r="N126" s="2738"/>
      <c r="O126" s="2474">
        <f t="shared" si="11"/>
        <v>0</v>
      </c>
      <c r="P126" s="2474">
        <f t="shared" si="12"/>
        <v>0</v>
      </c>
      <c r="Q126" s="2475">
        <f t="shared" si="20"/>
        <v>0</v>
      </c>
      <c r="R126" s="2475">
        <f t="shared" si="21"/>
        <v>0</v>
      </c>
      <c r="S126" s="2476">
        <f t="shared" si="13"/>
        <v>0</v>
      </c>
      <c r="T126" s="2476">
        <f t="shared" si="14"/>
        <v>0</v>
      </c>
      <c r="U126" s="2477">
        <f>IF(OR(E126="QS",B126=""),0,
IF(C126="F",VLOOKUP($T126,'表30-5-2-5-1'!$B:$AF,MATCH($D126&amp;"a",'表30-5-2-5-1'!$4:$4,0)-1,FALSE)
-IF($S126-1&lt;=0,0,VLOOKUP($S126-1,'表30-5-2-5-1'!$B:$AF,MATCH($D126&amp;"a",'表30-5-2-5-1'!$4:$4,0)-1,FALSE))
-VLOOKUP($T126,'表30-5-2-5-1'!$B:$AF,MATCH($D126,'表30-5-2-5-1'!$4:$4,0)-1,FALSE)*(T126/100-N126/H126)*100
-VLOOKUP($S126,'表30-5-2-5-1'!$B:$AF,MATCH($D126,'表30-5-2-5-1'!$4:$4,0)-1,FALSE)*(1-(S126/100-M126/H126)*100),
IF(C126="E1",VLOOKUP($T126,'表30-5-2-5-2'!$B$4:$AF$104,MATCH($D126&amp;"a",'表30-5-2-5-2'!$4:$4,0)-1,FALSE)
-IF($S126-1&lt;=0,0,VLOOKUP($S126-1,'表30-5-2-5-2'!$B$4:$AF$104,MATCH($D126&amp;"a",'表30-5-2-5-2'!$4:$4,0)-1,FALSE))
-VLOOKUP($T126,'表30-5-2-5-2'!$B$4:$AF$104,MATCH($D126,'表30-5-2-5-2'!$4:$4,0)-1,FALSE)*(T126/100-N126/H126)*100
-VLOOKUP($S126,'表30-5-2-5-2'!$B$4:$AF$104,MATCH($D126,'表30-5-2-5-2'!$4:$4,0)-1,FALSE)*(1-(S126/100-M126/H126)*100),
IF(C126="E2",VLOOKUP($T126,'表30-5-2-5-2'!$B$114:$AF$214,MATCH($D126&amp;"a",'表30-5-2-5-2'!$4:$4,0)-1,FALSE)
-IF($S126-1&lt;=0,0,VLOOKUP($S126-1,'表30-5-2-5-2'!$B$114:$AF$214,MATCH($D126&amp;"a",'表30-5-2-5-2'!$4:$4,0)-1,FALSE))
-VLOOKUP($T126,'表30-5-2-5-2'!$B$114:$AF$214,MATCH($D126,'表30-5-2-5-2'!$4:$4,0)-1,FALSE)*(T126/100-N126/H126)*100
-VLOOKUP($S126,'表30-5-2-5-2'!$B$114:$AF$214,MATCH($D126,'表30-5-2-5-2'!$4:$4,0)-1,FALSE)*(1-(S126/100-M126/H126)*100),0))))</f>
        <v>0</v>
      </c>
      <c r="V126" s="2478">
        <f t="shared" si="15"/>
        <v>0</v>
      </c>
      <c r="W126" s="2478">
        <f t="shared" si="16"/>
        <v>0</v>
      </c>
      <c r="X126" s="2718">
        <f t="shared" si="18"/>
        <v>0</v>
      </c>
      <c r="Y126" s="2718">
        <f t="shared" si="19"/>
        <v>0</v>
      </c>
    </row>
    <row r="127" spans="1:25">
      <c r="A127" s="2473" t="str">
        <f t="shared" si="17"/>
        <v/>
      </c>
      <c r="B127" s="2737"/>
      <c r="C127" s="2737"/>
      <c r="D127" s="2737"/>
      <c r="E127" s="2738"/>
      <c r="F127" s="2738"/>
      <c r="G127" s="2738"/>
      <c r="H127" s="2739"/>
      <c r="I127" s="2741"/>
      <c r="J127" s="2741"/>
      <c r="K127" s="2742"/>
      <c r="L127" s="2742"/>
      <c r="M127" s="2738"/>
      <c r="N127" s="2738"/>
      <c r="O127" s="2474">
        <f t="shared" si="11"/>
        <v>0</v>
      </c>
      <c r="P127" s="2474">
        <f t="shared" si="12"/>
        <v>0</v>
      </c>
      <c r="Q127" s="2475">
        <f t="shared" si="20"/>
        <v>0</v>
      </c>
      <c r="R127" s="2475">
        <f t="shared" si="21"/>
        <v>0</v>
      </c>
      <c r="S127" s="2476">
        <f t="shared" si="13"/>
        <v>0</v>
      </c>
      <c r="T127" s="2476">
        <f t="shared" si="14"/>
        <v>0</v>
      </c>
      <c r="U127" s="2477">
        <f>IF(OR(E127="QS",B127=""),0,
IF(C127="F",VLOOKUP($T127,'表30-5-2-5-1'!$B:$AF,MATCH($D127&amp;"a",'表30-5-2-5-1'!$4:$4,0)-1,FALSE)
-IF($S127-1&lt;=0,0,VLOOKUP($S127-1,'表30-5-2-5-1'!$B:$AF,MATCH($D127&amp;"a",'表30-5-2-5-1'!$4:$4,0)-1,FALSE))
-VLOOKUP($T127,'表30-5-2-5-1'!$B:$AF,MATCH($D127,'表30-5-2-5-1'!$4:$4,0)-1,FALSE)*(T127/100-N127/H127)*100
-VLOOKUP($S127,'表30-5-2-5-1'!$B:$AF,MATCH($D127,'表30-5-2-5-1'!$4:$4,0)-1,FALSE)*(1-(S127/100-M127/H127)*100),
IF(C127="E1",VLOOKUP($T127,'表30-5-2-5-2'!$B$4:$AF$104,MATCH($D127&amp;"a",'表30-5-2-5-2'!$4:$4,0)-1,FALSE)
-IF($S127-1&lt;=0,0,VLOOKUP($S127-1,'表30-5-2-5-2'!$B$4:$AF$104,MATCH($D127&amp;"a",'表30-5-2-5-2'!$4:$4,0)-1,FALSE))
-VLOOKUP($T127,'表30-5-2-5-2'!$B$4:$AF$104,MATCH($D127,'表30-5-2-5-2'!$4:$4,0)-1,FALSE)*(T127/100-N127/H127)*100
-VLOOKUP($S127,'表30-5-2-5-2'!$B$4:$AF$104,MATCH($D127,'表30-5-2-5-2'!$4:$4,0)-1,FALSE)*(1-(S127/100-M127/H127)*100),
IF(C127="E2",VLOOKUP($T127,'表30-5-2-5-2'!$B$114:$AF$214,MATCH($D127&amp;"a",'表30-5-2-5-2'!$4:$4,0)-1,FALSE)
-IF($S127-1&lt;=0,0,VLOOKUP($S127-1,'表30-5-2-5-2'!$B$114:$AF$214,MATCH($D127&amp;"a",'表30-5-2-5-2'!$4:$4,0)-1,FALSE))
-VLOOKUP($T127,'表30-5-2-5-2'!$B$114:$AF$214,MATCH($D127,'表30-5-2-5-2'!$4:$4,0)-1,FALSE)*(T127/100-N127/H127)*100
-VLOOKUP($S127,'表30-5-2-5-2'!$B$114:$AF$214,MATCH($D127,'表30-5-2-5-2'!$4:$4,0)-1,FALSE)*(1-(S127/100-M127/H127)*100),0))))</f>
        <v>0</v>
      </c>
      <c r="V127" s="2478">
        <f t="shared" si="15"/>
        <v>0</v>
      </c>
      <c r="W127" s="2478">
        <f t="shared" si="16"/>
        <v>0</v>
      </c>
      <c r="X127" s="2718">
        <f t="shared" si="18"/>
        <v>0</v>
      </c>
      <c r="Y127" s="2718">
        <f t="shared" si="19"/>
        <v>0</v>
      </c>
    </row>
    <row r="128" spans="1:25">
      <c r="A128" s="2473" t="str">
        <f t="shared" si="17"/>
        <v/>
      </c>
      <c r="B128" s="2737"/>
      <c r="C128" s="2737"/>
      <c r="D128" s="2737"/>
      <c r="E128" s="2738"/>
      <c r="F128" s="2738"/>
      <c r="G128" s="2738"/>
      <c r="H128" s="2739"/>
      <c r="I128" s="2741"/>
      <c r="J128" s="2741"/>
      <c r="K128" s="2742"/>
      <c r="L128" s="2742"/>
      <c r="M128" s="2738"/>
      <c r="N128" s="2738"/>
      <c r="O128" s="2474">
        <f t="shared" si="11"/>
        <v>0</v>
      </c>
      <c r="P128" s="2474">
        <f t="shared" si="12"/>
        <v>0</v>
      </c>
      <c r="Q128" s="2475">
        <f t="shared" si="20"/>
        <v>0</v>
      </c>
      <c r="R128" s="2475">
        <f t="shared" si="21"/>
        <v>0</v>
      </c>
      <c r="S128" s="2476">
        <f t="shared" si="13"/>
        <v>0</v>
      </c>
      <c r="T128" s="2476">
        <f t="shared" si="14"/>
        <v>0</v>
      </c>
      <c r="U128" s="2477">
        <f>IF(OR(E128="QS",B128=""),0,
IF(C128="F",VLOOKUP($T128,'表30-5-2-5-1'!$B:$AF,MATCH($D128&amp;"a",'表30-5-2-5-1'!$4:$4,0)-1,FALSE)
-IF($S128-1&lt;=0,0,VLOOKUP($S128-1,'表30-5-2-5-1'!$B:$AF,MATCH($D128&amp;"a",'表30-5-2-5-1'!$4:$4,0)-1,FALSE))
-VLOOKUP($T128,'表30-5-2-5-1'!$B:$AF,MATCH($D128,'表30-5-2-5-1'!$4:$4,0)-1,FALSE)*(T128/100-N128/H128)*100
-VLOOKUP($S128,'表30-5-2-5-1'!$B:$AF,MATCH($D128,'表30-5-2-5-1'!$4:$4,0)-1,FALSE)*(1-(S128/100-M128/H128)*100),
IF(C128="E1",VLOOKUP($T128,'表30-5-2-5-2'!$B$4:$AF$104,MATCH($D128&amp;"a",'表30-5-2-5-2'!$4:$4,0)-1,FALSE)
-IF($S128-1&lt;=0,0,VLOOKUP($S128-1,'表30-5-2-5-2'!$B$4:$AF$104,MATCH($D128&amp;"a",'表30-5-2-5-2'!$4:$4,0)-1,FALSE))
-VLOOKUP($T128,'表30-5-2-5-2'!$B$4:$AF$104,MATCH($D128,'表30-5-2-5-2'!$4:$4,0)-1,FALSE)*(T128/100-N128/H128)*100
-VLOOKUP($S128,'表30-5-2-5-2'!$B$4:$AF$104,MATCH($D128,'表30-5-2-5-2'!$4:$4,0)-1,FALSE)*(1-(S128/100-M128/H128)*100),
IF(C128="E2",VLOOKUP($T128,'表30-5-2-5-2'!$B$114:$AF$214,MATCH($D128&amp;"a",'表30-5-2-5-2'!$4:$4,0)-1,FALSE)
-IF($S128-1&lt;=0,0,VLOOKUP($S128-1,'表30-5-2-5-2'!$B$114:$AF$214,MATCH($D128&amp;"a",'表30-5-2-5-2'!$4:$4,0)-1,FALSE))
-VLOOKUP($T128,'表30-5-2-5-2'!$B$114:$AF$214,MATCH($D128,'表30-5-2-5-2'!$4:$4,0)-1,FALSE)*(T128/100-N128/H128)*100
-VLOOKUP($S128,'表30-5-2-5-2'!$B$114:$AF$214,MATCH($D128,'表30-5-2-5-2'!$4:$4,0)-1,FALSE)*(1-(S128/100-M128/H128)*100),0))))</f>
        <v>0</v>
      </c>
      <c r="V128" s="2478">
        <f t="shared" si="15"/>
        <v>0</v>
      </c>
      <c r="W128" s="2478">
        <f t="shared" si="16"/>
        <v>0</v>
      </c>
      <c r="X128" s="2718">
        <f t="shared" si="18"/>
        <v>0</v>
      </c>
      <c r="Y128" s="2718">
        <f t="shared" si="19"/>
        <v>0</v>
      </c>
    </row>
    <row r="129" spans="1:25">
      <c r="A129" s="2473" t="str">
        <f t="shared" si="17"/>
        <v/>
      </c>
      <c r="B129" s="2737"/>
      <c r="C129" s="2737"/>
      <c r="D129" s="2737"/>
      <c r="E129" s="2738"/>
      <c r="F129" s="2738"/>
      <c r="G129" s="2738"/>
      <c r="H129" s="2739"/>
      <c r="I129" s="2741"/>
      <c r="J129" s="2741"/>
      <c r="K129" s="2742"/>
      <c r="L129" s="2742"/>
      <c r="M129" s="2738"/>
      <c r="N129" s="2738"/>
      <c r="O129" s="2474">
        <f t="shared" si="11"/>
        <v>0</v>
      </c>
      <c r="P129" s="2474">
        <f t="shared" si="12"/>
        <v>0</v>
      </c>
      <c r="Q129" s="2475">
        <f t="shared" si="20"/>
        <v>0</v>
      </c>
      <c r="R129" s="2475">
        <f t="shared" si="21"/>
        <v>0</v>
      </c>
      <c r="S129" s="2476">
        <f t="shared" si="13"/>
        <v>0</v>
      </c>
      <c r="T129" s="2476">
        <f t="shared" si="14"/>
        <v>0</v>
      </c>
      <c r="U129" s="2477">
        <f>IF(OR(E129="QS",B129=""),0,
IF(C129="F",VLOOKUP($T129,'表30-5-2-5-1'!$B:$AF,MATCH($D129&amp;"a",'表30-5-2-5-1'!$4:$4,0)-1,FALSE)
-IF($S129-1&lt;=0,0,VLOOKUP($S129-1,'表30-5-2-5-1'!$B:$AF,MATCH($D129&amp;"a",'表30-5-2-5-1'!$4:$4,0)-1,FALSE))
-VLOOKUP($T129,'表30-5-2-5-1'!$B:$AF,MATCH($D129,'表30-5-2-5-1'!$4:$4,0)-1,FALSE)*(T129/100-N129/H129)*100
-VLOOKUP($S129,'表30-5-2-5-1'!$B:$AF,MATCH($D129,'表30-5-2-5-1'!$4:$4,0)-1,FALSE)*(1-(S129/100-M129/H129)*100),
IF(C129="E1",VLOOKUP($T129,'表30-5-2-5-2'!$B$4:$AF$104,MATCH($D129&amp;"a",'表30-5-2-5-2'!$4:$4,0)-1,FALSE)
-IF($S129-1&lt;=0,0,VLOOKUP($S129-1,'表30-5-2-5-2'!$B$4:$AF$104,MATCH($D129&amp;"a",'表30-5-2-5-2'!$4:$4,0)-1,FALSE))
-VLOOKUP($T129,'表30-5-2-5-2'!$B$4:$AF$104,MATCH($D129,'表30-5-2-5-2'!$4:$4,0)-1,FALSE)*(T129/100-N129/H129)*100
-VLOOKUP($S129,'表30-5-2-5-2'!$B$4:$AF$104,MATCH($D129,'表30-5-2-5-2'!$4:$4,0)-1,FALSE)*(1-(S129/100-M129/H129)*100),
IF(C129="E2",VLOOKUP($T129,'表30-5-2-5-2'!$B$114:$AF$214,MATCH($D129&amp;"a",'表30-5-2-5-2'!$4:$4,0)-1,FALSE)
-IF($S129-1&lt;=0,0,VLOOKUP($S129-1,'表30-5-2-5-2'!$B$114:$AF$214,MATCH($D129&amp;"a",'表30-5-2-5-2'!$4:$4,0)-1,FALSE))
-VLOOKUP($T129,'表30-5-2-5-2'!$B$114:$AF$214,MATCH($D129,'表30-5-2-5-2'!$4:$4,0)-1,FALSE)*(T129/100-N129/H129)*100
-VLOOKUP($S129,'表30-5-2-5-2'!$B$114:$AF$214,MATCH($D129,'表30-5-2-5-2'!$4:$4,0)-1,FALSE)*(1-(S129/100-M129/H129)*100),0))))</f>
        <v>0</v>
      </c>
      <c r="V129" s="2478">
        <f t="shared" si="15"/>
        <v>0</v>
      </c>
      <c r="W129" s="2478">
        <f t="shared" si="16"/>
        <v>0</v>
      </c>
      <c r="X129" s="2718">
        <f t="shared" si="18"/>
        <v>0</v>
      </c>
      <c r="Y129" s="2718">
        <f t="shared" si="19"/>
        <v>0</v>
      </c>
    </row>
    <row r="130" spans="1:25">
      <c r="A130" s="2473" t="str">
        <f t="shared" si="17"/>
        <v/>
      </c>
      <c r="B130" s="2737"/>
      <c r="C130" s="2737"/>
      <c r="D130" s="2737"/>
      <c r="E130" s="2738"/>
      <c r="F130" s="2738"/>
      <c r="G130" s="2738"/>
      <c r="H130" s="2739"/>
      <c r="I130" s="2741"/>
      <c r="J130" s="2741"/>
      <c r="K130" s="2742"/>
      <c r="L130" s="2742"/>
      <c r="M130" s="2738"/>
      <c r="N130" s="2738"/>
      <c r="O130" s="2474">
        <f t="shared" si="11"/>
        <v>0</v>
      </c>
      <c r="P130" s="2474">
        <f t="shared" si="12"/>
        <v>0</v>
      </c>
      <c r="Q130" s="2475">
        <f t="shared" si="20"/>
        <v>0</v>
      </c>
      <c r="R130" s="2475">
        <f t="shared" si="21"/>
        <v>0</v>
      </c>
      <c r="S130" s="2476">
        <f t="shared" si="13"/>
        <v>0</v>
      </c>
      <c r="T130" s="2476">
        <f t="shared" si="14"/>
        <v>0</v>
      </c>
      <c r="U130" s="2477">
        <f>IF(OR(E130="QS",B130=""),0,
IF(C130="F",VLOOKUP($T130,'表30-5-2-5-1'!$B:$AF,MATCH($D130&amp;"a",'表30-5-2-5-1'!$4:$4,0)-1,FALSE)
-IF($S130-1&lt;=0,0,VLOOKUP($S130-1,'表30-5-2-5-1'!$B:$AF,MATCH($D130&amp;"a",'表30-5-2-5-1'!$4:$4,0)-1,FALSE))
-VLOOKUP($T130,'表30-5-2-5-1'!$B:$AF,MATCH($D130,'表30-5-2-5-1'!$4:$4,0)-1,FALSE)*(T130/100-N130/H130)*100
-VLOOKUP($S130,'表30-5-2-5-1'!$B:$AF,MATCH($D130,'表30-5-2-5-1'!$4:$4,0)-1,FALSE)*(1-(S130/100-M130/H130)*100),
IF(C130="E1",VLOOKUP($T130,'表30-5-2-5-2'!$B$4:$AF$104,MATCH($D130&amp;"a",'表30-5-2-5-2'!$4:$4,0)-1,FALSE)
-IF($S130-1&lt;=0,0,VLOOKUP($S130-1,'表30-5-2-5-2'!$B$4:$AF$104,MATCH($D130&amp;"a",'表30-5-2-5-2'!$4:$4,0)-1,FALSE))
-VLOOKUP($T130,'表30-5-2-5-2'!$B$4:$AF$104,MATCH($D130,'表30-5-2-5-2'!$4:$4,0)-1,FALSE)*(T130/100-N130/H130)*100
-VLOOKUP($S130,'表30-5-2-5-2'!$B$4:$AF$104,MATCH($D130,'表30-5-2-5-2'!$4:$4,0)-1,FALSE)*(1-(S130/100-M130/H130)*100),
IF(C130="E2",VLOOKUP($T130,'表30-5-2-5-2'!$B$114:$AF$214,MATCH($D130&amp;"a",'表30-5-2-5-2'!$4:$4,0)-1,FALSE)
-IF($S130-1&lt;=0,0,VLOOKUP($S130-1,'表30-5-2-5-2'!$B$114:$AF$214,MATCH($D130&amp;"a",'表30-5-2-5-2'!$4:$4,0)-1,FALSE))
-VLOOKUP($T130,'表30-5-2-5-2'!$B$114:$AF$214,MATCH($D130,'表30-5-2-5-2'!$4:$4,0)-1,FALSE)*(T130/100-N130/H130)*100
-VLOOKUP($S130,'表30-5-2-5-2'!$B$114:$AF$214,MATCH($D130,'表30-5-2-5-2'!$4:$4,0)-1,FALSE)*(1-(S130/100-M130/H130)*100),0))))</f>
        <v>0</v>
      </c>
      <c r="V130" s="2478">
        <f t="shared" si="15"/>
        <v>0</v>
      </c>
      <c r="W130" s="2478">
        <f t="shared" si="16"/>
        <v>0</v>
      </c>
      <c r="X130" s="2718">
        <f t="shared" si="18"/>
        <v>0</v>
      </c>
      <c r="Y130" s="2718">
        <f t="shared" si="19"/>
        <v>0</v>
      </c>
    </row>
    <row r="131" spans="1:25">
      <c r="A131" s="2473" t="str">
        <f t="shared" si="17"/>
        <v/>
      </c>
      <c r="B131" s="2737"/>
      <c r="C131" s="2737"/>
      <c r="D131" s="2737"/>
      <c r="E131" s="2738"/>
      <c r="F131" s="2738"/>
      <c r="G131" s="2738"/>
      <c r="H131" s="2739"/>
      <c r="I131" s="2741"/>
      <c r="J131" s="2741"/>
      <c r="K131" s="2742"/>
      <c r="L131" s="2742"/>
      <c r="M131" s="2738"/>
      <c r="N131" s="2738"/>
      <c r="O131" s="2474">
        <f t="shared" si="11"/>
        <v>0</v>
      </c>
      <c r="P131" s="2474">
        <f t="shared" si="12"/>
        <v>0</v>
      </c>
      <c r="Q131" s="2475">
        <f t="shared" si="20"/>
        <v>0</v>
      </c>
      <c r="R131" s="2475">
        <f t="shared" si="21"/>
        <v>0</v>
      </c>
      <c r="S131" s="2476">
        <f t="shared" si="13"/>
        <v>0</v>
      </c>
      <c r="T131" s="2476">
        <f t="shared" si="14"/>
        <v>0</v>
      </c>
      <c r="U131" s="2477">
        <f>IF(OR(E131="QS",B131=""),0,
IF(C131="F",VLOOKUP($T131,'表30-5-2-5-1'!$B:$AF,MATCH($D131&amp;"a",'表30-5-2-5-1'!$4:$4,0)-1,FALSE)
-IF($S131-1&lt;=0,0,VLOOKUP($S131-1,'表30-5-2-5-1'!$B:$AF,MATCH($D131&amp;"a",'表30-5-2-5-1'!$4:$4,0)-1,FALSE))
-VLOOKUP($T131,'表30-5-2-5-1'!$B:$AF,MATCH($D131,'表30-5-2-5-1'!$4:$4,0)-1,FALSE)*(T131/100-N131/H131)*100
-VLOOKUP($S131,'表30-5-2-5-1'!$B:$AF,MATCH($D131,'表30-5-2-5-1'!$4:$4,0)-1,FALSE)*(1-(S131/100-M131/H131)*100),
IF(C131="E1",VLOOKUP($T131,'表30-5-2-5-2'!$B$4:$AF$104,MATCH($D131&amp;"a",'表30-5-2-5-2'!$4:$4,0)-1,FALSE)
-IF($S131-1&lt;=0,0,VLOOKUP($S131-1,'表30-5-2-5-2'!$B$4:$AF$104,MATCH($D131&amp;"a",'表30-5-2-5-2'!$4:$4,0)-1,FALSE))
-VLOOKUP($T131,'表30-5-2-5-2'!$B$4:$AF$104,MATCH($D131,'表30-5-2-5-2'!$4:$4,0)-1,FALSE)*(T131/100-N131/H131)*100
-VLOOKUP($S131,'表30-5-2-5-2'!$B$4:$AF$104,MATCH($D131,'表30-5-2-5-2'!$4:$4,0)-1,FALSE)*(1-(S131/100-M131/H131)*100),
IF(C131="E2",VLOOKUP($T131,'表30-5-2-5-2'!$B$114:$AF$214,MATCH($D131&amp;"a",'表30-5-2-5-2'!$4:$4,0)-1,FALSE)
-IF($S131-1&lt;=0,0,VLOOKUP($S131-1,'表30-5-2-5-2'!$B$114:$AF$214,MATCH($D131&amp;"a",'表30-5-2-5-2'!$4:$4,0)-1,FALSE))
-VLOOKUP($T131,'表30-5-2-5-2'!$B$114:$AF$214,MATCH($D131,'表30-5-2-5-2'!$4:$4,0)-1,FALSE)*(T131/100-N131/H131)*100
-VLOOKUP($S131,'表30-5-2-5-2'!$B$114:$AF$214,MATCH($D131,'表30-5-2-5-2'!$4:$4,0)-1,FALSE)*(1-(S131/100-M131/H131)*100),0))))</f>
        <v>0</v>
      </c>
      <c r="V131" s="2478">
        <f t="shared" si="15"/>
        <v>0</v>
      </c>
      <c r="W131" s="2478">
        <f t="shared" si="16"/>
        <v>0</v>
      </c>
      <c r="X131" s="2718">
        <f t="shared" si="18"/>
        <v>0</v>
      </c>
      <c r="Y131" s="2718">
        <f t="shared" si="19"/>
        <v>0</v>
      </c>
    </row>
    <row r="132" spans="1:25">
      <c r="A132" s="2473" t="str">
        <f t="shared" si="17"/>
        <v/>
      </c>
      <c r="B132" s="2737"/>
      <c r="C132" s="2737"/>
      <c r="D132" s="2737"/>
      <c r="E132" s="2738"/>
      <c r="F132" s="2738"/>
      <c r="G132" s="2738"/>
      <c r="H132" s="2739"/>
      <c r="I132" s="2741"/>
      <c r="J132" s="2741"/>
      <c r="K132" s="2742"/>
      <c r="L132" s="2742"/>
      <c r="M132" s="2738"/>
      <c r="N132" s="2738"/>
      <c r="O132" s="2474">
        <f t="shared" si="11"/>
        <v>0</v>
      </c>
      <c r="P132" s="2474">
        <f t="shared" si="12"/>
        <v>0</v>
      </c>
      <c r="Q132" s="2475">
        <f t="shared" si="20"/>
        <v>0</v>
      </c>
      <c r="R132" s="2475">
        <f t="shared" si="21"/>
        <v>0</v>
      </c>
      <c r="S132" s="2476">
        <f t="shared" si="13"/>
        <v>0</v>
      </c>
      <c r="T132" s="2476">
        <f t="shared" si="14"/>
        <v>0</v>
      </c>
      <c r="U132" s="2477">
        <f>IF(OR(E132="QS",B132=""),0,
IF(C132="F",VLOOKUP($T132,'表30-5-2-5-1'!$B:$AF,MATCH($D132&amp;"a",'表30-5-2-5-1'!$4:$4,0)-1,FALSE)
-IF($S132-1&lt;=0,0,VLOOKUP($S132-1,'表30-5-2-5-1'!$B:$AF,MATCH($D132&amp;"a",'表30-5-2-5-1'!$4:$4,0)-1,FALSE))
-VLOOKUP($T132,'表30-5-2-5-1'!$B:$AF,MATCH($D132,'表30-5-2-5-1'!$4:$4,0)-1,FALSE)*(T132/100-N132/H132)*100
-VLOOKUP($S132,'表30-5-2-5-1'!$B:$AF,MATCH($D132,'表30-5-2-5-1'!$4:$4,0)-1,FALSE)*(1-(S132/100-M132/H132)*100),
IF(C132="E1",VLOOKUP($T132,'表30-5-2-5-2'!$B$4:$AF$104,MATCH($D132&amp;"a",'表30-5-2-5-2'!$4:$4,0)-1,FALSE)
-IF($S132-1&lt;=0,0,VLOOKUP($S132-1,'表30-5-2-5-2'!$B$4:$AF$104,MATCH($D132&amp;"a",'表30-5-2-5-2'!$4:$4,0)-1,FALSE))
-VLOOKUP($T132,'表30-5-2-5-2'!$B$4:$AF$104,MATCH($D132,'表30-5-2-5-2'!$4:$4,0)-1,FALSE)*(T132/100-N132/H132)*100
-VLOOKUP($S132,'表30-5-2-5-2'!$B$4:$AF$104,MATCH($D132,'表30-5-2-5-2'!$4:$4,0)-1,FALSE)*(1-(S132/100-M132/H132)*100),
IF(C132="E2",VLOOKUP($T132,'表30-5-2-5-2'!$B$114:$AF$214,MATCH($D132&amp;"a",'表30-5-2-5-2'!$4:$4,0)-1,FALSE)
-IF($S132-1&lt;=0,0,VLOOKUP($S132-1,'表30-5-2-5-2'!$B$114:$AF$214,MATCH($D132&amp;"a",'表30-5-2-5-2'!$4:$4,0)-1,FALSE))
-VLOOKUP($T132,'表30-5-2-5-2'!$B$114:$AF$214,MATCH($D132,'表30-5-2-5-2'!$4:$4,0)-1,FALSE)*(T132/100-N132/H132)*100
-VLOOKUP($S132,'表30-5-2-5-2'!$B$114:$AF$214,MATCH($D132,'表30-5-2-5-2'!$4:$4,0)-1,FALSE)*(1-(S132/100-M132/H132)*100),0))))</f>
        <v>0</v>
      </c>
      <c r="V132" s="2478">
        <f t="shared" si="15"/>
        <v>0</v>
      </c>
      <c r="W132" s="2478">
        <f t="shared" si="16"/>
        <v>0</v>
      </c>
      <c r="X132" s="2718">
        <f t="shared" si="18"/>
        <v>0</v>
      </c>
      <c r="Y132" s="2718">
        <f t="shared" si="19"/>
        <v>0</v>
      </c>
    </row>
    <row r="133" spans="1:25">
      <c r="A133" s="2473" t="str">
        <f t="shared" si="17"/>
        <v/>
      </c>
      <c r="B133" s="2737"/>
      <c r="C133" s="2737"/>
      <c r="D133" s="2737"/>
      <c r="E133" s="2738"/>
      <c r="F133" s="2738"/>
      <c r="G133" s="2738"/>
      <c r="H133" s="2739"/>
      <c r="I133" s="2741"/>
      <c r="J133" s="2741"/>
      <c r="K133" s="2742"/>
      <c r="L133" s="2742"/>
      <c r="M133" s="2738"/>
      <c r="N133" s="2738"/>
      <c r="O133" s="2474">
        <f t="shared" si="11"/>
        <v>0</v>
      </c>
      <c r="P133" s="2474">
        <f t="shared" si="12"/>
        <v>0</v>
      </c>
      <c r="Q133" s="2475">
        <f t="shared" si="20"/>
        <v>0</v>
      </c>
      <c r="R133" s="2475">
        <f t="shared" si="21"/>
        <v>0</v>
      </c>
      <c r="S133" s="2476">
        <f t="shared" si="13"/>
        <v>0</v>
      </c>
      <c r="T133" s="2476">
        <f t="shared" si="14"/>
        <v>0</v>
      </c>
      <c r="U133" s="2477">
        <f>IF(OR(E133="QS",B133=""),0,
IF(C133="F",VLOOKUP($T133,'表30-5-2-5-1'!$B:$AF,MATCH($D133&amp;"a",'表30-5-2-5-1'!$4:$4,0)-1,FALSE)
-IF($S133-1&lt;=0,0,VLOOKUP($S133-1,'表30-5-2-5-1'!$B:$AF,MATCH($D133&amp;"a",'表30-5-2-5-1'!$4:$4,0)-1,FALSE))
-VLOOKUP($T133,'表30-5-2-5-1'!$B:$AF,MATCH($D133,'表30-5-2-5-1'!$4:$4,0)-1,FALSE)*(T133/100-N133/H133)*100
-VLOOKUP($S133,'表30-5-2-5-1'!$B:$AF,MATCH($D133,'表30-5-2-5-1'!$4:$4,0)-1,FALSE)*(1-(S133/100-M133/H133)*100),
IF(C133="E1",VLOOKUP($T133,'表30-5-2-5-2'!$B$4:$AF$104,MATCH($D133&amp;"a",'表30-5-2-5-2'!$4:$4,0)-1,FALSE)
-IF($S133-1&lt;=0,0,VLOOKUP($S133-1,'表30-5-2-5-2'!$B$4:$AF$104,MATCH($D133&amp;"a",'表30-5-2-5-2'!$4:$4,0)-1,FALSE))
-VLOOKUP($T133,'表30-5-2-5-2'!$B$4:$AF$104,MATCH($D133,'表30-5-2-5-2'!$4:$4,0)-1,FALSE)*(T133/100-N133/H133)*100
-VLOOKUP($S133,'表30-5-2-5-2'!$B$4:$AF$104,MATCH($D133,'表30-5-2-5-2'!$4:$4,0)-1,FALSE)*(1-(S133/100-M133/H133)*100),
IF(C133="E2",VLOOKUP($T133,'表30-5-2-5-2'!$B$114:$AF$214,MATCH($D133&amp;"a",'表30-5-2-5-2'!$4:$4,0)-1,FALSE)
-IF($S133-1&lt;=0,0,VLOOKUP($S133-1,'表30-5-2-5-2'!$B$114:$AF$214,MATCH($D133&amp;"a",'表30-5-2-5-2'!$4:$4,0)-1,FALSE))
-VLOOKUP($T133,'表30-5-2-5-2'!$B$114:$AF$214,MATCH($D133,'表30-5-2-5-2'!$4:$4,0)-1,FALSE)*(T133/100-N133/H133)*100
-VLOOKUP($S133,'表30-5-2-5-2'!$B$114:$AF$214,MATCH($D133,'表30-5-2-5-2'!$4:$4,0)-1,FALSE)*(1-(S133/100-M133/H133)*100),0))))</f>
        <v>0</v>
      </c>
      <c r="V133" s="2478">
        <f t="shared" si="15"/>
        <v>0</v>
      </c>
      <c r="W133" s="2478">
        <f t="shared" si="16"/>
        <v>0</v>
      </c>
      <c r="X133" s="2718">
        <f t="shared" si="18"/>
        <v>0</v>
      </c>
      <c r="Y133" s="2718">
        <f t="shared" si="19"/>
        <v>0</v>
      </c>
    </row>
    <row r="134" spans="1:25">
      <c r="A134" s="2473" t="str">
        <f t="shared" si="17"/>
        <v/>
      </c>
      <c r="B134" s="2737"/>
      <c r="C134" s="2737"/>
      <c r="D134" s="2737"/>
      <c r="E134" s="2738"/>
      <c r="F134" s="2738"/>
      <c r="G134" s="2738"/>
      <c r="H134" s="2739"/>
      <c r="I134" s="2741"/>
      <c r="J134" s="2741"/>
      <c r="K134" s="2742"/>
      <c r="L134" s="2742"/>
      <c r="M134" s="2738"/>
      <c r="N134" s="2738"/>
      <c r="O134" s="2474">
        <f t="shared" ref="O134:O197" si="22">IF(E134="QS",G134*I134,0)</f>
        <v>0</v>
      </c>
      <c r="P134" s="2474">
        <f t="shared" ref="P134:P197" si="23">IF(E134="QS",G134*J134,0)</f>
        <v>0</v>
      </c>
      <c r="Q134" s="2475">
        <f t="shared" si="20"/>
        <v>0</v>
      </c>
      <c r="R134" s="2475">
        <f t="shared" si="21"/>
        <v>0</v>
      </c>
      <c r="S134" s="2476">
        <f t="shared" ref="S134:S197" si="24">IF(OR(E134="QS",B134=""),0,CEILING((M134+1)/H134*100,1))</f>
        <v>0</v>
      </c>
      <c r="T134" s="2476">
        <f t="shared" ref="T134:T197" si="25">IF(OR(E134="QS",B134=""),0,CEILING(N134/H134*100,1))</f>
        <v>0</v>
      </c>
      <c r="U134" s="2477">
        <f>IF(OR(E134="QS",B134=""),0,
IF(C134="F",VLOOKUP($T134,'表30-5-2-5-1'!$B:$AF,MATCH($D134&amp;"a",'表30-5-2-5-1'!$4:$4,0)-1,FALSE)
-IF($S134-1&lt;=0,0,VLOOKUP($S134-1,'表30-5-2-5-1'!$B:$AF,MATCH($D134&amp;"a",'表30-5-2-5-1'!$4:$4,0)-1,FALSE))
-VLOOKUP($T134,'表30-5-2-5-1'!$B:$AF,MATCH($D134,'表30-5-2-5-1'!$4:$4,0)-1,FALSE)*(T134/100-N134/H134)*100
-VLOOKUP($S134,'表30-5-2-5-1'!$B:$AF,MATCH($D134,'表30-5-2-5-1'!$4:$4,0)-1,FALSE)*(1-(S134/100-M134/H134)*100),
IF(C134="E1",VLOOKUP($T134,'表30-5-2-5-2'!$B$4:$AF$104,MATCH($D134&amp;"a",'表30-5-2-5-2'!$4:$4,0)-1,FALSE)
-IF($S134-1&lt;=0,0,VLOOKUP($S134-1,'表30-5-2-5-2'!$B$4:$AF$104,MATCH($D134&amp;"a",'表30-5-2-5-2'!$4:$4,0)-1,FALSE))
-VLOOKUP($T134,'表30-5-2-5-2'!$B$4:$AF$104,MATCH($D134,'表30-5-2-5-2'!$4:$4,0)-1,FALSE)*(T134/100-N134/H134)*100
-VLOOKUP($S134,'表30-5-2-5-2'!$B$4:$AF$104,MATCH($D134,'表30-5-2-5-2'!$4:$4,0)-1,FALSE)*(1-(S134/100-M134/H134)*100),
IF(C134="E2",VLOOKUP($T134,'表30-5-2-5-2'!$B$114:$AF$214,MATCH($D134&amp;"a",'表30-5-2-5-2'!$4:$4,0)-1,FALSE)
-IF($S134-1&lt;=0,0,VLOOKUP($S134-1,'表30-5-2-5-2'!$B$114:$AF$214,MATCH($D134&amp;"a",'表30-5-2-5-2'!$4:$4,0)-1,FALSE))
-VLOOKUP($T134,'表30-5-2-5-2'!$B$114:$AF$214,MATCH($D134,'表30-5-2-5-2'!$4:$4,0)-1,FALSE)*(T134/100-N134/H134)*100
-VLOOKUP($S134,'表30-5-2-5-2'!$B$114:$AF$214,MATCH($D134,'表30-5-2-5-2'!$4:$4,0)-1,FALSE)*(1-(S134/100-M134/H134)*100),0))))</f>
        <v>0</v>
      </c>
      <c r="V134" s="2478">
        <f t="shared" ref="V134:V197" si="26">H134*U134*Q134</f>
        <v>0</v>
      </c>
      <c r="W134" s="2478">
        <f t="shared" ref="W134:W197" si="27">H134*U134*R134</f>
        <v>0</v>
      </c>
      <c r="X134" s="2718">
        <f t="shared" si="18"/>
        <v>0</v>
      </c>
      <c r="Y134" s="2718">
        <f t="shared" si="19"/>
        <v>0</v>
      </c>
    </row>
    <row r="135" spans="1:25">
      <c r="A135" s="2473" t="str">
        <f t="shared" ref="A135:A198" si="28">C135&amp;D135&amp;LEFT(E135,1)</f>
        <v/>
      </c>
      <c r="B135" s="2737"/>
      <c r="C135" s="2737"/>
      <c r="D135" s="2737"/>
      <c r="E135" s="2738"/>
      <c r="F135" s="2738"/>
      <c r="G135" s="2738"/>
      <c r="H135" s="2739"/>
      <c r="I135" s="2741"/>
      <c r="J135" s="2741"/>
      <c r="K135" s="2742"/>
      <c r="L135" s="2742"/>
      <c r="M135" s="2738"/>
      <c r="N135" s="2738"/>
      <c r="O135" s="2474">
        <f t="shared" si="22"/>
        <v>0</v>
      </c>
      <c r="P135" s="2474">
        <f t="shared" si="23"/>
        <v>0</v>
      </c>
      <c r="Q135" s="2475">
        <f t="shared" si="20"/>
        <v>0</v>
      </c>
      <c r="R135" s="2475">
        <f t="shared" si="21"/>
        <v>0</v>
      </c>
      <c r="S135" s="2476">
        <f t="shared" si="24"/>
        <v>0</v>
      </c>
      <c r="T135" s="2476">
        <f t="shared" si="25"/>
        <v>0</v>
      </c>
      <c r="U135" s="2477">
        <f>IF(OR(E135="QS",B135=""),0,
IF(C135="F",VLOOKUP($T135,'表30-5-2-5-1'!$B:$AF,MATCH($D135&amp;"a",'表30-5-2-5-1'!$4:$4,0)-1,FALSE)
-IF($S135-1&lt;=0,0,VLOOKUP($S135-1,'表30-5-2-5-1'!$B:$AF,MATCH($D135&amp;"a",'表30-5-2-5-1'!$4:$4,0)-1,FALSE))
-VLOOKUP($T135,'表30-5-2-5-1'!$B:$AF,MATCH($D135,'表30-5-2-5-1'!$4:$4,0)-1,FALSE)*(T135/100-N135/H135)*100
-VLOOKUP($S135,'表30-5-2-5-1'!$B:$AF,MATCH($D135,'表30-5-2-5-1'!$4:$4,0)-1,FALSE)*(1-(S135/100-M135/H135)*100),
IF(C135="E1",VLOOKUP($T135,'表30-5-2-5-2'!$B$4:$AF$104,MATCH($D135&amp;"a",'表30-5-2-5-2'!$4:$4,0)-1,FALSE)
-IF($S135-1&lt;=0,0,VLOOKUP($S135-1,'表30-5-2-5-2'!$B$4:$AF$104,MATCH($D135&amp;"a",'表30-5-2-5-2'!$4:$4,0)-1,FALSE))
-VLOOKUP($T135,'表30-5-2-5-2'!$B$4:$AF$104,MATCH($D135,'表30-5-2-5-2'!$4:$4,0)-1,FALSE)*(T135/100-N135/H135)*100
-VLOOKUP($S135,'表30-5-2-5-2'!$B$4:$AF$104,MATCH($D135,'表30-5-2-5-2'!$4:$4,0)-1,FALSE)*(1-(S135/100-M135/H135)*100),
IF(C135="E2",VLOOKUP($T135,'表30-5-2-5-2'!$B$114:$AF$214,MATCH($D135&amp;"a",'表30-5-2-5-2'!$4:$4,0)-1,FALSE)
-IF($S135-1&lt;=0,0,VLOOKUP($S135-1,'表30-5-2-5-2'!$B$114:$AF$214,MATCH($D135&amp;"a",'表30-5-2-5-2'!$4:$4,0)-1,FALSE))
-VLOOKUP($T135,'表30-5-2-5-2'!$B$114:$AF$214,MATCH($D135,'表30-5-2-5-2'!$4:$4,0)-1,FALSE)*(T135/100-N135/H135)*100
-VLOOKUP($S135,'表30-5-2-5-2'!$B$114:$AF$214,MATCH($D135,'表30-5-2-5-2'!$4:$4,0)-1,FALSE)*(1-(S135/100-M135/H135)*100),0))))</f>
        <v>0</v>
      </c>
      <c r="V135" s="2478">
        <f t="shared" si="26"/>
        <v>0</v>
      </c>
      <c r="W135" s="2478">
        <f t="shared" si="27"/>
        <v>0</v>
      </c>
      <c r="X135" s="2718">
        <f t="shared" ref="X135:X198" si="29">U135*F135</f>
        <v>0</v>
      </c>
      <c r="Y135" s="2718">
        <f t="shared" ref="Y135:Y198" si="30">IFERROR(U135*F135*(L135/K135),0)</f>
        <v>0</v>
      </c>
    </row>
    <row r="136" spans="1:25">
      <c r="A136" s="2473" t="str">
        <f t="shared" si="28"/>
        <v/>
      </c>
      <c r="B136" s="2737"/>
      <c r="C136" s="2737"/>
      <c r="D136" s="2737"/>
      <c r="E136" s="2738"/>
      <c r="F136" s="2738"/>
      <c r="G136" s="2738"/>
      <c r="H136" s="2739"/>
      <c r="I136" s="2741"/>
      <c r="J136" s="2741"/>
      <c r="K136" s="2742"/>
      <c r="L136" s="2742"/>
      <c r="M136" s="2738"/>
      <c r="N136" s="2738"/>
      <c r="O136" s="2474">
        <f t="shared" si="22"/>
        <v>0</v>
      </c>
      <c r="P136" s="2474">
        <f t="shared" si="23"/>
        <v>0</v>
      </c>
      <c r="Q136" s="2475">
        <f t="shared" si="20"/>
        <v>0</v>
      </c>
      <c r="R136" s="2475">
        <f t="shared" si="21"/>
        <v>0</v>
      </c>
      <c r="S136" s="2476">
        <f t="shared" si="24"/>
        <v>0</v>
      </c>
      <c r="T136" s="2476">
        <f t="shared" si="25"/>
        <v>0</v>
      </c>
      <c r="U136" s="2477">
        <f>IF(OR(E136="QS",B136=""),0,
IF(C136="F",VLOOKUP($T136,'表30-5-2-5-1'!$B:$AF,MATCH($D136&amp;"a",'表30-5-2-5-1'!$4:$4,0)-1,FALSE)
-IF($S136-1&lt;=0,0,VLOOKUP($S136-1,'表30-5-2-5-1'!$B:$AF,MATCH($D136&amp;"a",'表30-5-2-5-1'!$4:$4,0)-1,FALSE))
-VLOOKUP($T136,'表30-5-2-5-1'!$B:$AF,MATCH($D136,'表30-5-2-5-1'!$4:$4,0)-1,FALSE)*(T136/100-N136/H136)*100
-VLOOKUP($S136,'表30-5-2-5-1'!$B:$AF,MATCH($D136,'表30-5-2-5-1'!$4:$4,0)-1,FALSE)*(1-(S136/100-M136/H136)*100),
IF(C136="E1",VLOOKUP($T136,'表30-5-2-5-2'!$B$4:$AF$104,MATCH($D136&amp;"a",'表30-5-2-5-2'!$4:$4,0)-1,FALSE)
-IF($S136-1&lt;=0,0,VLOOKUP($S136-1,'表30-5-2-5-2'!$B$4:$AF$104,MATCH($D136&amp;"a",'表30-5-2-5-2'!$4:$4,0)-1,FALSE))
-VLOOKUP($T136,'表30-5-2-5-2'!$B$4:$AF$104,MATCH($D136,'表30-5-2-5-2'!$4:$4,0)-1,FALSE)*(T136/100-N136/H136)*100
-VLOOKUP($S136,'表30-5-2-5-2'!$B$4:$AF$104,MATCH($D136,'表30-5-2-5-2'!$4:$4,0)-1,FALSE)*(1-(S136/100-M136/H136)*100),
IF(C136="E2",VLOOKUP($T136,'表30-5-2-5-2'!$B$114:$AF$214,MATCH($D136&amp;"a",'表30-5-2-5-2'!$4:$4,0)-1,FALSE)
-IF($S136-1&lt;=0,0,VLOOKUP($S136-1,'表30-5-2-5-2'!$B$114:$AF$214,MATCH($D136&amp;"a",'表30-5-2-5-2'!$4:$4,0)-1,FALSE))
-VLOOKUP($T136,'表30-5-2-5-2'!$B$114:$AF$214,MATCH($D136,'表30-5-2-5-2'!$4:$4,0)-1,FALSE)*(T136/100-N136/H136)*100
-VLOOKUP($S136,'表30-5-2-5-2'!$B$114:$AF$214,MATCH($D136,'表30-5-2-5-2'!$4:$4,0)-1,FALSE)*(1-(S136/100-M136/H136)*100),0))))</f>
        <v>0</v>
      </c>
      <c r="V136" s="2478">
        <f t="shared" si="26"/>
        <v>0</v>
      </c>
      <c r="W136" s="2478">
        <f t="shared" si="27"/>
        <v>0</v>
      </c>
      <c r="X136" s="2718">
        <f t="shared" si="29"/>
        <v>0</v>
      </c>
      <c r="Y136" s="2718">
        <f t="shared" si="30"/>
        <v>0</v>
      </c>
    </row>
    <row r="137" spans="1:25">
      <c r="A137" s="2473" t="str">
        <f t="shared" si="28"/>
        <v/>
      </c>
      <c r="B137" s="2737"/>
      <c r="C137" s="2737"/>
      <c r="D137" s="2737"/>
      <c r="E137" s="2738"/>
      <c r="F137" s="2738"/>
      <c r="G137" s="2738"/>
      <c r="H137" s="2739"/>
      <c r="I137" s="2741"/>
      <c r="J137" s="2741"/>
      <c r="K137" s="2742"/>
      <c r="L137" s="2742"/>
      <c r="M137" s="2738"/>
      <c r="N137" s="2738"/>
      <c r="O137" s="2474">
        <f t="shared" si="22"/>
        <v>0</v>
      </c>
      <c r="P137" s="2474">
        <f t="shared" si="23"/>
        <v>0</v>
      </c>
      <c r="Q137" s="2475">
        <f t="shared" ref="Q137:Q200" si="31">IF(OR(E137="QS",E137=""),0,(N137-M137)/H137*K137)</f>
        <v>0</v>
      </c>
      <c r="R137" s="2475">
        <f t="shared" ref="R137:R200" si="32">IF(OR(E137="QS",E137=""),0,(N137-M137)/H137*L137)</f>
        <v>0</v>
      </c>
      <c r="S137" s="2476">
        <f t="shared" si="24"/>
        <v>0</v>
      </c>
      <c r="T137" s="2476">
        <f t="shared" si="25"/>
        <v>0</v>
      </c>
      <c r="U137" s="2477">
        <f>IF(OR(E137="QS",B137=""),0,
IF(C137="F",VLOOKUP($T137,'表30-5-2-5-1'!$B:$AF,MATCH($D137&amp;"a",'表30-5-2-5-1'!$4:$4,0)-1,FALSE)
-IF($S137-1&lt;=0,0,VLOOKUP($S137-1,'表30-5-2-5-1'!$B:$AF,MATCH($D137&amp;"a",'表30-5-2-5-1'!$4:$4,0)-1,FALSE))
-VLOOKUP($T137,'表30-5-2-5-1'!$B:$AF,MATCH($D137,'表30-5-2-5-1'!$4:$4,0)-1,FALSE)*(T137/100-N137/H137)*100
-VLOOKUP($S137,'表30-5-2-5-1'!$B:$AF,MATCH($D137,'表30-5-2-5-1'!$4:$4,0)-1,FALSE)*(1-(S137/100-M137/H137)*100),
IF(C137="E1",VLOOKUP($T137,'表30-5-2-5-2'!$B$4:$AF$104,MATCH($D137&amp;"a",'表30-5-2-5-2'!$4:$4,0)-1,FALSE)
-IF($S137-1&lt;=0,0,VLOOKUP($S137-1,'表30-5-2-5-2'!$B$4:$AF$104,MATCH($D137&amp;"a",'表30-5-2-5-2'!$4:$4,0)-1,FALSE))
-VLOOKUP($T137,'表30-5-2-5-2'!$B$4:$AF$104,MATCH($D137,'表30-5-2-5-2'!$4:$4,0)-1,FALSE)*(T137/100-N137/H137)*100
-VLOOKUP($S137,'表30-5-2-5-2'!$B$4:$AF$104,MATCH($D137,'表30-5-2-5-2'!$4:$4,0)-1,FALSE)*(1-(S137/100-M137/H137)*100),
IF(C137="E2",VLOOKUP($T137,'表30-5-2-5-2'!$B$114:$AF$214,MATCH($D137&amp;"a",'表30-5-2-5-2'!$4:$4,0)-1,FALSE)
-IF($S137-1&lt;=0,0,VLOOKUP($S137-1,'表30-5-2-5-2'!$B$114:$AF$214,MATCH($D137&amp;"a",'表30-5-2-5-2'!$4:$4,0)-1,FALSE))
-VLOOKUP($T137,'表30-5-2-5-2'!$B$114:$AF$214,MATCH($D137,'表30-5-2-5-2'!$4:$4,0)-1,FALSE)*(T137/100-N137/H137)*100
-VLOOKUP($S137,'表30-5-2-5-2'!$B$114:$AF$214,MATCH($D137,'表30-5-2-5-2'!$4:$4,0)-1,FALSE)*(1-(S137/100-M137/H137)*100),0))))</f>
        <v>0</v>
      </c>
      <c r="V137" s="2478">
        <f t="shared" si="26"/>
        <v>0</v>
      </c>
      <c r="W137" s="2478">
        <f t="shared" si="27"/>
        <v>0</v>
      </c>
      <c r="X137" s="2718">
        <f t="shared" si="29"/>
        <v>0</v>
      </c>
      <c r="Y137" s="2718">
        <f t="shared" si="30"/>
        <v>0</v>
      </c>
    </row>
    <row r="138" spans="1:25">
      <c r="A138" s="2473" t="str">
        <f t="shared" si="28"/>
        <v/>
      </c>
      <c r="B138" s="2737"/>
      <c r="C138" s="2737"/>
      <c r="D138" s="2737"/>
      <c r="E138" s="2738"/>
      <c r="F138" s="2738"/>
      <c r="G138" s="2738"/>
      <c r="H138" s="2739"/>
      <c r="I138" s="2741"/>
      <c r="J138" s="2741"/>
      <c r="K138" s="2742"/>
      <c r="L138" s="2742"/>
      <c r="M138" s="2738"/>
      <c r="N138" s="2738"/>
      <c r="O138" s="2474">
        <f t="shared" si="22"/>
        <v>0</v>
      </c>
      <c r="P138" s="2474">
        <f t="shared" si="23"/>
        <v>0</v>
      </c>
      <c r="Q138" s="2475">
        <f t="shared" si="31"/>
        <v>0</v>
      </c>
      <c r="R138" s="2475">
        <f t="shared" si="32"/>
        <v>0</v>
      </c>
      <c r="S138" s="2476">
        <f t="shared" si="24"/>
        <v>0</v>
      </c>
      <c r="T138" s="2476">
        <f t="shared" si="25"/>
        <v>0</v>
      </c>
      <c r="U138" s="2477">
        <f>IF(OR(E138="QS",B138=""),0,
IF(C138="F",VLOOKUP($T138,'表30-5-2-5-1'!$B:$AF,MATCH($D138&amp;"a",'表30-5-2-5-1'!$4:$4,0)-1,FALSE)
-IF($S138-1&lt;=0,0,VLOOKUP($S138-1,'表30-5-2-5-1'!$B:$AF,MATCH($D138&amp;"a",'表30-5-2-5-1'!$4:$4,0)-1,FALSE))
-VLOOKUP($T138,'表30-5-2-5-1'!$B:$AF,MATCH($D138,'表30-5-2-5-1'!$4:$4,0)-1,FALSE)*(T138/100-N138/H138)*100
-VLOOKUP($S138,'表30-5-2-5-1'!$B:$AF,MATCH($D138,'表30-5-2-5-1'!$4:$4,0)-1,FALSE)*(1-(S138/100-M138/H138)*100),
IF(C138="E1",VLOOKUP($T138,'表30-5-2-5-2'!$B$4:$AF$104,MATCH($D138&amp;"a",'表30-5-2-5-2'!$4:$4,0)-1,FALSE)
-IF($S138-1&lt;=0,0,VLOOKUP($S138-1,'表30-5-2-5-2'!$B$4:$AF$104,MATCH($D138&amp;"a",'表30-5-2-5-2'!$4:$4,0)-1,FALSE))
-VLOOKUP($T138,'表30-5-2-5-2'!$B$4:$AF$104,MATCH($D138,'表30-5-2-5-2'!$4:$4,0)-1,FALSE)*(T138/100-N138/H138)*100
-VLOOKUP($S138,'表30-5-2-5-2'!$B$4:$AF$104,MATCH($D138,'表30-5-2-5-2'!$4:$4,0)-1,FALSE)*(1-(S138/100-M138/H138)*100),
IF(C138="E2",VLOOKUP($T138,'表30-5-2-5-2'!$B$114:$AF$214,MATCH($D138&amp;"a",'表30-5-2-5-2'!$4:$4,0)-1,FALSE)
-IF($S138-1&lt;=0,0,VLOOKUP($S138-1,'表30-5-2-5-2'!$B$114:$AF$214,MATCH($D138&amp;"a",'表30-5-2-5-2'!$4:$4,0)-1,FALSE))
-VLOOKUP($T138,'表30-5-2-5-2'!$B$114:$AF$214,MATCH($D138,'表30-5-2-5-2'!$4:$4,0)-1,FALSE)*(T138/100-N138/H138)*100
-VLOOKUP($S138,'表30-5-2-5-2'!$B$114:$AF$214,MATCH($D138,'表30-5-2-5-2'!$4:$4,0)-1,FALSE)*(1-(S138/100-M138/H138)*100),0))))</f>
        <v>0</v>
      </c>
      <c r="V138" s="2478">
        <f t="shared" si="26"/>
        <v>0</v>
      </c>
      <c r="W138" s="2478">
        <f t="shared" si="27"/>
        <v>0</v>
      </c>
      <c r="X138" s="2718">
        <f t="shared" si="29"/>
        <v>0</v>
      </c>
      <c r="Y138" s="2718">
        <f t="shared" si="30"/>
        <v>0</v>
      </c>
    </row>
    <row r="139" spans="1:25">
      <c r="A139" s="2473" t="str">
        <f t="shared" si="28"/>
        <v/>
      </c>
      <c r="B139" s="2737"/>
      <c r="C139" s="2737"/>
      <c r="D139" s="2737"/>
      <c r="E139" s="2738"/>
      <c r="F139" s="2738"/>
      <c r="G139" s="2738"/>
      <c r="H139" s="2739"/>
      <c r="I139" s="2741"/>
      <c r="J139" s="2741"/>
      <c r="K139" s="2742"/>
      <c r="L139" s="2742"/>
      <c r="M139" s="2738"/>
      <c r="N139" s="2738"/>
      <c r="O139" s="2474">
        <f t="shared" si="22"/>
        <v>0</v>
      </c>
      <c r="P139" s="2474">
        <f t="shared" si="23"/>
        <v>0</v>
      </c>
      <c r="Q139" s="2475">
        <f t="shared" si="31"/>
        <v>0</v>
      </c>
      <c r="R139" s="2475">
        <f t="shared" si="32"/>
        <v>0</v>
      </c>
      <c r="S139" s="2476">
        <f t="shared" si="24"/>
        <v>0</v>
      </c>
      <c r="T139" s="2476">
        <f t="shared" si="25"/>
        <v>0</v>
      </c>
      <c r="U139" s="2477">
        <f>IF(OR(E139="QS",B139=""),0,
IF(C139="F",VLOOKUP($T139,'表30-5-2-5-1'!$B:$AF,MATCH($D139&amp;"a",'表30-5-2-5-1'!$4:$4,0)-1,FALSE)
-IF($S139-1&lt;=0,0,VLOOKUP($S139-1,'表30-5-2-5-1'!$B:$AF,MATCH($D139&amp;"a",'表30-5-2-5-1'!$4:$4,0)-1,FALSE))
-VLOOKUP($T139,'表30-5-2-5-1'!$B:$AF,MATCH($D139,'表30-5-2-5-1'!$4:$4,0)-1,FALSE)*(T139/100-N139/H139)*100
-VLOOKUP($S139,'表30-5-2-5-1'!$B:$AF,MATCH($D139,'表30-5-2-5-1'!$4:$4,0)-1,FALSE)*(1-(S139/100-M139/H139)*100),
IF(C139="E1",VLOOKUP($T139,'表30-5-2-5-2'!$B$4:$AF$104,MATCH($D139&amp;"a",'表30-5-2-5-2'!$4:$4,0)-1,FALSE)
-IF($S139-1&lt;=0,0,VLOOKUP($S139-1,'表30-5-2-5-2'!$B$4:$AF$104,MATCH($D139&amp;"a",'表30-5-2-5-2'!$4:$4,0)-1,FALSE))
-VLOOKUP($T139,'表30-5-2-5-2'!$B$4:$AF$104,MATCH($D139,'表30-5-2-5-2'!$4:$4,0)-1,FALSE)*(T139/100-N139/H139)*100
-VLOOKUP($S139,'表30-5-2-5-2'!$B$4:$AF$104,MATCH($D139,'表30-5-2-5-2'!$4:$4,0)-1,FALSE)*(1-(S139/100-M139/H139)*100),
IF(C139="E2",VLOOKUP($T139,'表30-5-2-5-2'!$B$114:$AF$214,MATCH($D139&amp;"a",'表30-5-2-5-2'!$4:$4,0)-1,FALSE)
-IF($S139-1&lt;=0,0,VLOOKUP($S139-1,'表30-5-2-5-2'!$B$114:$AF$214,MATCH($D139&amp;"a",'表30-5-2-5-2'!$4:$4,0)-1,FALSE))
-VLOOKUP($T139,'表30-5-2-5-2'!$B$114:$AF$214,MATCH($D139,'表30-5-2-5-2'!$4:$4,0)-1,FALSE)*(T139/100-N139/H139)*100
-VLOOKUP($S139,'表30-5-2-5-2'!$B$114:$AF$214,MATCH($D139,'表30-5-2-5-2'!$4:$4,0)-1,FALSE)*(1-(S139/100-M139/H139)*100),0))))</f>
        <v>0</v>
      </c>
      <c r="V139" s="2478">
        <f t="shared" si="26"/>
        <v>0</v>
      </c>
      <c r="W139" s="2478">
        <f t="shared" si="27"/>
        <v>0</v>
      </c>
      <c r="X139" s="2718">
        <f t="shared" si="29"/>
        <v>0</v>
      </c>
      <c r="Y139" s="2718">
        <f t="shared" si="30"/>
        <v>0</v>
      </c>
    </row>
    <row r="140" spans="1:25">
      <c r="A140" s="2473" t="str">
        <f t="shared" si="28"/>
        <v/>
      </c>
      <c r="B140" s="2737"/>
      <c r="C140" s="2737"/>
      <c r="D140" s="2737"/>
      <c r="E140" s="2738"/>
      <c r="F140" s="2738"/>
      <c r="G140" s="2738"/>
      <c r="H140" s="2739"/>
      <c r="I140" s="2741"/>
      <c r="J140" s="2741"/>
      <c r="K140" s="2742"/>
      <c r="L140" s="2742"/>
      <c r="M140" s="2738"/>
      <c r="N140" s="2738"/>
      <c r="O140" s="2474">
        <f t="shared" si="22"/>
        <v>0</v>
      </c>
      <c r="P140" s="2474">
        <f t="shared" si="23"/>
        <v>0</v>
      </c>
      <c r="Q140" s="2475">
        <f t="shared" si="31"/>
        <v>0</v>
      </c>
      <c r="R140" s="2475">
        <f t="shared" si="32"/>
        <v>0</v>
      </c>
      <c r="S140" s="2476">
        <f t="shared" si="24"/>
        <v>0</v>
      </c>
      <c r="T140" s="2476">
        <f t="shared" si="25"/>
        <v>0</v>
      </c>
      <c r="U140" s="2477">
        <f>IF(OR(E140="QS",B140=""),0,
IF(C140="F",VLOOKUP($T140,'表30-5-2-5-1'!$B:$AF,MATCH($D140&amp;"a",'表30-5-2-5-1'!$4:$4,0)-1,FALSE)
-IF($S140-1&lt;=0,0,VLOOKUP($S140-1,'表30-5-2-5-1'!$B:$AF,MATCH($D140&amp;"a",'表30-5-2-5-1'!$4:$4,0)-1,FALSE))
-VLOOKUP($T140,'表30-5-2-5-1'!$B:$AF,MATCH($D140,'表30-5-2-5-1'!$4:$4,0)-1,FALSE)*(T140/100-N140/H140)*100
-VLOOKUP($S140,'表30-5-2-5-1'!$B:$AF,MATCH($D140,'表30-5-2-5-1'!$4:$4,0)-1,FALSE)*(1-(S140/100-M140/H140)*100),
IF(C140="E1",VLOOKUP($T140,'表30-5-2-5-2'!$B$4:$AF$104,MATCH($D140&amp;"a",'表30-5-2-5-2'!$4:$4,0)-1,FALSE)
-IF($S140-1&lt;=0,0,VLOOKUP($S140-1,'表30-5-2-5-2'!$B$4:$AF$104,MATCH($D140&amp;"a",'表30-5-2-5-2'!$4:$4,0)-1,FALSE))
-VLOOKUP($T140,'表30-5-2-5-2'!$B$4:$AF$104,MATCH($D140,'表30-5-2-5-2'!$4:$4,0)-1,FALSE)*(T140/100-N140/H140)*100
-VLOOKUP($S140,'表30-5-2-5-2'!$B$4:$AF$104,MATCH($D140,'表30-5-2-5-2'!$4:$4,0)-1,FALSE)*(1-(S140/100-M140/H140)*100),
IF(C140="E2",VLOOKUP($T140,'表30-5-2-5-2'!$B$114:$AF$214,MATCH($D140&amp;"a",'表30-5-2-5-2'!$4:$4,0)-1,FALSE)
-IF($S140-1&lt;=0,0,VLOOKUP($S140-1,'表30-5-2-5-2'!$B$114:$AF$214,MATCH($D140&amp;"a",'表30-5-2-5-2'!$4:$4,0)-1,FALSE))
-VLOOKUP($T140,'表30-5-2-5-2'!$B$114:$AF$214,MATCH($D140,'表30-5-2-5-2'!$4:$4,0)-1,FALSE)*(T140/100-N140/H140)*100
-VLOOKUP($S140,'表30-5-2-5-2'!$B$114:$AF$214,MATCH($D140,'表30-5-2-5-2'!$4:$4,0)-1,FALSE)*(1-(S140/100-M140/H140)*100),0))))</f>
        <v>0</v>
      </c>
      <c r="V140" s="2478">
        <f t="shared" si="26"/>
        <v>0</v>
      </c>
      <c r="W140" s="2478">
        <f t="shared" si="27"/>
        <v>0</v>
      </c>
      <c r="X140" s="2718">
        <f t="shared" si="29"/>
        <v>0</v>
      </c>
      <c r="Y140" s="2718">
        <f t="shared" si="30"/>
        <v>0</v>
      </c>
    </row>
    <row r="141" spans="1:25">
      <c r="A141" s="2473" t="str">
        <f t="shared" si="28"/>
        <v/>
      </c>
      <c r="B141" s="2737"/>
      <c r="C141" s="2737"/>
      <c r="D141" s="2737"/>
      <c r="E141" s="2738"/>
      <c r="F141" s="2738"/>
      <c r="G141" s="2738"/>
      <c r="H141" s="2739"/>
      <c r="I141" s="2741"/>
      <c r="J141" s="2741"/>
      <c r="K141" s="2742"/>
      <c r="L141" s="2742"/>
      <c r="M141" s="2738"/>
      <c r="N141" s="2738"/>
      <c r="O141" s="2474">
        <f t="shared" si="22"/>
        <v>0</v>
      </c>
      <c r="P141" s="2474">
        <f t="shared" si="23"/>
        <v>0</v>
      </c>
      <c r="Q141" s="2475">
        <f t="shared" si="31"/>
        <v>0</v>
      </c>
      <c r="R141" s="2475">
        <f t="shared" si="32"/>
        <v>0</v>
      </c>
      <c r="S141" s="2476">
        <f t="shared" si="24"/>
        <v>0</v>
      </c>
      <c r="T141" s="2476">
        <f t="shared" si="25"/>
        <v>0</v>
      </c>
      <c r="U141" s="2477">
        <f>IF(OR(E141="QS",B141=""),0,
IF(C141="F",VLOOKUP($T141,'表30-5-2-5-1'!$B:$AF,MATCH($D141&amp;"a",'表30-5-2-5-1'!$4:$4,0)-1,FALSE)
-IF($S141-1&lt;=0,0,VLOOKUP($S141-1,'表30-5-2-5-1'!$B:$AF,MATCH($D141&amp;"a",'表30-5-2-5-1'!$4:$4,0)-1,FALSE))
-VLOOKUP($T141,'表30-5-2-5-1'!$B:$AF,MATCH($D141,'表30-5-2-5-1'!$4:$4,0)-1,FALSE)*(T141/100-N141/H141)*100
-VLOOKUP($S141,'表30-5-2-5-1'!$B:$AF,MATCH($D141,'表30-5-2-5-1'!$4:$4,0)-1,FALSE)*(1-(S141/100-M141/H141)*100),
IF(C141="E1",VLOOKUP($T141,'表30-5-2-5-2'!$B$4:$AF$104,MATCH($D141&amp;"a",'表30-5-2-5-2'!$4:$4,0)-1,FALSE)
-IF($S141-1&lt;=0,0,VLOOKUP($S141-1,'表30-5-2-5-2'!$B$4:$AF$104,MATCH($D141&amp;"a",'表30-5-2-5-2'!$4:$4,0)-1,FALSE))
-VLOOKUP($T141,'表30-5-2-5-2'!$B$4:$AF$104,MATCH($D141,'表30-5-2-5-2'!$4:$4,0)-1,FALSE)*(T141/100-N141/H141)*100
-VLOOKUP($S141,'表30-5-2-5-2'!$B$4:$AF$104,MATCH($D141,'表30-5-2-5-2'!$4:$4,0)-1,FALSE)*(1-(S141/100-M141/H141)*100),
IF(C141="E2",VLOOKUP($T141,'表30-5-2-5-2'!$B$114:$AF$214,MATCH($D141&amp;"a",'表30-5-2-5-2'!$4:$4,0)-1,FALSE)
-IF($S141-1&lt;=0,0,VLOOKUP($S141-1,'表30-5-2-5-2'!$B$114:$AF$214,MATCH($D141&amp;"a",'表30-5-2-5-2'!$4:$4,0)-1,FALSE))
-VLOOKUP($T141,'表30-5-2-5-2'!$B$114:$AF$214,MATCH($D141,'表30-5-2-5-2'!$4:$4,0)-1,FALSE)*(T141/100-N141/H141)*100
-VLOOKUP($S141,'表30-5-2-5-2'!$B$114:$AF$214,MATCH($D141,'表30-5-2-5-2'!$4:$4,0)-1,FALSE)*(1-(S141/100-M141/H141)*100),0))))</f>
        <v>0</v>
      </c>
      <c r="V141" s="2478">
        <f t="shared" si="26"/>
        <v>0</v>
      </c>
      <c r="W141" s="2478">
        <f t="shared" si="27"/>
        <v>0</v>
      </c>
      <c r="X141" s="2718">
        <f t="shared" si="29"/>
        <v>0</v>
      </c>
      <c r="Y141" s="2718">
        <f t="shared" si="30"/>
        <v>0</v>
      </c>
    </row>
    <row r="142" spans="1:25">
      <c r="A142" s="2473" t="str">
        <f t="shared" si="28"/>
        <v/>
      </c>
      <c r="B142" s="2737"/>
      <c r="C142" s="2737"/>
      <c r="D142" s="2737"/>
      <c r="E142" s="2738"/>
      <c r="F142" s="2738"/>
      <c r="G142" s="2738"/>
      <c r="H142" s="2739"/>
      <c r="I142" s="2741"/>
      <c r="J142" s="2741"/>
      <c r="K142" s="2742"/>
      <c r="L142" s="2742"/>
      <c r="M142" s="2738"/>
      <c r="N142" s="2738"/>
      <c r="O142" s="2474">
        <f t="shared" si="22"/>
        <v>0</v>
      </c>
      <c r="P142" s="2474">
        <f t="shared" si="23"/>
        <v>0</v>
      </c>
      <c r="Q142" s="2475">
        <f t="shared" si="31"/>
        <v>0</v>
      </c>
      <c r="R142" s="2475">
        <f t="shared" si="32"/>
        <v>0</v>
      </c>
      <c r="S142" s="2476">
        <f t="shared" si="24"/>
        <v>0</v>
      </c>
      <c r="T142" s="2476">
        <f t="shared" si="25"/>
        <v>0</v>
      </c>
      <c r="U142" s="2477">
        <f>IF(OR(E142="QS",B142=""),0,
IF(C142="F",VLOOKUP($T142,'表30-5-2-5-1'!$B:$AF,MATCH($D142&amp;"a",'表30-5-2-5-1'!$4:$4,0)-1,FALSE)
-IF($S142-1&lt;=0,0,VLOOKUP($S142-1,'表30-5-2-5-1'!$B:$AF,MATCH($D142&amp;"a",'表30-5-2-5-1'!$4:$4,0)-1,FALSE))
-VLOOKUP($T142,'表30-5-2-5-1'!$B:$AF,MATCH($D142,'表30-5-2-5-1'!$4:$4,0)-1,FALSE)*(T142/100-N142/H142)*100
-VLOOKUP($S142,'表30-5-2-5-1'!$B:$AF,MATCH($D142,'表30-5-2-5-1'!$4:$4,0)-1,FALSE)*(1-(S142/100-M142/H142)*100),
IF(C142="E1",VLOOKUP($T142,'表30-5-2-5-2'!$B$4:$AF$104,MATCH($D142&amp;"a",'表30-5-2-5-2'!$4:$4,0)-1,FALSE)
-IF($S142-1&lt;=0,0,VLOOKUP($S142-1,'表30-5-2-5-2'!$B$4:$AF$104,MATCH($D142&amp;"a",'表30-5-2-5-2'!$4:$4,0)-1,FALSE))
-VLOOKUP($T142,'表30-5-2-5-2'!$B$4:$AF$104,MATCH($D142,'表30-5-2-5-2'!$4:$4,0)-1,FALSE)*(T142/100-N142/H142)*100
-VLOOKUP($S142,'表30-5-2-5-2'!$B$4:$AF$104,MATCH($D142,'表30-5-2-5-2'!$4:$4,0)-1,FALSE)*(1-(S142/100-M142/H142)*100),
IF(C142="E2",VLOOKUP($T142,'表30-5-2-5-2'!$B$114:$AF$214,MATCH($D142&amp;"a",'表30-5-2-5-2'!$4:$4,0)-1,FALSE)
-IF($S142-1&lt;=0,0,VLOOKUP($S142-1,'表30-5-2-5-2'!$B$114:$AF$214,MATCH($D142&amp;"a",'表30-5-2-5-2'!$4:$4,0)-1,FALSE))
-VLOOKUP($T142,'表30-5-2-5-2'!$B$114:$AF$214,MATCH($D142,'表30-5-2-5-2'!$4:$4,0)-1,FALSE)*(T142/100-N142/H142)*100
-VLOOKUP($S142,'表30-5-2-5-2'!$B$114:$AF$214,MATCH($D142,'表30-5-2-5-2'!$4:$4,0)-1,FALSE)*(1-(S142/100-M142/H142)*100),0))))</f>
        <v>0</v>
      </c>
      <c r="V142" s="2478">
        <f t="shared" si="26"/>
        <v>0</v>
      </c>
      <c r="W142" s="2478">
        <f t="shared" si="27"/>
        <v>0</v>
      </c>
      <c r="X142" s="2718">
        <f t="shared" si="29"/>
        <v>0</v>
      </c>
      <c r="Y142" s="2718">
        <f t="shared" si="30"/>
        <v>0</v>
      </c>
    </row>
    <row r="143" spans="1:25">
      <c r="A143" s="2473" t="str">
        <f t="shared" si="28"/>
        <v/>
      </c>
      <c r="B143" s="2737"/>
      <c r="C143" s="2737"/>
      <c r="D143" s="2737"/>
      <c r="E143" s="2738"/>
      <c r="F143" s="2738"/>
      <c r="G143" s="2738"/>
      <c r="H143" s="2739"/>
      <c r="I143" s="2741"/>
      <c r="J143" s="2741"/>
      <c r="K143" s="2742"/>
      <c r="L143" s="2742"/>
      <c r="M143" s="2738"/>
      <c r="N143" s="2738"/>
      <c r="O143" s="2474">
        <f t="shared" si="22"/>
        <v>0</v>
      </c>
      <c r="P143" s="2474">
        <f t="shared" si="23"/>
        <v>0</v>
      </c>
      <c r="Q143" s="2475">
        <f t="shared" si="31"/>
        <v>0</v>
      </c>
      <c r="R143" s="2475">
        <f t="shared" si="32"/>
        <v>0</v>
      </c>
      <c r="S143" s="2476">
        <f t="shared" si="24"/>
        <v>0</v>
      </c>
      <c r="T143" s="2476">
        <f t="shared" si="25"/>
        <v>0</v>
      </c>
      <c r="U143" s="2477">
        <f>IF(OR(E143="QS",B143=""),0,
IF(C143="F",VLOOKUP($T143,'表30-5-2-5-1'!$B:$AF,MATCH($D143&amp;"a",'表30-5-2-5-1'!$4:$4,0)-1,FALSE)
-IF($S143-1&lt;=0,0,VLOOKUP($S143-1,'表30-5-2-5-1'!$B:$AF,MATCH($D143&amp;"a",'表30-5-2-5-1'!$4:$4,0)-1,FALSE))
-VLOOKUP($T143,'表30-5-2-5-1'!$B:$AF,MATCH($D143,'表30-5-2-5-1'!$4:$4,0)-1,FALSE)*(T143/100-N143/H143)*100
-VLOOKUP($S143,'表30-5-2-5-1'!$B:$AF,MATCH($D143,'表30-5-2-5-1'!$4:$4,0)-1,FALSE)*(1-(S143/100-M143/H143)*100),
IF(C143="E1",VLOOKUP($T143,'表30-5-2-5-2'!$B$4:$AF$104,MATCH($D143&amp;"a",'表30-5-2-5-2'!$4:$4,0)-1,FALSE)
-IF($S143-1&lt;=0,0,VLOOKUP($S143-1,'表30-5-2-5-2'!$B$4:$AF$104,MATCH($D143&amp;"a",'表30-5-2-5-2'!$4:$4,0)-1,FALSE))
-VLOOKUP($T143,'表30-5-2-5-2'!$B$4:$AF$104,MATCH($D143,'表30-5-2-5-2'!$4:$4,0)-1,FALSE)*(T143/100-N143/H143)*100
-VLOOKUP($S143,'表30-5-2-5-2'!$B$4:$AF$104,MATCH($D143,'表30-5-2-5-2'!$4:$4,0)-1,FALSE)*(1-(S143/100-M143/H143)*100),
IF(C143="E2",VLOOKUP($T143,'表30-5-2-5-2'!$B$114:$AF$214,MATCH($D143&amp;"a",'表30-5-2-5-2'!$4:$4,0)-1,FALSE)
-IF($S143-1&lt;=0,0,VLOOKUP($S143-1,'表30-5-2-5-2'!$B$114:$AF$214,MATCH($D143&amp;"a",'表30-5-2-5-2'!$4:$4,0)-1,FALSE))
-VLOOKUP($T143,'表30-5-2-5-2'!$B$114:$AF$214,MATCH($D143,'表30-5-2-5-2'!$4:$4,0)-1,FALSE)*(T143/100-N143/H143)*100
-VLOOKUP($S143,'表30-5-2-5-2'!$B$114:$AF$214,MATCH($D143,'表30-5-2-5-2'!$4:$4,0)-1,FALSE)*(1-(S143/100-M143/H143)*100),0))))</f>
        <v>0</v>
      </c>
      <c r="V143" s="2478">
        <f t="shared" si="26"/>
        <v>0</v>
      </c>
      <c r="W143" s="2478">
        <f t="shared" si="27"/>
        <v>0</v>
      </c>
      <c r="X143" s="2718">
        <f t="shared" si="29"/>
        <v>0</v>
      </c>
      <c r="Y143" s="2718">
        <f t="shared" si="30"/>
        <v>0</v>
      </c>
    </row>
    <row r="144" spans="1:25">
      <c r="A144" s="2473" t="str">
        <f t="shared" si="28"/>
        <v/>
      </c>
      <c r="B144" s="2737"/>
      <c r="C144" s="2737"/>
      <c r="D144" s="2737"/>
      <c r="E144" s="2738"/>
      <c r="F144" s="2738"/>
      <c r="G144" s="2738"/>
      <c r="H144" s="2739"/>
      <c r="I144" s="2741"/>
      <c r="J144" s="2741"/>
      <c r="K144" s="2742"/>
      <c r="L144" s="2742"/>
      <c r="M144" s="2738"/>
      <c r="N144" s="2738"/>
      <c r="O144" s="2474">
        <f t="shared" si="22"/>
        <v>0</v>
      </c>
      <c r="P144" s="2474">
        <f t="shared" si="23"/>
        <v>0</v>
      </c>
      <c r="Q144" s="2475">
        <f t="shared" si="31"/>
        <v>0</v>
      </c>
      <c r="R144" s="2475">
        <f t="shared" si="32"/>
        <v>0</v>
      </c>
      <c r="S144" s="2476">
        <f t="shared" si="24"/>
        <v>0</v>
      </c>
      <c r="T144" s="2476">
        <f t="shared" si="25"/>
        <v>0</v>
      </c>
      <c r="U144" s="2477">
        <f>IF(OR(E144="QS",B144=""),0,
IF(C144="F",VLOOKUP($T144,'表30-5-2-5-1'!$B:$AF,MATCH($D144&amp;"a",'表30-5-2-5-1'!$4:$4,0)-1,FALSE)
-IF($S144-1&lt;=0,0,VLOOKUP($S144-1,'表30-5-2-5-1'!$B:$AF,MATCH($D144&amp;"a",'表30-5-2-5-1'!$4:$4,0)-1,FALSE))
-VLOOKUP($T144,'表30-5-2-5-1'!$B:$AF,MATCH($D144,'表30-5-2-5-1'!$4:$4,0)-1,FALSE)*(T144/100-N144/H144)*100
-VLOOKUP($S144,'表30-5-2-5-1'!$B:$AF,MATCH($D144,'表30-5-2-5-1'!$4:$4,0)-1,FALSE)*(1-(S144/100-M144/H144)*100),
IF(C144="E1",VLOOKUP($T144,'表30-5-2-5-2'!$B$4:$AF$104,MATCH($D144&amp;"a",'表30-5-2-5-2'!$4:$4,0)-1,FALSE)
-IF($S144-1&lt;=0,0,VLOOKUP($S144-1,'表30-5-2-5-2'!$B$4:$AF$104,MATCH($D144&amp;"a",'表30-5-2-5-2'!$4:$4,0)-1,FALSE))
-VLOOKUP($T144,'表30-5-2-5-2'!$B$4:$AF$104,MATCH($D144,'表30-5-2-5-2'!$4:$4,0)-1,FALSE)*(T144/100-N144/H144)*100
-VLOOKUP($S144,'表30-5-2-5-2'!$B$4:$AF$104,MATCH($D144,'表30-5-2-5-2'!$4:$4,0)-1,FALSE)*(1-(S144/100-M144/H144)*100),
IF(C144="E2",VLOOKUP($T144,'表30-5-2-5-2'!$B$114:$AF$214,MATCH($D144&amp;"a",'表30-5-2-5-2'!$4:$4,0)-1,FALSE)
-IF($S144-1&lt;=0,0,VLOOKUP($S144-1,'表30-5-2-5-2'!$B$114:$AF$214,MATCH($D144&amp;"a",'表30-5-2-5-2'!$4:$4,0)-1,FALSE))
-VLOOKUP($T144,'表30-5-2-5-2'!$B$114:$AF$214,MATCH($D144,'表30-5-2-5-2'!$4:$4,0)-1,FALSE)*(T144/100-N144/H144)*100
-VLOOKUP($S144,'表30-5-2-5-2'!$B$114:$AF$214,MATCH($D144,'表30-5-2-5-2'!$4:$4,0)-1,FALSE)*(1-(S144/100-M144/H144)*100),0))))</f>
        <v>0</v>
      </c>
      <c r="V144" s="2478">
        <f t="shared" si="26"/>
        <v>0</v>
      </c>
      <c r="W144" s="2478">
        <f t="shared" si="27"/>
        <v>0</v>
      </c>
      <c r="X144" s="2718">
        <f t="shared" si="29"/>
        <v>0</v>
      </c>
      <c r="Y144" s="2718">
        <f t="shared" si="30"/>
        <v>0</v>
      </c>
    </row>
    <row r="145" spans="1:25">
      <c r="A145" s="2473" t="str">
        <f t="shared" si="28"/>
        <v/>
      </c>
      <c r="B145" s="2737"/>
      <c r="C145" s="2737"/>
      <c r="D145" s="2737"/>
      <c r="E145" s="2738"/>
      <c r="F145" s="2738"/>
      <c r="G145" s="2738"/>
      <c r="H145" s="2739"/>
      <c r="I145" s="2741"/>
      <c r="J145" s="2741"/>
      <c r="K145" s="2742"/>
      <c r="L145" s="2742"/>
      <c r="M145" s="2738"/>
      <c r="N145" s="2738"/>
      <c r="O145" s="2474">
        <f t="shared" si="22"/>
        <v>0</v>
      </c>
      <c r="P145" s="2474">
        <f t="shared" si="23"/>
        <v>0</v>
      </c>
      <c r="Q145" s="2475">
        <f t="shared" si="31"/>
        <v>0</v>
      </c>
      <c r="R145" s="2475">
        <f t="shared" si="32"/>
        <v>0</v>
      </c>
      <c r="S145" s="2476">
        <f t="shared" si="24"/>
        <v>0</v>
      </c>
      <c r="T145" s="2476">
        <f t="shared" si="25"/>
        <v>0</v>
      </c>
      <c r="U145" s="2477">
        <f>IF(OR(E145="QS",B145=""),0,
IF(C145="F",VLOOKUP($T145,'表30-5-2-5-1'!$B:$AF,MATCH($D145&amp;"a",'表30-5-2-5-1'!$4:$4,0)-1,FALSE)
-IF($S145-1&lt;=0,0,VLOOKUP($S145-1,'表30-5-2-5-1'!$B:$AF,MATCH($D145&amp;"a",'表30-5-2-5-1'!$4:$4,0)-1,FALSE))
-VLOOKUP($T145,'表30-5-2-5-1'!$B:$AF,MATCH($D145,'表30-5-2-5-1'!$4:$4,0)-1,FALSE)*(T145/100-N145/H145)*100
-VLOOKUP($S145,'表30-5-2-5-1'!$B:$AF,MATCH($D145,'表30-5-2-5-1'!$4:$4,0)-1,FALSE)*(1-(S145/100-M145/H145)*100),
IF(C145="E1",VLOOKUP($T145,'表30-5-2-5-2'!$B$4:$AF$104,MATCH($D145&amp;"a",'表30-5-2-5-2'!$4:$4,0)-1,FALSE)
-IF($S145-1&lt;=0,0,VLOOKUP($S145-1,'表30-5-2-5-2'!$B$4:$AF$104,MATCH($D145&amp;"a",'表30-5-2-5-2'!$4:$4,0)-1,FALSE))
-VLOOKUP($T145,'表30-5-2-5-2'!$B$4:$AF$104,MATCH($D145,'表30-5-2-5-2'!$4:$4,0)-1,FALSE)*(T145/100-N145/H145)*100
-VLOOKUP($S145,'表30-5-2-5-2'!$B$4:$AF$104,MATCH($D145,'表30-5-2-5-2'!$4:$4,0)-1,FALSE)*(1-(S145/100-M145/H145)*100),
IF(C145="E2",VLOOKUP($T145,'表30-5-2-5-2'!$B$114:$AF$214,MATCH($D145&amp;"a",'表30-5-2-5-2'!$4:$4,0)-1,FALSE)
-IF($S145-1&lt;=0,0,VLOOKUP($S145-1,'表30-5-2-5-2'!$B$114:$AF$214,MATCH($D145&amp;"a",'表30-5-2-5-2'!$4:$4,0)-1,FALSE))
-VLOOKUP($T145,'表30-5-2-5-2'!$B$114:$AF$214,MATCH($D145,'表30-5-2-5-2'!$4:$4,0)-1,FALSE)*(T145/100-N145/H145)*100
-VLOOKUP($S145,'表30-5-2-5-2'!$B$114:$AF$214,MATCH($D145,'表30-5-2-5-2'!$4:$4,0)-1,FALSE)*(1-(S145/100-M145/H145)*100),0))))</f>
        <v>0</v>
      </c>
      <c r="V145" s="2478">
        <f t="shared" si="26"/>
        <v>0</v>
      </c>
      <c r="W145" s="2478">
        <f t="shared" si="27"/>
        <v>0</v>
      </c>
      <c r="X145" s="2718">
        <f t="shared" si="29"/>
        <v>0</v>
      </c>
      <c r="Y145" s="2718">
        <f t="shared" si="30"/>
        <v>0</v>
      </c>
    </row>
    <row r="146" spans="1:25">
      <c r="A146" s="2473" t="str">
        <f t="shared" si="28"/>
        <v/>
      </c>
      <c r="B146" s="2737"/>
      <c r="C146" s="2737"/>
      <c r="D146" s="2737"/>
      <c r="E146" s="2738"/>
      <c r="F146" s="2738"/>
      <c r="G146" s="2738"/>
      <c r="H146" s="2739"/>
      <c r="I146" s="2741"/>
      <c r="J146" s="2741"/>
      <c r="K146" s="2742"/>
      <c r="L146" s="2742"/>
      <c r="M146" s="2738"/>
      <c r="N146" s="2738"/>
      <c r="O146" s="2474">
        <f t="shared" si="22"/>
        <v>0</v>
      </c>
      <c r="P146" s="2474">
        <f t="shared" si="23"/>
        <v>0</v>
      </c>
      <c r="Q146" s="2475">
        <f t="shared" si="31"/>
        <v>0</v>
      </c>
      <c r="R146" s="2475">
        <f t="shared" si="32"/>
        <v>0</v>
      </c>
      <c r="S146" s="2476">
        <f t="shared" si="24"/>
        <v>0</v>
      </c>
      <c r="T146" s="2476">
        <f t="shared" si="25"/>
        <v>0</v>
      </c>
      <c r="U146" s="2477">
        <f>IF(OR(E146="QS",B146=""),0,
IF(C146="F",VLOOKUP($T146,'表30-5-2-5-1'!$B:$AF,MATCH($D146&amp;"a",'表30-5-2-5-1'!$4:$4,0)-1,FALSE)
-IF($S146-1&lt;=0,0,VLOOKUP($S146-1,'表30-5-2-5-1'!$B:$AF,MATCH($D146&amp;"a",'表30-5-2-5-1'!$4:$4,0)-1,FALSE))
-VLOOKUP($T146,'表30-5-2-5-1'!$B:$AF,MATCH($D146,'表30-5-2-5-1'!$4:$4,0)-1,FALSE)*(T146/100-N146/H146)*100
-VLOOKUP($S146,'表30-5-2-5-1'!$B:$AF,MATCH($D146,'表30-5-2-5-1'!$4:$4,0)-1,FALSE)*(1-(S146/100-M146/H146)*100),
IF(C146="E1",VLOOKUP($T146,'表30-5-2-5-2'!$B$4:$AF$104,MATCH($D146&amp;"a",'表30-5-2-5-2'!$4:$4,0)-1,FALSE)
-IF($S146-1&lt;=0,0,VLOOKUP($S146-1,'表30-5-2-5-2'!$B$4:$AF$104,MATCH($D146&amp;"a",'表30-5-2-5-2'!$4:$4,0)-1,FALSE))
-VLOOKUP($T146,'表30-5-2-5-2'!$B$4:$AF$104,MATCH($D146,'表30-5-2-5-2'!$4:$4,0)-1,FALSE)*(T146/100-N146/H146)*100
-VLOOKUP($S146,'表30-5-2-5-2'!$B$4:$AF$104,MATCH($D146,'表30-5-2-5-2'!$4:$4,0)-1,FALSE)*(1-(S146/100-M146/H146)*100),
IF(C146="E2",VLOOKUP($T146,'表30-5-2-5-2'!$B$114:$AF$214,MATCH($D146&amp;"a",'表30-5-2-5-2'!$4:$4,0)-1,FALSE)
-IF($S146-1&lt;=0,0,VLOOKUP($S146-1,'表30-5-2-5-2'!$B$114:$AF$214,MATCH($D146&amp;"a",'表30-5-2-5-2'!$4:$4,0)-1,FALSE))
-VLOOKUP($T146,'表30-5-2-5-2'!$B$114:$AF$214,MATCH($D146,'表30-5-2-5-2'!$4:$4,0)-1,FALSE)*(T146/100-N146/H146)*100
-VLOOKUP($S146,'表30-5-2-5-2'!$B$114:$AF$214,MATCH($D146,'表30-5-2-5-2'!$4:$4,0)-1,FALSE)*(1-(S146/100-M146/H146)*100),0))))</f>
        <v>0</v>
      </c>
      <c r="V146" s="2478">
        <f t="shared" si="26"/>
        <v>0</v>
      </c>
      <c r="W146" s="2478">
        <f t="shared" si="27"/>
        <v>0</v>
      </c>
      <c r="X146" s="2718">
        <f t="shared" si="29"/>
        <v>0</v>
      </c>
      <c r="Y146" s="2718">
        <f t="shared" si="30"/>
        <v>0</v>
      </c>
    </row>
    <row r="147" spans="1:25">
      <c r="A147" s="2473" t="str">
        <f t="shared" si="28"/>
        <v/>
      </c>
      <c r="B147" s="2737"/>
      <c r="C147" s="2737"/>
      <c r="D147" s="2737"/>
      <c r="E147" s="2738"/>
      <c r="F147" s="2738"/>
      <c r="G147" s="2738"/>
      <c r="H147" s="2739"/>
      <c r="I147" s="2741"/>
      <c r="J147" s="2741"/>
      <c r="K147" s="2742"/>
      <c r="L147" s="2742"/>
      <c r="M147" s="2738"/>
      <c r="N147" s="2738"/>
      <c r="O147" s="2474">
        <f t="shared" si="22"/>
        <v>0</v>
      </c>
      <c r="P147" s="2474">
        <f t="shared" si="23"/>
        <v>0</v>
      </c>
      <c r="Q147" s="2475">
        <f t="shared" si="31"/>
        <v>0</v>
      </c>
      <c r="R147" s="2475">
        <f t="shared" si="32"/>
        <v>0</v>
      </c>
      <c r="S147" s="2476">
        <f t="shared" si="24"/>
        <v>0</v>
      </c>
      <c r="T147" s="2476">
        <f t="shared" si="25"/>
        <v>0</v>
      </c>
      <c r="U147" s="2477">
        <f>IF(OR(E147="QS",B147=""),0,
IF(C147="F",VLOOKUP($T147,'表30-5-2-5-1'!$B:$AF,MATCH($D147&amp;"a",'表30-5-2-5-1'!$4:$4,0)-1,FALSE)
-IF($S147-1&lt;=0,0,VLOOKUP($S147-1,'表30-5-2-5-1'!$B:$AF,MATCH($D147&amp;"a",'表30-5-2-5-1'!$4:$4,0)-1,FALSE))
-VLOOKUP($T147,'表30-5-2-5-1'!$B:$AF,MATCH($D147,'表30-5-2-5-1'!$4:$4,0)-1,FALSE)*(T147/100-N147/H147)*100
-VLOOKUP($S147,'表30-5-2-5-1'!$B:$AF,MATCH($D147,'表30-5-2-5-1'!$4:$4,0)-1,FALSE)*(1-(S147/100-M147/H147)*100),
IF(C147="E1",VLOOKUP($T147,'表30-5-2-5-2'!$B$4:$AF$104,MATCH($D147&amp;"a",'表30-5-2-5-2'!$4:$4,0)-1,FALSE)
-IF($S147-1&lt;=0,0,VLOOKUP($S147-1,'表30-5-2-5-2'!$B$4:$AF$104,MATCH($D147&amp;"a",'表30-5-2-5-2'!$4:$4,0)-1,FALSE))
-VLOOKUP($T147,'表30-5-2-5-2'!$B$4:$AF$104,MATCH($D147,'表30-5-2-5-2'!$4:$4,0)-1,FALSE)*(T147/100-N147/H147)*100
-VLOOKUP($S147,'表30-5-2-5-2'!$B$4:$AF$104,MATCH($D147,'表30-5-2-5-2'!$4:$4,0)-1,FALSE)*(1-(S147/100-M147/H147)*100),
IF(C147="E2",VLOOKUP($T147,'表30-5-2-5-2'!$B$114:$AF$214,MATCH($D147&amp;"a",'表30-5-2-5-2'!$4:$4,0)-1,FALSE)
-IF($S147-1&lt;=0,0,VLOOKUP($S147-1,'表30-5-2-5-2'!$B$114:$AF$214,MATCH($D147&amp;"a",'表30-5-2-5-2'!$4:$4,0)-1,FALSE))
-VLOOKUP($T147,'表30-5-2-5-2'!$B$114:$AF$214,MATCH($D147,'表30-5-2-5-2'!$4:$4,0)-1,FALSE)*(T147/100-N147/H147)*100
-VLOOKUP($S147,'表30-5-2-5-2'!$B$114:$AF$214,MATCH($D147,'表30-5-2-5-2'!$4:$4,0)-1,FALSE)*(1-(S147/100-M147/H147)*100),0))))</f>
        <v>0</v>
      </c>
      <c r="V147" s="2478">
        <f t="shared" si="26"/>
        <v>0</v>
      </c>
      <c r="W147" s="2478">
        <f t="shared" si="27"/>
        <v>0</v>
      </c>
      <c r="X147" s="2718">
        <f t="shared" si="29"/>
        <v>0</v>
      </c>
      <c r="Y147" s="2718">
        <f t="shared" si="30"/>
        <v>0</v>
      </c>
    </row>
    <row r="148" spans="1:25">
      <c r="A148" s="2473" t="str">
        <f t="shared" si="28"/>
        <v/>
      </c>
      <c r="B148" s="2737"/>
      <c r="C148" s="2737"/>
      <c r="D148" s="2737"/>
      <c r="E148" s="2738"/>
      <c r="F148" s="2738"/>
      <c r="G148" s="2738"/>
      <c r="H148" s="2739"/>
      <c r="I148" s="2741"/>
      <c r="J148" s="2741"/>
      <c r="K148" s="2742"/>
      <c r="L148" s="2742"/>
      <c r="M148" s="2738"/>
      <c r="N148" s="2738"/>
      <c r="O148" s="2474">
        <f t="shared" si="22"/>
        <v>0</v>
      </c>
      <c r="P148" s="2474">
        <f t="shared" si="23"/>
        <v>0</v>
      </c>
      <c r="Q148" s="2475">
        <f t="shared" si="31"/>
        <v>0</v>
      </c>
      <c r="R148" s="2475">
        <f t="shared" si="32"/>
        <v>0</v>
      </c>
      <c r="S148" s="2476">
        <f t="shared" si="24"/>
        <v>0</v>
      </c>
      <c r="T148" s="2476">
        <f t="shared" si="25"/>
        <v>0</v>
      </c>
      <c r="U148" s="2477">
        <f>IF(OR(E148="QS",B148=""),0,
IF(C148="F",VLOOKUP($T148,'表30-5-2-5-1'!$B:$AF,MATCH($D148&amp;"a",'表30-5-2-5-1'!$4:$4,0)-1,FALSE)
-IF($S148-1&lt;=0,0,VLOOKUP($S148-1,'表30-5-2-5-1'!$B:$AF,MATCH($D148&amp;"a",'表30-5-2-5-1'!$4:$4,0)-1,FALSE))
-VLOOKUP($T148,'表30-5-2-5-1'!$B:$AF,MATCH($D148,'表30-5-2-5-1'!$4:$4,0)-1,FALSE)*(T148/100-N148/H148)*100
-VLOOKUP($S148,'表30-5-2-5-1'!$B:$AF,MATCH($D148,'表30-5-2-5-1'!$4:$4,0)-1,FALSE)*(1-(S148/100-M148/H148)*100),
IF(C148="E1",VLOOKUP($T148,'表30-5-2-5-2'!$B$4:$AF$104,MATCH($D148&amp;"a",'表30-5-2-5-2'!$4:$4,0)-1,FALSE)
-IF($S148-1&lt;=0,0,VLOOKUP($S148-1,'表30-5-2-5-2'!$B$4:$AF$104,MATCH($D148&amp;"a",'表30-5-2-5-2'!$4:$4,0)-1,FALSE))
-VLOOKUP($T148,'表30-5-2-5-2'!$B$4:$AF$104,MATCH($D148,'表30-5-2-5-2'!$4:$4,0)-1,FALSE)*(T148/100-N148/H148)*100
-VLOOKUP($S148,'表30-5-2-5-2'!$B$4:$AF$104,MATCH($D148,'表30-5-2-5-2'!$4:$4,0)-1,FALSE)*(1-(S148/100-M148/H148)*100),
IF(C148="E2",VLOOKUP($T148,'表30-5-2-5-2'!$B$114:$AF$214,MATCH($D148&amp;"a",'表30-5-2-5-2'!$4:$4,0)-1,FALSE)
-IF($S148-1&lt;=0,0,VLOOKUP($S148-1,'表30-5-2-5-2'!$B$114:$AF$214,MATCH($D148&amp;"a",'表30-5-2-5-2'!$4:$4,0)-1,FALSE))
-VLOOKUP($T148,'表30-5-2-5-2'!$B$114:$AF$214,MATCH($D148,'表30-5-2-5-2'!$4:$4,0)-1,FALSE)*(T148/100-N148/H148)*100
-VLOOKUP($S148,'表30-5-2-5-2'!$B$114:$AF$214,MATCH($D148,'表30-5-2-5-2'!$4:$4,0)-1,FALSE)*(1-(S148/100-M148/H148)*100),0))))</f>
        <v>0</v>
      </c>
      <c r="V148" s="2478">
        <f t="shared" si="26"/>
        <v>0</v>
      </c>
      <c r="W148" s="2478">
        <f t="shared" si="27"/>
        <v>0</v>
      </c>
      <c r="X148" s="2718">
        <f t="shared" si="29"/>
        <v>0</v>
      </c>
      <c r="Y148" s="2718">
        <f t="shared" si="30"/>
        <v>0</v>
      </c>
    </row>
    <row r="149" spans="1:25">
      <c r="A149" s="2473" t="str">
        <f t="shared" si="28"/>
        <v/>
      </c>
      <c r="B149" s="2737"/>
      <c r="C149" s="2737"/>
      <c r="D149" s="2737"/>
      <c r="E149" s="2738"/>
      <c r="F149" s="2738"/>
      <c r="G149" s="2738"/>
      <c r="H149" s="2739"/>
      <c r="I149" s="2741"/>
      <c r="J149" s="2741"/>
      <c r="K149" s="2742"/>
      <c r="L149" s="2742"/>
      <c r="M149" s="2738"/>
      <c r="N149" s="2738"/>
      <c r="O149" s="2474">
        <f t="shared" si="22"/>
        <v>0</v>
      </c>
      <c r="P149" s="2474">
        <f t="shared" si="23"/>
        <v>0</v>
      </c>
      <c r="Q149" s="2475">
        <f t="shared" si="31"/>
        <v>0</v>
      </c>
      <c r="R149" s="2475">
        <f t="shared" si="32"/>
        <v>0</v>
      </c>
      <c r="S149" s="2476">
        <f t="shared" si="24"/>
        <v>0</v>
      </c>
      <c r="T149" s="2476">
        <f t="shared" si="25"/>
        <v>0</v>
      </c>
      <c r="U149" s="2477">
        <f>IF(OR(E149="QS",B149=""),0,
IF(C149="F",VLOOKUP($T149,'表30-5-2-5-1'!$B:$AF,MATCH($D149&amp;"a",'表30-5-2-5-1'!$4:$4,0)-1,FALSE)
-IF($S149-1&lt;=0,0,VLOOKUP($S149-1,'表30-5-2-5-1'!$B:$AF,MATCH($D149&amp;"a",'表30-5-2-5-1'!$4:$4,0)-1,FALSE))
-VLOOKUP($T149,'表30-5-2-5-1'!$B:$AF,MATCH($D149,'表30-5-2-5-1'!$4:$4,0)-1,FALSE)*(T149/100-N149/H149)*100
-VLOOKUP($S149,'表30-5-2-5-1'!$B:$AF,MATCH($D149,'表30-5-2-5-1'!$4:$4,0)-1,FALSE)*(1-(S149/100-M149/H149)*100),
IF(C149="E1",VLOOKUP($T149,'表30-5-2-5-2'!$B$4:$AF$104,MATCH($D149&amp;"a",'表30-5-2-5-2'!$4:$4,0)-1,FALSE)
-IF($S149-1&lt;=0,0,VLOOKUP($S149-1,'表30-5-2-5-2'!$B$4:$AF$104,MATCH($D149&amp;"a",'表30-5-2-5-2'!$4:$4,0)-1,FALSE))
-VLOOKUP($T149,'表30-5-2-5-2'!$B$4:$AF$104,MATCH($D149,'表30-5-2-5-2'!$4:$4,0)-1,FALSE)*(T149/100-N149/H149)*100
-VLOOKUP($S149,'表30-5-2-5-2'!$B$4:$AF$104,MATCH($D149,'表30-5-2-5-2'!$4:$4,0)-1,FALSE)*(1-(S149/100-M149/H149)*100),
IF(C149="E2",VLOOKUP($T149,'表30-5-2-5-2'!$B$114:$AF$214,MATCH($D149&amp;"a",'表30-5-2-5-2'!$4:$4,0)-1,FALSE)
-IF($S149-1&lt;=0,0,VLOOKUP($S149-1,'表30-5-2-5-2'!$B$114:$AF$214,MATCH($D149&amp;"a",'表30-5-2-5-2'!$4:$4,0)-1,FALSE))
-VLOOKUP($T149,'表30-5-2-5-2'!$B$114:$AF$214,MATCH($D149,'表30-5-2-5-2'!$4:$4,0)-1,FALSE)*(T149/100-N149/H149)*100
-VLOOKUP($S149,'表30-5-2-5-2'!$B$114:$AF$214,MATCH($D149,'表30-5-2-5-2'!$4:$4,0)-1,FALSE)*(1-(S149/100-M149/H149)*100),0))))</f>
        <v>0</v>
      </c>
      <c r="V149" s="2478">
        <f t="shared" si="26"/>
        <v>0</v>
      </c>
      <c r="W149" s="2478">
        <f t="shared" si="27"/>
        <v>0</v>
      </c>
      <c r="X149" s="2718">
        <f t="shared" si="29"/>
        <v>0</v>
      </c>
      <c r="Y149" s="2718">
        <f t="shared" si="30"/>
        <v>0</v>
      </c>
    </row>
    <row r="150" spans="1:25">
      <c r="A150" s="2473" t="str">
        <f t="shared" si="28"/>
        <v/>
      </c>
      <c r="B150" s="2737"/>
      <c r="C150" s="2737"/>
      <c r="D150" s="2737"/>
      <c r="E150" s="2738"/>
      <c r="F150" s="2738"/>
      <c r="G150" s="2738"/>
      <c r="H150" s="2739"/>
      <c r="I150" s="2741"/>
      <c r="J150" s="2741"/>
      <c r="K150" s="2742"/>
      <c r="L150" s="2742"/>
      <c r="M150" s="2738"/>
      <c r="N150" s="2738"/>
      <c r="O150" s="2474">
        <f t="shared" si="22"/>
        <v>0</v>
      </c>
      <c r="P150" s="2474">
        <f t="shared" si="23"/>
        <v>0</v>
      </c>
      <c r="Q150" s="2475">
        <f t="shared" si="31"/>
        <v>0</v>
      </c>
      <c r="R150" s="2475">
        <f t="shared" si="32"/>
        <v>0</v>
      </c>
      <c r="S150" s="2476">
        <f t="shared" si="24"/>
        <v>0</v>
      </c>
      <c r="T150" s="2476">
        <f t="shared" si="25"/>
        <v>0</v>
      </c>
      <c r="U150" s="2477">
        <f>IF(OR(E150="QS",B150=""),0,
IF(C150="F",VLOOKUP($T150,'表30-5-2-5-1'!$B:$AF,MATCH($D150&amp;"a",'表30-5-2-5-1'!$4:$4,0)-1,FALSE)
-IF($S150-1&lt;=0,0,VLOOKUP($S150-1,'表30-5-2-5-1'!$B:$AF,MATCH($D150&amp;"a",'表30-5-2-5-1'!$4:$4,0)-1,FALSE))
-VLOOKUP($T150,'表30-5-2-5-1'!$B:$AF,MATCH($D150,'表30-5-2-5-1'!$4:$4,0)-1,FALSE)*(T150/100-N150/H150)*100
-VLOOKUP($S150,'表30-5-2-5-1'!$B:$AF,MATCH($D150,'表30-5-2-5-1'!$4:$4,0)-1,FALSE)*(1-(S150/100-M150/H150)*100),
IF(C150="E1",VLOOKUP($T150,'表30-5-2-5-2'!$B$4:$AF$104,MATCH($D150&amp;"a",'表30-5-2-5-2'!$4:$4,0)-1,FALSE)
-IF($S150-1&lt;=0,0,VLOOKUP($S150-1,'表30-5-2-5-2'!$B$4:$AF$104,MATCH($D150&amp;"a",'表30-5-2-5-2'!$4:$4,0)-1,FALSE))
-VLOOKUP($T150,'表30-5-2-5-2'!$B$4:$AF$104,MATCH($D150,'表30-5-2-5-2'!$4:$4,0)-1,FALSE)*(T150/100-N150/H150)*100
-VLOOKUP($S150,'表30-5-2-5-2'!$B$4:$AF$104,MATCH($D150,'表30-5-2-5-2'!$4:$4,0)-1,FALSE)*(1-(S150/100-M150/H150)*100),
IF(C150="E2",VLOOKUP($T150,'表30-5-2-5-2'!$B$114:$AF$214,MATCH($D150&amp;"a",'表30-5-2-5-2'!$4:$4,0)-1,FALSE)
-IF($S150-1&lt;=0,0,VLOOKUP($S150-1,'表30-5-2-5-2'!$B$114:$AF$214,MATCH($D150&amp;"a",'表30-5-2-5-2'!$4:$4,0)-1,FALSE))
-VLOOKUP($T150,'表30-5-2-5-2'!$B$114:$AF$214,MATCH($D150,'表30-5-2-5-2'!$4:$4,0)-1,FALSE)*(T150/100-N150/H150)*100
-VLOOKUP($S150,'表30-5-2-5-2'!$B$114:$AF$214,MATCH($D150,'表30-5-2-5-2'!$4:$4,0)-1,FALSE)*(1-(S150/100-M150/H150)*100),0))))</f>
        <v>0</v>
      </c>
      <c r="V150" s="2478">
        <f t="shared" si="26"/>
        <v>0</v>
      </c>
      <c r="W150" s="2478">
        <f t="shared" si="27"/>
        <v>0</v>
      </c>
      <c r="X150" s="2718">
        <f t="shared" si="29"/>
        <v>0</v>
      </c>
      <c r="Y150" s="2718">
        <f t="shared" si="30"/>
        <v>0</v>
      </c>
    </row>
    <row r="151" spans="1:25">
      <c r="A151" s="2473" t="str">
        <f t="shared" si="28"/>
        <v/>
      </c>
      <c r="B151" s="2737"/>
      <c r="C151" s="2737"/>
      <c r="D151" s="2737"/>
      <c r="E151" s="2738"/>
      <c r="F151" s="2738"/>
      <c r="G151" s="2738"/>
      <c r="H151" s="2739"/>
      <c r="I151" s="2741"/>
      <c r="J151" s="2741"/>
      <c r="K151" s="2742"/>
      <c r="L151" s="2742"/>
      <c r="M151" s="2738"/>
      <c r="N151" s="2738"/>
      <c r="O151" s="2474">
        <f t="shared" si="22"/>
        <v>0</v>
      </c>
      <c r="P151" s="2474">
        <f t="shared" si="23"/>
        <v>0</v>
      </c>
      <c r="Q151" s="2475">
        <f t="shared" si="31"/>
        <v>0</v>
      </c>
      <c r="R151" s="2475">
        <f t="shared" si="32"/>
        <v>0</v>
      </c>
      <c r="S151" s="2476">
        <f t="shared" si="24"/>
        <v>0</v>
      </c>
      <c r="T151" s="2476">
        <f t="shared" si="25"/>
        <v>0</v>
      </c>
      <c r="U151" s="2477">
        <f>IF(OR(E151="QS",B151=""),0,
IF(C151="F",VLOOKUP($T151,'表30-5-2-5-1'!$B:$AF,MATCH($D151&amp;"a",'表30-5-2-5-1'!$4:$4,0)-1,FALSE)
-IF($S151-1&lt;=0,0,VLOOKUP($S151-1,'表30-5-2-5-1'!$B:$AF,MATCH($D151&amp;"a",'表30-5-2-5-1'!$4:$4,0)-1,FALSE))
-VLOOKUP($T151,'表30-5-2-5-1'!$B:$AF,MATCH($D151,'表30-5-2-5-1'!$4:$4,0)-1,FALSE)*(T151/100-N151/H151)*100
-VLOOKUP($S151,'表30-5-2-5-1'!$B:$AF,MATCH($D151,'表30-5-2-5-1'!$4:$4,0)-1,FALSE)*(1-(S151/100-M151/H151)*100),
IF(C151="E1",VLOOKUP($T151,'表30-5-2-5-2'!$B$4:$AF$104,MATCH($D151&amp;"a",'表30-5-2-5-2'!$4:$4,0)-1,FALSE)
-IF($S151-1&lt;=0,0,VLOOKUP($S151-1,'表30-5-2-5-2'!$B$4:$AF$104,MATCH($D151&amp;"a",'表30-5-2-5-2'!$4:$4,0)-1,FALSE))
-VLOOKUP($T151,'表30-5-2-5-2'!$B$4:$AF$104,MATCH($D151,'表30-5-2-5-2'!$4:$4,0)-1,FALSE)*(T151/100-N151/H151)*100
-VLOOKUP($S151,'表30-5-2-5-2'!$B$4:$AF$104,MATCH($D151,'表30-5-2-5-2'!$4:$4,0)-1,FALSE)*(1-(S151/100-M151/H151)*100),
IF(C151="E2",VLOOKUP($T151,'表30-5-2-5-2'!$B$114:$AF$214,MATCH($D151&amp;"a",'表30-5-2-5-2'!$4:$4,0)-1,FALSE)
-IF($S151-1&lt;=0,0,VLOOKUP($S151-1,'表30-5-2-5-2'!$B$114:$AF$214,MATCH($D151&amp;"a",'表30-5-2-5-2'!$4:$4,0)-1,FALSE))
-VLOOKUP($T151,'表30-5-2-5-2'!$B$114:$AF$214,MATCH($D151,'表30-5-2-5-2'!$4:$4,0)-1,FALSE)*(T151/100-N151/H151)*100
-VLOOKUP($S151,'表30-5-2-5-2'!$B$114:$AF$214,MATCH($D151,'表30-5-2-5-2'!$4:$4,0)-1,FALSE)*(1-(S151/100-M151/H151)*100),0))))</f>
        <v>0</v>
      </c>
      <c r="V151" s="2478">
        <f t="shared" si="26"/>
        <v>0</v>
      </c>
      <c r="W151" s="2478">
        <f t="shared" si="27"/>
        <v>0</v>
      </c>
      <c r="X151" s="2718">
        <f t="shared" si="29"/>
        <v>0</v>
      </c>
      <c r="Y151" s="2718">
        <f t="shared" si="30"/>
        <v>0</v>
      </c>
    </row>
    <row r="152" spans="1:25">
      <c r="A152" s="2473" t="str">
        <f t="shared" si="28"/>
        <v/>
      </c>
      <c r="B152" s="2737"/>
      <c r="C152" s="2737"/>
      <c r="D152" s="2737"/>
      <c r="E152" s="2738"/>
      <c r="F152" s="2738"/>
      <c r="G152" s="2738"/>
      <c r="H152" s="2739"/>
      <c r="I152" s="2741"/>
      <c r="J152" s="2741"/>
      <c r="K152" s="2742"/>
      <c r="L152" s="2742"/>
      <c r="M152" s="2738"/>
      <c r="N152" s="2738"/>
      <c r="O152" s="2474">
        <f t="shared" si="22"/>
        <v>0</v>
      </c>
      <c r="P152" s="2474">
        <f t="shared" si="23"/>
        <v>0</v>
      </c>
      <c r="Q152" s="2475">
        <f t="shared" si="31"/>
        <v>0</v>
      </c>
      <c r="R152" s="2475">
        <f t="shared" si="32"/>
        <v>0</v>
      </c>
      <c r="S152" s="2476">
        <f t="shared" si="24"/>
        <v>0</v>
      </c>
      <c r="T152" s="2476">
        <f t="shared" si="25"/>
        <v>0</v>
      </c>
      <c r="U152" s="2477">
        <f>IF(OR(E152="QS",B152=""),0,
IF(C152="F",VLOOKUP($T152,'表30-5-2-5-1'!$B:$AF,MATCH($D152&amp;"a",'表30-5-2-5-1'!$4:$4,0)-1,FALSE)
-IF($S152-1&lt;=0,0,VLOOKUP($S152-1,'表30-5-2-5-1'!$B:$AF,MATCH($D152&amp;"a",'表30-5-2-5-1'!$4:$4,0)-1,FALSE))
-VLOOKUP($T152,'表30-5-2-5-1'!$B:$AF,MATCH($D152,'表30-5-2-5-1'!$4:$4,0)-1,FALSE)*(T152/100-N152/H152)*100
-VLOOKUP($S152,'表30-5-2-5-1'!$B:$AF,MATCH($D152,'表30-5-2-5-1'!$4:$4,0)-1,FALSE)*(1-(S152/100-M152/H152)*100),
IF(C152="E1",VLOOKUP($T152,'表30-5-2-5-2'!$B$4:$AF$104,MATCH($D152&amp;"a",'表30-5-2-5-2'!$4:$4,0)-1,FALSE)
-IF($S152-1&lt;=0,0,VLOOKUP($S152-1,'表30-5-2-5-2'!$B$4:$AF$104,MATCH($D152&amp;"a",'表30-5-2-5-2'!$4:$4,0)-1,FALSE))
-VLOOKUP($T152,'表30-5-2-5-2'!$B$4:$AF$104,MATCH($D152,'表30-5-2-5-2'!$4:$4,0)-1,FALSE)*(T152/100-N152/H152)*100
-VLOOKUP($S152,'表30-5-2-5-2'!$B$4:$AF$104,MATCH($D152,'表30-5-2-5-2'!$4:$4,0)-1,FALSE)*(1-(S152/100-M152/H152)*100),
IF(C152="E2",VLOOKUP($T152,'表30-5-2-5-2'!$B$114:$AF$214,MATCH($D152&amp;"a",'表30-5-2-5-2'!$4:$4,0)-1,FALSE)
-IF($S152-1&lt;=0,0,VLOOKUP($S152-1,'表30-5-2-5-2'!$B$114:$AF$214,MATCH($D152&amp;"a",'表30-5-2-5-2'!$4:$4,0)-1,FALSE))
-VLOOKUP($T152,'表30-5-2-5-2'!$B$114:$AF$214,MATCH($D152,'表30-5-2-5-2'!$4:$4,0)-1,FALSE)*(T152/100-N152/H152)*100
-VLOOKUP($S152,'表30-5-2-5-2'!$B$114:$AF$214,MATCH($D152,'表30-5-2-5-2'!$4:$4,0)-1,FALSE)*(1-(S152/100-M152/H152)*100),0))))</f>
        <v>0</v>
      </c>
      <c r="V152" s="2478">
        <f t="shared" si="26"/>
        <v>0</v>
      </c>
      <c r="W152" s="2478">
        <f t="shared" si="27"/>
        <v>0</v>
      </c>
      <c r="X152" s="2718">
        <f t="shared" si="29"/>
        <v>0</v>
      </c>
      <c r="Y152" s="2718">
        <f t="shared" si="30"/>
        <v>0</v>
      </c>
    </row>
    <row r="153" spans="1:25">
      <c r="A153" s="2473" t="str">
        <f t="shared" si="28"/>
        <v/>
      </c>
      <c r="B153" s="2737"/>
      <c r="C153" s="2737"/>
      <c r="D153" s="2737"/>
      <c r="E153" s="2738"/>
      <c r="F153" s="2738"/>
      <c r="G153" s="2738"/>
      <c r="H153" s="2739"/>
      <c r="I153" s="2741"/>
      <c r="J153" s="2741"/>
      <c r="K153" s="2742"/>
      <c r="L153" s="2742"/>
      <c r="M153" s="2738"/>
      <c r="N153" s="2738"/>
      <c r="O153" s="2474">
        <f t="shared" si="22"/>
        <v>0</v>
      </c>
      <c r="P153" s="2474">
        <f t="shared" si="23"/>
        <v>0</v>
      </c>
      <c r="Q153" s="2475">
        <f t="shared" si="31"/>
        <v>0</v>
      </c>
      <c r="R153" s="2475">
        <f t="shared" si="32"/>
        <v>0</v>
      </c>
      <c r="S153" s="2476">
        <f t="shared" si="24"/>
        <v>0</v>
      </c>
      <c r="T153" s="2476">
        <f t="shared" si="25"/>
        <v>0</v>
      </c>
      <c r="U153" s="2477">
        <f>IF(OR(E153="QS",B153=""),0,
IF(C153="F",VLOOKUP($T153,'表30-5-2-5-1'!$B:$AF,MATCH($D153&amp;"a",'表30-5-2-5-1'!$4:$4,0)-1,FALSE)
-IF($S153-1&lt;=0,0,VLOOKUP($S153-1,'表30-5-2-5-1'!$B:$AF,MATCH($D153&amp;"a",'表30-5-2-5-1'!$4:$4,0)-1,FALSE))
-VLOOKUP($T153,'表30-5-2-5-1'!$B:$AF,MATCH($D153,'表30-5-2-5-1'!$4:$4,0)-1,FALSE)*(T153/100-N153/H153)*100
-VLOOKUP($S153,'表30-5-2-5-1'!$B:$AF,MATCH($D153,'表30-5-2-5-1'!$4:$4,0)-1,FALSE)*(1-(S153/100-M153/H153)*100),
IF(C153="E1",VLOOKUP($T153,'表30-5-2-5-2'!$B$4:$AF$104,MATCH($D153&amp;"a",'表30-5-2-5-2'!$4:$4,0)-1,FALSE)
-IF($S153-1&lt;=0,0,VLOOKUP($S153-1,'表30-5-2-5-2'!$B$4:$AF$104,MATCH($D153&amp;"a",'表30-5-2-5-2'!$4:$4,0)-1,FALSE))
-VLOOKUP($T153,'表30-5-2-5-2'!$B$4:$AF$104,MATCH($D153,'表30-5-2-5-2'!$4:$4,0)-1,FALSE)*(T153/100-N153/H153)*100
-VLOOKUP($S153,'表30-5-2-5-2'!$B$4:$AF$104,MATCH($D153,'表30-5-2-5-2'!$4:$4,0)-1,FALSE)*(1-(S153/100-M153/H153)*100),
IF(C153="E2",VLOOKUP($T153,'表30-5-2-5-2'!$B$114:$AF$214,MATCH($D153&amp;"a",'表30-5-2-5-2'!$4:$4,0)-1,FALSE)
-IF($S153-1&lt;=0,0,VLOOKUP($S153-1,'表30-5-2-5-2'!$B$114:$AF$214,MATCH($D153&amp;"a",'表30-5-2-5-2'!$4:$4,0)-1,FALSE))
-VLOOKUP($T153,'表30-5-2-5-2'!$B$114:$AF$214,MATCH($D153,'表30-5-2-5-2'!$4:$4,0)-1,FALSE)*(T153/100-N153/H153)*100
-VLOOKUP($S153,'表30-5-2-5-2'!$B$114:$AF$214,MATCH($D153,'表30-5-2-5-2'!$4:$4,0)-1,FALSE)*(1-(S153/100-M153/H153)*100),0))))</f>
        <v>0</v>
      </c>
      <c r="V153" s="2478">
        <f t="shared" si="26"/>
        <v>0</v>
      </c>
      <c r="W153" s="2478">
        <f t="shared" si="27"/>
        <v>0</v>
      </c>
      <c r="X153" s="2718">
        <f t="shared" si="29"/>
        <v>0</v>
      </c>
      <c r="Y153" s="2718">
        <f t="shared" si="30"/>
        <v>0</v>
      </c>
    </row>
    <row r="154" spans="1:25">
      <c r="A154" s="2473" t="str">
        <f t="shared" si="28"/>
        <v/>
      </c>
      <c r="B154" s="2737"/>
      <c r="C154" s="2737"/>
      <c r="D154" s="2737"/>
      <c r="E154" s="2738"/>
      <c r="F154" s="2738"/>
      <c r="G154" s="2738"/>
      <c r="H154" s="2739"/>
      <c r="I154" s="2741"/>
      <c r="J154" s="2741"/>
      <c r="K154" s="2742"/>
      <c r="L154" s="2742"/>
      <c r="M154" s="2738"/>
      <c r="N154" s="2738"/>
      <c r="O154" s="2474">
        <f t="shared" si="22"/>
        <v>0</v>
      </c>
      <c r="P154" s="2474">
        <f t="shared" si="23"/>
        <v>0</v>
      </c>
      <c r="Q154" s="2475">
        <f t="shared" si="31"/>
        <v>0</v>
      </c>
      <c r="R154" s="2475">
        <f t="shared" si="32"/>
        <v>0</v>
      </c>
      <c r="S154" s="2476">
        <f t="shared" si="24"/>
        <v>0</v>
      </c>
      <c r="T154" s="2476">
        <f t="shared" si="25"/>
        <v>0</v>
      </c>
      <c r="U154" s="2477">
        <f>IF(OR(E154="QS",B154=""),0,
IF(C154="F",VLOOKUP($T154,'表30-5-2-5-1'!$B:$AF,MATCH($D154&amp;"a",'表30-5-2-5-1'!$4:$4,0)-1,FALSE)
-IF($S154-1&lt;=0,0,VLOOKUP($S154-1,'表30-5-2-5-1'!$B:$AF,MATCH($D154&amp;"a",'表30-5-2-5-1'!$4:$4,0)-1,FALSE))
-VLOOKUP($T154,'表30-5-2-5-1'!$B:$AF,MATCH($D154,'表30-5-2-5-1'!$4:$4,0)-1,FALSE)*(T154/100-N154/H154)*100
-VLOOKUP($S154,'表30-5-2-5-1'!$B:$AF,MATCH($D154,'表30-5-2-5-1'!$4:$4,0)-1,FALSE)*(1-(S154/100-M154/H154)*100),
IF(C154="E1",VLOOKUP($T154,'表30-5-2-5-2'!$B$4:$AF$104,MATCH($D154&amp;"a",'表30-5-2-5-2'!$4:$4,0)-1,FALSE)
-IF($S154-1&lt;=0,0,VLOOKUP($S154-1,'表30-5-2-5-2'!$B$4:$AF$104,MATCH($D154&amp;"a",'表30-5-2-5-2'!$4:$4,0)-1,FALSE))
-VLOOKUP($T154,'表30-5-2-5-2'!$B$4:$AF$104,MATCH($D154,'表30-5-2-5-2'!$4:$4,0)-1,FALSE)*(T154/100-N154/H154)*100
-VLOOKUP($S154,'表30-5-2-5-2'!$B$4:$AF$104,MATCH($D154,'表30-5-2-5-2'!$4:$4,0)-1,FALSE)*(1-(S154/100-M154/H154)*100),
IF(C154="E2",VLOOKUP($T154,'表30-5-2-5-2'!$B$114:$AF$214,MATCH($D154&amp;"a",'表30-5-2-5-2'!$4:$4,0)-1,FALSE)
-IF($S154-1&lt;=0,0,VLOOKUP($S154-1,'表30-5-2-5-2'!$B$114:$AF$214,MATCH($D154&amp;"a",'表30-5-2-5-2'!$4:$4,0)-1,FALSE))
-VLOOKUP($T154,'表30-5-2-5-2'!$B$114:$AF$214,MATCH($D154,'表30-5-2-5-2'!$4:$4,0)-1,FALSE)*(T154/100-N154/H154)*100
-VLOOKUP($S154,'表30-5-2-5-2'!$B$114:$AF$214,MATCH($D154,'表30-5-2-5-2'!$4:$4,0)-1,FALSE)*(1-(S154/100-M154/H154)*100),0))))</f>
        <v>0</v>
      </c>
      <c r="V154" s="2478">
        <f t="shared" si="26"/>
        <v>0</v>
      </c>
      <c r="W154" s="2478">
        <f t="shared" si="27"/>
        <v>0</v>
      </c>
      <c r="X154" s="2718">
        <f t="shared" si="29"/>
        <v>0</v>
      </c>
      <c r="Y154" s="2718">
        <f t="shared" si="30"/>
        <v>0</v>
      </c>
    </row>
    <row r="155" spans="1:25">
      <c r="A155" s="2473" t="str">
        <f t="shared" si="28"/>
        <v/>
      </c>
      <c r="B155" s="2737"/>
      <c r="C155" s="2737"/>
      <c r="D155" s="2737"/>
      <c r="E155" s="2738"/>
      <c r="F155" s="2738"/>
      <c r="G155" s="2738"/>
      <c r="H155" s="2739"/>
      <c r="I155" s="2741"/>
      <c r="J155" s="2741"/>
      <c r="K155" s="2742"/>
      <c r="L155" s="2742"/>
      <c r="M155" s="2738"/>
      <c r="N155" s="2738"/>
      <c r="O155" s="2474">
        <f t="shared" si="22"/>
        <v>0</v>
      </c>
      <c r="P155" s="2474">
        <f t="shared" si="23"/>
        <v>0</v>
      </c>
      <c r="Q155" s="2475">
        <f t="shared" si="31"/>
        <v>0</v>
      </c>
      <c r="R155" s="2475">
        <f t="shared" si="32"/>
        <v>0</v>
      </c>
      <c r="S155" s="2476">
        <f t="shared" si="24"/>
        <v>0</v>
      </c>
      <c r="T155" s="2476">
        <f t="shared" si="25"/>
        <v>0</v>
      </c>
      <c r="U155" s="2477">
        <f>IF(OR(E155="QS",B155=""),0,
IF(C155="F",VLOOKUP($T155,'表30-5-2-5-1'!$B:$AF,MATCH($D155&amp;"a",'表30-5-2-5-1'!$4:$4,0)-1,FALSE)
-IF($S155-1&lt;=0,0,VLOOKUP($S155-1,'表30-5-2-5-1'!$B:$AF,MATCH($D155&amp;"a",'表30-5-2-5-1'!$4:$4,0)-1,FALSE))
-VLOOKUP($T155,'表30-5-2-5-1'!$B:$AF,MATCH($D155,'表30-5-2-5-1'!$4:$4,0)-1,FALSE)*(T155/100-N155/H155)*100
-VLOOKUP($S155,'表30-5-2-5-1'!$B:$AF,MATCH($D155,'表30-5-2-5-1'!$4:$4,0)-1,FALSE)*(1-(S155/100-M155/H155)*100),
IF(C155="E1",VLOOKUP($T155,'表30-5-2-5-2'!$B$4:$AF$104,MATCH($D155&amp;"a",'表30-5-2-5-2'!$4:$4,0)-1,FALSE)
-IF($S155-1&lt;=0,0,VLOOKUP($S155-1,'表30-5-2-5-2'!$B$4:$AF$104,MATCH($D155&amp;"a",'表30-5-2-5-2'!$4:$4,0)-1,FALSE))
-VLOOKUP($T155,'表30-5-2-5-2'!$B$4:$AF$104,MATCH($D155,'表30-5-2-5-2'!$4:$4,0)-1,FALSE)*(T155/100-N155/H155)*100
-VLOOKUP($S155,'表30-5-2-5-2'!$B$4:$AF$104,MATCH($D155,'表30-5-2-5-2'!$4:$4,0)-1,FALSE)*(1-(S155/100-M155/H155)*100),
IF(C155="E2",VLOOKUP($T155,'表30-5-2-5-2'!$B$114:$AF$214,MATCH($D155&amp;"a",'表30-5-2-5-2'!$4:$4,0)-1,FALSE)
-IF($S155-1&lt;=0,0,VLOOKUP($S155-1,'表30-5-2-5-2'!$B$114:$AF$214,MATCH($D155&amp;"a",'表30-5-2-5-2'!$4:$4,0)-1,FALSE))
-VLOOKUP($T155,'表30-5-2-5-2'!$B$114:$AF$214,MATCH($D155,'表30-5-2-5-2'!$4:$4,0)-1,FALSE)*(T155/100-N155/H155)*100
-VLOOKUP($S155,'表30-5-2-5-2'!$B$114:$AF$214,MATCH($D155,'表30-5-2-5-2'!$4:$4,0)-1,FALSE)*(1-(S155/100-M155/H155)*100),0))))</f>
        <v>0</v>
      </c>
      <c r="V155" s="2478">
        <f t="shared" si="26"/>
        <v>0</v>
      </c>
      <c r="W155" s="2478">
        <f t="shared" si="27"/>
        <v>0</v>
      </c>
      <c r="X155" s="2718">
        <f t="shared" si="29"/>
        <v>0</v>
      </c>
      <c r="Y155" s="2718">
        <f t="shared" si="30"/>
        <v>0</v>
      </c>
    </row>
    <row r="156" spans="1:25">
      <c r="A156" s="2473" t="str">
        <f t="shared" si="28"/>
        <v/>
      </c>
      <c r="B156" s="2737"/>
      <c r="C156" s="2737"/>
      <c r="D156" s="2737"/>
      <c r="E156" s="2738"/>
      <c r="F156" s="2738"/>
      <c r="G156" s="2738"/>
      <c r="H156" s="2739"/>
      <c r="I156" s="2741"/>
      <c r="J156" s="2741"/>
      <c r="K156" s="2742"/>
      <c r="L156" s="2742"/>
      <c r="M156" s="2738"/>
      <c r="N156" s="2738"/>
      <c r="O156" s="2474">
        <f t="shared" si="22"/>
        <v>0</v>
      </c>
      <c r="P156" s="2474">
        <f t="shared" si="23"/>
        <v>0</v>
      </c>
      <c r="Q156" s="2475">
        <f t="shared" si="31"/>
        <v>0</v>
      </c>
      <c r="R156" s="2475">
        <f t="shared" si="32"/>
        <v>0</v>
      </c>
      <c r="S156" s="2476">
        <f t="shared" si="24"/>
        <v>0</v>
      </c>
      <c r="T156" s="2476">
        <f t="shared" si="25"/>
        <v>0</v>
      </c>
      <c r="U156" s="2477">
        <f>IF(OR(E156="QS",B156=""),0,
IF(C156="F",VLOOKUP($T156,'表30-5-2-5-1'!$B:$AF,MATCH($D156&amp;"a",'表30-5-2-5-1'!$4:$4,0)-1,FALSE)
-IF($S156-1&lt;=0,0,VLOOKUP($S156-1,'表30-5-2-5-1'!$B:$AF,MATCH($D156&amp;"a",'表30-5-2-5-1'!$4:$4,0)-1,FALSE))
-VLOOKUP($T156,'表30-5-2-5-1'!$B:$AF,MATCH($D156,'表30-5-2-5-1'!$4:$4,0)-1,FALSE)*(T156/100-N156/H156)*100
-VLOOKUP($S156,'表30-5-2-5-1'!$B:$AF,MATCH($D156,'表30-5-2-5-1'!$4:$4,0)-1,FALSE)*(1-(S156/100-M156/H156)*100),
IF(C156="E1",VLOOKUP($T156,'表30-5-2-5-2'!$B$4:$AF$104,MATCH($D156&amp;"a",'表30-5-2-5-2'!$4:$4,0)-1,FALSE)
-IF($S156-1&lt;=0,0,VLOOKUP($S156-1,'表30-5-2-5-2'!$B$4:$AF$104,MATCH($D156&amp;"a",'表30-5-2-5-2'!$4:$4,0)-1,FALSE))
-VLOOKUP($T156,'表30-5-2-5-2'!$B$4:$AF$104,MATCH($D156,'表30-5-2-5-2'!$4:$4,0)-1,FALSE)*(T156/100-N156/H156)*100
-VLOOKUP($S156,'表30-5-2-5-2'!$B$4:$AF$104,MATCH($D156,'表30-5-2-5-2'!$4:$4,0)-1,FALSE)*(1-(S156/100-M156/H156)*100),
IF(C156="E2",VLOOKUP($T156,'表30-5-2-5-2'!$B$114:$AF$214,MATCH($D156&amp;"a",'表30-5-2-5-2'!$4:$4,0)-1,FALSE)
-IF($S156-1&lt;=0,0,VLOOKUP($S156-1,'表30-5-2-5-2'!$B$114:$AF$214,MATCH($D156&amp;"a",'表30-5-2-5-2'!$4:$4,0)-1,FALSE))
-VLOOKUP($T156,'表30-5-2-5-2'!$B$114:$AF$214,MATCH($D156,'表30-5-2-5-2'!$4:$4,0)-1,FALSE)*(T156/100-N156/H156)*100
-VLOOKUP($S156,'表30-5-2-5-2'!$B$114:$AF$214,MATCH($D156,'表30-5-2-5-2'!$4:$4,0)-1,FALSE)*(1-(S156/100-M156/H156)*100),0))))</f>
        <v>0</v>
      </c>
      <c r="V156" s="2478">
        <f t="shared" si="26"/>
        <v>0</v>
      </c>
      <c r="W156" s="2478">
        <f t="shared" si="27"/>
        <v>0</v>
      </c>
      <c r="X156" s="2718">
        <f t="shared" si="29"/>
        <v>0</v>
      </c>
      <c r="Y156" s="2718">
        <f t="shared" si="30"/>
        <v>0</v>
      </c>
    </row>
    <row r="157" spans="1:25">
      <c r="A157" s="2473" t="str">
        <f t="shared" si="28"/>
        <v/>
      </c>
      <c r="B157" s="2737"/>
      <c r="C157" s="2737"/>
      <c r="D157" s="2737"/>
      <c r="E157" s="2738"/>
      <c r="F157" s="2738"/>
      <c r="G157" s="2738"/>
      <c r="H157" s="2739"/>
      <c r="I157" s="2741"/>
      <c r="J157" s="2741"/>
      <c r="K157" s="2742"/>
      <c r="L157" s="2742"/>
      <c r="M157" s="2738"/>
      <c r="N157" s="2738"/>
      <c r="O157" s="2474">
        <f t="shared" si="22"/>
        <v>0</v>
      </c>
      <c r="P157" s="2474">
        <f t="shared" si="23"/>
        <v>0</v>
      </c>
      <c r="Q157" s="2475">
        <f t="shared" si="31"/>
        <v>0</v>
      </c>
      <c r="R157" s="2475">
        <f t="shared" si="32"/>
        <v>0</v>
      </c>
      <c r="S157" s="2476">
        <f t="shared" si="24"/>
        <v>0</v>
      </c>
      <c r="T157" s="2476">
        <f t="shared" si="25"/>
        <v>0</v>
      </c>
      <c r="U157" s="2477">
        <f>IF(OR(E157="QS",B157=""),0,
IF(C157="F",VLOOKUP($T157,'表30-5-2-5-1'!$B:$AF,MATCH($D157&amp;"a",'表30-5-2-5-1'!$4:$4,0)-1,FALSE)
-IF($S157-1&lt;=0,0,VLOOKUP($S157-1,'表30-5-2-5-1'!$B:$AF,MATCH($D157&amp;"a",'表30-5-2-5-1'!$4:$4,0)-1,FALSE))
-VLOOKUP($T157,'表30-5-2-5-1'!$B:$AF,MATCH($D157,'表30-5-2-5-1'!$4:$4,0)-1,FALSE)*(T157/100-N157/H157)*100
-VLOOKUP($S157,'表30-5-2-5-1'!$B:$AF,MATCH($D157,'表30-5-2-5-1'!$4:$4,0)-1,FALSE)*(1-(S157/100-M157/H157)*100),
IF(C157="E1",VLOOKUP($T157,'表30-5-2-5-2'!$B$4:$AF$104,MATCH($D157&amp;"a",'表30-5-2-5-2'!$4:$4,0)-1,FALSE)
-IF($S157-1&lt;=0,0,VLOOKUP($S157-1,'表30-5-2-5-2'!$B$4:$AF$104,MATCH($D157&amp;"a",'表30-5-2-5-2'!$4:$4,0)-1,FALSE))
-VLOOKUP($T157,'表30-5-2-5-2'!$B$4:$AF$104,MATCH($D157,'表30-5-2-5-2'!$4:$4,0)-1,FALSE)*(T157/100-N157/H157)*100
-VLOOKUP($S157,'表30-5-2-5-2'!$B$4:$AF$104,MATCH($D157,'表30-5-2-5-2'!$4:$4,0)-1,FALSE)*(1-(S157/100-M157/H157)*100),
IF(C157="E2",VLOOKUP($T157,'表30-5-2-5-2'!$B$114:$AF$214,MATCH($D157&amp;"a",'表30-5-2-5-2'!$4:$4,0)-1,FALSE)
-IF($S157-1&lt;=0,0,VLOOKUP($S157-1,'表30-5-2-5-2'!$B$114:$AF$214,MATCH($D157&amp;"a",'表30-5-2-5-2'!$4:$4,0)-1,FALSE))
-VLOOKUP($T157,'表30-5-2-5-2'!$B$114:$AF$214,MATCH($D157,'表30-5-2-5-2'!$4:$4,0)-1,FALSE)*(T157/100-N157/H157)*100
-VLOOKUP($S157,'表30-5-2-5-2'!$B$114:$AF$214,MATCH($D157,'表30-5-2-5-2'!$4:$4,0)-1,FALSE)*(1-(S157/100-M157/H157)*100),0))))</f>
        <v>0</v>
      </c>
      <c r="V157" s="2478">
        <f t="shared" si="26"/>
        <v>0</v>
      </c>
      <c r="W157" s="2478">
        <f t="shared" si="27"/>
        <v>0</v>
      </c>
      <c r="X157" s="2718">
        <f t="shared" si="29"/>
        <v>0</v>
      </c>
      <c r="Y157" s="2718">
        <f t="shared" si="30"/>
        <v>0</v>
      </c>
    </row>
    <row r="158" spans="1:25">
      <c r="A158" s="2473" t="str">
        <f t="shared" si="28"/>
        <v/>
      </c>
      <c r="B158" s="2737"/>
      <c r="C158" s="2737"/>
      <c r="D158" s="2737"/>
      <c r="E158" s="2738"/>
      <c r="F158" s="2738"/>
      <c r="G158" s="2738"/>
      <c r="H158" s="2739"/>
      <c r="I158" s="2741"/>
      <c r="J158" s="2741"/>
      <c r="K158" s="2742"/>
      <c r="L158" s="2742"/>
      <c r="M158" s="2738"/>
      <c r="N158" s="2738"/>
      <c r="O158" s="2474">
        <f t="shared" si="22"/>
        <v>0</v>
      </c>
      <c r="P158" s="2474">
        <f t="shared" si="23"/>
        <v>0</v>
      </c>
      <c r="Q158" s="2475">
        <f t="shared" si="31"/>
        <v>0</v>
      </c>
      <c r="R158" s="2475">
        <f t="shared" si="32"/>
        <v>0</v>
      </c>
      <c r="S158" s="2476">
        <f t="shared" si="24"/>
        <v>0</v>
      </c>
      <c r="T158" s="2476">
        <f t="shared" si="25"/>
        <v>0</v>
      </c>
      <c r="U158" s="2477">
        <f>IF(OR(E158="QS",B158=""),0,
IF(C158="F",VLOOKUP($T158,'表30-5-2-5-1'!$B:$AF,MATCH($D158&amp;"a",'表30-5-2-5-1'!$4:$4,0)-1,FALSE)
-IF($S158-1&lt;=0,0,VLOOKUP($S158-1,'表30-5-2-5-1'!$B:$AF,MATCH($D158&amp;"a",'表30-5-2-5-1'!$4:$4,0)-1,FALSE))
-VLOOKUP($T158,'表30-5-2-5-1'!$B:$AF,MATCH($D158,'表30-5-2-5-1'!$4:$4,0)-1,FALSE)*(T158/100-N158/H158)*100
-VLOOKUP($S158,'表30-5-2-5-1'!$B:$AF,MATCH($D158,'表30-5-2-5-1'!$4:$4,0)-1,FALSE)*(1-(S158/100-M158/H158)*100),
IF(C158="E1",VLOOKUP($T158,'表30-5-2-5-2'!$B$4:$AF$104,MATCH($D158&amp;"a",'表30-5-2-5-2'!$4:$4,0)-1,FALSE)
-IF($S158-1&lt;=0,0,VLOOKUP($S158-1,'表30-5-2-5-2'!$B$4:$AF$104,MATCH($D158&amp;"a",'表30-5-2-5-2'!$4:$4,0)-1,FALSE))
-VLOOKUP($T158,'表30-5-2-5-2'!$B$4:$AF$104,MATCH($D158,'表30-5-2-5-2'!$4:$4,0)-1,FALSE)*(T158/100-N158/H158)*100
-VLOOKUP($S158,'表30-5-2-5-2'!$B$4:$AF$104,MATCH($D158,'表30-5-2-5-2'!$4:$4,0)-1,FALSE)*(1-(S158/100-M158/H158)*100),
IF(C158="E2",VLOOKUP($T158,'表30-5-2-5-2'!$B$114:$AF$214,MATCH($D158&amp;"a",'表30-5-2-5-2'!$4:$4,0)-1,FALSE)
-IF($S158-1&lt;=0,0,VLOOKUP($S158-1,'表30-5-2-5-2'!$B$114:$AF$214,MATCH($D158&amp;"a",'表30-5-2-5-2'!$4:$4,0)-1,FALSE))
-VLOOKUP($T158,'表30-5-2-5-2'!$B$114:$AF$214,MATCH($D158,'表30-5-2-5-2'!$4:$4,0)-1,FALSE)*(T158/100-N158/H158)*100
-VLOOKUP($S158,'表30-5-2-5-2'!$B$114:$AF$214,MATCH($D158,'表30-5-2-5-2'!$4:$4,0)-1,FALSE)*(1-(S158/100-M158/H158)*100),0))))</f>
        <v>0</v>
      </c>
      <c r="V158" s="2478">
        <f t="shared" si="26"/>
        <v>0</v>
      </c>
      <c r="W158" s="2478">
        <f t="shared" si="27"/>
        <v>0</v>
      </c>
      <c r="X158" s="2718">
        <f t="shared" si="29"/>
        <v>0</v>
      </c>
      <c r="Y158" s="2718">
        <f t="shared" si="30"/>
        <v>0</v>
      </c>
    </row>
    <row r="159" spans="1:25">
      <c r="A159" s="2473" t="str">
        <f t="shared" si="28"/>
        <v/>
      </c>
      <c r="B159" s="2737"/>
      <c r="C159" s="2737"/>
      <c r="D159" s="2737"/>
      <c r="E159" s="2738"/>
      <c r="F159" s="2738"/>
      <c r="G159" s="2738"/>
      <c r="H159" s="2739"/>
      <c r="I159" s="2741"/>
      <c r="J159" s="2741"/>
      <c r="K159" s="2742"/>
      <c r="L159" s="2742"/>
      <c r="M159" s="2738"/>
      <c r="N159" s="2738"/>
      <c r="O159" s="2474">
        <f t="shared" si="22"/>
        <v>0</v>
      </c>
      <c r="P159" s="2474">
        <f t="shared" si="23"/>
        <v>0</v>
      </c>
      <c r="Q159" s="2475">
        <f t="shared" si="31"/>
        <v>0</v>
      </c>
      <c r="R159" s="2475">
        <f t="shared" si="32"/>
        <v>0</v>
      </c>
      <c r="S159" s="2476">
        <f t="shared" si="24"/>
        <v>0</v>
      </c>
      <c r="T159" s="2476">
        <f t="shared" si="25"/>
        <v>0</v>
      </c>
      <c r="U159" s="2477">
        <f>IF(OR(E159="QS",B159=""),0,
IF(C159="F",VLOOKUP($T159,'表30-5-2-5-1'!$B:$AF,MATCH($D159&amp;"a",'表30-5-2-5-1'!$4:$4,0)-1,FALSE)
-IF($S159-1&lt;=0,0,VLOOKUP($S159-1,'表30-5-2-5-1'!$B:$AF,MATCH($D159&amp;"a",'表30-5-2-5-1'!$4:$4,0)-1,FALSE))
-VLOOKUP($T159,'表30-5-2-5-1'!$B:$AF,MATCH($D159,'表30-5-2-5-1'!$4:$4,0)-1,FALSE)*(T159/100-N159/H159)*100
-VLOOKUP($S159,'表30-5-2-5-1'!$B:$AF,MATCH($D159,'表30-5-2-5-1'!$4:$4,0)-1,FALSE)*(1-(S159/100-M159/H159)*100),
IF(C159="E1",VLOOKUP($T159,'表30-5-2-5-2'!$B$4:$AF$104,MATCH($D159&amp;"a",'表30-5-2-5-2'!$4:$4,0)-1,FALSE)
-IF($S159-1&lt;=0,0,VLOOKUP($S159-1,'表30-5-2-5-2'!$B$4:$AF$104,MATCH($D159&amp;"a",'表30-5-2-5-2'!$4:$4,0)-1,FALSE))
-VLOOKUP($T159,'表30-5-2-5-2'!$B$4:$AF$104,MATCH($D159,'表30-5-2-5-2'!$4:$4,0)-1,FALSE)*(T159/100-N159/H159)*100
-VLOOKUP($S159,'表30-5-2-5-2'!$B$4:$AF$104,MATCH($D159,'表30-5-2-5-2'!$4:$4,0)-1,FALSE)*(1-(S159/100-M159/H159)*100),
IF(C159="E2",VLOOKUP($T159,'表30-5-2-5-2'!$B$114:$AF$214,MATCH($D159&amp;"a",'表30-5-2-5-2'!$4:$4,0)-1,FALSE)
-IF($S159-1&lt;=0,0,VLOOKUP($S159-1,'表30-5-2-5-2'!$B$114:$AF$214,MATCH($D159&amp;"a",'表30-5-2-5-2'!$4:$4,0)-1,FALSE))
-VLOOKUP($T159,'表30-5-2-5-2'!$B$114:$AF$214,MATCH($D159,'表30-5-2-5-2'!$4:$4,0)-1,FALSE)*(T159/100-N159/H159)*100
-VLOOKUP($S159,'表30-5-2-5-2'!$B$114:$AF$214,MATCH($D159,'表30-5-2-5-2'!$4:$4,0)-1,FALSE)*(1-(S159/100-M159/H159)*100),0))))</f>
        <v>0</v>
      </c>
      <c r="V159" s="2478">
        <f t="shared" si="26"/>
        <v>0</v>
      </c>
      <c r="W159" s="2478">
        <f t="shared" si="27"/>
        <v>0</v>
      </c>
      <c r="X159" s="2718">
        <f t="shared" si="29"/>
        <v>0</v>
      </c>
      <c r="Y159" s="2718">
        <f t="shared" si="30"/>
        <v>0</v>
      </c>
    </row>
    <row r="160" spans="1:25">
      <c r="A160" s="2473" t="str">
        <f t="shared" si="28"/>
        <v/>
      </c>
      <c r="B160" s="2737"/>
      <c r="C160" s="2737"/>
      <c r="D160" s="2737"/>
      <c r="E160" s="2738"/>
      <c r="F160" s="2738"/>
      <c r="G160" s="2738"/>
      <c r="H160" s="2739"/>
      <c r="I160" s="2741"/>
      <c r="J160" s="2741"/>
      <c r="K160" s="2742"/>
      <c r="L160" s="2742"/>
      <c r="M160" s="2738"/>
      <c r="N160" s="2738"/>
      <c r="O160" s="2474">
        <f t="shared" si="22"/>
        <v>0</v>
      </c>
      <c r="P160" s="2474">
        <f t="shared" si="23"/>
        <v>0</v>
      </c>
      <c r="Q160" s="2475">
        <f t="shared" si="31"/>
        <v>0</v>
      </c>
      <c r="R160" s="2475">
        <f t="shared" si="32"/>
        <v>0</v>
      </c>
      <c r="S160" s="2476">
        <f t="shared" si="24"/>
        <v>0</v>
      </c>
      <c r="T160" s="2476">
        <f t="shared" si="25"/>
        <v>0</v>
      </c>
      <c r="U160" s="2477">
        <f>IF(OR(E160="QS",B160=""),0,
IF(C160="F",VLOOKUP($T160,'表30-5-2-5-1'!$B:$AF,MATCH($D160&amp;"a",'表30-5-2-5-1'!$4:$4,0)-1,FALSE)
-IF($S160-1&lt;=0,0,VLOOKUP($S160-1,'表30-5-2-5-1'!$B:$AF,MATCH($D160&amp;"a",'表30-5-2-5-1'!$4:$4,0)-1,FALSE))
-VLOOKUP($T160,'表30-5-2-5-1'!$B:$AF,MATCH($D160,'表30-5-2-5-1'!$4:$4,0)-1,FALSE)*(T160/100-N160/H160)*100
-VLOOKUP($S160,'表30-5-2-5-1'!$B:$AF,MATCH($D160,'表30-5-2-5-1'!$4:$4,0)-1,FALSE)*(1-(S160/100-M160/H160)*100),
IF(C160="E1",VLOOKUP($T160,'表30-5-2-5-2'!$B$4:$AF$104,MATCH($D160&amp;"a",'表30-5-2-5-2'!$4:$4,0)-1,FALSE)
-IF($S160-1&lt;=0,0,VLOOKUP($S160-1,'表30-5-2-5-2'!$B$4:$AF$104,MATCH($D160&amp;"a",'表30-5-2-5-2'!$4:$4,0)-1,FALSE))
-VLOOKUP($T160,'表30-5-2-5-2'!$B$4:$AF$104,MATCH($D160,'表30-5-2-5-2'!$4:$4,0)-1,FALSE)*(T160/100-N160/H160)*100
-VLOOKUP($S160,'表30-5-2-5-2'!$B$4:$AF$104,MATCH($D160,'表30-5-2-5-2'!$4:$4,0)-1,FALSE)*(1-(S160/100-M160/H160)*100),
IF(C160="E2",VLOOKUP($T160,'表30-5-2-5-2'!$B$114:$AF$214,MATCH($D160&amp;"a",'表30-5-2-5-2'!$4:$4,0)-1,FALSE)
-IF($S160-1&lt;=0,0,VLOOKUP($S160-1,'表30-5-2-5-2'!$B$114:$AF$214,MATCH($D160&amp;"a",'表30-5-2-5-2'!$4:$4,0)-1,FALSE))
-VLOOKUP($T160,'表30-5-2-5-2'!$B$114:$AF$214,MATCH($D160,'表30-5-2-5-2'!$4:$4,0)-1,FALSE)*(T160/100-N160/H160)*100
-VLOOKUP($S160,'表30-5-2-5-2'!$B$114:$AF$214,MATCH($D160,'表30-5-2-5-2'!$4:$4,0)-1,FALSE)*(1-(S160/100-M160/H160)*100),0))))</f>
        <v>0</v>
      </c>
      <c r="V160" s="2478">
        <f t="shared" si="26"/>
        <v>0</v>
      </c>
      <c r="W160" s="2478">
        <f t="shared" si="27"/>
        <v>0</v>
      </c>
      <c r="X160" s="2718">
        <f t="shared" si="29"/>
        <v>0</v>
      </c>
      <c r="Y160" s="2718">
        <f t="shared" si="30"/>
        <v>0</v>
      </c>
    </row>
    <row r="161" spans="1:25">
      <c r="A161" s="2473" t="str">
        <f t="shared" si="28"/>
        <v/>
      </c>
      <c r="B161" s="2737"/>
      <c r="C161" s="2737"/>
      <c r="D161" s="2737"/>
      <c r="E161" s="2738"/>
      <c r="F161" s="2738"/>
      <c r="G161" s="2738"/>
      <c r="H161" s="2739"/>
      <c r="I161" s="2741"/>
      <c r="J161" s="2741"/>
      <c r="K161" s="2742"/>
      <c r="L161" s="2742"/>
      <c r="M161" s="2738"/>
      <c r="N161" s="2738"/>
      <c r="O161" s="2474">
        <f t="shared" si="22"/>
        <v>0</v>
      </c>
      <c r="P161" s="2474">
        <f t="shared" si="23"/>
        <v>0</v>
      </c>
      <c r="Q161" s="2475">
        <f t="shared" si="31"/>
        <v>0</v>
      </c>
      <c r="R161" s="2475">
        <f t="shared" si="32"/>
        <v>0</v>
      </c>
      <c r="S161" s="2476">
        <f t="shared" si="24"/>
        <v>0</v>
      </c>
      <c r="T161" s="2476">
        <f t="shared" si="25"/>
        <v>0</v>
      </c>
      <c r="U161" s="2477">
        <f>IF(OR(E161="QS",B161=""),0,
IF(C161="F",VLOOKUP($T161,'表30-5-2-5-1'!$B:$AF,MATCH($D161&amp;"a",'表30-5-2-5-1'!$4:$4,0)-1,FALSE)
-IF($S161-1&lt;=0,0,VLOOKUP($S161-1,'表30-5-2-5-1'!$B:$AF,MATCH($D161&amp;"a",'表30-5-2-5-1'!$4:$4,0)-1,FALSE))
-VLOOKUP($T161,'表30-5-2-5-1'!$B:$AF,MATCH($D161,'表30-5-2-5-1'!$4:$4,0)-1,FALSE)*(T161/100-N161/H161)*100
-VLOOKUP($S161,'表30-5-2-5-1'!$B:$AF,MATCH($D161,'表30-5-2-5-1'!$4:$4,0)-1,FALSE)*(1-(S161/100-M161/H161)*100),
IF(C161="E1",VLOOKUP($T161,'表30-5-2-5-2'!$B$4:$AF$104,MATCH($D161&amp;"a",'表30-5-2-5-2'!$4:$4,0)-1,FALSE)
-IF($S161-1&lt;=0,0,VLOOKUP($S161-1,'表30-5-2-5-2'!$B$4:$AF$104,MATCH($D161&amp;"a",'表30-5-2-5-2'!$4:$4,0)-1,FALSE))
-VLOOKUP($T161,'表30-5-2-5-2'!$B$4:$AF$104,MATCH($D161,'表30-5-2-5-2'!$4:$4,0)-1,FALSE)*(T161/100-N161/H161)*100
-VLOOKUP($S161,'表30-5-2-5-2'!$B$4:$AF$104,MATCH($D161,'表30-5-2-5-2'!$4:$4,0)-1,FALSE)*(1-(S161/100-M161/H161)*100),
IF(C161="E2",VLOOKUP($T161,'表30-5-2-5-2'!$B$114:$AF$214,MATCH($D161&amp;"a",'表30-5-2-5-2'!$4:$4,0)-1,FALSE)
-IF($S161-1&lt;=0,0,VLOOKUP($S161-1,'表30-5-2-5-2'!$B$114:$AF$214,MATCH($D161&amp;"a",'表30-5-2-5-2'!$4:$4,0)-1,FALSE))
-VLOOKUP($T161,'表30-5-2-5-2'!$B$114:$AF$214,MATCH($D161,'表30-5-2-5-2'!$4:$4,0)-1,FALSE)*(T161/100-N161/H161)*100
-VLOOKUP($S161,'表30-5-2-5-2'!$B$114:$AF$214,MATCH($D161,'表30-5-2-5-2'!$4:$4,0)-1,FALSE)*(1-(S161/100-M161/H161)*100),0))))</f>
        <v>0</v>
      </c>
      <c r="V161" s="2478">
        <f t="shared" si="26"/>
        <v>0</v>
      </c>
      <c r="W161" s="2478">
        <f t="shared" si="27"/>
        <v>0</v>
      </c>
      <c r="X161" s="2718">
        <f t="shared" si="29"/>
        <v>0</v>
      </c>
      <c r="Y161" s="2718">
        <f t="shared" si="30"/>
        <v>0</v>
      </c>
    </row>
    <row r="162" spans="1:25">
      <c r="A162" s="2473" t="str">
        <f t="shared" si="28"/>
        <v/>
      </c>
      <c r="B162" s="2737"/>
      <c r="C162" s="2737"/>
      <c r="D162" s="2737"/>
      <c r="E162" s="2738"/>
      <c r="F162" s="2738"/>
      <c r="G162" s="2738"/>
      <c r="H162" s="2739"/>
      <c r="I162" s="2741"/>
      <c r="J162" s="2741"/>
      <c r="K162" s="2742"/>
      <c r="L162" s="2742"/>
      <c r="M162" s="2738"/>
      <c r="N162" s="2738"/>
      <c r="O162" s="2474">
        <f t="shared" si="22"/>
        <v>0</v>
      </c>
      <c r="P162" s="2474">
        <f t="shared" si="23"/>
        <v>0</v>
      </c>
      <c r="Q162" s="2475">
        <f t="shared" si="31"/>
        <v>0</v>
      </c>
      <c r="R162" s="2475">
        <f t="shared" si="32"/>
        <v>0</v>
      </c>
      <c r="S162" s="2476">
        <f t="shared" si="24"/>
        <v>0</v>
      </c>
      <c r="T162" s="2476">
        <f t="shared" si="25"/>
        <v>0</v>
      </c>
      <c r="U162" s="2477">
        <f>IF(OR(E162="QS",B162=""),0,
IF(C162="F",VLOOKUP($T162,'表30-5-2-5-1'!$B:$AF,MATCH($D162&amp;"a",'表30-5-2-5-1'!$4:$4,0)-1,FALSE)
-IF($S162-1&lt;=0,0,VLOOKUP($S162-1,'表30-5-2-5-1'!$B:$AF,MATCH($D162&amp;"a",'表30-5-2-5-1'!$4:$4,0)-1,FALSE))
-VLOOKUP($T162,'表30-5-2-5-1'!$B:$AF,MATCH($D162,'表30-5-2-5-1'!$4:$4,0)-1,FALSE)*(T162/100-N162/H162)*100
-VLOOKUP($S162,'表30-5-2-5-1'!$B:$AF,MATCH($D162,'表30-5-2-5-1'!$4:$4,0)-1,FALSE)*(1-(S162/100-M162/H162)*100),
IF(C162="E1",VLOOKUP($T162,'表30-5-2-5-2'!$B$4:$AF$104,MATCH($D162&amp;"a",'表30-5-2-5-2'!$4:$4,0)-1,FALSE)
-IF($S162-1&lt;=0,0,VLOOKUP($S162-1,'表30-5-2-5-2'!$B$4:$AF$104,MATCH($D162&amp;"a",'表30-5-2-5-2'!$4:$4,0)-1,FALSE))
-VLOOKUP($T162,'表30-5-2-5-2'!$B$4:$AF$104,MATCH($D162,'表30-5-2-5-2'!$4:$4,0)-1,FALSE)*(T162/100-N162/H162)*100
-VLOOKUP($S162,'表30-5-2-5-2'!$B$4:$AF$104,MATCH($D162,'表30-5-2-5-2'!$4:$4,0)-1,FALSE)*(1-(S162/100-M162/H162)*100),
IF(C162="E2",VLOOKUP($T162,'表30-5-2-5-2'!$B$114:$AF$214,MATCH($D162&amp;"a",'表30-5-2-5-2'!$4:$4,0)-1,FALSE)
-IF($S162-1&lt;=0,0,VLOOKUP($S162-1,'表30-5-2-5-2'!$B$114:$AF$214,MATCH($D162&amp;"a",'表30-5-2-5-2'!$4:$4,0)-1,FALSE))
-VLOOKUP($T162,'表30-5-2-5-2'!$B$114:$AF$214,MATCH($D162,'表30-5-2-5-2'!$4:$4,0)-1,FALSE)*(T162/100-N162/H162)*100
-VLOOKUP($S162,'表30-5-2-5-2'!$B$114:$AF$214,MATCH($D162,'表30-5-2-5-2'!$4:$4,0)-1,FALSE)*(1-(S162/100-M162/H162)*100),0))))</f>
        <v>0</v>
      </c>
      <c r="V162" s="2478">
        <f t="shared" si="26"/>
        <v>0</v>
      </c>
      <c r="W162" s="2478">
        <f t="shared" si="27"/>
        <v>0</v>
      </c>
      <c r="X162" s="2718">
        <f t="shared" si="29"/>
        <v>0</v>
      </c>
      <c r="Y162" s="2718">
        <f t="shared" si="30"/>
        <v>0</v>
      </c>
    </row>
    <row r="163" spans="1:25">
      <c r="A163" s="2473" t="str">
        <f t="shared" si="28"/>
        <v/>
      </c>
      <c r="B163" s="2737"/>
      <c r="C163" s="2737"/>
      <c r="D163" s="2737"/>
      <c r="E163" s="2738"/>
      <c r="F163" s="2738"/>
      <c r="G163" s="2738"/>
      <c r="H163" s="2739"/>
      <c r="I163" s="2741"/>
      <c r="J163" s="2741"/>
      <c r="K163" s="2742"/>
      <c r="L163" s="2742"/>
      <c r="M163" s="2738"/>
      <c r="N163" s="2738"/>
      <c r="O163" s="2474">
        <f t="shared" si="22"/>
        <v>0</v>
      </c>
      <c r="P163" s="2474">
        <f t="shared" si="23"/>
        <v>0</v>
      </c>
      <c r="Q163" s="2475">
        <f t="shared" si="31"/>
        <v>0</v>
      </c>
      <c r="R163" s="2475">
        <f t="shared" si="32"/>
        <v>0</v>
      </c>
      <c r="S163" s="2476">
        <f t="shared" si="24"/>
        <v>0</v>
      </c>
      <c r="T163" s="2476">
        <f t="shared" si="25"/>
        <v>0</v>
      </c>
      <c r="U163" s="2477">
        <f>IF(OR(E163="QS",B163=""),0,
IF(C163="F",VLOOKUP($T163,'表30-5-2-5-1'!$B:$AF,MATCH($D163&amp;"a",'表30-5-2-5-1'!$4:$4,0)-1,FALSE)
-IF($S163-1&lt;=0,0,VLOOKUP($S163-1,'表30-5-2-5-1'!$B:$AF,MATCH($D163&amp;"a",'表30-5-2-5-1'!$4:$4,0)-1,FALSE))
-VLOOKUP($T163,'表30-5-2-5-1'!$B:$AF,MATCH($D163,'表30-5-2-5-1'!$4:$4,0)-1,FALSE)*(T163/100-N163/H163)*100
-VLOOKUP($S163,'表30-5-2-5-1'!$B:$AF,MATCH($D163,'表30-5-2-5-1'!$4:$4,0)-1,FALSE)*(1-(S163/100-M163/H163)*100),
IF(C163="E1",VLOOKUP($T163,'表30-5-2-5-2'!$B$4:$AF$104,MATCH($D163&amp;"a",'表30-5-2-5-2'!$4:$4,0)-1,FALSE)
-IF($S163-1&lt;=0,0,VLOOKUP($S163-1,'表30-5-2-5-2'!$B$4:$AF$104,MATCH($D163&amp;"a",'表30-5-2-5-2'!$4:$4,0)-1,FALSE))
-VLOOKUP($T163,'表30-5-2-5-2'!$B$4:$AF$104,MATCH($D163,'表30-5-2-5-2'!$4:$4,0)-1,FALSE)*(T163/100-N163/H163)*100
-VLOOKUP($S163,'表30-5-2-5-2'!$B$4:$AF$104,MATCH($D163,'表30-5-2-5-2'!$4:$4,0)-1,FALSE)*(1-(S163/100-M163/H163)*100),
IF(C163="E2",VLOOKUP($T163,'表30-5-2-5-2'!$B$114:$AF$214,MATCH($D163&amp;"a",'表30-5-2-5-2'!$4:$4,0)-1,FALSE)
-IF($S163-1&lt;=0,0,VLOOKUP($S163-1,'表30-5-2-5-2'!$B$114:$AF$214,MATCH($D163&amp;"a",'表30-5-2-5-2'!$4:$4,0)-1,FALSE))
-VLOOKUP($T163,'表30-5-2-5-2'!$B$114:$AF$214,MATCH($D163,'表30-5-2-5-2'!$4:$4,0)-1,FALSE)*(T163/100-N163/H163)*100
-VLOOKUP($S163,'表30-5-2-5-2'!$B$114:$AF$214,MATCH($D163,'表30-5-2-5-2'!$4:$4,0)-1,FALSE)*(1-(S163/100-M163/H163)*100),0))))</f>
        <v>0</v>
      </c>
      <c r="V163" s="2478">
        <f t="shared" si="26"/>
        <v>0</v>
      </c>
      <c r="W163" s="2478">
        <f t="shared" si="27"/>
        <v>0</v>
      </c>
      <c r="X163" s="2718">
        <f t="shared" si="29"/>
        <v>0</v>
      </c>
      <c r="Y163" s="2718">
        <f t="shared" si="30"/>
        <v>0</v>
      </c>
    </row>
    <row r="164" spans="1:25">
      <c r="A164" s="2473" t="str">
        <f t="shared" si="28"/>
        <v/>
      </c>
      <c r="B164" s="2737"/>
      <c r="C164" s="2737"/>
      <c r="D164" s="2737"/>
      <c r="E164" s="2738"/>
      <c r="F164" s="2738"/>
      <c r="G164" s="2738"/>
      <c r="H164" s="2739"/>
      <c r="I164" s="2741"/>
      <c r="J164" s="2741"/>
      <c r="K164" s="2742"/>
      <c r="L164" s="2742"/>
      <c r="M164" s="2738"/>
      <c r="N164" s="2738"/>
      <c r="O164" s="2474">
        <f t="shared" si="22"/>
        <v>0</v>
      </c>
      <c r="P164" s="2474">
        <f t="shared" si="23"/>
        <v>0</v>
      </c>
      <c r="Q164" s="2475">
        <f t="shared" si="31"/>
        <v>0</v>
      </c>
      <c r="R164" s="2475">
        <f t="shared" si="32"/>
        <v>0</v>
      </c>
      <c r="S164" s="2476">
        <f t="shared" si="24"/>
        <v>0</v>
      </c>
      <c r="T164" s="2476">
        <f t="shared" si="25"/>
        <v>0</v>
      </c>
      <c r="U164" s="2477">
        <f>IF(OR(E164="QS",B164=""),0,
IF(C164="F",VLOOKUP($T164,'表30-5-2-5-1'!$B:$AF,MATCH($D164&amp;"a",'表30-5-2-5-1'!$4:$4,0)-1,FALSE)
-IF($S164-1&lt;=0,0,VLOOKUP($S164-1,'表30-5-2-5-1'!$B:$AF,MATCH($D164&amp;"a",'表30-5-2-5-1'!$4:$4,0)-1,FALSE))
-VLOOKUP($T164,'表30-5-2-5-1'!$B:$AF,MATCH($D164,'表30-5-2-5-1'!$4:$4,0)-1,FALSE)*(T164/100-N164/H164)*100
-VLOOKUP($S164,'表30-5-2-5-1'!$B:$AF,MATCH($D164,'表30-5-2-5-1'!$4:$4,0)-1,FALSE)*(1-(S164/100-M164/H164)*100),
IF(C164="E1",VLOOKUP($T164,'表30-5-2-5-2'!$B$4:$AF$104,MATCH($D164&amp;"a",'表30-5-2-5-2'!$4:$4,0)-1,FALSE)
-IF($S164-1&lt;=0,0,VLOOKUP($S164-1,'表30-5-2-5-2'!$B$4:$AF$104,MATCH($D164&amp;"a",'表30-5-2-5-2'!$4:$4,0)-1,FALSE))
-VLOOKUP($T164,'表30-5-2-5-2'!$B$4:$AF$104,MATCH($D164,'表30-5-2-5-2'!$4:$4,0)-1,FALSE)*(T164/100-N164/H164)*100
-VLOOKUP($S164,'表30-5-2-5-2'!$B$4:$AF$104,MATCH($D164,'表30-5-2-5-2'!$4:$4,0)-1,FALSE)*(1-(S164/100-M164/H164)*100),
IF(C164="E2",VLOOKUP($T164,'表30-5-2-5-2'!$B$114:$AF$214,MATCH($D164&amp;"a",'表30-5-2-5-2'!$4:$4,0)-1,FALSE)
-IF($S164-1&lt;=0,0,VLOOKUP($S164-1,'表30-5-2-5-2'!$B$114:$AF$214,MATCH($D164&amp;"a",'表30-5-2-5-2'!$4:$4,0)-1,FALSE))
-VLOOKUP($T164,'表30-5-2-5-2'!$B$114:$AF$214,MATCH($D164,'表30-5-2-5-2'!$4:$4,0)-1,FALSE)*(T164/100-N164/H164)*100
-VLOOKUP($S164,'表30-5-2-5-2'!$B$114:$AF$214,MATCH($D164,'表30-5-2-5-2'!$4:$4,0)-1,FALSE)*(1-(S164/100-M164/H164)*100),0))))</f>
        <v>0</v>
      </c>
      <c r="V164" s="2478">
        <f t="shared" si="26"/>
        <v>0</v>
      </c>
      <c r="W164" s="2478">
        <f t="shared" si="27"/>
        <v>0</v>
      </c>
      <c r="X164" s="2718">
        <f t="shared" si="29"/>
        <v>0</v>
      </c>
      <c r="Y164" s="2718">
        <f t="shared" si="30"/>
        <v>0</v>
      </c>
    </row>
    <row r="165" spans="1:25">
      <c r="A165" s="2473" t="str">
        <f t="shared" si="28"/>
        <v/>
      </c>
      <c r="B165" s="2737"/>
      <c r="C165" s="2737"/>
      <c r="D165" s="2737"/>
      <c r="E165" s="2738"/>
      <c r="F165" s="2738"/>
      <c r="G165" s="2738"/>
      <c r="H165" s="2739"/>
      <c r="I165" s="2741"/>
      <c r="J165" s="2741"/>
      <c r="K165" s="2742"/>
      <c r="L165" s="2742"/>
      <c r="M165" s="2738"/>
      <c r="N165" s="2738"/>
      <c r="O165" s="2474">
        <f t="shared" si="22"/>
        <v>0</v>
      </c>
      <c r="P165" s="2474">
        <f t="shared" si="23"/>
        <v>0</v>
      </c>
      <c r="Q165" s="2475">
        <f t="shared" si="31"/>
        <v>0</v>
      </c>
      <c r="R165" s="2475">
        <f t="shared" si="32"/>
        <v>0</v>
      </c>
      <c r="S165" s="2476">
        <f t="shared" si="24"/>
        <v>0</v>
      </c>
      <c r="T165" s="2476">
        <f t="shared" si="25"/>
        <v>0</v>
      </c>
      <c r="U165" s="2477">
        <f>IF(OR(E165="QS",B165=""),0,
IF(C165="F",VLOOKUP($T165,'表30-5-2-5-1'!$B:$AF,MATCH($D165&amp;"a",'表30-5-2-5-1'!$4:$4,0)-1,FALSE)
-IF($S165-1&lt;=0,0,VLOOKUP($S165-1,'表30-5-2-5-1'!$B:$AF,MATCH($D165&amp;"a",'表30-5-2-5-1'!$4:$4,0)-1,FALSE))
-VLOOKUP($T165,'表30-5-2-5-1'!$B:$AF,MATCH($D165,'表30-5-2-5-1'!$4:$4,0)-1,FALSE)*(T165/100-N165/H165)*100
-VLOOKUP($S165,'表30-5-2-5-1'!$B:$AF,MATCH($D165,'表30-5-2-5-1'!$4:$4,0)-1,FALSE)*(1-(S165/100-M165/H165)*100),
IF(C165="E1",VLOOKUP($T165,'表30-5-2-5-2'!$B$4:$AF$104,MATCH($D165&amp;"a",'表30-5-2-5-2'!$4:$4,0)-1,FALSE)
-IF($S165-1&lt;=0,0,VLOOKUP($S165-1,'表30-5-2-5-2'!$B$4:$AF$104,MATCH($D165&amp;"a",'表30-5-2-5-2'!$4:$4,0)-1,FALSE))
-VLOOKUP($T165,'表30-5-2-5-2'!$B$4:$AF$104,MATCH($D165,'表30-5-2-5-2'!$4:$4,0)-1,FALSE)*(T165/100-N165/H165)*100
-VLOOKUP($S165,'表30-5-2-5-2'!$B$4:$AF$104,MATCH($D165,'表30-5-2-5-2'!$4:$4,0)-1,FALSE)*(1-(S165/100-M165/H165)*100),
IF(C165="E2",VLOOKUP($T165,'表30-5-2-5-2'!$B$114:$AF$214,MATCH($D165&amp;"a",'表30-5-2-5-2'!$4:$4,0)-1,FALSE)
-IF($S165-1&lt;=0,0,VLOOKUP($S165-1,'表30-5-2-5-2'!$B$114:$AF$214,MATCH($D165&amp;"a",'表30-5-2-5-2'!$4:$4,0)-1,FALSE))
-VLOOKUP($T165,'表30-5-2-5-2'!$B$114:$AF$214,MATCH($D165,'表30-5-2-5-2'!$4:$4,0)-1,FALSE)*(T165/100-N165/H165)*100
-VLOOKUP($S165,'表30-5-2-5-2'!$B$114:$AF$214,MATCH($D165,'表30-5-2-5-2'!$4:$4,0)-1,FALSE)*(1-(S165/100-M165/H165)*100),0))))</f>
        <v>0</v>
      </c>
      <c r="V165" s="2478">
        <f t="shared" si="26"/>
        <v>0</v>
      </c>
      <c r="W165" s="2478">
        <f t="shared" si="27"/>
        <v>0</v>
      </c>
      <c r="X165" s="2718">
        <f t="shared" si="29"/>
        <v>0</v>
      </c>
      <c r="Y165" s="2718">
        <f t="shared" si="30"/>
        <v>0</v>
      </c>
    </row>
    <row r="166" spans="1:25">
      <c r="A166" s="2473" t="str">
        <f t="shared" si="28"/>
        <v/>
      </c>
      <c r="B166" s="2737"/>
      <c r="C166" s="2737"/>
      <c r="D166" s="2737"/>
      <c r="E166" s="2738"/>
      <c r="F166" s="2738"/>
      <c r="G166" s="2738"/>
      <c r="H166" s="2739"/>
      <c r="I166" s="2741"/>
      <c r="J166" s="2741"/>
      <c r="K166" s="2742"/>
      <c r="L166" s="2742"/>
      <c r="M166" s="2738"/>
      <c r="N166" s="2738"/>
      <c r="O166" s="2474">
        <f t="shared" si="22"/>
        <v>0</v>
      </c>
      <c r="P166" s="2474">
        <f t="shared" si="23"/>
        <v>0</v>
      </c>
      <c r="Q166" s="2475">
        <f t="shared" si="31"/>
        <v>0</v>
      </c>
      <c r="R166" s="2475">
        <f t="shared" si="32"/>
        <v>0</v>
      </c>
      <c r="S166" s="2476">
        <f t="shared" si="24"/>
        <v>0</v>
      </c>
      <c r="T166" s="2476">
        <f t="shared" si="25"/>
        <v>0</v>
      </c>
      <c r="U166" s="2477">
        <f>IF(OR(E166="QS",B166=""),0,
IF(C166="F",VLOOKUP($T166,'表30-5-2-5-1'!$B:$AF,MATCH($D166&amp;"a",'表30-5-2-5-1'!$4:$4,0)-1,FALSE)
-IF($S166-1&lt;=0,0,VLOOKUP($S166-1,'表30-5-2-5-1'!$B:$AF,MATCH($D166&amp;"a",'表30-5-2-5-1'!$4:$4,0)-1,FALSE))
-VLOOKUP($T166,'表30-5-2-5-1'!$B:$AF,MATCH($D166,'表30-5-2-5-1'!$4:$4,0)-1,FALSE)*(T166/100-N166/H166)*100
-VLOOKUP($S166,'表30-5-2-5-1'!$B:$AF,MATCH($D166,'表30-5-2-5-1'!$4:$4,0)-1,FALSE)*(1-(S166/100-M166/H166)*100),
IF(C166="E1",VLOOKUP($T166,'表30-5-2-5-2'!$B$4:$AF$104,MATCH($D166&amp;"a",'表30-5-2-5-2'!$4:$4,0)-1,FALSE)
-IF($S166-1&lt;=0,0,VLOOKUP($S166-1,'表30-5-2-5-2'!$B$4:$AF$104,MATCH($D166&amp;"a",'表30-5-2-5-2'!$4:$4,0)-1,FALSE))
-VLOOKUP($T166,'表30-5-2-5-2'!$B$4:$AF$104,MATCH($D166,'表30-5-2-5-2'!$4:$4,0)-1,FALSE)*(T166/100-N166/H166)*100
-VLOOKUP($S166,'表30-5-2-5-2'!$B$4:$AF$104,MATCH($D166,'表30-5-2-5-2'!$4:$4,0)-1,FALSE)*(1-(S166/100-M166/H166)*100),
IF(C166="E2",VLOOKUP($T166,'表30-5-2-5-2'!$B$114:$AF$214,MATCH($D166&amp;"a",'表30-5-2-5-2'!$4:$4,0)-1,FALSE)
-IF($S166-1&lt;=0,0,VLOOKUP($S166-1,'表30-5-2-5-2'!$B$114:$AF$214,MATCH($D166&amp;"a",'表30-5-2-5-2'!$4:$4,0)-1,FALSE))
-VLOOKUP($T166,'表30-5-2-5-2'!$B$114:$AF$214,MATCH($D166,'表30-5-2-5-2'!$4:$4,0)-1,FALSE)*(T166/100-N166/H166)*100
-VLOOKUP($S166,'表30-5-2-5-2'!$B$114:$AF$214,MATCH($D166,'表30-5-2-5-2'!$4:$4,0)-1,FALSE)*(1-(S166/100-M166/H166)*100),0))))</f>
        <v>0</v>
      </c>
      <c r="V166" s="2478">
        <f t="shared" si="26"/>
        <v>0</v>
      </c>
      <c r="W166" s="2478">
        <f t="shared" si="27"/>
        <v>0</v>
      </c>
      <c r="X166" s="2718">
        <f t="shared" si="29"/>
        <v>0</v>
      </c>
      <c r="Y166" s="2718">
        <f t="shared" si="30"/>
        <v>0</v>
      </c>
    </row>
    <row r="167" spans="1:25">
      <c r="A167" s="2473" t="str">
        <f t="shared" si="28"/>
        <v/>
      </c>
      <c r="B167" s="2737"/>
      <c r="C167" s="2737"/>
      <c r="D167" s="2737"/>
      <c r="E167" s="2738"/>
      <c r="F167" s="2738"/>
      <c r="G167" s="2738"/>
      <c r="H167" s="2739"/>
      <c r="I167" s="2741"/>
      <c r="J167" s="2741"/>
      <c r="K167" s="2742"/>
      <c r="L167" s="2742"/>
      <c r="M167" s="2738"/>
      <c r="N167" s="2738"/>
      <c r="O167" s="2474">
        <f t="shared" si="22"/>
        <v>0</v>
      </c>
      <c r="P167" s="2474">
        <f t="shared" si="23"/>
        <v>0</v>
      </c>
      <c r="Q167" s="2475">
        <f t="shared" si="31"/>
        <v>0</v>
      </c>
      <c r="R167" s="2475">
        <f t="shared" si="32"/>
        <v>0</v>
      </c>
      <c r="S167" s="2476">
        <f t="shared" si="24"/>
        <v>0</v>
      </c>
      <c r="T167" s="2476">
        <f t="shared" si="25"/>
        <v>0</v>
      </c>
      <c r="U167" s="2477">
        <f>IF(OR(E167="QS",B167=""),0,
IF(C167="F",VLOOKUP($T167,'表30-5-2-5-1'!$B:$AF,MATCH($D167&amp;"a",'表30-5-2-5-1'!$4:$4,0)-1,FALSE)
-IF($S167-1&lt;=0,0,VLOOKUP($S167-1,'表30-5-2-5-1'!$B:$AF,MATCH($D167&amp;"a",'表30-5-2-5-1'!$4:$4,0)-1,FALSE))
-VLOOKUP($T167,'表30-5-2-5-1'!$B:$AF,MATCH($D167,'表30-5-2-5-1'!$4:$4,0)-1,FALSE)*(T167/100-N167/H167)*100
-VLOOKUP($S167,'表30-5-2-5-1'!$B:$AF,MATCH($D167,'表30-5-2-5-1'!$4:$4,0)-1,FALSE)*(1-(S167/100-M167/H167)*100),
IF(C167="E1",VLOOKUP($T167,'表30-5-2-5-2'!$B$4:$AF$104,MATCH($D167&amp;"a",'表30-5-2-5-2'!$4:$4,0)-1,FALSE)
-IF($S167-1&lt;=0,0,VLOOKUP($S167-1,'表30-5-2-5-2'!$B$4:$AF$104,MATCH($D167&amp;"a",'表30-5-2-5-2'!$4:$4,0)-1,FALSE))
-VLOOKUP($T167,'表30-5-2-5-2'!$B$4:$AF$104,MATCH($D167,'表30-5-2-5-2'!$4:$4,0)-1,FALSE)*(T167/100-N167/H167)*100
-VLOOKUP($S167,'表30-5-2-5-2'!$B$4:$AF$104,MATCH($D167,'表30-5-2-5-2'!$4:$4,0)-1,FALSE)*(1-(S167/100-M167/H167)*100),
IF(C167="E2",VLOOKUP($T167,'表30-5-2-5-2'!$B$114:$AF$214,MATCH($D167&amp;"a",'表30-5-2-5-2'!$4:$4,0)-1,FALSE)
-IF($S167-1&lt;=0,0,VLOOKUP($S167-1,'表30-5-2-5-2'!$B$114:$AF$214,MATCH($D167&amp;"a",'表30-5-2-5-2'!$4:$4,0)-1,FALSE))
-VLOOKUP($T167,'表30-5-2-5-2'!$B$114:$AF$214,MATCH($D167,'表30-5-2-5-2'!$4:$4,0)-1,FALSE)*(T167/100-N167/H167)*100
-VLOOKUP($S167,'表30-5-2-5-2'!$B$114:$AF$214,MATCH($D167,'表30-5-2-5-2'!$4:$4,0)-1,FALSE)*(1-(S167/100-M167/H167)*100),0))))</f>
        <v>0</v>
      </c>
      <c r="V167" s="2478">
        <f t="shared" si="26"/>
        <v>0</v>
      </c>
      <c r="W167" s="2478">
        <f t="shared" si="27"/>
        <v>0</v>
      </c>
      <c r="X167" s="2718">
        <f t="shared" si="29"/>
        <v>0</v>
      </c>
      <c r="Y167" s="2718">
        <f t="shared" si="30"/>
        <v>0</v>
      </c>
    </row>
    <row r="168" spans="1:25">
      <c r="A168" s="2473" t="str">
        <f t="shared" si="28"/>
        <v/>
      </c>
      <c r="B168" s="2737"/>
      <c r="C168" s="2737"/>
      <c r="D168" s="2737"/>
      <c r="E168" s="2738"/>
      <c r="F168" s="2738"/>
      <c r="G168" s="2738"/>
      <c r="H168" s="2739"/>
      <c r="I168" s="2741"/>
      <c r="J168" s="2741"/>
      <c r="K168" s="2742"/>
      <c r="L168" s="2742"/>
      <c r="M168" s="2738"/>
      <c r="N168" s="2738"/>
      <c r="O168" s="2474">
        <f t="shared" si="22"/>
        <v>0</v>
      </c>
      <c r="P168" s="2474">
        <f t="shared" si="23"/>
        <v>0</v>
      </c>
      <c r="Q168" s="2475">
        <f t="shared" si="31"/>
        <v>0</v>
      </c>
      <c r="R168" s="2475">
        <f t="shared" si="32"/>
        <v>0</v>
      </c>
      <c r="S168" s="2476">
        <f t="shared" si="24"/>
        <v>0</v>
      </c>
      <c r="T168" s="2476">
        <f t="shared" si="25"/>
        <v>0</v>
      </c>
      <c r="U168" s="2477">
        <f>IF(OR(E168="QS",B168=""),0,
IF(C168="F",VLOOKUP($T168,'表30-5-2-5-1'!$B:$AF,MATCH($D168&amp;"a",'表30-5-2-5-1'!$4:$4,0)-1,FALSE)
-IF($S168-1&lt;=0,0,VLOOKUP($S168-1,'表30-5-2-5-1'!$B:$AF,MATCH($D168&amp;"a",'表30-5-2-5-1'!$4:$4,0)-1,FALSE))
-VLOOKUP($T168,'表30-5-2-5-1'!$B:$AF,MATCH($D168,'表30-5-2-5-1'!$4:$4,0)-1,FALSE)*(T168/100-N168/H168)*100
-VLOOKUP($S168,'表30-5-2-5-1'!$B:$AF,MATCH($D168,'表30-5-2-5-1'!$4:$4,0)-1,FALSE)*(1-(S168/100-M168/H168)*100),
IF(C168="E1",VLOOKUP($T168,'表30-5-2-5-2'!$B$4:$AF$104,MATCH($D168&amp;"a",'表30-5-2-5-2'!$4:$4,0)-1,FALSE)
-IF($S168-1&lt;=0,0,VLOOKUP($S168-1,'表30-5-2-5-2'!$B$4:$AF$104,MATCH($D168&amp;"a",'表30-5-2-5-2'!$4:$4,0)-1,FALSE))
-VLOOKUP($T168,'表30-5-2-5-2'!$B$4:$AF$104,MATCH($D168,'表30-5-2-5-2'!$4:$4,0)-1,FALSE)*(T168/100-N168/H168)*100
-VLOOKUP($S168,'表30-5-2-5-2'!$B$4:$AF$104,MATCH($D168,'表30-5-2-5-2'!$4:$4,0)-1,FALSE)*(1-(S168/100-M168/H168)*100),
IF(C168="E2",VLOOKUP($T168,'表30-5-2-5-2'!$B$114:$AF$214,MATCH($D168&amp;"a",'表30-5-2-5-2'!$4:$4,0)-1,FALSE)
-IF($S168-1&lt;=0,0,VLOOKUP($S168-1,'表30-5-2-5-2'!$B$114:$AF$214,MATCH($D168&amp;"a",'表30-5-2-5-2'!$4:$4,0)-1,FALSE))
-VLOOKUP($T168,'表30-5-2-5-2'!$B$114:$AF$214,MATCH($D168,'表30-5-2-5-2'!$4:$4,0)-1,FALSE)*(T168/100-N168/H168)*100
-VLOOKUP($S168,'表30-5-2-5-2'!$B$114:$AF$214,MATCH($D168,'表30-5-2-5-2'!$4:$4,0)-1,FALSE)*(1-(S168/100-M168/H168)*100),0))))</f>
        <v>0</v>
      </c>
      <c r="V168" s="2478">
        <f t="shared" si="26"/>
        <v>0</v>
      </c>
      <c r="W168" s="2478">
        <f t="shared" si="27"/>
        <v>0</v>
      </c>
      <c r="X168" s="2718">
        <f t="shared" si="29"/>
        <v>0</v>
      </c>
      <c r="Y168" s="2718">
        <f t="shared" si="30"/>
        <v>0</v>
      </c>
    </row>
    <row r="169" spans="1:25">
      <c r="A169" s="2473" t="str">
        <f t="shared" si="28"/>
        <v/>
      </c>
      <c r="B169" s="2737"/>
      <c r="C169" s="2737"/>
      <c r="D169" s="2737"/>
      <c r="E169" s="2738"/>
      <c r="F169" s="2738"/>
      <c r="G169" s="2738"/>
      <c r="H169" s="2739"/>
      <c r="I169" s="2741"/>
      <c r="J169" s="2741"/>
      <c r="K169" s="2742"/>
      <c r="L169" s="2742"/>
      <c r="M169" s="2738"/>
      <c r="N169" s="2738"/>
      <c r="O169" s="2474">
        <f t="shared" si="22"/>
        <v>0</v>
      </c>
      <c r="P169" s="2474">
        <f t="shared" si="23"/>
        <v>0</v>
      </c>
      <c r="Q169" s="2475">
        <f t="shared" si="31"/>
        <v>0</v>
      </c>
      <c r="R169" s="2475">
        <f t="shared" si="32"/>
        <v>0</v>
      </c>
      <c r="S169" s="2476">
        <f t="shared" si="24"/>
        <v>0</v>
      </c>
      <c r="T169" s="2476">
        <f t="shared" si="25"/>
        <v>0</v>
      </c>
      <c r="U169" s="2477">
        <f>IF(OR(E169="QS",B169=""),0,
IF(C169="F",VLOOKUP($T169,'表30-5-2-5-1'!$B:$AF,MATCH($D169&amp;"a",'表30-5-2-5-1'!$4:$4,0)-1,FALSE)
-IF($S169-1&lt;=0,0,VLOOKUP($S169-1,'表30-5-2-5-1'!$B:$AF,MATCH($D169&amp;"a",'表30-5-2-5-1'!$4:$4,0)-1,FALSE))
-VLOOKUP($T169,'表30-5-2-5-1'!$B:$AF,MATCH($D169,'表30-5-2-5-1'!$4:$4,0)-1,FALSE)*(T169/100-N169/H169)*100
-VLOOKUP($S169,'表30-5-2-5-1'!$B:$AF,MATCH($D169,'表30-5-2-5-1'!$4:$4,0)-1,FALSE)*(1-(S169/100-M169/H169)*100),
IF(C169="E1",VLOOKUP($T169,'表30-5-2-5-2'!$B$4:$AF$104,MATCH($D169&amp;"a",'表30-5-2-5-2'!$4:$4,0)-1,FALSE)
-IF($S169-1&lt;=0,0,VLOOKUP($S169-1,'表30-5-2-5-2'!$B$4:$AF$104,MATCH($D169&amp;"a",'表30-5-2-5-2'!$4:$4,0)-1,FALSE))
-VLOOKUP($T169,'表30-5-2-5-2'!$B$4:$AF$104,MATCH($D169,'表30-5-2-5-2'!$4:$4,0)-1,FALSE)*(T169/100-N169/H169)*100
-VLOOKUP($S169,'表30-5-2-5-2'!$B$4:$AF$104,MATCH($D169,'表30-5-2-5-2'!$4:$4,0)-1,FALSE)*(1-(S169/100-M169/H169)*100),
IF(C169="E2",VLOOKUP($T169,'表30-5-2-5-2'!$B$114:$AF$214,MATCH($D169&amp;"a",'表30-5-2-5-2'!$4:$4,0)-1,FALSE)
-IF($S169-1&lt;=0,0,VLOOKUP($S169-1,'表30-5-2-5-2'!$B$114:$AF$214,MATCH($D169&amp;"a",'表30-5-2-5-2'!$4:$4,0)-1,FALSE))
-VLOOKUP($T169,'表30-5-2-5-2'!$B$114:$AF$214,MATCH($D169,'表30-5-2-5-2'!$4:$4,0)-1,FALSE)*(T169/100-N169/H169)*100
-VLOOKUP($S169,'表30-5-2-5-2'!$B$114:$AF$214,MATCH($D169,'表30-5-2-5-2'!$4:$4,0)-1,FALSE)*(1-(S169/100-M169/H169)*100),0))))</f>
        <v>0</v>
      </c>
      <c r="V169" s="2478">
        <f t="shared" si="26"/>
        <v>0</v>
      </c>
      <c r="W169" s="2478">
        <f t="shared" si="27"/>
        <v>0</v>
      </c>
      <c r="X169" s="2718">
        <f t="shared" si="29"/>
        <v>0</v>
      </c>
      <c r="Y169" s="2718">
        <f t="shared" si="30"/>
        <v>0</v>
      </c>
    </row>
    <row r="170" spans="1:25">
      <c r="A170" s="2473" t="str">
        <f t="shared" si="28"/>
        <v/>
      </c>
      <c r="B170" s="2737"/>
      <c r="C170" s="2737"/>
      <c r="D170" s="2737"/>
      <c r="E170" s="2738"/>
      <c r="F170" s="2738"/>
      <c r="G170" s="2738"/>
      <c r="H170" s="2739"/>
      <c r="I170" s="2741"/>
      <c r="J170" s="2741"/>
      <c r="K170" s="2742"/>
      <c r="L170" s="2742"/>
      <c r="M170" s="2738"/>
      <c r="N170" s="2738"/>
      <c r="O170" s="2474">
        <f t="shared" si="22"/>
        <v>0</v>
      </c>
      <c r="P170" s="2474">
        <f t="shared" si="23"/>
        <v>0</v>
      </c>
      <c r="Q170" s="2475">
        <f t="shared" si="31"/>
        <v>0</v>
      </c>
      <c r="R170" s="2475">
        <f t="shared" si="32"/>
        <v>0</v>
      </c>
      <c r="S170" s="2476">
        <f t="shared" si="24"/>
        <v>0</v>
      </c>
      <c r="T170" s="2476">
        <f t="shared" si="25"/>
        <v>0</v>
      </c>
      <c r="U170" s="2477">
        <f>IF(OR(E170="QS",B170=""),0,
IF(C170="F",VLOOKUP($T170,'表30-5-2-5-1'!$B:$AF,MATCH($D170&amp;"a",'表30-5-2-5-1'!$4:$4,0)-1,FALSE)
-IF($S170-1&lt;=0,0,VLOOKUP($S170-1,'表30-5-2-5-1'!$B:$AF,MATCH($D170&amp;"a",'表30-5-2-5-1'!$4:$4,0)-1,FALSE))
-VLOOKUP($T170,'表30-5-2-5-1'!$B:$AF,MATCH($D170,'表30-5-2-5-1'!$4:$4,0)-1,FALSE)*(T170/100-N170/H170)*100
-VLOOKUP($S170,'表30-5-2-5-1'!$B:$AF,MATCH($D170,'表30-5-2-5-1'!$4:$4,0)-1,FALSE)*(1-(S170/100-M170/H170)*100),
IF(C170="E1",VLOOKUP($T170,'表30-5-2-5-2'!$B$4:$AF$104,MATCH($D170&amp;"a",'表30-5-2-5-2'!$4:$4,0)-1,FALSE)
-IF($S170-1&lt;=0,0,VLOOKUP($S170-1,'表30-5-2-5-2'!$B$4:$AF$104,MATCH($D170&amp;"a",'表30-5-2-5-2'!$4:$4,0)-1,FALSE))
-VLOOKUP($T170,'表30-5-2-5-2'!$B$4:$AF$104,MATCH($D170,'表30-5-2-5-2'!$4:$4,0)-1,FALSE)*(T170/100-N170/H170)*100
-VLOOKUP($S170,'表30-5-2-5-2'!$B$4:$AF$104,MATCH($D170,'表30-5-2-5-2'!$4:$4,0)-1,FALSE)*(1-(S170/100-M170/H170)*100),
IF(C170="E2",VLOOKUP($T170,'表30-5-2-5-2'!$B$114:$AF$214,MATCH($D170&amp;"a",'表30-5-2-5-2'!$4:$4,0)-1,FALSE)
-IF($S170-1&lt;=0,0,VLOOKUP($S170-1,'表30-5-2-5-2'!$B$114:$AF$214,MATCH($D170&amp;"a",'表30-5-2-5-2'!$4:$4,0)-1,FALSE))
-VLOOKUP($T170,'表30-5-2-5-2'!$B$114:$AF$214,MATCH($D170,'表30-5-2-5-2'!$4:$4,0)-1,FALSE)*(T170/100-N170/H170)*100
-VLOOKUP($S170,'表30-5-2-5-2'!$B$114:$AF$214,MATCH($D170,'表30-5-2-5-2'!$4:$4,0)-1,FALSE)*(1-(S170/100-M170/H170)*100),0))))</f>
        <v>0</v>
      </c>
      <c r="V170" s="2478">
        <f t="shared" si="26"/>
        <v>0</v>
      </c>
      <c r="W170" s="2478">
        <f t="shared" si="27"/>
        <v>0</v>
      </c>
      <c r="X170" s="2718">
        <f t="shared" si="29"/>
        <v>0</v>
      </c>
      <c r="Y170" s="2718">
        <f t="shared" si="30"/>
        <v>0</v>
      </c>
    </row>
    <row r="171" spans="1:25">
      <c r="A171" s="2473" t="str">
        <f t="shared" si="28"/>
        <v/>
      </c>
      <c r="B171" s="2737"/>
      <c r="C171" s="2737"/>
      <c r="D171" s="2737"/>
      <c r="E171" s="2738"/>
      <c r="F171" s="2738"/>
      <c r="G171" s="2738"/>
      <c r="H171" s="2739"/>
      <c r="I171" s="2741"/>
      <c r="J171" s="2741"/>
      <c r="K171" s="2742"/>
      <c r="L171" s="2742"/>
      <c r="M171" s="2738"/>
      <c r="N171" s="2738"/>
      <c r="O171" s="2474">
        <f t="shared" si="22"/>
        <v>0</v>
      </c>
      <c r="P171" s="2474">
        <f t="shared" si="23"/>
        <v>0</v>
      </c>
      <c r="Q171" s="2475">
        <f t="shared" si="31"/>
        <v>0</v>
      </c>
      <c r="R171" s="2475">
        <f t="shared" si="32"/>
        <v>0</v>
      </c>
      <c r="S171" s="2476">
        <f t="shared" si="24"/>
        <v>0</v>
      </c>
      <c r="T171" s="2476">
        <f t="shared" si="25"/>
        <v>0</v>
      </c>
      <c r="U171" s="2477">
        <f>IF(OR(E171="QS",B171=""),0,
IF(C171="F",VLOOKUP($T171,'表30-5-2-5-1'!$B:$AF,MATCH($D171&amp;"a",'表30-5-2-5-1'!$4:$4,0)-1,FALSE)
-IF($S171-1&lt;=0,0,VLOOKUP($S171-1,'表30-5-2-5-1'!$B:$AF,MATCH($D171&amp;"a",'表30-5-2-5-1'!$4:$4,0)-1,FALSE))
-VLOOKUP($T171,'表30-5-2-5-1'!$B:$AF,MATCH($D171,'表30-5-2-5-1'!$4:$4,0)-1,FALSE)*(T171/100-N171/H171)*100
-VLOOKUP($S171,'表30-5-2-5-1'!$B:$AF,MATCH($D171,'表30-5-2-5-1'!$4:$4,0)-1,FALSE)*(1-(S171/100-M171/H171)*100),
IF(C171="E1",VLOOKUP($T171,'表30-5-2-5-2'!$B$4:$AF$104,MATCH($D171&amp;"a",'表30-5-2-5-2'!$4:$4,0)-1,FALSE)
-IF($S171-1&lt;=0,0,VLOOKUP($S171-1,'表30-5-2-5-2'!$B$4:$AF$104,MATCH($D171&amp;"a",'表30-5-2-5-2'!$4:$4,0)-1,FALSE))
-VLOOKUP($T171,'表30-5-2-5-2'!$B$4:$AF$104,MATCH($D171,'表30-5-2-5-2'!$4:$4,0)-1,FALSE)*(T171/100-N171/H171)*100
-VLOOKUP($S171,'表30-5-2-5-2'!$B$4:$AF$104,MATCH($D171,'表30-5-2-5-2'!$4:$4,0)-1,FALSE)*(1-(S171/100-M171/H171)*100),
IF(C171="E2",VLOOKUP($T171,'表30-5-2-5-2'!$B$114:$AF$214,MATCH($D171&amp;"a",'表30-5-2-5-2'!$4:$4,0)-1,FALSE)
-IF($S171-1&lt;=0,0,VLOOKUP($S171-1,'表30-5-2-5-2'!$B$114:$AF$214,MATCH($D171&amp;"a",'表30-5-2-5-2'!$4:$4,0)-1,FALSE))
-VLOOKUP($T171,'表30-5-2-5-2'!$B$114:$AF$214,MATCH($D171,'表30-5-2-5-2'!$4:$4,0)-1,FALSE)*(T171/100-N171/H171)*100
-VLOOKUP($S171,'表30-5-2-5-2'!$B$114:$AF$214,MATCH($D171,'表30-5-2-5-2'!$4:$4,0)-1,FALSE)*(1-(S171/100-M171/H171)*100),0))))</f>
        <v>0</v>
      </c>
      <c r="V171" s="2478">
        <f t="shared" si="26"/>
        <v>0</v>
      </c>
      <c r="W171" s="2478">
        <f t="shared" si="27"/>
        <v>0</v>
      </c>
      <c r="X171" s="2718">
        <f t="shared" si="29"/>
        <v>0</v>
      </c>
      <c r="Y171" s="2718">
        <f t="shared" si="30"/>
        <v>0</v>
      </c>
    </row>
    <row r="172" spans="1:25">
      <c r="A172" s="2473" t="str">
        <f t="shared" si="28"/>
        <v/>
      </c>
      <c r="B172" s="2737"/>
      <c r="C172" s="2737"/>
      <c r="D172" s="2737"/>
      <c r="E172" s="2738"/>
      <c r="F172" s="2738"/>
      <c r="G172" s="2738"/>
      <c r="H172" s="2739"/>
      <c r="I172" s="2741"/>
      <c r="J172" s="2741"/>
      <c r="K172" s="2742"/>
      <c r="L172" s="2742"/>
      <c r="M172" s="2738"/>
      <c r="N172" s="2738"/>
      <c r="O172" s="2474">
        <f t="shared" si="22"/>
        <v>0</v>
      </c>
      <c r="P172" s="2474">
        <f t="shared" si="23"/>
        <v>0</v>
      </c>
      <c r="Q172" s="2475">
        <f t="shared" si="31"/>
        <v>0</v>
      </c>
      <c r="R172" s="2475">
        <f t="shared" si="32"/>
        <v>0</v>
      </c>
      <c r="S172" s="2476">
        <f t="shared" si="24"/>
        <v>0</v>
      </c>
      <c r="T172" s="2476">
        <f t="shared" si="25"/>
        <v>0</v>
      </c>
      <c r="U172" s="2477">
        <f>IF(OR(E172="QS",B172=""),0,
IF(C172="F",VLOOKUP($T172,'表30-5-2-5-1'!$B:$AF,MATCH($D172&amp;"a",'表30-5-2-5-1'!$4:$4,0)-1,FALSE)
-IF($S172-1&lt;=0,0,VLOOKUP($S172-1,'表30-5-2-5-1'!$B:$AF,MATCH($D172&amp;"a",'表30-5-2-5-1'!$4:$4,0)-1,FALSE))
-VLOOKUP($T172,'表30-5-2-5-1'!$B:$AF,MATCH($D172,'表30-5-2-5-1'!$4:$4,0)-1,FALSE)*(T172/100-N172/H172)*100
-VLOOKUP($S172,'表30-5-2-5-1'!$B:$AF,MATCH($D172,'表30-5-2-5-1'!$4:$4,0)-1,FALSE)*(1-(S172/100-M172/H172)*100),
IF(C172="E1",VLOOKUP($T172,'表30-5-2-5-2'!$B$4:$AF$104,MATCH($D172&amp;"a",'表30-5-2-5-2'!$4:$4,0)-1,FALSE)
-IF($S172-1&lt;=0,0,VLOOKUP($S172-1,'表30-5-2-5-2'!$B$4:$AF$104,MATCH($D172&amp;"a",'表30-5-2-5-2'!$4:$4,0)-1,FALSE))
-VLOOKUP($T172,'表30-5-2-5-2'!$B$4:$AF$104,MATCH($D172,'表30-5-2-5-2'!$4:$4,0)-1,FALSE)*(T172/100-N172/H172)*100
-VLOOKUP($S172,'表30-5-2-5-2'!$B$4:$AF$104,MATCH($D172,'表30-5-2-5-2'!$4:$4,0)-1,FALSE)*(1-(S172/100-M172/H172)*100),
IF(C172="E2",VLOOKUP($T172,'表30-5-2-5-2'!$B$114:$AF$214,MATCH($D172&amp;"a",'表30-5-2-5-2'!$4:$4,0)-1,FALSE)
-IF($S172-1&lt;=0,0,VLOOKUP($S172-1,'表30-5-2-5-2'!$B$114:$AF$214,MATCH($D172&amp;"a",'表30-5-2-5-2'!$4:$4,0)-1,FALSE))
-VLOOKUP($T172,'表30-5-2-5-2'!$B$114:$AF$214,MATCH($D172,'表30-5-2-5-2'!$4:$4,0)-1,FALSE)*(T172/100-N172/H172)*100
-VLOOKUP($S172,'表30-5-2-5-2'!$B$114:$AF$214,MATCH($D172,'表30-5-2-5-2'!$4:$4,0)-1,FALSE)*(1-(S172/100-M172/H172)*100),0))))</f>
        <v>0</v>
      </c>
      <c r="V172" s="2478">
        <f t="shared" si="26"/>
        <v>0</v>
      </c>
      <c r="W172" s="2478">
        <f t="shared" si="27"/>
        <v>0</v>
      </c>
      <c r="X172" s="2718">
        <f t="shared" si="29"/>
        <v>0</v>
      </c>
      <c r="Y172" s="2718">
        <f t="shared" si="30"/>
        <v>0</v>
      </c>
    </row>
    <row r="173" spans="1:25">
      <c r="A173" s="2473" t="str">
        <f t="shared" si="28"/>
        <v/>
      </c>
      <c r="B173" s="2737"/>
      <c r="C173" s="2737"/>
      <c r="D173" s="2737"/>
      <c r="E173" s="2738"/>
      <c r="F173" s="2738"/>
      <c r="G173" s="2738"/>
      <c r="H173" s="2739"/>
      <c r="I173" s="2741"/>
      <c r="J173" s="2741"/>
      <c r="K173" s="2742"/>
      <c r="L173" s="2742"/>
      <c r="M173" s="2738"/>
      <c r="N173" s="2738"/>
      <c r="O173" s="2474">
        <f t="shared" si="22"/>
        <v>0</v>
      </c>
      <c r="P173" s="2474">
        <f t="shared" si="23"/>
        <v>0</v>
      </c>
      <c r="Q173" s="2475">
        <f t="shared" si="31"/>
        <v>0</v>
      </c>
      <c r="R173" s="2475">
        <f t="shared" si="32"/>
        <v>0</v>
      </c>
      <c r="S173" s="2476">
        <f t="shared" si="24"/>
        <v>0</v>
      </c>
      <c r="T173" s="2476">
        <f t="shared" si="25"/>
        <v>0</v>
      </c>
      <c r="U173" s="2477">
        <f>IF(OR(E173="QS",B173=""),0,
IF(C173="F",VLOOKUP($T173,'表30-5-2-5-1'!$B:$AF,MATCH($D173&amp;"a",'表30-5-2-5-1'!$4:$4,0)-1,FALSE)
-IF($S173-1&lt;=0,0,VLOOKUP($S173-1,'表30-5-2-5-1'!$B:$AF,MATCH($D173&amp;"a",'表30-5-2-5-1'!$4:$4,0)-1,FALSE))
-VLOOKUP($T173,'表30-5-2-5-1'!$B:$AF,MATCH($D173,'表30-5-2-5-1'!$4:$4,0)-1,FALSE)*(T173/100-N173/H173)*100
-VLOOKUP($S173,'表30-5-2-5-1'!$B:$AF,MATCH($D173,'表30-5-2-5-1'!$4:$4,0)-1,FALSE)*(1-(S173/100-M173/H173)*100),
IF(C173="E1",VLOOKUP($T173,'表30-5-2-5-2'!$B$4:$AF$104,MATCH($D173&amp;"a",'表30-5-2-5-2'!$4:$4,0)-1,FALSE)
-IF($S173-1&lt;=0,0,VLOOKUP($S173-1,'表30-5-2-5-2'!$B$4:$AF$104,MATCH($D173&amp;"a",'表30-5-2-5-2'!$4:$4,0)-1,FALSE))
-VLOOKUP($T173,'表30-5-2-5-2'!$B$4:$AF$104,MATCH($D173,'表30-5-2-5-2'!$4:$4,0)-1,FALSE)*(T173/100-N173/H173)*100
-VLOOKUP($S173,'表30-5-2-5-2'!$B$4:$AF$104,MATCH($D173,'表30-5-2-5-2'!$4:$4,0)-1,FALSE)*(1-(S173/100-M173/H173)*100),
IF(C173="E2",VLOOKUP($T173,'表30-5-2-5-2'!$B$114:$AF$214,MATCH($D173&amp;"a",'表30-5-2-5-2'!$4:$4,0)-1,FALSE)
-IF($S173-1&lt;=0,0,VLOOKUP($S173-1,'表30-5-2-5-2'!$B$114:$AF$214,MATCH($D173&amp;"a",'表30-5-2-5-2'!$4:$4,0)-1,FALSE))
-VLOOKUP($T173,'表30-5-2-5-2'!$B$114:$AF$214,MATCH($D173,'表30-5-2-5-2'!$4:$4,0)-1,FALSE)*(T173/100-N173/H173)*100
-VLOOKUP($S173,'表30-5-2-5-2'!$B$114:$AF$214,MATCH($D173,'表30-5-2-5-2'!$4:$4,0)-1,FALSE)*(1-(S173/100-M173/H173)*100),0))))</f>
        <v>0</v>
      </c>
      <c r="V173" s="2478">
        <f t="shared" si="26"/>
        <v>0</v>
      </c>
      <c r="W173" s="2478">
        <f t="shared" si="27"/>
        <v>0</v>
      </c>
      <c r="X173" s="2718">
        <f t="shared" si="29"/>
        <v>0</v>
      </c>
      <c r="Y173" s="2718">
        <f t="shared" si="30"/>
        <v>0</v>
      </c>
    </row>
    <row r="174" spans="1:25">
      <c r="A174" s="2473" t="str">
        <f t="shared" si="28"/>
        <v/>
      </c>
      <c r="B174" s="2737"/>
      <c r="C174" s="2737"/>
      <c r="D174" s="2737"/>
      <c r="E174" s="2738"/>
      <c r="F174" s="2738"/>
      <c r="G174" s="2738"/>
      <c r="H174" s="2739"/>
      <c r="I174" s="2741"/>
      <c r="J174" s="2741"/>
      <c r="K174" s="2742"/>
      <c r="L174" s="2742"/>
      <c r="M174" s="2738"/>
      <c r="N174" s="2738"/>
      <c r="O174" s="2474">
        <f t="shared" si="22"/>
        <v>0</v>
      </c>
      <c r="P174" s="2474">
        <f t="shared" si="23"/>
        <v>0</v>
      </c>
      <c r="Q174" s="2475">
        <f t="shared" si="31"/>
        <v>0</v>
      </c>
      <c r="R174" s="2475">
        <f t="shared" si="32"/>
        <v>0</v>
      </c>
      <c r="S174" s="2476">
        <f t="shared" si="24"/>
        <v>0</v>
      </c>
      <c r="T174" s="2476">
        <f t="shared" si="25"/>
        <v>0</v>
      </c>
      <c r="U174" s="2477">
        <f>IF(OR(E174="QS",B174=""),0,
IF(C174="F",VLOOKUP($T174,'表30-5-2-5-1'!$B:$AF,MATCH($D174&amp;"a",'表30-5-2-5-1'!$4:$4,0)-1,FALSE)
-IF($S174-1&lt;=0,0,VLOOKUP($S174-1,'表30-5-2-5-1'!$B:$AF,MATCH($D174&amp;"a",'表30-5-2-5-1'!$4:$4,0)-1,FALSE))
-VLOOKUP($T174,'表30-5-2-5-1'!$B:$AF,MATCH($D174,'表30-5-2-5-1'!$4:$4,0)-1,FALSE)*(T174/100-N174/H174)*100
-VLOOKUP($S174,'表30-5-2-5-1'!$B:$AF,MATCH($D174,'表30-5-2-5-1'!$4:$4,0)-1,FALSE)*(1-(S174/100-M174/H174)*100),
IF(C174="E1",VLOOKUP($T174,'表30-5-2-5-2'!$B$4:$AF$104,MATCH($D174&amp;"a",'表30-5-2-5-2'!$4:$4,0)-1,FALSE)
-IF($S174-1&lt;=0,0,VLOOKUP($S174-1,'表30-5-2-5-2'!$B$4:$AF$104,MATCH($D174&amp;"a",'表30-5-2-5-2'!$4:$4,0)-1,FALSE))
-VLOOKUP($T174,'表30-5-2-5-2'!$B$4:$AF$104,MATCH($D174,'表30-5-2-5-2'!$4:$4,0)-1,FALSE)*(T174/100-N174/H174)*100
-VLOOKUP($S174,'表30-5-2-5-2'!$B$4:$AF$104,MATCH($D174,'表30-5-2-5-2'!$4:$4,0)-1,FALSE)*(1-(S174/100-M174/H174)*100),
IF(C174="E2",VLOOKUP($T174,'表30-5-2-5-2'!$B$114:$AF$214,MATCH($D174&amp;"a",'表30-5-2-5-2'!$4:$4,0)-1,FALSE)
-IF($S174-1&lt;=0,0,VLOOKUP($S174-1,'表30-5-2-5-2'!$B$114:$AF$214,MATCH($D174&amp;"a",'表30-5-2-5-2'!$4:$4,0)-1,FALSE))
-VLOOKUP($T174,'表30-5-2-5-2'!$B$114:$AF$214,MATCH($D174,'表30-5-2-5-2'!$4:$4,0)-1,FALSE)*(T174/100-N174/H174)*100
-VLOOKUP($S174,'表30-5-2-5-2'!$B$114:$AF$214,MATCH($D174,'表30-5-2-5-2'!$4:$4,0)-1,FALSE)*(1-(S174/100-M174/H174)*100),0))))</f>
        <v>0</v>
      </c>
      <c r="V174" s="2478">
        <f t="shared" si="26"/>
        <v>0</v>
      </c>
      <c r="W174" s="2478">
        <f t="shared" si="27"/>
        <v>0</v>
      </c>
      <c r="X174" s="2718">
        <f t="shared" si="29"/>
        <v>0</v>
      </c>
      <c r="Y174" s="2718">
        <f t="shared" si="30"/>
        <v>0</v>
      </c>
    </row>
    <row r="175" spans="1:25">
      <c r="A175" s="2473" t="str">
        <f t="shared" si="28"/>
        <v/>
      </c>
      <c r="B175" s="2737"/>
      <c r="C175" s="2737"/>
      <c r="D175" s="2737"/>
      <c r="E175" s="2738"/>
      <c r="F175" s="2738"/>
      <c r="G175" s="2738"/>
      <c r="H175" s="2739"/>
      <c r="I175" s="2741"/>
      <c r="J175" s="2741"/>
      <c r="K175" s="2742"/>
      <c r="L175" s="2742"/>
      <c r="M175" s="2738"/>
      <c r="N175" s="2738"/>
      <c r="O175" s="2474">
        <f t="shared" si="22"/>
        <v>0</v>
      </c>
      <c r="P175" s="2474">
        <f t="shared" si="23"/>
        <v>0</v>
      </c>
      <c r="Q175" s="2475">
        <f t="shared" si="31"/>
        <v>0</v>
      </c>
      <c r="R175" s="2475">
        <f t="shared" si="32"/>
        <v>0</v>
      </c>
      <c r="S175" s="2476">
        <f t="shared" si="24"/>
        <v>0</v>
      </c>
      <c r="T175" s="2476">
        <f t="shared" si="25"/>
        <v>0</v>
      </c>
      <c r="U175" s="2477">
        <f>IF(OR(E175="QS",B175=""),0,
IF(C175="F",VLOOKUP($T175,'表30-5-2-5-1'!$B:$AF,MATCH($D175&amp;"a",'表30-5-2-5-1'!$4:$4,0)-1,FALSE)
-IF($S175-1&lt;=0,0,VLOOKUP($S175-1,'表30-5-2-5-1'!$B:$AF,MATCH($D175&amp;"a",'表30-5-2-5-1'!$4:$4,0)-1,FALSE))
-VLOOKUP($T175,'表30-5-2-5-1'!$B:$AF,MATCH($D175,'表30-5-2-5-1'!$4:$4,0)-1,FALSE)*(T175/100-N175/H175)*100
-VLOOKUP($S175,'表30-5-2-5-1'!$B:$AF,MATCH($D175,'表30-5-2-5-1'!$4:$4,0)-1,FALSE)*(1-(S175/100-M175/H175)*100),
IF(C175="E1",VLOOKUP($T175,'表30-5-2-5-2'!$B$4:$AF$104,MATCH($D175&amp;"a",'表30-5-2-5-2'!$4:$4,0)-1,FALSE)
-IF($S175-1&lt;=0,0,VLOOKUP($S175-1,'表30-5-2-5-2'!$B$4:$AF$104,MATCH($D175&amp;"a",'表30-5-2-5-2'!$4:$4,0)-1,FALSE))
-VLOOKUP($T175,'表30-5-2-5-2'!$B$4:$AF$104,MATCH($D175,'表30-5-2-5-2'!$4:$4,0)-1,FALSE)*(T175/100-N175/H175)*100
-VLOOKUP($S175,'表30-5-2-5-2'!$B$4:$AF$104,MATCH($D175,'表30-5-2-5-2'!$4:$4,0)-1,FALSE)*(1-(S175/100-M175/H175)*100),
IF(C175="E2",VLOOKUP($T175,'表30-5-2-5-2'!$B$114:$AF$214,MATCH($D175&amp;"a",'表30-5-2-5-2'!$4:$4,0)-1,FALSE)
-IF($S175-1&lt;=0,0,VLOOKUP($S175-1,'表30-5-2-5-2'!$B$114:$AF$214,MATCH($D175&amp;"a",'表30-5-2-5-2'!$4:$4,0)-1,FALSE))
-VLOOKUP($T175,'表30-5-2-5-2'!$B$114:$AF$214,MATCH($D175,'表30-5-2-5-2'!$4:$4,0)-1,FALSE)*(T175/100-N175/H175)*100
-VLOOKUP($S175,'表30-5-2-5-2'!$B$114:$AF$214,MATCH($D175,'表30-5-2-5-2'!$4:$4,0)-1,FALSE)*(1-(S175/100-M175/H175)*100),0))))</f>
        <v>0</v>
      </c>
      <c r="V175" s="2478">
        <f t="shared" si="26"/>
        <v>0</v>
      </c>
      <c r="W175" s="2478">
        <f t="shared" si="27"/>
        <v>0</v>
      </c>
      <c r="X175" s="2718">
        <f t="shared" si="29"/>
        <v>0</v>
      </c>
      <c r="Y175" s="2718">
        <f t="shared" si="30"/>
        <v>0</v>
      </c>
    </row>
    <row r="176" spans="1:25">
      <c r="A176" s="2473" t="str">
        <f t="shared" si="28"/>
        <v/>
      </c>
      <c r="B176" s="2737"/>
      <c r="C176" s="2737"/>
      <c r="D176" s="2737"/>
      <c r="E176" s="2738"/>
      <c r="F176" s="2738"/>
      <c r="G176" s="2738"/>
      <c r="H176" s="2739"/>
      <c r="I176" s="2741"/>
      <c r="J176" s="2741"/>
      <c r="K176" s="2742"/>
      <c r="L176" s="2742"/>
      <c r="M176" s="2738"/>
      <c r="N176" s="2738"/>
      <c r="O176" s="2474">
        <f t="shared" si="22"/>
        <v>0</v>
      </c>
      <c r="P176" s="2474">
        <f t="shared" si="23"/>
        <v>0</v>
      </c>
      <c r="Q176" s="2475">
        <f t="shared" si="31"/>
        <v>0</v>
      </c>
      <c r="R176" s="2475">
        <f t="shared" si="32"/>
        <v>0</v>
      </c>
      <c r="S176" s="2476">
        <f t="shared" si="24"/>
        <v>0</v>
      </c>
      <c r="T176" s="2476">
        <f t="shared" si="25"/>
        <v>0</v>
      </c>
      <c r="U176" s="2477">
        <f>IF(OR(E176="QS",B176=""),0,
IF(C176="F",VLOOKUP($T176,'表30-5-2-5-1'!$B:$AF,MATCH($D176&amp;"a",'表30-5-2-5-1'!$4:$4,0)-1,FALSE)
-IF($S176-1&lt;=0,0,VLOOKUP($S176-1,'表30-5-2-5-1'!$B:$AF,MATCH($D176&amp;"a",'表30-5-2-5-1'!$4:$4,0)-1,FALSE))
-VLOOKUP($T176,'表30-5-2-5-1'!$B:$AF,MATCH($D176,'表30-5-2-5-1'!$4:$4,0)-1,FALSE)*(T176/100-N176/H176)*100
-VLOOKUP($S176,'表30-5-2-5-1'!$B:$AF,MATCH($D176,'表30-5-2-5-1'!$4:$4,0)-1,FALSE)*(1-(S176/100-M176/H176)*100),
IF(C176="E1",VLOOKUP($T176,'表30-5-2-5-2'!$B$4:$AF$104,MATCH($D176&amp;"a",'表30-5-2-5-2'!$4:$4,0)-1,FALSE)
-IF($S176-1&lt;=0,0,VLOOKUP($S176-1,'表30-5-2-5-2'!$B$4:$AF$104,MATCH($D176&amp;"a",'表30-5-2-5-2'!$4:$4,0)-1,FALSE))
-VLOOKUP($T176,'表30-5-2-5-2'!$B$4:$AF$104,MATCH($D176,'表30-5-2-5-2'!$4:$4,0)-1,FALSE)*(T176/100-N176/H176)*100
-VLOOKUP($S176,'表30-5-2-5-2'!$B$4:$AF$104,MATCH($D176,'表30-5-2-5-2'!$4:$4,0)-1,FALSE)*(1-(S176/100-M176/H176)*100),
IF(C176="E2",VLOOKUP($T176,'表30-5-2-5-2'!$B$114:$AF$214,MATCH($D176&amp;"a",'表30-5-2-5-2'!$4:$4,0)-1,FALSE)
-IF($S176-1&lt;=0,0,VLOOKUP($S176-1,'表30-5-2-5-2'!$B$114:$AF$214,MATCH($D176&amp;"a",'表30-5-2-5-2'!$4:$4,0)-1,FALSE))
-VLOOKUP($T176,'表30-5-2-5-2'!$B$114:$AF$214,MATCH($D176,'表30-5-2-5-2'!$4:$4,0)-1,FALSE)*(T176/100-N176/H176)*100
-VLOOKUP($S176,'表30-5-2-5-2'!$B$114:$AF$214,MATCH($D176,'表30-5-2-5-2'!$4:$4,0)-1,FALSE)*(1-(S176/100-M176/H176)*100),0))))</f>
        <v>0</v>
      </c>
      <c r="V176" s="2478">
        <f t="shared" si="26"/>
        <v>0</v>
      </c>
      <c r="W176" s="2478">
        <f t="shared" si="27"/>
        <v>0</v>
      </c>
      <c r="X176" s="2718">
        <f t="shared" si="29"/>
        <v>0</v>
      </c>
      <c r="Y176" s="2718">
        <f t="shared" si="30"/>
        <v>0</v>
      </c>
    </row>
    <row r="177" spans="1:25">
      <c r="A177" s="2473" t="str">
        <f t="shared" si="28"/>
        <v/>
      </c>
      <c r="B177" s="2737"/>
      <c r="C177" s="2737"/>
      <c r="D177" s="2737"/>
      <c r="E177" s="2738"/>
      <c r="F177" s="2738"/>
      <c r="G177" s="2738"/>
      <c r="H177" s="2739"/>
      <c r="I177" s="2741"/>
      <c r="J177" s="2741"/>
      <c r="K177" s="2742"/>
      <c r="L177" s="2742"/>
      <c r="M177" s="2738"/>
      <c r="N177" s="2738"/>
      <c r="O177" s="2474">
        <f t="shared" si="22"/>
        <v>0</v>
      </c>
      <c r="P177" s="2474">
        <f t="shared" si="23"/>
        <v>0</v>
      </c>
      <c r="Q177" s="2475">
        <f t="shared" si="31"/>
        <v>0</v>
      </c>
      <c r="R177" s="2475">
        <f t="shared" si="32"/>
        <v>0</v>
      </c>
      <c r="S177" s="2476">
        <f t="shared" si="24"/>
        <v>0</v>
      </c>
      <c r="T177" s="2476">
        <f t="shared" si="25"/>
        <v>0</v>
      </c>
      <c r="U177" s="2477">
        <f>IF(OR(E177="QS",B177=""),0,
IF(C177="F",VLOOKUP($T177,'表30-5-2-5-1'!$B:$AF,MATCH($D177&amp;"a",'表30-5-2-5-1'!$4:$4,0)-1,FALSE)
-IF($S177-1&lt;=0,0,VLOOKUP($S177-1,'表30-5-2-5-1'!$B:$AF,MATCH($D177&amp;"a",'表30-5-2-5-1'!$4:$4,0)-1,FALSE))
-VLOOKUP($T177,'表30-5-2-5-1'!$B:$AF,MATCH($D177,'表30-5-2-5-1'!$4:$4,0)-1,FALSE)*(T177/100-N177/H177)*100
-VLOOKUP($S177,'表30-5-2-5-1'!$B:$AF,MATCH($D177,'表30-5-2-5-1'!$4:$4,0)-1,FALSE)*(1-(S177/100-M177/H177)*100),
IF(C177="E1",VLOOKUP($T177,'表30-5-2-5-2'!$B$4:$AF$104,MATCH($D177&amp;"a",'表30-5-2-5-2'!$4:$4,0)-1,FALSE)
-IF($S177-1&lt;=0,0,VLOOKUP($S177-1,'表30-5-2-5-2'!$B$4:$AF$104,MATCH($D177&amp;"a",'表30-5-2-5-2'!$4:$4,0)-1,FALSE))
-VLOOKUP($T177,'表30-5-2-5-2'!$B$4:$AF$104,MATCH($D177,'表30-5-2-5-2'!$4:$4,0)-1,FALSE)*(T177/100-N177/H177)*100
-VLOOKUP($S177,'表30-5-2-5-2'!$B$4:$AF$104,MATCH($D177,'表30-5-2-5-2'!$4:$4,0)-1,FALSE)*(1-(S177/100-M177/H177)*100),
IF(C177="E2",VLOOKUP($T177,'表30-5-2-5-2'!$B$114:$AF$214,MATCH($D177&amp;"a",'表30-5-2-5-2'!$4:$4,0)-1,FALSE)
-IF($S177-1&lt;=0,0,VLOOKUP($S177-1,'表30-5-2-5-2'!$B$114:$AF$214,MATCH($D177&amp;"a",'表30-5-2-5-2'!$4:$4,0)-1,FALSE))
-VLOOKUP($T177,'表30-5-2-5-2'!$B$114:$AF$214,MATCH($D177,'表30-5-2-5-2'!$4:$4,0)-1,FALSE)*(T177/100-N177/H177)*100
-VLOOKUP($S177,'表30-5-2-5-2'!$B$114:$AF$214,MATCH($D177,'表30-5-2-5-2'!$4:$4,0)-1,FALSE)*(1-(S177/100-M177/H177)*100),0))))</f>
        <v>0</v>
      </c>
      <c r="V177" s="2478">
        <f t="shared" si="26"/>
        <v>0</v>
      </c>
      <c r="W177" s="2478">
        <f t="shared" si="27"/>
        <v>0</v>
      </c>
      <c r="X177" s="2718">
        <f t="shared" si="29"/>
        <v>0</v>
      </c>
      <c r="Y177" s="2718">
        <f t="shared" si="30"/>
        <v>0</v>
      </c>
    </row>
    <row r="178" spans="1:25">
      <c r="A178" s="2473" t="str">
        <f t="shared" si="28"/>
        <v/>
      </c>
      <c r="B178" s="2737"/>
      <c r="C178" s="2737"/>
      <c r="D178" s="2737"/>
      <c r="E178" s="2738"/>
      <c r="F178" s="2738"/>
      <c r="G178" s="2738"/>
      <c r="H178" s="2739"/>
      <c r="I178" s="2741"/>
      <c r="J178" s="2741"/>
      <c r="K178" s="2742"/>
      <c r="L178" s="2742"/>
      <c r="M178" s="2738"/>
      <c r="N178" s="2738"/>
      <c r="O178" s="2474">
        <f t="shared" si="22"/>
        <v>0</v>
      </c>
      <c r="P178" s="2474">
        <f t="shared" si="23"/>
        <v>0</v>
      </c>
      <c r="Q178" s="2475">
        <f t="shared" si="31"/>
        <v>0</v>
      </c>
      <c r="R178" s="2475">
        <f t="shared" si="32"/>
        <v>0</v>
      </c>
      <c r="S178" s="2476">
        <f t="shared" si="24"/>
        <v>0</v>
      </c>
      <c r="T178" s="2476">
        <f t="shared" si="25"/>
        <v>0</v>
      </c>
      <c r="U178" s="2477">
        <f>IF(OR(E178="QS",B178=""),0,
IF(C178="F",VLOOKUP($T178,'表30-5-2-5-1'!$B:$AF,MATCH($D178&amp;"a",'表30-5-2-5-1'!$4:$4,0)-1,FALSE)
-IF($S178-1&lt;=0,0,VLOOKUP($S178-1,'表30-5-2-5-1'!$B:$AF,MATCH($D178&amp;"a",'表30-5-2-5-1'!$4:$4,0)-1,FALSE))
-VLOOKUP($T178,'表30-5-2-5-1'!$B:$AF,MATCH($D178,'表30-5-2-5-1'!$4:$4,0)-1,FALSE)*(T178/100-N178/H178)*100
-VLOOKUP($S178,'表30-5-2-5-1'!$B:$AF,MATCH($D178,'表30-5-2-5-1'!$4:$4,0)-1,FALSE)*(1-(S178/100-M178/H178)*100),
IF(C178="E1",VLOOKUP($T178,'表30-5-2-5-2'!$B$4:$AF$104,MATCH($D178&amp;"a",'表30-5-2-5-2'!$4:$4,0)-1,FALSE)
-IF($S178-1&lt;=0,0,VLOOKUP($S178-1,'表30-5-2-5-2'!$B$4:$AF$104,MATCH($D178&amp;"a",'表30-5-2-5-2'!$4:$4,0)-1,FALSE))
-VLOOKUP($T178,'表30-5-2-5-2'!$B$4:$AF$104,MATCH($D178,'表30-5-2-5-2'!$4:$4,0)-1,FALSE)*(T178/100-N178/H178)*100
-VLOOKUP($S178,'表30-5-2-5-2'!$B$4:$AF$104,MATCH($D178,'表30-5-2-5-2'!$4:$4,0)-1,FALSE)*(1-(S178/100-M178/H178)*100),
IF(C178="E2",VLOOKUP($T178,'表30-5-2-5-2'!$B$114:$AF$214,MATCH($D178&amp;"a",'表30-5-2-5-2'!$4:$4,0)-1,FALSE)
-IF($S178-1&lt;=0,0,VLOOKUP($S178-1,'表30-5-2-5-2'!$B$114:$AF$214,MATCH($D178&amp;"a",'表30-5-2-5-2'!$4:$4,0)-1,FALSE))
-VLOOKUP($T178,'表30-5-2-5-2'!$B$114:$AF$214,MATCH($D178,'表30-5-2-5-2'!$4:$4,0)-1,FALSE)*(T178/100-N178/H178)*100
-VLOOKUP($S178,'表30-5-2-5-2'!$B$114:$AF$214,MATCH($D178,'表30-5-2-5-2'!$4:$4,0)-1,FALSE)*(1-(S178/100-M178/H178)*100),0))))</f>
        <v>0</v>
      </c>
      <c r="V178" s="2478">
        <f t="shared" si="26"/>
        <v>0</v>
      </c>
      <c r="W178" s="2478">
        <f t="shared" si="27"/>
        <v>0</v>
      </c>
      <c r="X178" s="2718">
        <f t="shared" si="29"/>
        <v>0</v>
      </c>
      <c r="Y178" s="2718">
        <f t="shared" si="30"/>
        <v>0</v>
      </c>
    </row>
    <row r="179" spans="1:25">
      <c r="A179" s="2473" t="str">
        <f t="shared" si="28"/>
        <v/>
      </c>
      <c r="B179" s="2737"/>
      <c r="C179" s="2737"/>
      <c r="D179" s="2737"/>
      <c r="E179" s="2738"/>
      <c r="F179" s="2738"/>
      <c r="G179" s="2738"/>
      <c r="H179" s="2739"/>
      <c r="I179" s="2741"/>
      <c r="J179" s="2741"/>
      <c r="K179" s="2742"/>
      <c r="L179" s="2742"/>
      <c r="M179" s="2738"/>
      <c r="N179" s="2738"/>
      <c r="O179" s="2474">
        <f t="shared" si="22"/>
        <v>0</v>
      </c>
      <c r="P179" s="2474">
        <f t="shared" si="23"/>
        <v>0</v>
      </c>
      <c r="Q179" s="2475">
        <f t="shared" si="31"/>
        <v>0</v>
      </c>
      <c r="R179" s="2475">
        <f t="shared" si="32"/>
        <v>0</v>
      </c>
      <c r="S179" s="2476">
        <f t="shared" si="24"/>
        <v>0</v>
      </c>
      <c r="T179" s="2476">
        <f t="shared" si="25"/>
        <v>0</v>
      </c>
      <c r="U179" s="2477">
        <f>IF(OR(E179="QS",B179=""),0,
IF(C179="F",VLOOKUP($T179,'表30-5-2-5-1'!$B:$AF,MATCH($D179&amp;"a",'表30-5-2-5-1'!$4:$4,0)-1,FALSE)
-IF($S179-1&lt;=0,0,VLOOKUP($S179-1,'表30-5-2-5-1'!$B:$AF,MATCH($D179&amp;"a",'表30-5-2-5-1'!$4:$4,0)-1,FALSE))
-VLOOKUP($T179,'表30-5-2-5-1'!$B:$AF,MATCH($D179,'表30-5-2-5-1'!$4:$4,0)-1,FALSE)*(T179/100-N179/H179)*100
-VLOOKUP($S179,'表30-5-2-5-1'!$B:$AF,MATCH($D179,'表30-5-2-5-1'!$4:$4,0)-1,FALSE)*(1-(S179/100-M179/H179)*100),
IF(C179="E1",VLOOKUP($T179,'表30-5-2-5-2'!$B$4:$AF$104,MATCH($D179&amp;"a",'表30-5-2-5-2'!$4:$4,0)-1,FALSE)
-IF($S179-1&lt;=0,0,VLOOKUP($S179-1,'表30-5-2-5-2'!$B$4:$AF$104,MATCH($D179&amp;"a",'表30-5-2-5-2'!$4:$4,0)-1,FALSE))
-VLOOKUP($T179,'表30-5-2-5-2'!$B$4:$AF$104,MATCH($D179,'表30-5-2-5-2'!$4:$4,0)-1,FALSE)*(T179/100-N179/H179)*100
-VLOOKUP($S179,'表30-5-2-5-2'!$B$4:$AF$104,MATCH($D179,'表30-5-2-5-2'!$4:$4,0)-1,FALSE)*(1-(S179/100-M179/H179)*100),
IF(C179="E2",VLOOKUP($T179,'表30-5-2-5-2'!$B$114:$AF$214,MATCH($D179&amp;"a",'表30-5-2-5-2'!$4:$4,0)-1,FALSE)
-IF($S179-1&lt;=0,0,VLOOKUP($S179-1,'表30-5-2-5-2'!$B$114:$AF$214,MATCH($D179&amp;"a",'表30-5-2-5-2'!$4:$4,0)-1,FALSE))
-VLOOKUP($T179,'表30-5-2-5-2'!$B$114:$AF$214,MATCH($D179,'表30-5-2-5-2'!$4:$4,0)-1,FALSE)*(T179/100-N179/H179)*100
-VLOOKUP($S179,'表30-5-2-5-2'!$B$114:$AF$214,MATCH($D179,'表30-5-2-5-2'!$4:$4,0)-1,FALSE)*(1-(S179/100-M179/H179)*100),0))))</f>
        <v>0</v>
      </c>
      <c r="V179" s="2478">
        <f t="shared" si="26"/>
        <v>0</v>
      </c>
      <c r="W179" s="2478">
        <f t="shared" si="27"/>
        <v>0</v>
      </c>
      <c r="X179" s="2718">
        <f t="shared" si="29"/>
        <v>0</v>
      </c>
      <c r="Y179" s="2718">
        <f t="shared" si="30"/>
        <v>0</v>
      </c>
    </row>
    <row r="180" spans="1:25">
      <c r="A180" s="2473" t="str">
        <f t="shared" si="28"/>
        <v/>
      </c>
      <c r="B180" s="2737"/>
      <c r="C180" s="2737"/>
      <c r="D180" s="2737"/>
      <c r="E180" s="2738"/>
      <c r="F180" s="2738"/>
      <c r="G180" s="2738"/>
      <c r="H180" s="2739"/>
      <c r="I180" s="2741"/>
      <c r="J180" s="2741"/>
      <c r="K180" s="2742"/>
      <c r="L180" s="2742"/>
      <c r="M180" s="2738"/>
      <c r="N180" s="2738"/>
      <c r="O180" s="2474">
        <f t="shared" si="22"/>
        <v>0</v>
      </c>
      <c r="P180" s="2474">
        <f t="shared" si="23"/>
        <v>0</v>
      </c>
      <c r="Q180" s="2475">
        <f t="shared" si="31"/>
        <v>0</v>
      </c>
      <c r="R180" s="2475">
        <f t="shared" si="32"/>
        <v>0</v>
      </c>
      <c r="S180" s="2476">
        <f t="shared" si="24"/>
        <v>0</v>
      </c>
      <c r="T180" s="2476">
        <f t="shared" si="25"/>
        <v>0</v>
      </c>
      <c r="U180" s="2477">
        <f>IF(OR(E180="QS",B180=""),0,
IF(C180="F",VLOOKUP($T180,'表30-5-2-5-1'!$B:$AF,MATCH($D180&amp;"a",'表30-5-2-5-1'!$4:$4,0)-1,FALSE)
-IF($S180-1&lt;=0,0,VLOOKUP($S180-1,'表30-5-2-5-1'!$B:$AF,MATCH($D180&amp;"a",'表30-5-2-5-1'!$4:$4,0)-1,FALSE))
-VLOOKUP($T180,'表30-5-2-5-1'!$B:$AF,MATCH($D180,'表30-5-2-5-1'!$4:$4,0)-1,FALSE)*(T180/100-N180/H180)*100
-VLOOKUP($S180,'表30-5-2-5-1'!$B:$AF,MATCH($D180,'表30-5-2-5-1'!$4:$4,0)-1,FALSE)*(1-(S180/100-M180/H180)*100),
IF(C180="E1",VLOOKUP($T180,'表30-5-2-5-2'!$B$4:$AF$104,MATCH($D180&amp;"a",'表30-5-2-5-2'!$4:$4,0)-1,FALSE)
-IF($S180-1&lt;=0,0,VLOOKUP($S180-1,'表30-5-2-5-2'!$B$4:$AF$104,MATCH($D180&amp;"a",'表30-5-2-5-2'!$4:$4,0)-1,FALSE))
-VLOOKUP($T180,'表30-5-2-5-2'!$B$4:$AF$104,MATCH($D180,'表30-5-2-5-2'!$4:$4,0)-1,FALSE)*(T180/100-N180/H180)*100
-VLOOKUP($S180,'表30-5-2-5-2'!$B$4:$AF$104,MATCH($D180,'表30-5-2-5-2'!$4:$4,0)-1,FALSE)*(1-(S180/100-M180/H180)*100),
IF(C180="E2",VLOOKUP($T180,'表30-5-2-5-2'!$B$114:$AF$214,MATCH($D180&amp;"a",'表30-5-2-5-2'!$4:$4,0)-1,FALSE)
-IF($S180-1&lt;=0,0,VLOOKUP($S180-1,'表30-5-2-5-2'!$B$114:$AF$214,MATCH($D180&amp;"a",'表30-5-2-5-2'!$4:$4,0)-1,FALSE))
-VLOOKUP($T180,'表30-5-2-5-2'!$B$114:$AF$214,MATCH($D180,'表30-5-2-5-2'!$4:$4,0)-1,FALSE)*(T180/100-N180/H180)*100
-VLOOKUP($S180,'表30-5-2-5-2'!$B$114:$AF$214,MATCH($D180,'表30-5-2-5-2'!$4:$4,0)-1,FALSE)*(1-(S180/100-M180/H180)*100),0))))</f>
        <v>0</v>
      </c>
      <c r="V180" s="2478">
        <f t="shared" si="26"/>
        <v>0</v>
      </c>
      <c r="W180" s="2478">
        <f t="shared" si="27"/>
        <v>0</v>
      </c>
      <c r="X180" s="2718">
        <f t="shared" si="29"/>
        <v>0</v>
      </c>
      <c r="Y180" s="2718">
        <f t="shared" si="30"/>
        <v>0</v>
      </c>
    </row>
    <row r="181" spans="1:25">
      <c r="A181" s="2473" t="str">
        <f t="shared" si="28"/>
        <v/>
      </c>
      <c r="B181" s="2737"/>
      <c r="C181" s="2737"/>
      <c r="D181" s="2737"/>
      <c r="E181" s="2738"/>
      <c r="F181" s="2738"/>
      <c r="G181" s="2738"/>
      <c r="H181" s="2739"/>
      <c r="I181" s="2741"/>
      <c r="J181" s="2741"/>
      <c r="K181" s="2742"/>
      <c r="L181" s="2742"/>
      <c r="M181" s="2738"/>
      <c r="N181" s="2738"/>
      <c r="O181" s="2474">
        <f t="shared" si="22"/>
        <v>0</v>
      </c>
      <c r="P181" s="2474">
        <f t="shared" si="23"/>
        <v>0</v>
      </c>
      <c r="Q181" s="2475">
        <f t="shared" si="31"/>
        <v>0</v>
      </c>
      <c r="R181" s="2475">
        <f t="shared" si="32"/>
        <v>0</v>
      </c>
      <c r="S181" s="2476">
        <f t="shared" si="24"/>
        <v>0</v>
      </c>
      <c r="T181" s="2476">
        <f t="shared" si="25"/>
        <v>0</v>
      </c>
      <c r="U181" s="2477">
        <f>IF(OR(E181="QS",B181=""),0,
IF(C181="F",VLOOKUP($T181,'表30-5-2-5-1'!$B:$AF,MATCH($D181&amp;"a",'表30-5-2-5-1'!$4:$4,0)-1,FALSE)
-IF($S181-1&lt;=0,0,VLOOKUP($S181-1,'表30-5-2-5-1'!$B:$AF,MATCH($D181&amp;"a",'表30-5-2-5-1'!$4:$4,0)-1,FALSE))
-VLOOKUP($T181,'表30-5-2-5-1'!$B:$AF,MATCH($D181,'表30-5-2-5-1'!$4:$4,0)-1,FALSE)*(T181/100-N181/H181)*100
-VLOOKUP($S181,'表30-5-2-5-1'!$B:$AF,MATCH($D181,'表30-5-2-5-1'!$4:$4,0)-1,FALSE)*(1-(S181/100-M181/H181)*100),
IF(C181="E1",VLOOKUP($T181,'表30-5-2-5-2'!$B$4:$AF$104,MATCH($D181&amp;"a",'表30-5-2-5-2'!$4:$4,0)-1,FALSE)
-IF($S181-1&lt;=0,0,VLOOKUP($S181-1,'表30-5-2-5-2'!$B$4:$AF$104,MATCH($D181&amp;"a",'表30-5-2-5-2'!$4:$4,0)-1,FALSE))
-VLOOKUP($T181,'表30-5-2-5-2'!$B$4:$AF$104,MATCH($D181,'表30-5-2-5-2'!$4:$4,0)-1,FALSE)*(T181/100-N181/H181)*100
-VLOOKUP($S181,'表30-5-2-5-2'!$B$4:$AF$104,MATCH($D181,'表30-5-2-5-2'!$4:$4,0)-1,FALSE)*(1-(S181/100-M181/H181)*100),
IF(C181="E2",VLOOKUP($T181,'表30-5-2-5-2'!$B$114:$AF$214,MATCH($D181&amp;"a",'表30-5-2-5-2'!$4:$4,0)-1,FALSE)
-IF($S181-1&lt;=0,0,VLOOKUP($S181-1,'表30-5-2-5-2'!$B$114:$AF$214,MATCH($D181&amp;"a",'表30-5-2-5-2'!$4:$4,0)-1,FALSE))
-VLOOKUP($T181,'表30-5-2-5-2'!$B$114:$AF$214,MATCH($D181,'表30-5-2-5-2'!$4:$4,0)-1,FALSE)*(T181/100-N181/H181)*100
-VLOOKUP($S181,'表30-5-2-5-2'!$B$114:$AF$214,MATCH($D181,'表30-5-2-5-2'!$4:$4,0)-1,FALSE)*(1-(S181/100-M181/H181)*100),0))))</f>
        <v>0</v>
      </c>
      <c r="V181" s="2478">
        <f t="shared" si="26"/>
        <v>0</v>
      </c>
      <c r="W181" s="2478">
        <f t="shared" si="27"/>
        <v>0</v>
      </c>
      <c r="X181" s="2718">
        <f t="shared" si="29"/>
        <v>0</v>
      </c>
      <c r="Y181" s="2718">
        <f t="shared" si="30"/>
        <v>0</v>
      </c>
    </row>
    <row r="182" spans="1:25">
      <c r="A182" s="2473" t="str">
        <f t="shared" si="28"/>
        <v/>
      </c>
      <c r="B182" s="2737"/>
      <c r="C182" s="2737"/>
      <c r="D182" s="2737"/>
      <c r="E182" s="2738"/>
      <c r="F182" s="2738"/>
      <c r="G182" s="2738"/>
      <c r="H182" s="2739"/>
      <c r="I182" s="2741"/>
      <c r="J182" s="2741"/>
      <c r="K182" s="2742"/>
      <c r="L182" s="2742"/>
      <c r="M182" s="2738"/>
      <c r="N182" s="2738"/>
      <c r="O182" s="2474">
        <f t="shared" si="22"/>
        <v>0</v>
      </c>
      <c r="P182" s="2474">
        <f t="shared" si="23"/>
        <v>0</v>
      </c>
      <c r="Q182" s="2475">
        <f t="shared" si="31"/>
        <v>0</v>
      </c>
      <c r="R182" s="2475">
        <f t="shared" si="32"/>
        <v>0</v>
      </c>
      <c r="S182" s="2476">
        <f t="shared" si="24"/>
        <v>0</v>
      </c>
      <c r="T182" s="2476">
        <f t="shared" si="25"/>
        <v>0</v>
      </c>
      <c r="U182" s="2477">
        <f>IF(OR(E182="QS",B182=""),0,
IF(C182="F",VLOOKUP($T182,'表30-5-2-5-1'!$B:$AF,MATCH($D182&amp;"a",'表30-5-2-5-1'!$4:$4,0)-1,FALSE)
-IF($S182-1&lt;=0,0,VLOOKUP($S182-1,'表30-5-2-5-1'!$B:$AF,MATCH($D182&amp;"a",'表30-5-2-5-1'!$4:$4,0)-1,FALSE))
-VLOOKUP($T182,'表30-5-2-5-1'!$B:$AF,MATCH($D182,'表30-5-2-5-1'!$4:$4,0)-1,FALSE)*(T182/100-N182/H182)*100
-VLOOKUP($S182,'表30-5-2-5-1'!$B:$AF,MATCH($D182,'表30-5-2-5-1'!$4:$4,0)-1,FALSE)*(1-(S182/100-M182/H182)*100),
IF(C182="E1",VLOOKUP($T182,'表30-5-2-5-2'!$B$4:$AF$104,MATCH($D182&amp;"a",'表30-5-2-5-2'!$4:$4,0)-1,FALSE)
-IF($S182-1&lt;=0,0,VLOOKUP($S182-1,'表30-5-2-5-2'!$B$4:$AF$104,MATCH($D182&amp;"a",'表30-5-2-5-2'!$4:$4,0)-1,FALSE))
-VLOOKUP($T182,'表30-5-2-5-2'!$B$4:$AF$104,MATCH($D182,'表30-5-2-5-2'!$4:$4,0)-1,FALSE)*(T182/100-N182/H182)*100
-VLOOKUP($S182,'表30-5-2-5-2'!$B$4:$AF$104,MATCH($D182,'表30-5-2-5-2'!$4:$4,0)-1,FALSE)*(1-(S182/100-M182/H182)*100),
IF(C182="E2",VLOOKUP($T182,'表30-5-2-5-2'!$B$114:$AF$214,MATCH($D182&amp;"a",'表30-5-2-5-2'!$4:$4,0)-1,FALSE)
-IF($S182-1&lt;=0,0,VLOOKUP($S182-1,'表30-5-2-5-2'!$B$114:$AF$214,MATCH($D182&amp;"a",'表30-5-2-5-2'!$4:$4,0)-1,FALSE))
-VLOOKUP($T182,'表30-5-2-5-2'!$B$114:$AF$214,MATCH($D182,'表30-5-2-5-2'!$4:$4,0)-1,FALSE)*(T182/100-N182/H182)*100
-VLOOKUP($S182,'表30-5-2-5-2'!$B$114:$AF$214,MATCH($D182,'表30-5-2-5-2'!$4:$4,0)-1,FALSE)*(1-(S182/100-M182/H182)*100),0))))</f>
        <v>0</v>
      </c>
      <c r="V182" s="2478">
        <f t="shared" si="26"/>
        <v>0</v>
      </c>
      <c r="W182" s="2478">
        <f t="shared" si="27"/>
        <v>0</v>
      </c>
      <c r="X182" s="2718">
        <f t="shared" si="29"/>
        <v>0</v>
      </c>
      <c r="Y182" s="2718">
        <f t="shared" si="30"/>
        <v>0</v>
      </c>
    </row>
    <row r="183" spans="1:25">
      <c r="A183" s="2473" t="str">
        <f t="shared" si="28"/>
        <v/>
      </c>
      <c r="B183" s="2737"/>
      <c r="C183" s="2737"/>
      <c r="D183" s="2737"/>
      <c r="E183" s="2738"/>
      <c r="F183" s="2738"/>
      <c r="G183" s="2738"/>
      <c r="H183" s="2739"/>
      <c r="I183" s="2741"/>
      <c r="J183" s="2741"/>
      <c r="K183" s="2742"/>
      <c r="L183" s="2742"/>
      <c r="M183" s="2738"/>
      <c r="N183" s="2738"/>
      <c r="O183" s="2474">
        <f t="shared" si="22"/>
        <v>0</v>
      </c>
      <c r="P183" s="2474">
        <f t="shared" si="23"/>
        <v>0</v>
      </c>
      <c r="Q183" s="2475">
        <f t="shared" si="31"/>
        <v>0</v>
      </c>
      <c r="R183" s="2475">
        <f t="shared" si="32"/>
        <v>0</v>
      </c>
      <c r="S183" s="2476">
        <f t="shared" si="24"/>
        <v>0</v>
      </c>
      <c r="T183" s="2476">
        <f t="shared" si="25"/>
        <v>0</v>
      </c>
      <c r="U183" s="2477">
        <f>IF(OR(E183="QS",B183=""),0,
IF(C183="F",VLOOKUP($T183,'表30-5-2-5-1'!$B:$AF,MATCH($D183&amp;"a",'表30-5-2-5-1'!$4:$4,0)-1,FALSE)
-IF($S183-1&lt;=0,0,VLOOKUP($S183-1,'表30-5-2-5-1'!$B:$AF,MATCH($D183&amp;"a",'表30-5-2-5-1'!$4:$4,0)-1,FALSE))
-VLOOKUP($T183,'表30-5-2-5-1'!$B:$AF,MATCH($D183,'表30-5-2-5-1'!$4:$4,0)-1,FALSE)*(T183/100-N183/H183)*100
-VLOOKUP($S183,'表30-5-2-5-1'!$B:$AF,MATCH($D183,'表30-5-2-5-1'!$4:$4,0)-1,FALSE)*(1-(S183/100-M183/H183)*100),
IF(C183="E1",VLOOKUP($T183,'表30-5-2-5-2'!$B$4:$AF$104,MATCH($D183&amp;"a",'表30-5-2-5-2'!$4:$4,0)-1,FALSE)
-IF($S183-1&lt;=0,0,VLOOKUP($S183-1,'表30-5-2-5-2'!$B$4:$AF$104,MATCH($D183&amp;"a",'表30-5-2-5-2'!$4:$4,0)-1,FALSE))
-VLOOKUP($T183,'表30-5-2-5-2'!$B$4:$AF$104,MATCH($D183,'表30-5-2-5-2'!$4:$4,0)-1,FALSE)*(T183/100-N183/H183)*100
-VLOOKUP($S183,'表30-5-2-5-2'!$B$4:$AF$104,MATCH($D183,'表30-5-2-5-2'!$4:$4,0)-1,FALSE)*(1-(S183/100-M183/H183)*100),
IF(C183="E2",VLOOKUP($T183,'表30-5-2-5-2'!$B$114:$AF$214,MATCH($D183&amp;"a",'表30-5-2-5-2'!$4:$4,0)-1,FALSE)
-IF($S183-1&lt;=0,0,VLOOKUP($S183-1,'表30-5-2-5-2'!$B$114:$AF$214,MATCH($D183&amp;"a",'表30-5-2-5-2'!$4:$4,0)-1,FALSE))
-VLOOKUP($T183,'表30-5-2-5-2'!$B$114:$AF$214,MATCH($D183,'表30-5-2-5-2'!$4:$4,0)-1,FALSE)*(T183/100-N183/H183)*100
-VLOOKUP($S183,'表30-5-2-5-2'!$B$114:$AF$214,MATCH($D183,'表30-5-2-5-2'!$4:$4,0)-1,FALSE)*(1-(S183/100-M183/H183)*100),0))))</f>
        <v>0</v>
      </c>
      <c r="V183" s="2478">
        <f t="shared" si="26"/>
        <v>0</v>
      </c>
      <c r="W183" s="2478">
        <f t="shared" si="27"/>
        <v>0</v>
      </c>
      <c r="X183" s="2718">
        <f t="shared" si="29"/>
        <v>0</v>
      </c>
      <c r="Y183" s="2718">
        <f t="shared" si="30"/>
        <v>0</v>
      </c>
    </row>
    <row r="184" spans="1:25">
      <c r="A184" s="2473" t="str">
        <f t="shared" si="28"/>
        <v/>
      </c>
      <c r="B184" s="2737"/>
      <c r="C184" s="2737"/>
      <c r="D184" s="2737"/>
      <c r="E184" s="2738"/>
      <c r="F184" s="2738"/>
      <c r="G184" s="2738"/>
      <c r="H184" s="2739"/>
      <c r="I184" s="2741"/>
      <c r="J184" s="2741"/>
      <c r="K184" s="2742"/>
      <c r="L184" s="2742"/>
      <c r="M184" s="2738"/>
      <c r="N184" s="2738"/>
      <c r="O184" s="2474">
        <f t="shared" si="22"/>
        <v>0</v>
      </c>
      <c r="P184" s="2474">
        <f t="shared" si="23"/>
        <v>0</v>
      </c>
      <c r="Q184" s="2475">
        <f t="shared" si="31"/>
        <v>0</v>
      </c>
      <c r="R184" s="2475">
        <f t="shared" si="32"/>
        <v>0</v>
      </c>
      <c r="S184" s="2476">
        <f t="shared" si="24"/>
        <v>0</v>
      </c>
      <c r="T184" s="2476">
        <f t="shared" si="25"/>
        <v>0</v>
      </c>
      <c r="U184" s="2477">
        <f>IF(OR(E184="QS",B184=""),0,
IF(C184="F",VLOOKUP($T184,'表30-5-2-5-1'!$B:$AF,MATCH($D184&amp;"a",'表30-5-2-5-1'!$4:$4,0)-1,FALSE)
-IF($S184-1&lt;=0,0,VLOOKUP($S184-1,'表30-5-2-5-1'!$B:$AF,MATCH($D184&amp;"a",'表30-5-2-5-1'!$4:$4,0)-1,FALSE))
-VLOOKUP($T184,'表30-5-2-5-1'!$B:$AF,MATCH($D184,'表30-5-2-5-1'!$4:$4,0)-1,FALSE)*(T184/100-N184/H184)*100
-VLOOKUP($S184,'表30-5-2-5-1'!$B:$AF,MATCH($D184,'表30-5-2-5-1'!$4:$4,0)-1,FALSE)*(1-(S184/100-M184/H184)*100),
IF(C184="E1",VLOOKUP($T184,'表30-5-2-5-2'!$B$4:$AF$104,MATCH($D184&amp;"a",'表30-5-2-5-2'!$4:$4,0)-1,FALSE)
-IF($S184-1&lt;=0,0,VLOOKUP($S184-1,'表30-5-2-5-2'!$B$4:$AF$104,MATCH($D184&amp;"a",'表30-5-2-5-2'!$4:$4,0)-1,FALSE))
-VLOOKUP($T184,'表30-5-2-5-2'!$B$4:$AF$104,MATCH($D184,'表30-5-2-5-2'!$4:$4,0)-1,FALSE)*(T184/100-N184/H184)*100
-VLOOKUP($S184,'表30-5-2-5-2'!$B$4:$AF$104,MATCH($D184,'表30-5-2-5-2'!$4:$4,0)-1,FALSE)*(1-(S184/100-M184/H184)*100),
IF(C184="E2",VLOOKUP($T184,'表30-5-2-5-2'!$B$114:$AF$214,MATCH($D184&amp;"a",'表30-5-2-5-2'!$4:$4,0)-1,FALSE)
-IF($S184-1&lt;=0,0,VLOOKUP($S184-1,'表30-5-2-5-2'!$B$114:$AF$214,MATCH($D184&amp;"a",'表30-5-2-5-2'!$4:$4,0)-1,FALSE))
-VLOOKUP($T184,'表30-5-2-5-2'!$B$114:$AF$214,MATCH($D184,'表30-5-2-5-2'!$4:$4,0)-1,FALSE)*(T184/100-N184/H184)*100
-VLOOKUP($S184,'表30-5-2-5-2'!$B$114:$AF$214,MATCH($D184,'表30-5-2-5-2'!$4:$4,0)-1,FALSE)*(1-(S184/100-M184/H184)*100),0))))</f>
        <v>0</v>
      </c>
      <c r="V184" s="2478">
        <f t="shared" si="26"/>
        <v>0</v>
      </c>
      <c r="W184" s="2478">
        <f t="shared" si="27"/>
        <v>0</v>
      </c>
      <c r="X184" s="2718">
        <f t="shared" si="29"/>
        <v>0</v>
      </c>
      <c r="Y184" s="2718">
        <f t="shared" si="30"/>
        <v>0</v>
      </c>
    </row>
    <row r="185" spans="1:25">
      <c r="A185" s="2473" t="str">
        <f t="shared" si="28"/>
        <v/>
      </c>
      <c r="B185" s="2737"/>
      <c r="C185" s="2737"/>
      <c r="D185" s="2737"/>
      <c r="E185" s="2738"/>
      <c r="F185" s="2738"/>
      <c r="G185" s="2738"/>
      <c r="H185" s="2739"/>
      <c r="I185" s="2741"/>
      <c r="J185" s="2741"/>
      <c r="K185" s="2742"/>
      <c r="L185" s="2742"/>
      <c r="M185" s="2738"/>
      <c r="N185" s="2738"/>
      <c r="O185" s="2474">
        <f t="shared" si="22"/>
        <v>0</v>
      </c>
      <c r="P185" s="2474">
        <f t="shared" si="23"/>
        <v>0</v>
      </c>
      <c r="Q185" s="2475">
        <f t="shared" si="31"/>
        <v>0</v>
      </c>
      <c r="R185" s="2475">
        <f t="shared" si="32"/>
        <v>0</v>
      </c>
      <c r="S185" s="2476">
        <f t="shared" si="24"/>
        <v>0</v>
      </c>
      <c r="T185" s="2476">
        <f t="shared" si="25"/>
        <v>0</v>
      </c>
      <c r="U185" s="2477">
        <f>IF(OR(E185="QS",B185=""),0,
IF(C185="F",VLOOKUP($T185,'表30-5-2-5-1'!$B:$AF,MATCH($D185&amp;"a",'表30-5-2-5-1'!$4:$4,0)-1,FALSE)
-IF($S185-1&lt;=0,0,VLOOKUP($S185-1,'表30-5-2-5-1'!$B:$AF,MATCH($D185&amp;"a",'表30-5-2-5-1'!$4:$4,0)-1,FALSE))
-VLOOKUP($T185,'表30-5-2-5-1'!$B:$AF,MATCH($D185,'表30-5-2-5-1'!$4:$4,0)-1,FALSE)*(T185/100-N185/H185)*100
-VLOOKUP($S185,'表30-5-2-5-1'!$B:$AF,MATCH($D185,'表30-5-2-5-1'!$4:$4,0)-1,FALSE)*(1-(S185/100-M185/H185)*100),
IF(C185="E1",VLOOKUP($T185,'表30-5-2-5-2'!$B$4:$AF$104,MATCH($D185&amp;"a",'表30-5-2-5-2'!$4:$4,0)-1,FALSE)
-IF($S185-1&lt;=0,0,VLOOKUP($S185-1,'表30-5-2-5-2'!$B$4:$AF$104,MATCH($D185&amp;"a",'表30-5-2-5-2'!$4:$4,0)-1,FALSE))
-VLOOKUP($T185,'表30-5-2-5-2'!$B$4:$AF$104,MATCH($D185,'表30-5-2-5-2'!$4:$4,0)-1,FALSE)*(T185/100-N185/H185)*100
-VLOOKUP($S185,'表30-5-2-5-2'!$B$4:$AF$104,MATCH($D185,'表30-5-2-5-2'!$4:$4,0)-1,FALSE)*(1-(S185/100-M185/H185)*100),
IF(C185="E2",VLOOKUP($T185,'表30-5-2-5-2'!$B$114:$AF$214,MATCH($D185&amp;"a",'表30-5-2-5-2'!$4:$4,0)-1,FALSE)
-IF($S185-1&lt;=0,0,VLOOKUP($S185-1,'表30-5-2-5-2'!$B$114:$AF$214,MATCH($D185&amp;"a",'表30-5-2-5-2'!$4:$4,0)-1,FALSE))
-VLOOKUP($T185,'表30-5-2-5-2'!$B$114:$AF$214,MATCH($D185,'表30-5-2-5-2'!$4:$4,0)-1,FALSE)*(T185/100-N185/H185)*100
-VLOOKUP($S185,'表30-5-2-5-2'!$B$114:$AF$214,MATCH($D185,'表30-5-2-5-2'!$4:$4,0)-1,FALSE)*(1-(S185/100-M185/H185)*100),0))))</f>
        <v>0</v>
      </c>
      <c r="V185" s="2478">
        <f t="shared" si="26"/>
        <v>0</v>
      </c>
      <c r="W185" s="2478">
        <f t="shared" si="27"/>
        <v>0</v>
      </c>
      <c r="X185" s="2718">
        <f t="shared" si="29"/>
        <v>0</v>
      </c>
      <c r="Y185" s="2718">
        <f t="shared" si="30"/>
        <v>0</v>
      </c>
    </row>
    <row r="186" spans="1:25">
      <c r="A186" s="2473" t="str">
        <f t="shared" si="28"/>
        <v/>
      </c>
      <c r="B186" s="2737"/>
      <c r="C186" s="2737"/>
      <c r="D186" s="2737"/>
      <c r="E186" s="2738"/>
      <c r="F186" s="2738"/>
      <c r="G186" s="2738"/>
      <c r="H186" s="2739"/>
      <c r="I186" s="2741"/>
      <c r="J186" s="2741"/>
      <c r="K186" s="2742"/>
      <c r="L186" s="2742"/>
      <c r="M186" s="2738"/>
      <c r="N186" s="2738"/>
      <c r="O186" s="2474">
        <f t="shared" si="22"/>
        <v>0</v>
      </c>
      <c r="P186" s="2474">
        <f t="shared" si="23"/>
        <v>0</v>
      </c>
      <c r="Q186" s="2475">
        <f t="shared" si="31"/>
        <v>0</v>
      </c>
      <c r="R186" s="2475">
        <f t="shared" si="32"/>
        <v>0</v>
      </c>
      <c r="S186" s="2476">
        <f t="shared" si="24"/>
        <v>0</v>
      </c>
      <c r="T186" s="2476">
        <f t="shared" si="25"/>
        <v>0</v>
      </c>
      <c r="U186" s="2477">
        <f>IF(OR(E186="QS",B186=""),0,
IF(C186="F",VLOOKUP($T186,'表30-5-2-5-1'!$B:$AF,MATCH($D186&amp;"a",'表30-5-2-5-1'!$4:$4,0)-1,FALSE)
-IF($S186-1&lt;=0,0,VLOOKUP($S186-1,'表30-5-2-5-1'!$B:$AF,MATCH($D186&amp;"a",'表30-5-2-5-1'!$4:$4,0)-1,FALSE))
-VLOOKUP($T186,'表30-5-2-5-1'!$B:$AF,MATCH($D186,'表30-5-2-5-1'!$4:$4,0)-1,FALSE)*(T186/100-N186/H186)*100
-VLOOKUP($S186,'表30-5-2-5-1'!$B:$AF,MATCH($D186,'表30-5-2-5-1'!$4:$4,0)-1,FALSE)*(1-(S186/100-M186/H186)*100),
IF(C186="E1",VLOOKUP($T186,'表30-5-2-5-2'!$B$4:$AF$104,MATCH($D186&amp;"a",'表30-5-2-5-2'!$4:$4,0)-1,FALSE)
-IF($S186-1&lt;=0,0,VLOOKUP($S186-1,'表30-5-2-5-2'!$B$4:$AF$104,MATCH($D186&amp;"a",'表30-5-2-5-2'!$4:$4,0)-1,FALSE))
-VLOOKUP($T186,'表30-5-2-5-2'!$B$4:$AF$104,MATCH($D186,'表30-5-2-5-2'!$4:$4,0)-1,FALSE)*(T186/100-N186/H186)*100
-VLOOKUP($S186,'表30-5-2-5-2'!$B$4:$AF$104,MATCH($D186,'表30-5-2-5-2'!$4:$4,0)-1,FALSE)*(1-(S186/100-M186/H186)*100),
IF(C186="E2",VLOOKUP($T186,'表30-5-2-5-2'!$B$114:$AF$214,MATCH($D186&amp;"a",'表30-5-2-5-2'!$4:$4,0)-1,FALSE)
-IF($S186-1&lt;=0,0,VLOOKUP($S186-1,'表30-5-2-5-2'!$B$114:$AF$214,MATCH($D186&amp;"a",'表30-5-2-5-2'!$4:$4,0)-1,FALSE))
-VLOOKUP($T186,'表30-5-2-5-2'!$B$114:$AF$214,MATCH($D186,'表30-5-2-5-2'!$4:$4,0)-1,FALSE)*(T186/100-N186/H186)*100
-VLOOKUP($S186,'表30-5-2-5-2'!$B$114:$AF$214,MATCH($D186,'表30-5-2-5-2'!$4:$4,0)-1,FALSE)*(1-(S186/100-M186/H186)*100),0))))</f>
        <v>0</v>
      </c>
      <c r="V186" s="2478">
        <f t="shared" si="26"/>
        <v>0</v>
      </c>
      <c r="W186" s="2478">
        <f t="shared" si="27"/>
        <v>0</v>
      </c>
      <c r="X186" s="2718">
        <f t="shared" si="29"/>
        <v>0</v>
      </c>
      <c r="Y186" s="2718">
        <f t="shared" si="30"/>
        <v>0</v>
      </c>
    </row>
    <row r="187" spans="1:25">
      <c r="A187" s="2473" t="str">
        <f t="shared" si="28"/>
        <v/>
      </c>
      <c r="B187" s="2737"/>
      <c r="C187" s="2737"/>
      <c r="D187" s="2737"/>
      <c r="E187" s="2738"/>
      <c r="F187" s="2738"/>
      <c r="G187" s="2738"/>
      <c r="H187" s="2739"/>
      <c r="I187" s="2741"/>
      <c r="J187" s="2741"/>
      <c r="K187" s="2742"/>
      <c r="L187" s="2742"/>
      <c r="M187" s="2738"/>
      <c r="N187" s="2738"/>
      <c r="O187" s="2474">
        <f t="shared" si="22"/>
        <v>0</v>
      </c>
      <c r="P187" s="2474">
        <f t="shared" si="23"/>
        <v>0</v>
      </c>
      <c r="Q187" s="2475">
        <f t="shared" si="31"/>
        <v>0</v>
      </c>
      <c r="R187" s="2475">
        <f t="shared" si="32"/>
        <v>0</v>
      </c>
      <c r="S187" s="2476">
        <f t="shared" si="24"/>
        <v>0</v>
      </c>
      <c r="T187" s="2476">
        <f t="shared" si="25"/>
        <v>0</v>
      </c>
      <c r="U187" s="2477">
        <f>IF(OR(E187="QS",B187=""),0,
IF(C187="F",VLOOKUP($T187,'表30-5-2-5-1'!$B:$AF,MATCH($D187&amp;"a",'表30-5-2-5-1'!$4:$4,0)-1,FALSE)
-IF($S187-1&lt;=0,0,VLOOKUP($S187-1,'表30-5-2-5-1'!$B:$AF,MATCH($D187&amp;"a",'表30-5-2-5-1'!$4:$4,0)-1,FALSE))
-VLOOKUP($T187,'表30-5-2-5-1'!$B:$AF,MATCH($D187,'表30-5-2-5-1'!$4:$4,0)-1,FALSE)*(T187/100-N187/H187)*100
-VLOOKUP($S187,'表30-5-2-5-1'!$B:$AF,MATCH($D187,'表30-5-2-5-1'!$4:$4,0)-1,FALSE)*(1-(S187/100-M187/H187)*100),
IF(C187="E1",VLOOKUP($T187,'表30-5-2-5-2'!$B$4:$AF$104,MATCH($D187&amp;"a",'表30-5-2-5-2'!$4:$4,0)-1,FALSE)
-IF($S187-1&lt;=0,0,VLOOKUP($S187-1,'表30-5-2-5-2'!$B$4:$AF$104,MATCH($D187&amp;"a",'表30-5-2-5-2'!$4:$4,0)-1,FALSE))
-VLOOKUP($T187,'表30-5-2-5-2'!$B$4:$AF$104,MATCH($D187,'表30-5-2-5-2'!$4:$4,0)-1,FALSE)*(T187/100-N187/H187)*100
-VLOOKUP($S187,'表30-5-2-5-2'!$B$4:$AF$104,MATCH($D187,'表30-5-2-5-2'!$4:$4,0)-1,FALSE)*(1-(S187/100-M187/H187)*100),
IF(C187="E2",VLOOKUP($T187,'表30-5-2-5-2'!$B$114:$AF$214,MATCH($D187&amp;"a",'表30-5-2-5-2'!$4:$4,0)-1,FALSE)
-IF($S187-1&lt;=0,0,VLOOKUP($S187-1,'表30-5-2-5-2'!$B$114:$AF$214,MATCH($D187&amp;"a",'表30-5-2-5-2'!$4:$4,0)-1,FALSE))
-VLOOKUP($T187,'表30-5-2-5-2'!$B$114:$AF$214,MATCH($D187,'表30-5-2-5-2'!$4:$4,0)-1,FALSE)*(T187/100-N187/H187)*100
-VLOOKUP($S187,'表30-5-2-5-2'!$B$114:$AF$214,MATCH($D187,'表30-5-2-5-2'!$4:$4,0)-1,FALSE)*(1-(S187/100-M187/H187)*100),0))))</f>
        <v>0</v>
      </c>
      <c r="V187" s="2478">
        <f t="shared" si="26"/>
        <v>0</v>
      </c>
      <c r="W187" s="2478">
        <f t="shared" si="27"/>
        <v>0</v>
      </c>
      <c r="X187" s="2718">
        <f t="shared" si="29"/>
        <v>0</v>
      </c>
      <c r="Y187" s="2718">
        <f t="shared" si="30"/>
        <v>0</v>
      </c>
    </row>
    <row r="188" spans="1:25">
      <c r="A188" s="2473" t="str">
        <f t="shared" si="28"/>
        <v/>
      </c>
      <c r="B188" s="2737"/>
      <c r="C188" s="2737"/>
      <c r="D188" s="2737"/>
      <c r="E188" s="2738"/>
      <c r="F188" s="2738"/>
      <c r="G188" s="2738"/>
      <c r="H188" s="2739"/>
      <c r="I188" s="2741"/>
      <c r="J188" s="2741"/>
      <c r="K188" s="2742"/>
      <c r="L188" s="2742"/>
      <c r="M188" s="2738"/>
      <c r="N188" s="2738"/>
      <c r="O188" s="2474">
        <f t="shared" si="22"/>
        <v>0</v>
      </c>
      <c r="P188" s="2474">
        <f t="shared" si="23"/>
        <v>0</v>
      </c>
      <c r="Q188" s="2475">
        <f t="shared" si="31"/>
        <v>0</v>
      </c>
      <c r="R188" s="2475">
        <f t="shared" si="32"/>
        <v>0</v>
      </c>
      <c r="S188" s="2476">
        <f t="shared" si="24"/>
        <v>0</v>
      </c>
      <c r="T188" s="2476">
        <f t="shared" si="25"/>
        <v>0</v>
      </c>
      <c r="U188" s="2477">
        <f>IF(OR(E188="QS",B188=""),0,
IF(C188="F",VLOOKUP($T188,'表30-5-2-5-1'!$B:$AF,MATCH($D188&amp;"a",'表30-5-2-5-1'!$4:$4,0)-1,FALSE)
-IF($S188-1&lt;=0,0,VLOOKUP($S188-1,'表30-5-2-5-1'!$B:$AF,MATCH($D188&amp;"a",'表30-5-2-5-1'!$4:$4,0)-1,FALSE))
-VLOOKUP($T188,'表30-5-2-5-1'!$B:$AF,MATCH($D188,'表30-5-2-5-1'!$4:$4,0)-1,FALSE)*(T188/100-N188/H188)*100
-VLOOKUP($S188,'表30-5-2-5-1'!$B:$AF,MATCH($D188,'表30-5-2-5-1'!$4:$4,0)-1,FALSE)*(1-(S188/100-M188/H188)*100),
IF(C188="E1",VLOOKUP($T188,'表30-5-2-5-2'!$B$4:$AF$104,MATCH($D188&amp;"a",'表30-5-2-5-2'!$4:$4,0)-1,FALSE)
-IF($S188-1&lt;=0,0,VLOOKUP($S188-1,'表30-5-2-5-2'!$B$4:$AF$104,MATCH($D188&amp;"a",'表30-5-2-5-2'!$4:$4,0)-1,FALSE))
-VLOOKUP($T188,'表30-5-2-5-2'!$B$4:$AF$104,MATCH($D188,'表30-5-2-5-2'!$4:$4,0)-1,FALSE)*(T188/100-N188/H188)*100
-VLOOKUP($S188,'表30-5-2-5-2'!$B$4:$AF$104,MATCH($D188,'表30-5-2-5-2'!$4:$4,0)-1,FALSE)*(1-(S188/100-M188/H188)*100),
IF(C188="E2",VLOOKUP($T188,'表30-5-2-5-2'!$B$114:$AF$214,MATCH($D188&amp;"a",'表30-5-2-5-2'!$4:$4,0)-1,FALSE)
-IF($S188-1&lt;=0,0,VLOOKUP($S188-1,'表30-5-2-5-2'!$B$114:$AF$214,MATCH($D188&amp;"a",'表30-5-2-5-2'!$4:$4,0)-1,FALSE))
-VLOOKUP($T188,'表30-5-2-5-2'!$B$114:$AF$214,MATCH($D188,'表30-5-2-5-2'!$4:$4,0)-1,FALSE)*(T188/100-N188/H188)*100
-VLOOKUP($S188,'表30-5-2-5-2'!$B$114:$AF$214,MATCH($D188,'表30-5-2-5-2'!$4:$4,0)-1,FALSE)*(1-(S188/100-M188/H188)*100),0))))</f>
        <v>0</v>
      </c>
      <c r="V188" s="2478">
        <f t="shared" si="26"/>
        <v>0</v>
      </c>
      <c r="W188" s="2478">
        <f t="shared" si="27"/>
        <v>0</v>
      </c>
      <c r="X188" s="2718">
        <f t="shared" si="29"/>
        <v>0</v>
      </c>
      <c r="Y188" s="2718">
        <f t="shared" si="30"/>
        <v>0</v>
      </c>
    </row>
    <row r="189" spans="1:25">
      <c r="A189" s="2473" t="str">
        <f t="shared" si="28"/>
        <v/>
      </c>
      <c r="B189" s="2737"/>
      <c r="C189" s="2737"/>
      <c r="D189" s="2737"/>
      <c r="E189" s="2738"/>
      <c r="F189" s="2738"/>
      <c r="G189" s="2738"/>
      <c r="H189" s="2739"/>
      <c r="I189" s="2741"/>
      <c r="J189" s="2741"/>
      <c r="K189" s="2742"/>
      <c r="L189" s="2742"/>
      <c r="M189" s="2738"/>
      <c r="N189" s="2738"/>
      <c r="O189" s="2474">
        <f t="shared" si="22"/>
        <v>0</v>
      </c>
      <c r="P189" s="2474">
        <f t="shared" si="23"/>
        <v>0</v>
      </c>
      <c r="Q189" s="2475">
        <f t="shared" si="31"/>
        <v>0</v>
      </c>
      <c r="R189" s="2475">
        <f t="shared" si="32"/>
        <v>0</v>
      </c>
      <c r="S189" s="2476">
        <f t="shared" si="24"/>
        <v>0</v>
      </c>
      <c r="T189" s="2476">
        <f t="shared" si="25"/>
        <v>0</v>
      </c>
      <c r="U189" s="2477">
        <f>IF(OR(E189="QS",B189=""),0,
IF(C189="F",VLOOKUP($T189,'表30-5-2-5-1'!$B:$AF,MATCH($D189&amp;"a",'表30-5-2-5-1'!$4:$4,0)-1,FALSE)
-IF($S189-1&lt;=0,0,VLOOKUP($S189-1,'表30-5-2-5-1'!$B:$AF,MATCH($D189&amp;"a",'表30-5-2-5-1'!$4:$4,0)-1,FALSE))
-VLOOKUP($T189,'表30-5-2-5-1'!$B:$AF,MATCH($D189,'表30-5-2-5-1'!$4:$4,0)-1,FALSE)*(T189/100-N189/H189)*100
-VLOOKUP($S189,'表30-5-2-5-1'!$B:$AF,MATCH($D189,'表30-5-2-5-1'!$4:$4,0)-1,FALSE)*(1-(S189/100-M189/H189)*100),
IF(C189="E1",VLOOKUP($T189,'表30-5-2-5-2'!$B$4:$AF$104,MATCH($D189&amp;"a",'表30-5-2-5-2'!$4:$4,0)-1,FALSE)
-IF($S189-1&lt;=0,0,VLOOKUP($S189-1,'表30-5-2-5-2'!$B$4:$AF$104,MATCH($D189&amp;"a",'表30-5-2-5-2'!$4:$4,0)-1,FALSE))
-VLOOKUP($T189,'表30-5-2-5-2'!$B$4:$AF$104,MATCH($D189,'表30-5-2-5-2'!$4:$4,0)-1,FALSE)*(T189/100-N189/H189)*100
-VLOOKUP($S189,'表30-5-2-5-2'!$B$4:$AF$104,MATCH($D189,'表30-5-2-5-2'!$4:$4,0)-1,FALSE)*(1-(S189/100-M189/H189)*100),
IF(C189="E2",VLOOKUP($T189,'表30-5-2-5-2'!$B$114:$AF$214,MATCH($D189&amp;"a",'表30-5-2-5-2'!$4:$4,0)-1,FALSE)
-IF($S189-1&lt;=0,0,VLOOKUP($S189-1,'表30-5-2-5-2'!$B$114:$AF$214,MATCH($D189&amp;"a",'表30-5-2-5-2'!$4:$4,0)-1,FALSE))
-VLOOKUP($T189,'表30-5-2-5-2'!$B$114:$AF$214,MATCH($D189,'表30-5-2-5-2'!$4:$4,0)-1,FALSE)*(T189/100-N189/H189)*100
-VLOOKUP($S189,'表30-5-2-5-2'!$B$114:$AF$214,MATCH($D189,'表30-5-2-5-2'!$4:$4,0)-1,FALSE)*(1-(S189/100-M189/H189)*100),0))))</f>
        <v>0</v>
      </c>
      <c r="V189" s="2478">
        <f t="shared" si="26"/>
        <v>0</v>
      </c>
      <c r="W189" s="2478">
        <f t="shared" si="27"/>
        <v>0</v>
      </c>
      <c r="X189" s="2718">
        <f t="shared" si="29"/>
        <v>0</v>
      </c>
      <c r="Y189" s="2718">
        <f t="shared" si="30"/>
        <v>0</v>
      </c>
    </row>
    <row r="190" spans="1:25">
      <c r="A190" s="2473" t="str">
        <f t="shared" si="28"/>
        <v/>
      </c>
      <c r="B190" s="2737"/>
      <c r="C190" s="2737"/>
      <c r="D190" s="2737"/>
      <c r="E190" s="2738"/>
      <c r="F190" s="2738"/>
      <c r="G190" s="2738"/>
      <c r="H190" s="2739"/>
      <c r="I190" s="2741"/>
      <c r="J190" s="2741"/>
      <c r="K190" s="2742"/>
      <c r="L190" s="2742"/>
      <c r="M190" s="2738"/>
      <c r="N190" s="2738"/>
      <c r="O190" s="2474">
        <f t="shared" si="22"/>
        <v>0</v>
      </c>
      <c r="P190" s="2474">
        <f t="shared" si="23"/>
        <v>0</v>
      </c>
      <c r="Q190" s="2475">
        <f t="shared" si="31"/>
        <v>0</v>
      </c>
      <c r="R190" s="2475">
        <f t="shared" si="32"/>
        <v>0</v>
      </c>
      <c r="S190" s="2476">
        <f t="shared" si="24"/>
        <v>0</v>
      </c>
      <c r="T190" s="2476">
        <f t="shared" si="25"/>
        <v>0</v>
      </c>
      <c r="U190" s="2477">
        <f>IF(OR(E190="QS",B190=""),0,
IF(C190="F",VLOOKUP($T190,'表30-5-2-5-1'!$B:$AF,MATCH($D190&amp;"a",'表30-5-2-5-1'!$4:$4,0)-1,FALSE)
-IF($S190-1&lt;=0,0,VLOOKUP($S190-1,'表30-5-2-5-1'!$B:$AF,MATCH($D190&amp;"a",'表30-5-2-5-1'!$4:$4,0)-1,FALSE))
-VLOOKUP($T190,'表30-5-2-5-1'!$B:$AF,MATCH($D190,'表30-5-2-5-1'!$4:$4,0)-1,FALSE)*(T190/100-N190/H190)*100
-VLOOKUP($S190,'表30-5-2-5-1'!$B:$AF,MATCH($D190,'表30-5-2-5-1'!$4:$4,0)-1,FALSE)*(1-(S190/100-M190/H190)*100),
IF(C190="E1",VLOOKUP($T190,'表30-5-2-5-2'!$B$4:$AF$104,MATCH($D190&amp;"a",'表30-5-2-5-2'!$4:$4,0)-1,FALSE)
-IF($S190-1&lt;=0,0,VLOOKUP($S190-1,'表30-5-2-5-2'!$B$4:$AF$104,MATCH($D190&amp;"a",'表30-5-2-5-2'!$4:$4,0)-1,FALSE))
-VLOOKUP($T190,'表30-5-2-5-2'!$B$4:$AF$104,MATCH($D190,'表30-5-2-5-2'!$4:$4,0)-1,FALSE)*(T190/100-N190/H190)*100
-VLOOKUP($S190,'表30-5-2-5-2'!$B$4:$AF$104,MATCH($D190,'表30-5-2-5-2'!$4:$4,0)-1,FALSE)*(1-(S190/100-M190/H190)*100),
IF(C190="E2",VLOOKUP($T190,'表30-5-2-5-2'!$B$114:$AF$214,MATCH($D190&amp;"a",'表30-5-2-5-2'!$4:$4,0)-1,FALSE)
-IF($S190-1&lt;=0,0,VLOOKUP($S190-1,'表30-5-2-5-2'!$B$114:$AF$214,MATCH($D190&amp;"a",'表30-5-2-5-2'!$4:$4,0)-1,FALSE))
-VLOOKUP($T190,'表30-5-2-5-2'!$B$114:$AF$214,MATCH($D190,'表30-5-2-5-2'!$4:$4,0)-1,FALSE)*(T190/100-N190/H190)*100
-VLOOKUP($S190,'表30-5-2-5-2'!$B$114:$AF$214,MATCH($D190,'表30-5-2-5-2'!$4:$4,0)-1,FALSE)*(1-(S190/100-M190/H190)*100),0))))</f>
        <v>0</v>
      </c>
      <c r="V190" s="2478">
        <f t="shared" si="26"/>
        <v>0</v>
      </c>
      <c r="W190" s="2478">
        <f t="shared" si="27"/>
        <v>0</v>
      </c>
      <c r="X190" s="2718">
        <f t="shared" si="29"/>
        <v>0</v>
      </c>
      <c r="Y190" s="2718">
        <f t="shared" si="30"/>
        <v>0</v>
      </c>
    </row>
    <row r="191" spans="1:25">
      <c r="A191" s="2473" t="str">
        <f t="shared" si="28"/>
        <v/>
      </c>
      <c r="B191" s="2737"/>
      <c r="C191" s="2737"/>
      <c r="D191" s="2737"/>
      <c r="E191" s="2738"/>
      <c r="F191" s="2738"/>
      <c r="G191" s="2738"/>
      <c r="H191" s="2739"/>
      <c r="I191" s="2741"/>
      <c r="J191" s="2741"/>
      <c r="K191" s="2742"/>
      <c r="L191" s="2742"/>
      <c r="M191" s="2738"/>
      <c r="N191" s="2738"/>
      <c r="O191" s="2474">
        <f t="shared" si="22"/>
        <v>0</v>
      </c>
      <c r="P191" s="2474">
        <f t="shared" si="23"/>
        <v>0</v>
      </c>
      <c r="Q191" s="2475">
        <f t="shared" si="31"/>
        <v>0</v>
      </c>
      <c r="R191" s="2475">
        <f t="shared" si="32"/>
        <v>0</v>
      </c>
      <c r="S191" s="2476">
        <f t="shared" si="24"/>
        <v>0</v>
      </c>
      <c r="T191" s="2476">
        <f t="shared" si="25"/>
        <v>0</v>
      </c>
      <c r="U191" s="2477">
        <f>IF(OR(E191="QS",B191=""),0,
IF(C191="F",VLOOKUP($T191,'表30-5-2-5-1'!$B:$AF,MATCH($D191&amp;"a",'表30-5-2-5-1'!$4:$4,0)-1,FALSE)
-IF($S191-1&lt;=0,0,VLOOKUP($S191-1,'表30-5-2-5-1'!$B:$AF,MATCH($D191&amp;"a",'表30-5-2-5-1'!$4:$4,0)-1,FALSE))
-VLOOKUP($T191,'表30-5-2-5-1'!$B:$AF,MATCH($D191,'表30-5-2-5-1'!$4:$4,0)-1,FALSE)*(T191/100-N191/H191)*100
-VLOOKUP($S191,'表30-5-2-5-1'!$B:$AF,MATCH($D191,'表30-5-2-5-1'!$4:$4,0)-1,FALSE)*(1-(S191/100-M191/H191)*100),
IF(C191="E1",VLOOKUP($T191,'表30-5-2-5-2'!$B$4:$AF$104,MATCH($D191&amp;"a",'表30-5-2-5-2'!$4:$4,0)-1,FALSE)
-IF($S191-1&lt;=0,0,VLOOKUP($S191-1,'表30-5-2-5-2'!$B$4:$AF$104,MATCH($D191&amp;"a",'表30-5-2-5-2'!$4:$4,0)-1,FALSE))
-VLOOKUP($T191,'表30-5-2-5-2'!$B$4:$AF$104,MATCH($D191,'表30-5-2-5-2'!$4:$4,0)-1,FALSE)*(T191/100-N191/H191)*100
-VLOOKUP($S191,'表30-5-2-5-2'!$B$4:$AF$104,MATCH($D191,'表30-5-2-5-2'!$4:$4,0)-1,FALSE)*(1-(S191/100-M191/H191)*100),
IF(C191="E2",VLOOKUP($T191,'表30-5-2-5-2'!$B$114:$AF$214,MATCH($D191&amp;"a",'表30-5-2-5-2'!$4:$4,0)-1,FALSE)
-IF($S191-1&lt;=0,0,VLOOKUP($S191-1,'表30-5-2-5-2'!$B$114:$AF$214,MATCH($D191&amp;"a",'表30-5-2-5-2'!$4:$4,0)-1,FALSE))
-VLOOKUP($T191,'表30-5-2-5-2'!$B$114:$AF$214,MATCH($D191,'表30-5-2-5-2'!$4:$4,0)-1,FALSE)*(T191/100-N191/H191)*100
-VLOOKUP($S191,'表30-5-2-5-2'!$B$114:$AF$214,MATCH($D191,'表30-5-2-5-2'!$4:$4,0)-1,FALSE)*(1-(S191/100-M191/H191)*100),0))))</f>
        <v>0</v>
      </c>
      <c r="V191" s="2478">
        <f t="shared" si="26"/>
        <v>0</v>
      </c>
      <c r="W191" s="2478">
        <f t="shared" si="27"/>
        <v>0</v>
      </c>
      <c r="X191" s="2718">
        <f t="shared" si="29"/>
        <v>0</v>
      </c>
      <c r="Y191" s="2718">
        <f t="shared" si="30"/>
        <v>0</v>
      </c>
    </row>
    <row r="192" spans="1:25">
      <c r="A192" s="2473" t="str">
        <f t="shared" si="28"/>
        <v/>
      </c>
      <c r="B192" s="2737"/>
      <c r="C192" s="2737"/>
      <c r="D192" s="2737"/>
      <c r="E192" s="2738"/>
      <c r="F192" s="2738"/>
      <c r="G192" s="2738"/>
      <c r="H192" s="2739"/>
      <c r="I192" s="2741"/>
      <c r="J192" s="2741"/>
      <c r="K192" s="2742"/>
      <c r="L192" s="2742"/>
      <c r="M192" s="2738"/>
      <c r="N192" s="2738"/>
      <c r="O192" s="2474">
        <f t="shared" si="22"/>
        <v>0</v>
      </c>
      <c r="P192" s="2474">
        <f t="shared" si="23"/>
        <v>0</v>
      </c>
      <c r="Q192" s="2475">
        <f t="shared" si="31"/>
        <v>0</v>
      </c>
      <c r="R192" s="2475">
        <f t="shared" si="32"/>
        <v>0</v>
      </c>
      <c r="S192" s="2476">
        <f t="shared" si="24"/>
        <v>0</v>
      </c>
      <c r="T192" s="2476">
        <f t="shared" si="25"/>
        <v>0</v>
      </c>
      <c r="U192" s="2477">
        <f>IF(OR(E192="QS",B192=""),0,
IF(C192="F",VLOOKUP($T192,'表30-5-2-5-1'!$B:$AF,MATCH($D192&amp;"a",'表30-5-2-5-1'!$4:$4,0)-1,FALSE)
-IF($S192-1&lt;=0,0,VLOOKUP($S192-1,'表30-5-2-5-1'!$B:$AF,MATCH($D192&amp;"a",'表30-5-2-5-1'!$4:$4,0)-1,FALSE))
-VLOOKUP($T192,'表30-5-2-5-1'!$B:$AF,MATCH($D192,'表30-5-2-5-1'!$4:$4,0)-1,FALSE)*(T192/100-N192/H192)*100
-VLOOKUP($S192,'表30-5-2-5-1'!$B:$AF,MATCH($D192,'表30-5-2-5-1'!$4:$4,0)-1,FALSE)*(1-(S192/100-M192/H192)*100),
IF(C192="E1",VLOOKUP($T192,'表30-5-2-5-2'!$B$4:$AF$104,MATCH($D192&amp;"a",'表30-5-2-5-2'!$4:$4,0)-1,FALSE)
-IF($S192-1&lt;=0,0,VLOOKUP($S192-1,'表30-5-2-5-2'!$B$4:$AF$104,MATCH($D192&amp;"a",'表30-5-2-5-2'!$4:$4,0)-1,FALSE))
-VLOOKUP($T192,'表30-5-2-5-2'!$B$4:$AF$104,MATCH($D192,'表30-5-2-5-2'!$4:$4,0)-1,FALSE)*(T192/100-N192/H192)*100
-VLOOKUP($S192,'表30-5-2-5-2'!$B$4:$AF$104,MATCH($D192,'表30-5-2-5-2'!$4:$4,0)-1,FALSE)*(1-(S192/100-M192/H192)*100),
IF(C192="E2",VLOOKUP($T192,'表30-5-2-5-2'!$B$114:$AF$214,MATCH($D192&amp;"a",'表30-5-2-5-2'!$4:$4,0)-1,FALSE)
-IF($S192-1&lt;=0,0,VLOOKUP($S192-1,'表30-5-2-5-2'!$B$114:$AF$214,MATCH($D192&amp;"a",'表30-5-2-5-2'!$4:$4,0)-1,FALSE))
-VLOOKUP($T192,'表30-5-2-5-2'!$B$114:$AF$214,MATCH($D192,'表30-5-2-5-2'!$4:$4,0)-1,FALSE)*(T192/100-N192/H192)*100
-VLOOKUP($S192,'表30-5-2-5-2'!$B$114:$AF$214,MATCH($D192,'表30-5-2-5-2'!$4:$4,0)-1,FALSE)*(1-(S192/100-M192/H192)*100),0))))</f>
        <v>0</v>
      </c>
      <c r="V192" s="2478">
        <f t="shared" si="26"/>
        <v>0</v>
      </c>
      <c r="W192" s="2478">
        <f t="shared" si="27"/>
        <v>0</v>
      </c>
      <c r="X192" s="2718">
        <f t="shared" si="29"/>
        <v>0</v>
      </c>
      <c r="Y192" s="2718">
        <f t="shared" si="30"/>
        <v>0</v>
      </c>
    </row>
    <row r="193" spans="1:25">
      <c r="A193" s="2473" t="str">
        <f t="shared" si="28"/>
        <v/>
      </c>
      <c r="B193" s="2737"/>
      <c r="C193" s="2737"/>
      <c r="D193" s="2737"/>
      <c r="E193" s="2738"/>
      <c r="F193" s="2738"/>
      <c r="G193" s="2738"/>
      <c r="H193" s="2739"/>
      <c r="I193" s="2741"/>
      <c r="J193" s="2741"/>
      <c r="K193" s="2742"/>
      <c r="L193" s="2742"/>
      <c r="M193" s="2738"/>
      <c r="N193" s="2738"/>
      <c r="O193" s="2474">
        <f t="shared" si="22"/>
        <v>0</v>
      </c>
      <c r="P193" s="2474">
        <f t="shared" si="23"/>
        <v>0</v>
      </c>
      <c r="Q193" s="2475">
        <f t="shared" si="31"/>
        <v>0</v>
      </c>
      <c r="R193" s="2475">
        <f t="shared" si="32"/>
        <v>0</v>
      </c>
      <c r="S193" s="2476">
        <f t="shared" si="24"/>
        <v>0</v>
      </c>
      <c r="T193" s="2476">
        <f t="shared" si="25"/>
        <v>0</v>
      </c>
      <c r="U193" s="2477">
        <f>IF(OR(E193="QS",B193=""),0,
IF(C193="F",VLOOKUP($T193,'表30-5-2-5-1'!$B:$AF,MATCH($D193&amp;"a",'表30-5-2-5-1'!$4:$4,0)-1,FALSE)
-IF($S193-1&lt;=0,0,VLOOKUP($S193-1,'表30-5-2-5-1'!$B:$AF,MATCH($D193&amp;"a",'表30-5-2-5-1'!$4:$4,0)-1,FALSE))
-VLOOKUP($T193,'表30-5-2-5-1'!$B:$AF,MATCH($D193,'表30-5-2-5-1'!$4:$4,0)-1,FALSE)*(T193/100-N193/H193)*100
-VLOOKUP($S193,'表30-5-2-5-1'!$B:$AF,MATCH($D193,'表30-5-2-5-1'!$4:$4,0)-1,FALSE)*(1-(S193/100-M193/H193)*100),
IF(C193="E1",VLOOKUP($T193,'表30-5-2-5-2'!$B$4:$AF$104,MATCH($D193&amp;"a",'表30-5-2-5-2'!$4:$4,0)-1,FALSE)
-IF($S193-1&lt;=0,0,VLOOKUP($S193-1,'表30-5-2-5-2'!$B$4:$AF$104,MATCH($D193&amp;"a",'表30-5-2-5-2'!$4:$4,0)-1,FALSE))
-VLOOKUP($T193,'表30-5-2-5-2'!$B$4:$AF$104,MATCH($D193,'表30-5-2-5-2'!$4:$4,0)-1,FALSE)*(T193/100-N193/H193)*100
-VLOOKUP($S193,'表30-5-2-5-2'!$B$4:$AF$104,MATCH($D193,'表30-5-2-5-2'!$4:$4,0)-1,FALSE)*(1-(S193/100-M193/H193)*100),
IF(C193="E2",VLOOKUP($T193,'表30-5-2-5-2'!$B$114:$AF$214,MATCH($D193&amp;"a",'表30-5-2-5-2'!$4:$4,0)-1,FALSE)
-IF($S193-1&lt;=0,0,VLOOKUP($S193-1,'表30-5-2-5-2'!$B$114:$AF$214,MATCH($D193&amp;"a",'表30-5-2-5-2'!$4:$4,0)-1,FALSE))
-VLOOKUP($T193,'表30-5-2-5-2'!$B$114:$AF$214,MATCH($D193,'表30-5-2-5-2'!$4:$4,0)-1,FALSE)*(T193/100-N193/H193)*100
-VLOOKUP($S193,'表30-5-2-5-2'!$B$114:$AF$214,MATCH($D193,'表30-5-2-5-2'!$4:$4,0)-1,FALSE)*(1-(S193/100-M193/H193)*100),0))))</f>
        <v>0</v>
      </c>
      <c r="V193" s="2478">
        <f t="shared" si="26"/>
        <v>0</v>
      </c>
      <c r="W193" s="2478">
        <f t="shared" si="27"/>
        <v>0</v>
      </c>
      <c r="X193" s="2718">
        <f t="shared" si="29"/>
        <v>0</v>
      </c>
      <c r="Y193" s="2718">
        <f t="shared" si="30"/>
        <v>0</v>
      </c>
    </row>
    <row r="194" spans="1:25">
      <c r="A194" s="2473" t="str">
        <f t="shared" si="28"/>
        <v/>
      </c>
      <c r="B194" s="2737"/>
      <c r="C194" s="2737"/>
      <c r="D194" s="2737"/>
      <c r="E194" s="2738"/>
      <c r="F194" s="2738"/>
      <c r="G194" s="2738"/>
      <c r="H194" s="2739"/>
      <c r="I194" s="2741"/>
      <c r="J194" s="2741"/>
      <c r="K194" s="2742"/>
      <c r="L194" s="2742"/>
      <c r="M194" s="2738"/>
      <c r="N194" s="2738"/>
      <c r="O194" s="2474">
        <f t="shared" si="22"/>
        <v>0</v>
      </c>
      <c r="P194" s="2474">
        <f t="shared" si="23"/>
        <v>0</v>
      </c>
      <c r="Q194" s="2475">
        <f t="shared" si="31"/>
        <v>0</v>
      </c>
      <c r="R194" s="2475">
        <f t="shared" si="32"/>
        <v>0</v>
      </c>
      <c r="S194" s="2476">
        <f t="shared" si="24"/>
        <v>0</v>
      </c>
      <c r="T194" s="2476">
        <f t="shared" si="25"/>
        <v>0</v>
      </c>
      <c r="U194" s="2477">
        <f>IF(OR(E194="QS",B194=""),0,
IF(C194="F",VLOOKUP($T194,'表30-5-2-5-1'!$B:$AF,MATCH($D194&amp;"a",'表30-5-2-5-1'!$4:$4,0)-1,FALSE)
-IF($S194-1&lt;=0,0,VLOOKUP($S194-1,'表30-5-2-5-1'!$B:$AF,MATCH($D194&amp;"a",'表30-5-2-5-1'!$4:$4,0)-1,FALSE))
-VLOOKUP($T194,'表30-5-2-5-1'!$B:$AF,MATCH($D194,'表30-5-2-5-1'!$4:$4,0)-1,FALSE)*(T194/100-N194/H194)*100
-VLOOKUP($S194,'表30-5-2-5-1'!$B:$AF,MATCH($D194,'表30-5-2-5-1'!$4:$4,0)-1,FALSE)*(1-(S194/100-M194/H194)*100),
IF(C194="E1",VLOOKUP($T194,'表30-5-2-5-2'!$B$4:$AF$104,MATCH($D194&amp;"a",'表30-5-2-5-2'!$4:$4,0)-1,FALSE)
-IF($S194-1&lt;=0,0,VLOOKUP($S194-1,'表30-5-2-5-2'!$B$4:$AF$104,MATCH($D194&amp;"a",'表30-5-2-5-2'!$4:$4,0)-1,FALSE))
-VLOOKUP($T194,'表30-5-2-5-2'!$B$4:$AF$104,MATCH($D194,'表30-5-2-5-2'!$4:$4,0)-1,FALSE)*(T194/100-N194/H194)*100
-VLOOKUP($S194,'表30-5-2-5-2'!$B$4:$AF$104,MATCH($D194,'表30-5-2-5-2'!$4:$4,0)-1,FALSE)*(1-(S194/100-M194/H194)*100),
IF(C194="E2",VLOOKUP($T194,'表30-5-2-5-2'!$B$114:$AF$214,MATCH($D194&amp;"a",'表30-5-2-5-2'!$4:$4,0)-1,FALSE)
-IF($S194-1&lt;=0,0,VLOOKUP($S194-1,'表30-5-2-5-2'!$B$114:$AF$214,MATCH($D194&amp;"a",'表30-5-2-5-2'!$4:$4,0)-1,FALSE))
-VLOOKUP($T194,'表30-5-2-5-2'!$B$114:$AF$214,MATCH($D194,'表30-5-2-5-2'!$4:$4,0)-1,FALSE)*(T194/100-N194/H194)*100
-VLOOKUP($S194,'表30-5-2-5-2'!$B$114:$AF$214,MATCH($D194,'表30-5-2-5-2'!$4:$4,0)-1,FALSE)*(1-(S194/100-M194/H194)*100),0))))</f>
        <v>0</v>
      </c>
      <c r="V194" s="2478">
        <f t="shared" si="26"/>
        <v>0</v>
      </c>
      <c r="W194" s="2478">
        <f t="shared" si="27"/>
        <v>0</v>
      </c>
      <c r="X194" s="2718">
        <f t="shared" si="29"/>
        <v>0</v>
      </c>
      <c r="Y194" s="2718">
        <f t="shared" si="30"/>
        <v>0</v>
      </c>
    </row>
    <row r="195" spans="1:25">
      <c r="A195" s="2473" t="str">
        <f t="shared" si="28"/>
        <v/>
      </c>
      <c r="B195" s="2737"/>
      <c r="C195" s="2737"/>
      <c r="D195" s="2737"/>
      <c r="E195" s="2738"/>
      <c r="F195" s="2738"/>
      <c r="G195" s="2738"/>
      <c r="H195" s="2739"/>
      <c r="I195" s="2741"/>
      <c r="J195" s="2741"/>
      <c r="K195" s="2742"/>
      <c r="L195" s="2742"/>
      <c r="M195" s="2738"/>
      <c r="N195" s="2738"/>
      <c r="O195" s="2474">
        <f t="shared" si="22"/>
        <v>0</v>
      </c>
      <c r="P195" s="2474">
        <f t="shared" si="23"/>
        <v>0</v>
      </c>
      <c r="Q195" s="2475">
        <f t="shared" si="31"/>
        <v>0</v>
      </c>
      <c r="R195" s="2475">
        <f t="shared" si="32"/>
        <v>0</v>
      </c>
      <c r="S195" s="2476">
        <f t="shared" si="24"/>
        <v>0</v>
      </c>
      <c r="T195" s="2476">
        <f t="shared" si="25"/>
        <v>0</v>
      </c>
      <c r="U195" s="2477">
        <f>IF(OR(E195="QS",B195=""),0,
IF(C195="F",VLOOKUP($T195,'表30-5-2-5-1'!$B:$AF,MATCH($D195&amp;"a",'表30-5-2-5-1'!$4:$4,0)-1,FALSE)
-IF($S195-1&lt;=0,0,VLOOKUP($S195-1,'表30-5-2-5-1'!$B:$AF,MATCH($D195&amp;"a",'表30-5-2-5-1'!$4:$4,0)-1,FALSE))
-VLOOKUP($T195,'表30-5-2-5-1'!$B:$AF,MATCH($D195,'表30-5-2-5-1'!$4:$4,0)-1,FALSE)*(T195/100-N195/H195)*100
-VLOOKUP($S195,'表30-5-2-5-1'!$B:$AF,MATCH($D195,'表30-5-2-5-1'!$4:$4,0)-1,FALSE)*(1-(S195/100-M195/H195)*100),
IF(C195="E1",VLOOKUP($T195,'表30-5-2-5-2'!$B$4:$AF$104,MATCH($D195&amp;"a",'表30-5-2-5-2'!$4:$4,0)-1,FALSE)
-IF($S195-1&lt;=0,0,VLOOKUP($S195-1,'表30-5-2-5-2'!$B$4:$AF$104,MATCH($D195&amp;"a",'表30-5-2-5-2'!$4:$4,0)-1,FALSE))
-VLOOKUP($T195,'表30-5-2-5-2'!$B$4:$AF$104,MATCH($D195,'表30-5-2-5-2'!$4:$4,0)-1,FALSE)*(T195/100-N195/H195)*100
-VLOOKUP($S195,'表30-5-2-5-2'!$B$4:$AF$104,MATCH($D195,'表30-5-2-5-2'!$4:$4,0)-1,FALSE)*(1-(S195/100-M195/H195)*100),
IF(C195="E2",VLOOKUP($T195,'表30-5-2-5-2'!$B$114:$AF$214,MATCH($D195&amp;"a",'表30-5-2-5-2'!$4:$4,0)-1,FALSE)
-IF($S195-1&lt;=0,0,VLOOKUP($S195-1,'表30-5-2-5-2'!$B$114:$AF$214,MATCH($D195&amp;"a",'表30-5-2-5-2'!$4:$4,0)-1,FALSE))
-VLOOKUP($T195,'表30-5-2-5-2'!$B$114:$AF$214,MATCH($D195,'表30-5-2-5-2'!$4:$4,0)-1,FALSE)*(T195/100-N195/H195)*100
-VLOOKUP($S195,'表30-5-2-5-2'!$B$114:$AF$214,MATCH($D195,'表30-5-2-5-2'!$4:$4,0)-1,FALSE)*(1-(S195/100-M195/H195)*100),0))))</f>
        <v>0</v>
      </c>
      <c r="V195" s="2478">
        <f t="shared" si="26"/>
        <v>0</v>
      </c>
      <c r="W195" s="2478">
        <f t="shared" si="27"/>
        <v>0</v>
      </c>
      <c r="X195" s="2718">
        <f t="shared" si="29"/>
        <v>0</v>
      </c>
      <c r="Y195" s="2718">
        <f t="shared" si="30"/>
        <v>0</v>
      </c>
    </row>
    <row r="196" spans="1:25">
      <c r="A196" s="2473" t="str">
        <f t="shared" si="28"/>
        <v/>
      </c>
      <c r="B196" s="2737"/>
      <c r="C196" s="2737"/>
      <c r="D196" s="2737"/>
      <c r="E196" s="2738"/>
      <c r="F196" s="2738"/>
      <c r="G196" s="2738"/>
      <c r="H196" s="2739"/>
      <c r="I196" s="2741"/>
      <c r="J196" s="2741"/>
      <c r="K196" s="2742"/>
      <c r="L196" s="2742"/>
      <c r="M196" s="2738"/>
      <c r="N196" s="2738"/>
      <c r="O196" s="2474">
        <f t="shared" si="22"/>
        <v>0</v>
      </c>
      <c r="P196" s="2474">
        <f t="shared" si="23"/>
        <v>0</v>
      </c>
      <c r="Q196" s="2475">
        <f t="shared" si="31"/>
        <v>0</v>
      </c>
      <c r="R196" s="2475">
        <f t="shared" si="32"/>
        <v>0</v>
      </c>
      <c r="S196" s="2476">
        <f t="shared" si="24"/>
        <v>0</v>
      </c>
      <c r="T196" s="2476">
        <f t="shared" si="25"/>
        <v>0</v>
      </c>
      <c r="U196" s="2477">
        <f>IF(OR(E196="QS",B196=""),0,
IF(C196="F",VLOOKUP($T196,'表30-5-2-5-1'!$B:$AF,MATCH($D196&amp;"a",'表30-5-2-5-1'!$4:$4,0)-1,FALSE)
-IF($S196-1&lt;=0,0,VLOOKUP($S196-1,'表30-5-2-5-1'!$B:$AF,MATCH($D196&amp;"a",'表30-5-2-5-1'!$4:$4,0)-1,FALSE))
-VLOOKUP($T196,'表30-5-2-5-1'!$B:$AF,MATCH($D196,'表30-5-2-5-1'!$4:$4,0)-1,FALSE)*(T196/100-N196/H196)*100
-VLOOKUP($S196,'表30-5-2-5-1'!$B:$AF,MATCH($D196,'表30-5-2-5-1'!$4:$4,0)-1,FALSE)*(1-(S196/100-M196/H196)*100),
IF(C196="E1",VLOOKUP($T196,'表30-5-2-5-2'!$B$4:$AF$104,MATCH($D196&amp;"a",'表30-5-2-5-2'!$4:$4,0)-1,FALSE)
-IF($S196-1&lt;=0,0,VLOOKUP($S196-1,'表30-5-2-5-2'!$B$4:$AF$104,MATCH($D196&amp;"a",'表30-5-2-5-2'!$4:$4,0)-1,FALSE))
-VLOOKUP($T196,'表30-5-2-5-2'!$B$4:$AF$104,MATCH($D196,'表30-5-2-5-2'!$4:$4,0)-1,FALSE)*(T196/100-N196/H196)*100
-VLOOKUP($S196,'表30-5-2-5-2'!$B$4:$AF$104,MATCH($D196,'表30-5-2-5-2'!$4:$4,0)-1,FALSE)*(1-(S196/100-M196/H196)*100),
IF(C196="E2",VLOOKUP($T196,'表30-5-2-5-2'!$B$114:$AF$214,MATCH($D196&amp;"a",'表30-5-2-5-2'!$4:$4,0)-1,FALSE)
-IF($S196-1&lt;=0,0,VLOOKUP($S196-1,'表30-5-2-5-2'!$B$114:$AF$214,MATCH($D196&amp;"a",'表30-5-2-5-2'!$4:$4,0)-1,FALSE))
-VLOOKUP($T196,'表30-5-2-5-2'!$B$114:$AF$214,MATCH($D196,'表30-5-2-5-2'!$4:$4,0)-1,FALSE)*(T196/100-N196/H196)*100
-VLOOKUP($S196,'表30-5-2-5-2'!$B$114:$AF$214,MATCH($D196,'表30-5-2-5-2'!$4:$4,0)-1,FALSE)*(1-(S196/100-M196/H196)*100),0))))</f>
        <v>0</v>
      </c>
      <c r="V196" s="2478">
        <f t="shared" si="26"/>
        <v>0</v>
      </c>
      <c r="W196" s="2478">
        <f t="shared" si="27"/>
        <v>0</v>
      </c>
      <c r="X196" s="2718">
        <f t="shared" si="29"/>
        <v>0</v>
      </c>
      <c r="Y196" s="2718">
        <f t="shared" si="30"/>
        <v>0</v>
      </c>
    </row>
    <row r="197" spans="1:25">
      <c r="A197" s="2473" t="str">
        <f t="shared" si="28"/>
        <v/>
      </c>
      <c r="B197" s="2737"/>
      <c r="C197" s="2737"/>
      <c r="D197" s="2737"/>
      <c r="E197" s="2738"/>
      <c r="F197" s="2738"/>
      <c r="G197" s="2738"/>
      <c r="H197" s="2739"/>
      <c r="I197" s="2741"/>
      <c r="J197" s="2741"/>
      <c r="K197" s="2742"/>
      <c r="L197" s="2742"/>
      <c r="M197" s="2738"/>
      <c r="N197" s="2738"/>
      <c r="O197" s="2474">
        <f t="shared" si="22"/>
        <v>0</v>
      </c>
      <c r="P197" s="2474">
        <f t="shared" si="23"/>
        <v>0</v>
      </c>
      <c r="Q197" s="2475">
        <f t="shared" si="31"/>
        <v>0</v>
      </c>
      <c r="R197" s="2475">
        <f t="shared" si="32"/>
        <v>0</v>
      </c>
      <c r="S197" s="2476">
        <f t="shared" si="24"/>
        <v>0</v>
      </c>
      <c r="T197" s="2476">
        <f t="shared" si="25"/>
        <v>0</v>
      </c>
      <c r="U197" s="2477">
        <f>IF(OR(E197="QS",B197=""),0,
IF(C197="F",VLOOKUP($T197,'表30-5-2-5-1'!$B:$AF,MATCH($D197&amp;"a",'表30-5-2-5-1'!$4:$4,0)-1,FALSE)
-IF($S197-1&lt;=0,0,VLOOKUP($S197-1,'表30-5-2-5-1'!$B:$AF,MATCH($D197&amp;"a",'表30-5-2-5-1'!$4:$4,0)-1,FALSE))
-VLOOKUP($T197,'表30-5-2-5-1'!$B:$AF,MATCH($D197,'表30-5-2-5-1'!$4:$4,0)-1,FALSE)*(T197/100-N197/H197)*100
-VLOOKUP($S197,'表30-5-2-5-1'!$B:$AF,MATCH($D197,'表30-5-2-5-1'!$4:$4,0)-1,FALSE)*(1-(S197/100-M197/H197)*100),
IF(C197="E1",VLOOKUP($T197,'表30-5-2-5-2'!$B$4:$AF$104,MATCH($D197&amp;"a",'表30-5-2-5-2'!$4:$4,0)-1,FALSE)
-IF($S197-1&lt;=0,0,VLOOKUP($S197-1,'表30-5-2-5-2'!$B$4:$AF$104,MATCH($D197&amp;"a",'表30-5-2-5-2'!$4:$4,0)-1,FALSE))
-VLOOKUP($T197,'表30-5-2-5-2'!$B$4:$AF$104,MATCH($D197,'表30-5-2-5-2'!$4:$4,0)-1,FALSE)*(T197/100-N197/H197)*100
-VLOOKUP($S197,'表30-5-2-5-2'!$B$4:$AF$104,MATCH($D197,'表30-5-2-5-2'!$4:$4,0)-1,FALSE)*(1-(S197/100-M197/H197)*100),
IF(C197="E2",VLOOKUP($T197,'表30-5-2-5-2'!$B$114:$AF$214,MATCH($D197&amp;"a",'表30-5-2-5-2'!$4:$4,0)-1,FALSE)
-IF($S197-1&lt;=0,0,VLOOKUP($S197-1,'表30-5-2-5-2'!$B$114:$AF$214,MATCH($D197&amp;"a",'表30-5-2-5-2'!$4:$4,0)-1,FALSE))
-VLOOKUP($T197,'表30-5-2-5-2'!$B$114:$AF$214,MATCH($D197,'表30-5-2-5-2'!$4:$4,0)-1,FALSE)*(T197/100-N197/H197)*100
-VLOOKUP($S197,'表30-5-2-5-2'!$B$114:$AF$214,MATCH($D197,'表30-5-2-5-2'!$4:$4,0)-1,FALSE)*(1-(S197/100-M197/H197)*100),0))))</f>
        <v>0</v>
      </c>
      <c r="V197" s="2478">
        <f t="shared" si="26"/>
        <v>0</v>
      </c>
      <c r="W197" s="2478">
        <f t="shared" si="27"/>
        <v>0</v>
      </c>
      <c r="X197" s="2718">
        <f t="shared" si="29"/>
        <v>0</v>
      </c>
      <c r="Y197" s="2718">
        <f t="shared" si="30"/>
        <v>0</v>
      </c>
    </row>
    <row r="198" spans="1:25">
      <c r="A198" s="2473" t="str">
        <f t="shared" si="28"/>
        <v/>
      </c>
      <c r="B198" s="2737"/>
      <c r="C198" s="2737"/>
      <c r="D198" s="2737"/>
      <c r="E198" s="2738"/>
      <c r="F198" s="2738"/>
      <c r="G198" s="2738"/>
      <c r="H198" s="2739"/>
      <c r="I198" s="2741"/>
      <c r="J198" s="2741"/>
      <c r="K198" s="2742"/>
      <c r="L198" s="2742"/>
      <c r="M198" s="2738"/>
      <c r="N198" s="2738"/>
      <c r="O198" s="2474">
        <f t="shared" ref="O198:O203" si="33">IF(E198="QS",G198*I198,0)</f>
        <v>0</v>
      </c>
      <c r="P198" s="2474">
        <f t="shared" ref="P198:P203" si="34">IF(E198="QS",G198*J198,0)</f>
        <v>0</v>
      </c>
      <c r="Q198" s="2475">
        <f t="shared" si="31"/>
        <v>0</v>
      </c>
      <c r="R198" s="2475">
        <f t="shared" si="32"/>
        <v>0</v>
      </c>
      <c r="S198" s="2476">
        <f t="shared" ref="S198:S203" si="35">IF(OR(E198="QS",B198=""),0,CEILING((M198+1)/H198*100,1))</f>
        <v>0</v>
      </c>
      <c r="T198" s="2476">
        <f t="shared" ref="T198:T203" si="36">IF(OR(E198="QS",B198=""),0,CEILING(N198/H198*100,1))</f>
        <v>0</v>
      </c>
      <c r="U198" s="2477">
        <f>IF(OR(E198="QS",B198=""),0,
IF(C198="F",VLOOKUP($T198,'表30-5-2-5-1'!$B:$AF,MATCH($D198&amp;"a",'表30-5-2-5-1'!$4:$4,0)-1,FALSE)
-IF($S198-1&lt;=0,0,VLOOKUP($S198-1,'表30-5-2-5-1'!$B:$AF,MATCH($D198&amp;"a",'表30-5-2-5-1'!$4:$4,0)-1,FALSE))
-VLOOKUP($T198,'表30-5-2-5-1'!$B:$AF,MATCH($D198,'表30-5-2-5-1'!$4:$4,0)-1,FALSE)*(T198/100-N198/H198)*100
-VLOOKUP($S198,'表30-5-2-5-1'!$B:$AF,MATCH($D198,'表30-5-2-5-1'!$4:$4,0)-1,FALSE)*(1-(S198/100-M198/H198)*100),
IF(C198="E1",VLOOKUP($T198,'表30-5-2-5-2'!$B$4:$AF$104,MATCH($D198&amp;"a",'表30-5-2-5-2'!$4:$4,0)-1,FALSE)
-IF($S198-1&lt;=0,0,VLOOKUP($S198-1,'表30-5-2-5-2'!$B$4:$AF$104,MATCH($D198&amp;"a",'表30-5-2-5-2'!$4:$4,0)-1,FALSE))
-VLOOKUP($T198,'表30-5-2-5-2'!$B$4:$AF$104,MATCH($D198,'表30-5-2-5-2'!$4:$4,0)-1,FALSE)*(T198/100-N198/H198)*100
-VLOOKUP($S198,'表30-5-2-5-2'!$B$4:$AF$104,MATCH($D198,'表30-5-2-5-2'!$4:$4,0)-1,FALSE)*(1-(S198/100-M198/H198)*100),
IF(C198="E2",VLOOKUP($T198,'表30-5-2-5-2'!$B$114:$AF$214,MATCH($D198&amp;"a",'表30-5-2-5-2'!$4:$4,0)-1,FALSE)
-IF($S198-1&lt;=0,0,VLOOKUP($S198-1,'表30-5-2-5-2'!$B$114:$AF$214,MATCH($D198&amp;"a",'表30-5-2-5-2'!$4:$4,0)-1,FALSE))
-VLOOKUP($T198,'表30-5-2-5-2'!$B$114:$AF$214,MATCH($D198,'表30-5-2-5-2'!$4:$4,0)-1,FALSE)*(T198/100-N198/H198)*100
-VLOOKUP($S198,'表30-5-2-5-2'!$B$114:$AF$214,MATCH($D198,'表30-5-2-5-2'!$4:$4,0)-1,FALSE)*(1-(S198/100-M198/H198)*100),0))))</f>
        <v>0</v>
      </c>
      <c r="V198" s="2478">
        <f t="shared" ref="V198:V203" si="37">H198*U198*Q198</f>
        <v>0</v>
      </c>
      <c r="W198" s="2478">
        <f t="shared" ref="W198:W203" si="38">H198*U198*R198</f>
        <v>0</v>
      </c>
      <c r="X198" s="2718">
        <f t="shared" si="29"/>
        <v>0</v>
      </c>
      <c r="Y198" s="2718">
        <f t="shared" si="30"/>
        <v>0</v>
      </c>
    </row>
    <row r="199" spans="1:25">
      <c r="A199" s="2473" t="str">
        <f>C199&amp;D199&amp;LEFT(E199,1)</f>
        <v/>
      </c>
      <c r="B199" s="2737"/>
      <c r="C199" s="2737"/>
      <c r="D199" s="2737"/>
      <c r="E199" s="2738"/>
      <c r="F199" s="2738"/>
      <c r="G199" s="2738"/>
      <c r="H199" s="2739"/>
      <c r="I199" s="2741"/>
      <c r="J199" s="2741"/>
      <c r="K199" s="2742"/>
      <c r="L199" s="2742"/>
      <c r="M199" s="2738"/>
      <c r="N199" s="2738"/>
      <c r="O199" s="2474">
        <f t="shared" si="33"/>
        <v>0</v>
      </c>
      <c r="P199" s="2474">
        <f t="shared" si="34"/>
        <v>0</v>
      </c>
      <c r="Q199" s="2475">
        <f t="shared" si="31"/>
        <v>0</v>
      </c>
      <c r="R199" s="2475">
        <f t="shared" si="32"/>
        <v>0</v>
      </c>
      <c r="S199" s="2476">
        <f t="shared" si="35"/>
        <v>0</v>
      </c>
      <c r="T199" s="2476">
        <f t="shared" si="36"/>
        <v>0</v>
      </c>
      <c r="U199" s="2477">
        <f>IF(OR(E199="QS",B199=""),0,
IF(C199="F",VLOOKUP($T199,'表30-5-2-5-1'!$B:$AF,MATCH($D199&amp;"a",'表30-5-2-5-1'!$4:$4,0)-1,FALSE)
-IF($S199-1&lt;=0,0,VLOOKUP($S199-1,'表30-5-2-5-1'!$B:$AF,MATCH($D199&amp;"a",'表30-5-2-5-1'!$4:$4,0)-1,FALSE))
-VLOOKUP($T199,'表30-5-2-5-1'!$B:$AF,MATCH($D199,'表30-5-2-5-1'!$4:$4,0)-1,FALSE)*(T199/100-N199/H199)*100
-VLOOKUP($S199,'表30-5-2-5-1'!$B:$AF,MATCH($D199,'表30-5-2-5-1'!$4:$4,0)-1,FALSE)*(1-(S199/100-M199/H199)*100),
IF(C199="E1",VLOOKUP($T199,'表30-5-2-5-2'!$B$4:$AF$104,MATCH($D199&amp;"a",'表30-5-2-5-2'!$4:$4,0)-1,FALSE)
-IF($S199-1&lt;=0,0,VLOOKUP($S199-1,'表30-5-2-5-2'!$B$4:$AF$104,MATCH($D199&amp;"a",'表30-5-2-5-2'!$4:$4,0)-1,FALSE))
-VLOOKUP($T199,'表30-5-2-5-2'!$B$4:$AF$104,MATCH($D199,'表30-5-2-5-2'!$4:$4,0)-1,FALSE)*(T199/100-N199/H199)*100
-VLOOKUP($S199,'表30-5-2-5-2'!$B$4:$AF$104,MATCH($D199,'表30-5-2-5-2'!$4:$4,0)-1,FALSE)*(1-(S199/100-M199/H199)*100),
IF(C199="E2",VLOOKUP($T199,'表30-5-2-5-2'!$B$114:$AF$214,MATCH($D199&amp;"a",'表30-5-2-5-2'!$4:$4,0)-1,FALSE)
-IF($S199-1&lt;=0,0,VLOOKUP($S199-1,'表30-5-2-5-2'!$B$114:$AF$214,MATCH($D199&amp;"a",'表30-5-2-5-2'!$4:$4,0)-1,FALSE))
-VLOOKUP($T199,'表30-5-2-5-2'!$B$114:$AF$214,MATCH($D199,'表30-5-2-5-2'!$4:$4,0)-1,FALSE)*(T199/100-N199/H199)*100
-VLOOKUP($S199,'表30-5-2-5-2'!$B$114:$AF$214,MATCH($D199,'表30-5-2-5-2'!$4:$4,0)-1,FALSE)*(1-(S199/100-M199/H199)*100),0))))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7"/>
      <c r="C200" s="2737"/>
      <c r="D200" s="2737"/>
      <c r="E200" s="2738"/>
      <c r="F200" s="2738"/>
      <c r="G200" s="2738"/>
      <c r="H200" s="2739"/>
      <c r="I200" s="2741"/>
      <c r="J200" s="2741"/>
      <c r="K200" s="2742"/>
      <c r="L200" s="2742"/>
      <c r="M200" s="2738"/>
      <c r="N200" s="2738"/>
      <c r="O200" s="2474">
        <f t="shared" si="33"/>
        <v>0</v>
      </c>
      <c r="P200" s="2474">
        <f t="shared" si="34"/>
        <v>0</v>
      </c>
      <c r="Q200" s="2475">
        <f t="shared" si="31"/>
        <v>0</v>
      </c>
      <c r="R200" s="2475">
        <f t="shared" si="32"/>
        <v>0</v>
      </c>
      <c r="S200" s="2476">
        <f t="shared" si="35"/>
        <v>0</v>
      </c>
      <c r="T200" s="2476">
        <f t="shared" si="36"/>
        <v>0</v>
      </c>
      <c r="U200" s="2477">
        <f>IF(OR(E200="QS",B200=""),0,
IF(C200="F",VLOOKUP($T200,'表30-5-2-5-1'!$B:$AF,MATCH($D200&amp;"a",'表30-5-2-5-1'!$4:$4,0)-1,FALSE)
-IF($S200-1&lt;=0,0,VLOOKUP($S200-1,'表30-5-2-5-1'!$B:$AF,MATCH($D200&amp;"a",'表30-5-2-5-1'!$4:$4,0)-1,FALSE))
-VLOOKUP($T200,'表30-5-2-5-1'!$B:$AF,MATCH($D200,'表30-5-2-5-1'!$4:$4,0)-1,FALSE)*(T200/100-N200/H200)*100
-VLOOKUP($S200,'表30-5-2-5-1'!$B:$AF,MATCH($D200,'表30-5-2-5-1'!$4:$4,0)-1,FALSE)*(1-(S200/100-M200/H200)*100),
IF(C200="E1",VLOOKUP($T200,'表30-5-2-5-2'!$B$4:$AF$104,MATCH($D200&amp;"a",'表30-5-2-5-2'!$4:$4,0)-1,FALSE)
-IF($S200-1&lt;=0,0,VLOOKUP($S200-1,'表30-5-2-5-2'!$B$4:$AF$104,MATCH($D200&amp;"a",'表30-5-2-5-2'!$4:$4,0)-1,FALSE))
-VLOOKUP($T200,'表30-5-2-5-2'!$B$4:$AF$104,MATCH($D200,'表30-5-2-5-2'!$4:$4,0)-1,FALSE)*(T200/100-N200/H200)*100
-VLOOKUP($S200,'表30-5-2-5-2'!$B$4:$AF$104,MATCH($D200,'表30-5-2-5-2'!$4:$4,0)-1,FALSE)*(1-(S200/100-M200/H200)*100),
IF(C200="E2",VLOOKUP($T200,'表30-5-2-5-2'!$B$114:$AF$214,MATCH($D200&amp;"a",'表30-5-2-5-2'!$4:$4,0)-1,FALSE)
-IF($S200-1&lt;=0,0,VLOOKUP($S200-1,'表30-5-2-5-2'!$B$114:$AF$214,MATCH($D200&amp;"a",'表30-5-2-5-2'!$4:$4,0)-1,FALSE))
-VLOOKUP($T200,'表30-5-2-5-2'!$B$114:$AF$214,MATCH($D200,'表30-5-2-5-2'!$4:$4,0)-1,FALSE)*(T200/100-N200/H200)*100
-VLOOKUP($S200,'表30-5-2-5-2'!$B$114:$AF$214,MATCH($D200,'表30-5-2-5-2'!$4:$4,0)-1,FALSE)*(1-(S200/100-M200/H200)*100),0))))</f>
        <v>0</v>
      </c>
      <c r="V200" s="2478">
        <f t="shared" si="37"/>
        <v>0</v>
      </c>
      <c r="W200" s="2478">
        <f t="shared" si="38"/>
        <v>0</v>
      </c>
      <c r="X200" s="2718">
        <f t="shared" si="39"/>
        <v>0</v>
      </c>
      <c r="Y200" s="2718">
        <f t="shared" si="40"/>
        <v>0</v>
      </c>
    </row>
    <row r="201" spans="1:25">
      <c r="A201" s="2473" t="str">
        <f>C201&amp;D201&amp;LEFT(E201,1)</f>
        <v/>
      </c>
      <c r="B201" s="2737"/>
      <c r="C201" s="2737"/>
      <c r="D201" s="2737"/>
      <c r="E201" s="2738"/>
      <c r="F201" s="2738"/>
      <c r="G201" s="2738"/>
      <c r="H201" s="2739"/>
      <c r="I201" s="2741"/>
      <c r="J201" s="2741"/>
      <c r="K201" s="2742"/>
      <c r="L201" s="2742"/>
      <c r="M201" s="2738"/>
      <c r="N201" s="2738"/>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IF(C201="F",VLOOKUP($T201,'表30-5-2-5-1'!$B:$AF,MATCH($D201&amp;"a",'表30-5-2-5-1'!$4:$4,0)-1,FALSE)
-IF($S201-1&lt;=0,0,VLOOKUP($S201-1,'表30-5-2-5-1'!$B:$AF,MATCH($D201&amp;"a",'表30-5-2-5-1'!$4:$4,0)-1,FALSE))
-VLOOKUP($T201,'表30-5-2-5-1'!$B:$AF,MATCH($D201,'表30-5-2-5-1'!$4:$4,0)-1,FALSE)*(T201/100-N201/H201)*100
-VLOOKUP($S201,'表30-5-2-5-1'!$B:$AF,MATCH($D201,'表30-5-2-5-1'!$4:$4,0)-1,FALSE)*(1-(S201/100-M201/H201)*100),
IF(C201="E1",VLOOKUP($T201,'表30-5-2-5-2'!$B$4:$AF$104,MATCH($D201&amp;"a",'表30-5-2-5-2'!$4:$4,0)-1,FALSE)
-IF($S201-1&lt;=0,0,VLOOKUP($S201-1,'表30-5-2-5-2'!$B$4:$AF$104,MATCH($D201&amp;"a",'表30-5-2-5-2'!$4:$4,0)-1,FALSE))
-VLOOKUP($T201,'表30-5-2-5-2'!$B$4:$AF$104,MATCH($D201,'表30-5-2-5-2'!$4:$4,0)-1,FALSE)*(T201/100-N201/H201)*100
-VLOOKUP($S201,'表30-5-2-5-2'!$B$4:$AF$104,MATCH($D201,'表30-5-2-5-2'!$4:$4,0)-1,FALSE)*(1-(S201/100-M201/H201)*100),
IF(C201="E2",VLOOKUP($T201,'表30-5-2-5-2'!$B$114:$AF$214,MATCH($D201&amp;"a",'表30-5-2-5-2'!$4:$4,0)-1,FALSE)
-IF($S201-1&lt;=0,0,VLOOKUP($S201-1,'表30-5-2-5-2'!$B$114:$AF$214,MATCH($D201&amp;"a",'表30-5-2-5-2'!$4:$4,0)-1,FALSE))
-VLOOKUP($T201,'表30-5-2-5-2'!$B$114:$AF$214,MATCH($D201,'表30-5-2-5-2'!$4:$4,0)-1,FALSE)*(T201/100-N201/H201)*100
-VLOOKUP($S201,'表30-5-2-5-2'!$B$114:$AF$214,MATCH($D201,'表30-5-2-5-2'!$4:$4,0)-1,FALSE)*(1-(S201/100-M201/H201)*100),0))))</f>
        <v>0</v>
      </c>
      <c r="V201" s="2478">
        <f t="shared" si="37"/>
        <v>0</v>
      </c>
      <c r="W201" s="2478">
        <f t="shared" si="38"/>
        <v>0</v>
      </c>
      <c r="X201" s="2718">
        <f t="shared" si="39"/>
        <v>0</v>
      </c>
      <c r="Y201" s="2718">
        <f t="shared" si="40"/>
        <v>0</v>
      </c>
    </row>
    <row r="202" spans="1:25">
      <c r="A202" s="2473" t="str">
        <f>C202&amp;D202&amp;LEFT(E202,1)</f>
        <v/>
      </c>
      <c r="B202" s="2737"/>
      <c r="C202" s="2737"/>
      <c r="D202" s="2737"/>
      <c r="E202" s="2738"/>
      <c r="F202" s="2738"/>
      <c r="G202" s="2738"/>
      <c r="H202" s="2739"/>
      <c r="I202" s="2741"/>
      <c r="J202" s="2741"/>
      <c r="K202" s="2742"/>
      <c r="L202" s="2742"/>
      <c r="M202" s="2738"/>
      <c r="N202" s="2738"/>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IF(C202="F",VLOOKUP($T202,'表30-5-2-5-1'!$B:$AF,MATCH($D202&amp;"a",'表30-5-2-5-1'!$4:$4,0)-1,FALSE)
-IF($S202-1&lt;=0,0,VLOOKUP($S202-1,'表30-5-2-5-1'!$B:$AF,MATCH($D202&amp;"a",'表30-5-2-5-1'!$4:$4,0)-1,FALSE))
-VLOOKUP($T202,'表30-5-2-5-1'!$B:$AF,MATCH($D202,'表30-5-2-5-1'!$4:$4,0)-1,FALSE)*(T202/100-N202/H202)*100
-VLOOKUP($S202,'表30-5-2-5-1'!$B:$AF,MATCH($D202,'表30-5-2-5-1'!$4:$4,0)-1,FALSE)*(1-(S202/100-M202/H202)*100),
IF(C202="E1",VLOOKUP($T202,'表30-5-2-5-2'!$B$4:$AF$104,MATCH($D202&amp;"a",'表30-5-2-5-2'!$4:$4,0)-1,FALSE)
-IF($S202-1&lt;=0,0,VLOOKUP($S202-1,'表30-5-2-5-2'!$B$4:$AF$104,MATCH($D202&amp;"a",'表30-5-2-5-2'!$4:$4,0)-1,FALSE))
-VLOOKUP($T202,'表30-5-2-5-2'!$B$4:$AF$104,MATCH($D202,'表30-5-2-5-2'!$4:$4,0)-1,FALSE)*(T202/100-N202/H202)*100
-VLOOKUP($S202,'表30-5-2-5-2'!$B$4:$AF$104,MATCH($D202,'表30-5-2-5-2'!$4:$4,0)-1,FALSE)*(1-(S202/100-M202/H202)*100),
IF(C202="E2",VLOOKUP($T202,'表30-5-2-5-2'!$B$114:$AF$214,MATCH($D202&amp;"a",'表30-5-2-5-2'!$4:$4,0)-1,FALSE)
-IF($S202-1&lt;=0,0,VLOOKUP($S202-1,'表30-5-2-5-2'!$B$114:$AF$214,MATCH($D202&amp;"a",'表30-5-2-5-2'!$4:$4,0)-1,FALSE))
-VLOOKUP($T202,'表30-5-2-5-2'!$B$114:$AF$214,MATCH($D202,'表30-5-2-5-2'!$4:$4,0)-1,FALSE)*(T202/100-N202/H202)*100
-VLOOKUP($S202,'表30-5-2-5-2'!$B$114:$AF$214,MATCH($D202,'表30-5-2-5-2'!$4:$4,0)-1,FALSE)*(1-(S202/100-M202/H202)*100),0))))</f>
        <v>0</v>
      </c>
      <c r="V202" s="2478">
        <f t="shared" si="37"/>
        <v>0</v>
      </c>
      <c r="W202" s="2478">
        <f t="shared" si="38"/>
        <v>0</v>
      </c>
      <c r="X202" s="2718">
        <f t="shared" si="39"/>
        <v>0</v>
      </c>
      <c r="Y202" s="2718">
        <f t="shared" si="40"/>
        <v>0</v>
      </c>
    </row>
    <row r="203" spans="1:25">
      <c r="A203" s="2473" t="str">
        <f>C203&amp;D203&amp;LEFT(E203,1)</f>
        <v/>
      </c>
      <c r="B203" s="2737"/>
      <c r="C203" s="2737"/>
      <c r="D203" s="2737"/>
      <c r="E203" s="2738"/>
      <c r="F203" s="2738"/>
      <c r="G203" s="2738"/>
      <c r="H203" s="2739"/>
      <c r="I203" s="2741"/>
      <c r="J203" s="2741"/>
      <c r="K203" s="2742"/>
      <c r="L203" s="2742"/>
      <c r="M203" s="2738"/>
      <c r="N203" s="2738"/>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IF(C203="F",VLOOKUP($T203,'表30-5-2-5-1'!$B:$AF,MATCH($D203&amp;"a",'表30-5-2-5-1'!$4:$4,0)-1,FALSE)
-IF($S203-1&lt;=0,0,VLOOKUP($S203-1,'表30-5-2-5-1'!$B:$AF,MATCH($D203&amp;"a",'表30-5-2-5-1'!$4:$4,0)-1,FALSE))
-VLOOKUP($T203,'表30-5-2-5-1'!$B:$AF,MATCH($D203,'表30-5-2-5-1'!$4:$4,0)-1,FALSE)*(T203/100-N203/H203)*100
-VLOOKUP($S203,'表30-5-2-5-1'!$B:$AF,MATCH($D203,'表30-5-2-5-1'!$4:$4,0)-1,FALSE)*(1-(S203/100-M203/H203)*100),
IF(C203="E1",VLOOKUP($T203,'表30-5-2-5-2'!$B$4:$AF$104,MATCH($D203&amp;"a",'表30-5-2-5-2'!$4:$4,0)-1,FALSE)
-IF($S203-1&lt;=0,0,VLOOKUP($S203-1,'表30-5-2-5-2'!$B$4:$AF$104,MATCH($D203&amp;"a",'表30-5-2-5-2'!$4:$4,0)-1,FALSE))
-VLOOKUP($T203,'表30-5-2-5-2'!$B$4:$AF$104,MATCH($D203,'表30-5-2-5-2'!$4:$4,0)-1,FALSE)*(T203/100-N203/H203)*100
-VLOOKUP($S203,'表30-5-2-5-2'!$B$4:$AF$104,MATCH($D203,'表30-5-2-5-2'!$4:$4,0)-1,FALSE)*(1-(S203/100-M203/H203)*100),
IF(C203="E2",VLOOKUP($T203,'表30-5-2-5-2'!$B$114:$AF$214,MATCH($D203&amp;"a",'表30-5-2-5-2'!$4:$4,0)-1,FALSE)
-IF($S203-1&lt;=0,0,VLOOKUP($S203-1,'表30-5-2-5-2'!$B$114:$AF$214,MATCH($D203&amp;"a",'表30-5-2-5-2'!$4:$4,0)-1,FALSE))
-VLOOKUP($T203,'表30-5-2-5-2'!$B$114:$AF$214,MATCH($D203,'表30-5-2-5-2'!$4:$4,0)-1,FALSE)*(T203/100-N203/H203)*100
-VLOOKUP($S203,'表30-5-2-5-2'!$B$114:$AF$214,MATCH($D203,'表30-5-2-5-2'!$4:$4,0)-1,FALSE)*(1-(S203/100-M203/H203)*100),0))))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7" fitToHeight="0" orientation="landscape" r:id="rId1"/>
  <colBreaks count="1" manualBreakCount="1">
    <brk id="1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33">
    <tabColor rgb="FFFF0000"/>
    <pageSetUpPr fitToPage="1"/>
  </sheetPr>
  <dimension ref="A1:Y203"/>
  <sheetViews>
    <sheetView view="pageBreakPreview" zoomScale="80" zoomScaleNormal="7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8" width="20.625" style="2471"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16384" width="9" style="2471"/>
  </cols>
  <sheetData>
    <row r="1" spans="1:25" ht="21">
      <c r="A1" s="2747" t="str">
        <f>+封面!A3&amp;" "&amp;封面!A2</f>
        <v xml:space="preserve">        保險股份有限公司(○○分公司) 年度(月、季、半年)報表</v>
      </c>
    </row>
    <row r="2" spans="1:25" ht="21">
      <c r="A2" s="1198" t="s">
        <v>6048</v>
      </c>
    </row>
    <row r="4" spans="1:25" ht="60" customHeight="1">
      <c r="A4" s="2467" t="s">
        <v>3615</v>
      </c>
      <c r="B4" s="2467" t="s">
        <v>3652</v>
      </c>
      <c r="C4" s="2467" t="s">
        <v>3653</v>
      </c>
      <c r="D4" s="2467" t="s">
        <v>3654</v>
      </c>
      <c r="E4" s="2467" t="s">
        <v>3655</v>
      </c>
      <c r="F4" s="2920" t="s">
        <v>6309</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6020</v>
      </c>
      <c r="Y4" s="2630" t="s">
        <v>6021</v>
      </c>
    </row>
    <row r="5" spans="1:25" ht="17.25" thickBot="1">
      <c r="A5" s="2472" t="s">
        <v>28</v>
      </c>
      <c r="B5" s="2472" t="s">
        <v>208</v>
      </c>
      <c r="C5" s="2472" t="s">
        <v>171</v>
      </c>
      <c r="D5" s="2472" t="s">
        <v>172</v>
      </c>
      <c r="E5" s="2472" t="s">
        <v>173</v>
      </c>
      <c r="F5" s="2921" t="s">
        <v>174</v>
      </c>
      <c r="G5" s="2921" t="s">
        <v>175</v>
      </c>
      <c r="H5" s="2921" t="s">
        <v>176</v>
      </c>
      <c r="I5" s="2921" t="s">
        <v>177</v>
      </c>
      <c r="J5" s="2921" t="s">
        <v>178</v>
      </c>
      <c r="K5" s="2921" t="s">
        <v>179</v>
      </c>
      <c r="L5" s="2921" t="s">
        <v>180</v>
      </c>
      <c r="M5" s="2921" t="s">
        <v>416</v>
      </c>
      <c r="N5" s="2921" t="s">
        <v>417</v>
      </c>
      <c r="O5" s="2921" t="s">
        <v>418</v>
      </c>
      <c r="P5" s="2921" t="s">
        <v>419</v>
      </c>
      <c r="Q5" s="2921" t="s">
        <v>420</v>
      </c>
      <c r="R5" s="2921" t="s">
        <v>424</v>
      </c>
      <c r="S5" s="2921" t="s">
        <v>425</v>
      </c>
      <c r="T5" s="2921" t="s">
        <v>426</v>
      </c>
      <c r="U5" s="2921" t="s">
        <v>427</v>
      </c>
      <c r="V5" s="2921" t="s">
        <v>428</v>
      </c>
      <c r="W5" s="2921" t="s">
        <v>143</v>
      </c>
      <c r="X5" s="2921" t="s">
        <v>144</v>
      </c>
      <c r="Y5" s="2921" t="s">
        <v>300</v>
      </c>
    </row>
    <row r="6" spans="1:25" ht="17.25" thickTop="1">
      <c r="A6" s="2473" t="str">
        <f>C6&amp;D6&amp;LEFT(E6,1)</f>
        <v/>
      </c>
      <c r="B6" s="2737"/>
      <c r="C6" s="2737"/>
      <c r="D6" s="2737"/>
      <c r="E6" s="2738"/>
      <c r="F6" s="2738"/>
      <c r="G6" s="2738"/>
      <c r="H6" s="2739"/>
      <c r="I6" s="2740"/>
      <c r="J6" s="2740"/>
      <c r="K6" s="2740"/>
      <c r="L6" s="2740"/>
      <c r="M6" s="2738"/>
      <c r="N6" s="2738"/>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IF(C6="F",VLOOKUP($T6,'表30-5-2-5-3'!$B:$AF,MATCH($D6&amp;"a",'表30-5-2-5-3'!$4:$4,0)-1,FALSE)
-IF($S6-1&lt;=0,0,VLOOKUP($S6-1,'表30-5-2-5-3'!$B:$AF,MATCH($D6&amp;"a",'表30-5-2-5-3'!$4:$4,0)-1,FALSE))
-VLOOKUP($T6,'表30-5-2-5-3'!$B:$AF,MATCH($D6,'表30-5-2-5-3'!$4:$4,0)-1,FALSE)*(T6/100-N6/H6)*100
-VLOOKUP($S6,'表30-5-2-5-3'!$B:$AF,MATCH($D6,'表30-5-2-5-3'!$4:$4,0)-1,FALSE)*(1-(S6/100-M6/H6)*100),
IF(C6="E1",VLOOKUP($T6,'表30-5-2-5-4'!$B$4:$AF$104,MATCH($D6&amp;"a",'表30-5-2-5-4'!$4:$4,0)-1,FALSE)
-IF($S6-1&lt;=0,0,VLOOKUP($S6-1,'表30-5-2-5-4'!$B$4:$AF$104,MATCH($D6&amp;"a",'表30-5-2-5-4'!$4:$4,0)-1,FALSE))
-VLOOKUP($T6,'表30-5-2-5-4'!$B$4:$AF$104,MATCH($D6,'表30-5-2-5-4'!$4:$4,0)-1,FALSE)*(T6/100-N6/H6)*100
-VLOOKUP($S6,'表30-5-2-5-4'!$B$4:$AF$104,MATCH($D6,'表30-5-2-5-4'!$4:$4,0)-1,FALSE)*(1-(S6/100-M6/H6)*100),
IF(C6="E2",VLOOKUP($T6,'表30-5-2-5-4'!$B$114:$AF$214,MATCH($D6&amp;"a",'表30-5-2-5-4'!$4:$4,0)-1,FALSE)
-IF($S6-1&lt;=0,0,VLOOKUP($S6-1,'表30-5-2-5-4'!$B$114:$AF$214,MATCH($D6&amp;"a",'表30-5-2-5-4'!$4:$4,0)-1,FALSE))
-VLOOKUP($T6,'表30-5-2-5-4'!$B$114:$AF$214,MATCH($D6,'表30-5-2-5-4'!$4:$4,0)-1,FALSE)*(T6/100-N6/H6)*100
-VLOOKUP($S6,'表30-5-2-5-4'!$B$114:$AF$214,MATCH($D6,'表30-5-2-5-4'!$4:$4,0)-1,FALSE)*(1-(S6/100-M6/H6)*100),0))))</f>
        <v>0</v>
      </c>
      <c r="V6" s="2478">
        <f t="shared" ref="V6:V69" si="4">H6*U6*Q6</f>
        <v>0</v>
      </c>
      <c r="W6" s="2478">
        <f t="shared" ref="W6:W69" si="5">H6*U6*R6</f>
        <v>0</v>
      </c>
      <c r="X6" s="2718">
        <f>U6*F6</f>
        <v>0</v>
      </c>
      <c r="Y6" s="2718">
        <f>IFERROR(U6*F6*(L6/K6),0)</f>
        <v>0</v>
      </c>
    </row>
    <row r="7" spans="1:25">
      <c r="A7" s="2473" t="str">
        <f t="shared" ref="A7:A70" si="6">C7&amp;D7&amp;LEFT(E7,1)</f>
        <v/>
      </c>
      <c r="B7" s="2737"/>
      <c r="C7" s="2737"/>
      <c r="D7" s="2737"/>
      <c r="E7" s="2738"/>
      <c r="F7" s="2738"/>
      <c r="G7" s="2738"/>
      <c r="H7" s="2739"/>
      <c r="I7" s="2740"/>
      <c r="J7" s="2740"/>
      <c r="K7" s="2740"/>
      <c r="L7" s="2740"/>
      <c r="M7" s="2738"/>
      <c r="N7" s="2738"/>
      <c r="O7" s="2474">
        <f t="shared" si="0"/>
        <v>0</v>
      </c>
      <c r="P7" s="2474">
        <f t="shared" si="1"/>
        <v>0</v>
      </c>
      <c r="Q7" s="2475">
        <f t="shared" ref="Q7:Q70" si="7">IF(OR(E7="QS",E7=""),0,(N7-M7)/H7*K7)</f>
        <v>0</v>
      </c>
      <c r="R7" s="2475">
        <f t="shared" ref="R7:R70" si="8">IF(OR(E7="QS",E7=""),0,(N7-M7)/H7*L7)</f>
        <v>0</v>
      </c>
      <c r="S7" s="2476">
        <f t="shared" si="2"/>
        <v>0</v>
      </c>
      <c r="T7" s="2476">
        <f t="shared" si="3"/>
        <v>0</v>
      </c>
      <c r="U7" s="2477">
        <f>IF(OR(E7="QS",B7=""),0,
IF(C7="F",VLOOKUP($T7,'表30-5-2-5-3'!$B:$AF,MATCH($D7&amp;"a",'表30-5-2-5-3'!$4:$4,0)-1,FALSE)
-IF($S7-1&lt;=0,0,VLOOKUP($S7-1,'表30-5-2-5-3'!$B:$AF,MATCH($D7&amp;"a",'表30-5-2-5-3'!$4:$4,0)-1,FALSE))
-VLOOKUP($T7,'表30-5-2-5-3'!$B:$AF,MATCH($D7,'表30-5-2-5-3'!$4:$4,0)-1,FALSE)*(T7/100-N7/H7)*100
-VLOOKUP($S7,'表30-5-2-5-3'!$B:$AF,MATCH($D7,'表30-5-2-5-3'!$4:$4,0)-1,FALSE)*(1-(S7/100-M7/H7)*100),
IF(C7="E1",VLOOKUP($T7,'表30-5-2-5-4'!$B$4:$AF$104,MATCH($D7&amp;"a",'表30-5-2-5-4'!$4:$4,0)-1,FALSE)
-IF($S7-1&lt;=0,0,VLOOKUP($S7-1,'表30-5-2-5-4'!$B$4:$AF$104,MATCH($D7&amp;"a",'表30-5-2-5-4'!$4:$4,0)-1,FALSE))
-VLOOKUP($T7,'表30-5-2-5-4'!$B$4:$AF$104,MATCH($D7,'表30-5-2-5-4'!$4:$4,0)-1,FALSE)*(T7/100-N7/H7)*100
-VLOOKUP($S7,'表30-5-2-5-4'!$B$4:$AF$104,MATCH($D7,'表30-5-2-5-4'!$4:$4,0)-1,FALSE)*(1-(S7/100-M7/H7)*100),
IF(C7="E2",VLOOKUP($T7,'表30-5-2-5-4'!$B$114:$AF$214,MATCH($D7&amp;"a",'表30-5-2-5-4'!$4:$4,0)-1,FALSE)
-IF($S7-1&lt;=0,0,VLOOKUP($S7-1,'表30-5-2-5-4'!$B$114:$AF$214,MATCH($D7&amp;"a",'表30-5-2-5-4'!$4:$4,0)-1,FALSE))
-VLOOKUP($T7,'表30-5-2-5-4'!$B$114:$AF$214,MATCH($D7,'表30-5-2-5-4'!$4:$4,0)-1,FALSE)*(T7/100-N7/H7)*100
-VLOOKUP($S7,'表30-5-2-5-4'!$B$114:$AF$214,MATCH($D7,'表30-5-2-5-4'!$4:$4,0)-1,FALSE)*(1-(S7/100-M7/H7)*100),0))))</f>
        <v>0</v>
      </c>
      <c r="V7" s="2478">
        <f t="shared" si="4"/>
        <v>0</v>
      </c>
      <c r="W7" s="2478">
        <f t="shared" si="5"/>
        <v>0</v>
      </c>
      <c r="X7" s="2718">
        <f t="shared" ref="X7:X70" si="9">U7*F7</f>
        <v>0</v>
      </c>
      <c r="Y7" s="2718">
        <f t="shared" ref="Y7:Y70" si="10">IFERROR(U7*F7*(L7/K7),0)</f>
        <v>0</v>
      </c>
    </row>
    <row r="8" spans="1:25">
      <c r="A8" s="2473" t="str">
        <f t="shared" si="6"/>
        <v/>
      </c>
      <c r="B8" s="2737"/>
      <c r="C8" s="2737"/>
      <c r="D8" s="2737"/>
      <c r="E8" s="2738"/>
      <c r="F8" s="2738"/>
      <c r="G8" s="2738"/>
      <c r="H8" s="2739"/>
      <c r="I8" s="2740"/>
      <c r="J8" s="2740"/>
      <c r="K8" s="2740"/>
      <c r="L8" s="2740"/>
      <c r="M8" s="2738"/>
      <c r="N8" s="2738"/>
      <c r="O8" s="2474">
        <f t="shared" si="0"/>
        <v>0</v>
      </c>
      <c r="P8" s="2474">
        <f t="shared" si="1"/>
        <v>0</v>
      </c>
      <c r="Q8" s="2475">
        <f t="shared" si="7"/>
        <v>0</v>
      </c>
      <c r="R8" s="2475">
        <f t="shared" si="8"/>
        <v>0</v>
      </c>
      <c r="S8" s="2476">
        <f t="shared" si="2"/>
        <v>0</v>
      </c>
      <c r="T8" s="2476">
        <f t="shared" si="3"/>
        <v>0</v>
      </c>
      <c r="U8" s="2477">
        <f>IF(OR(E8="QS",B8=""),0,
IF(C8="F",VLOOKUP($T8,'表30-5-2-5-3'!$B:$AF,MATCH($D8&amp;"a",'表30-5-2-5-3'!$4:$4,0)-1,FALSE)
-IF($S8-1&lt;=0,0,VLOOKUP($S8-1,'表30-5-2-5-3'!$B:$AF,MATCH($D8&amp;"a",'表30-5-2-5-3'!$4:$4,0)-1,FALSE))
-VLOOKUP($T8,'表30-5-2-5-3'!$B:$AF,MATCH($D8,'表30-5-2-5-3'!$4:$4,0)-1,FALSE)*(T8/100-N8/H8)*100
-VLOOKUP($S8,'表30-5-2-5-3'!$B:$AF,MATCH($D8,'表30-5-2-5-3'!$4:$4,0)-1,FALSE)*(1-(S8/100-M8/H8)*100),
IF(C8="E1",VLOOKUP($T8,'表30-5-2-5-4'!$B$4:$AF$104,MATCH($D8&amp;"a",'表30-5-2-5-4'!$4:$4,0)-1,FALSE)
-IF($S8-1&lt;=0,0,VLOOKUP($S8-1,'表30-5-2-5-4'!$B$4:$AF$104,MATCH($D8&amp;"a",'表30-5-2-5-4'!$4:$4,0)-1,FALSE))
-VLOOKUP($T8,'表30-5-2-5-4'!$B$4:$AF$104,MATCH($D8,'表30-5-2-5-4'!$4:$4,0)-1,FALSE)*(T8/100-N8/H8)*100
-VLOOKUP($S8,'表30-5-2-5-4'!$B$4:$AF$104,MATCH($D8,'表30-5-2-5-4'!$4:$4,0)-1,FALSE)*(1-(S8/100-M8/H8)*100),
IF(C8="E2",VLOOKUP($T8,'表30-5-2-5-4'!$B$114:$AF$214,MATCH($D8&amp;"a",'表30-5-2-5-4'!$4:$4,0)-1,FALSE)
-IF($S8-1&lt;=0,0,VLOOKUP($S8-1,'表30-5-2-5-4'!$B$114:$AF$214,MATCH($D8&amp;"a",'表30-5-2-5-4'!$4:$4,0)-1,FALSE))
-VLOOKUP($T8,'表30-5-2-5-4'!$B$114:$AF$214,MATCH($D8,'表30-5-2-5-4'!$4:$4,0)-1,FALSE)*(T8/100-N8/H8)*100
-VLOOKUP($S8,'表30-5-2-5-4'!$B$114:$AF$214,MATCH($D8,'表30-5-2-5-4'!$4:$4,0)-1,FALSE)*(1-(S8/100-M8/H8)*100),0))))</f>
        <v>0</v>
      </c>
      <c r="V8" s="2478">
        <f t="shared" si="4"/>
        <v>0</v>
      </c>
      <c r="W8" s="2478">
        <f t="shared" si="5"/>
        <v>0</v>
      </c>
      <c r="X8" s="2718">
        <f t="shared" si="9"/>
        <v>0</v>
      </c>
      <c r="Y8" s="2718">
        <f t="shared" si="10"/>
        <v>0</v>
      </c>
    </row>
    <row r="9" spans="1:25">
      <c r="A9" s="2473" t="str">
        <f t="shared" si="6"/>
        <v/>
      </c>
      <c r="B9" s="2737"/>
      <c r="C9" s="2737"/>
      <c r="D9" s="2737"/>
      <c r="E9" s="2738"/>
      <c r="F9" s="2738"/>
      <c r="G9" s="2738"/>
      <c r="H9" s="2739"/>
      <c r="I9" s="2740"/>
      <c r="J9" s="2740"/>
      <c r="K9" s="2740"/>
      <c r="L9" s="2740"/>
      <c r="M9" s="2738"/>
      <c r="N9" s="2738"/>
      <c r="O9" s="2474">
        <f t="shared" si="0"/>
        <v>0</v>
      </c>
      <c r="P9" s="2474">
        <f t="shared" si="1"/>
        <v>0</v>
      </c>
      <c r="Q9" s="2475">
        <f t="shared" si="7"/>
        <v>0</v>
      </c>
      <c r="R9" s="2475">
        <f t="shared" si="8"/>
        <v>0</v>
      </c>
      <c r="S9" s="2476">
        <f t="shared" si="2"/>
        <v>0</v>
      </c>
      <c r="T9" s="2476">
        <f t="shared" si="3"/>
        <v>0</v>
      </c>
      <c r="U9" s="2477">
        <f>IF(OR(E9="QS",B9=""),0,
IF(C9="F",VLOOKUP($T9,'表30-5-2-5-3'!$B:$AF,MATCH($D9&amp;"a",'表30-5-2-5-3'!$4:$4,0)-1,FALSE)
-IF($S9-1&lt;=0,0,VLOOKUP($S9-1,'表30-5-2-5-3'!$B:$AF,MATCH($D9&amp;"a",'表30-5-2-5-3'!$4:$4,0)-1,FALSE))
-VLOOKUP($T9,'表30-5-2-5-3'!$B:$AF,MATCH($D9,'表30-5-2-5-3'!$4:$4,0)-1,FALSE)*(T9/100-N9/H9)*100
-VLOOKUP($S9,'表30-5-2-5-3'!$B:$AF,MATCH($D9,'表30-5-2-5-3'!$4:$4,0)-1,FALSE)*(1-(S9/100-M9/H9)*100),
IF(C9="E1",VLOOKUP($T9,'表30-5-2-5-4'!$B$4:$AF$104,MATCH($D9&amp;"a",'表30-5-2-5-4'!$4:$4,0)-1,FALSE)
-IF($S9-1&lt;=0,0,VLOOKUP($S9-1,'表30-5-2-5-4'!$B$4:$AF$104,MATCH($D9&amp;"a",'表30-5-2-5-4'!$4:$4,0)-1,FALSE))
-VLOOKUP($T9,'表30-5-2-5-4'!$B$4:$AF$104,MATCH($D9,'表30-5-2-5-4'!$4:$4,0)-1,FALSE)*(T9/100-N9/H9)*100
-VLOOKUP($S9,'表30-5-2-5-4'!$B$4:$AF$104,MATCH($D9,'表30-5-2-5-4'!$4:$4,0)-1,FALSE)*(1-(S9/100-M9/H9)*100),
IF(C9="E2",VLOOKUP($T9,'表30-5-2-5-4'!$B$114:$AF$214,MATCH($D9&amp;"a",'表30-5-2-5-4'!$4:$4,0)-1,FALSE)
-IF($S9-1&lt;=0,0,VLOOKUP($S9-1,'表30-5-2-5-4'!$B$114:$AF$214,MATCH($D9&amp;"a",'表30-5-2-5-4'!$4:$4,0)-1,FALSE))
-VLOOKUP($T9,'表30-5-2-5-4'!$B$114:$AF$214,MATCH($D9,'表30-5-2-5-4'!$4:$4,0)-1,FALSE)*(T9/100-N9/H9)*100
-VLOOKUP($S9,'表30-5-2-5-4'!$B$114:$AF$214,MATCH($D9,'表30-5-2-5-4'!$4:$4,0)-1,FALSE)*(1-(S9/100-M9/H9)*100),0))))</f>
        <v>0</v>
      </c>
      <c r="V9" s="2478">
        <f t="shared" si="4"/>
        <v>0</v>
      </c>
      <c r="W9" s="2478">
        <f t="shared" si="5"/>
        <v>0</v>
      </c>
      <c r="X9" s="2718">
        <f t="shared" si="9"/>
        <v>0</v>
      </c>
      <c r="Y9" s="2718">
        <f t="shared" si="10"/>
        <v>0</v>
      </c>
    </row>
    <row r="10" spans="1:25">
      <c r="A10" s="2473" t="str">
        <f t="shared" si="6"/>
        <v/>
      </c>
      <c r="B10" s="2737"/>
      <c r="C10" s="2737"/>
      <c r="D10" s="2737"/>
      <c r="E10" s="2738"/>
      <c r="F10" s="2738"/>
      <c r="G10" s="2738"/>
      <c r="H10" s="2739"/>
      <c r="I10" s="2740"/>
      <c r="J10" s="2740"/>
      <c r="K10" s="2740"/>
      <c r="L10" s="2740"/>
      <c r="M10" s="2738"/>
      <c r="N10" s="2738"/>
      <c r="O10" s="2474">
        <f t="shared" si="0"/>
        <v>0</v>
      </c>
      <c r="P10" s="2474">
        <f t="shared" si="1"/>
        <v>0</v>
      </c>
      <c r="Q10" s="2475">
        <f t="shared" si="7"/>
        <v>0</v>
      </c>
      <c r="R10" s="2475">
        <f t="shared" si="8"/>
        <v>0</v>
      </c>
      <c r="S10" s="2476">
        <f t="shared" si="2"/>
        <v>0</v>
      </c>
      <c r="T10" s="2476">
        <f t="shared" si="3"/>
        <v>0</v>
      </c>
      <c r="U10" s="2477">
        <f>IF(OR(E10="QS",B10=""),0,
IF(C10="F",VLOOKUP($T10,'表30-5-2-5-3'!$B:$AF,MATCH($D10&amp;"a",'表30-5-2-5-3'!$4:$4,0)-1,FALSE)
-IF($S10-1&lt;=0,0,VLOOKUP($S10-1,'表30-5-2-5-3'!$B:$AF,MATCH($D10&amp;"a",'表30-5-2-5-3'!$4:$4,0)-1,FALSE))
-VLOOKUP($T10,'表30-5-2-5-3'!$B:$AF,MATCH($D10,'表30-5-2-5-3'!$4:$4,0)-1,FALSE)*(T10/100-N10/H10)*100
-VLOOKUP($S10,'表30-5-2-5-3'!$B:$AF,MATCH($D10,'表30-5-2-5-3'!$4:$4,0)-1,FALSE)*(1-(S10/100-M10/H10)*100),
IF(C10="E1",VLOOKUP($T10,'表30-5-2-5-4'!$B$4:$AF$104,MATCH($D10&amp;"a",'表30-5-2-5-4'!$4:$4,0)-1,FALSE)
-IF($S10-1&lt;=0,0,VLOOKUP($S10-1,'表30-5-2-5-4'!$B$4:$AF$104,MATCH($D10&amp;"a",'表30-5-2-5-4'!$4:$4,0)-1,FALSE))
-VLOOKUP($T10,'表30-5-2-5-4'!$B$4:$AF$104,MATCH($D10,'表30-5-2-5-4'!$4:$4,0)-1,FALSE)*(T10/100-N10/H10)*100
-VLOOKUP($S10,'表30-5-2-5-4'!$B$4:$AF$104,MATCH($D10,'表30-5-2-5-4'!$4:$4,0)-1,FALSE)*(1-(S10/100-M10/H10)*100),
IF(C10="E2",VLOOKUP($T10,'表30-5-2-5-4'!$B$114:$AF$214,MATCH($D10&amp;"a",'表30-5-2-5-4'!$4:$4,0)-1,FALSE)
-IF($S10-1&lt;=0,0,VLOOKUP($S10-1,'表30-5-2-5-4'!$B$114:$AF$214,MATCH($D10&amp;"a",'表30-5-2-5-4'!$4:$4,0)-1,FALSE))
-VLOOKUP($T10,'表30-5-2-5-4'!$B$114:$AF$214,MATCH($D10,'表30-5-2-5-4'!$4:$4,0)-1,FALSE)*(T10/100-N10/H10)*100
-VLOOKUP($S10,'表30-5-2-5-4'!$B$114:$AF$214,MATCH($D10,'表30-5-2-5-4'!$4:$4,0)-1,FALSE)*(1-(S10/100-M10/H10)*100),0))))</f>
        <v>0</v>
      </c>
      <c r="V10" s="2478">
        <f t="shared" si="4"/>
        <v>0</v>
      </c>
      <c r="W10" s="2478">
        <f t="shared" si="5"/>
        <v>0</v>
      </c>
      <c r="X10" s="2718">
        <f t="shared" si="9"/>
        <v>0</v>
      </c>
      <c r="Y10" s="2718">
        <f t="shared" si="10"/>
        <v>0</v>
      </c>
    </row>
    <row r="11" spans="1:25">
      <c r="A11" s="2473" t="str">
        <f t="shared" si="6"/>
        <v/>
      </c>
      <c r="B11" s="2737"/>
      <c r="C11" s="2737"/>
      <c r="D11" s="2737"/>
      <c r="E11" s="2738"/>
      <c r="F11" s="2738"/>
      <c r="G11" s="2738"/>
      <c r="H11" s="2739"/>
      <c r="I11" s="2740"/>
      <c r="J11" s="2740"/>
      <c r="K11" s="2740"/>
      <c r="L11" s="2740"/>
      <c r="M11" s="2738"/>
      <c r="N11" s="2738"/>
      <c r="O11" s="2474">
        <f t="shared" si="0"/>
        <v>0</v>
      </c>
      <c r="P11" s="2474">
        <f t="shared" si="1"/>
        <v>0</v>
      </c>
      <c r="Q11" s="2475">
        <f t="shared" si="7"/>
        <v>0</v>
      </c>
      <c r="R11" s="2475">
        <f t="shared" si="8"/>
        <v>0</v>
      </c>
      <c r="S11" s="2476">
        <f t="shared" si="2"/>
        <v>0</v>
      </c>
      <c r="T11" s="2476">
        <f t="shared" si="3"/>
        <v>0</v>
      </c>
      <c r="U11" s="2477">
        <f>IF(OR(E11="QS",B11=""),0,
IF(C11="F",VLOOKUP($T11,'表30-5-2-5-3'!$B:$AF,MATCH($D11&amp;"a",'表30-5-2-5-3'!$4:$4,0)-1,FALSE)
-IF($S11-1&lt;=0,0,VLOOKUP($S11-1,'表30-5-2-5-3'!$B:$AF,MATCH($D11&amp;"a",'表30-5-2-5-3'!$4:$4,0)-1,FALSE))
-VLOOKUP($T11,'表30-5-2-5-3'!$B:$AF,MATCH($D11,'表30-5-2-5-3'!$4:$4,0)-1,FALSE)*(T11/100-N11/H11)*100
-VLOOKUP($S11,'表30-5-2-5-3'!$B:$AF,MATCH($D11,'表30-5-2-5-3'!$4:$4,0)-1,FALSE)*(1-(S11/100-M11/H11)*100),
IF(C11="E1",VLOOKUP($T11,'表30-5-2-5-4'!$B$4:$AF$104,MATCH($D11&amp;"a",'表30-5-2-5-4'!$4:$4,0)-1,FALSE)
-IF($S11-1&lt;=0,0,VLOOKUP($S11-1,'表30-5-2-5-4'!$B$4:$AF$104,MATCH($D11&amp;"a",'表30-5-2-5-4'!$4:$4,0)-1,FALSE))
-VLOOKUP($T11,'表30-5-2-5-4'!$B$4:$AF$104,MATCH($D11,'表30-5-2-5-4'!$4:$4,0)-1,FALSE)*(T11/100-N11/H11)*100
-VLOOKUP($S11,'表30-5-2-5-4'!$B$4:$AF$104,MATCH($D11,'表30-5-2-5-4'!$4:$4,0)-1,FALSE)*(1-(S11/100-M11/H11)*100),
IF(C11="E2",VLOOKUP($T11,'表30-5-2-5-4'!$B$114:$AF$214,MATCH($D11&amp;"a",'表30-5-2-5-4'!$4:$4,0)-1,FALSE)
-IF($S11-1&lt;=0,0,VLOOKUP($S11-1,'表30-5-2-5-4'!$B$114:$AF$214,MATCH($D11&amp;"a",'表30-5-2-5-4'!$4:$4,0)-1,FALSE))
-VLOOKUP($T11,'表30-5-2-5-4'!$B$114:$AF$214,MATCH($D11,'表30-5-2-5-4'!$4:$4,0)-1,FALSE)*(T11/100-N11/H11)*100
-VLOOKUP($S11,'表30-5-2-5-4'!$B$114:$AF$214,MATCH($D11,'表30-5-2-5-4'!$4:$4,0)-1,FALSE)*(1-(S11/100-M11/H11)*100),0))))</f>
        <v>0</v>
      </c>
      <c r="V11" s="2478">
        <f t="shared" si="4"/>
        <v>0</v>
      </c>
      <c r="W11" s="2478">
        <f t="shared" si="5"/>
        <v>0</v>
      </c>
      <c r="X11" s="2718">
        <f t="shared" si="9"/>
        <v>0</v>
      </c>
      <c r="Y11" s="2718">
        <f t="shared" si="10"/>
        <v>0</v>
      </c>
    </row>
    <row r="12" spans="1:25" ht="15.75" customHeight="1">
      <c r="A12" s="2473" t="str">
        <f t="shared" si="6"/>
        <v/>
      </c>
      <c r="B12" s="2737"/>
      <c r="C12" s="2737"/>
      <c r="D12" s="2737"/>
      <c r="E12" s="2738"/>
      <c r="F12" s="2738"/>
      <c r="G12" s="2738"/>
      <c r="H12" s="2739"/>
      <c r="I12" s="2740"/>
      <c r="J12" s="2740"/>
      <c r="K12" s="2740"/>
      <c r="L12" s="2740"/>
      <c r="M12" s="2738"/>
      <c r="N12" s="2738"/>
      <c r="O12" s="2474">
        <f t="shared" si="0"/>
        <v>0</v>
      </c>
      <c r="P12" s="2474">
        <f t="shared" si="1"/>
        <v>0</v>
      </c>
      <c r="Q12" s="2475">
        <f t="shared" si="7"/>
        <v>0</v>
      </c>
      <c r="R12" s="2475">
        <f t="shared" si="8"/>
        <v>0</v>
      </c>
      <c r="S12" s="2476">
        <f t="shared" si="2"/>
        <v>0</v>
      </c>
      <c r="T12" s="2476">
        <f t="shared" si="3"/>
        <v>0</v>
      </c>
      <c r="U12" s="2477">
        <f>IF(OR(E12="QS",B12=""),0,
IF(C12="F",VLOOKUP($T12,'表30-5-2-5-3'!$B:$AF,MATCH($D12&amp;"a",'表30-5-2-5-3'!$4:$4,0)-1,FALSE)
-IF($S12-1&lt;=0,0,VLOOKUP($S12-1,'表30-5-2-5-3'!$B:$AF,MATCH($D12&amp;"a",'表30-5-2-5-3'!$4:$4,0)-1,FALSE))
-VLOOKUP($T12,'表30-5-2-5-3'!$B:$AF,MATCH($D12,'表30-5-2-5-3'!$4:$4,0)-1,FALSE)*(T12/100-N12/H12)*100
-VLOOKUP($S12,'表30-5-2-5-3'!$B:$AF,MATCH($D12,'表30-5-2-5-3'!$4:$4,0)-1,FALSE)*(1-(S12/100-M12/H12)*100),
IF(C12="E1",VLOOKUP($T12,'表30-5-2-5-4'!$B$4:$AF$104,MATCH($D12&amp;"a",'表30-5-2-5-4'!$4:$4,0)-1,FALSE)
-IF($S12-1&lt;=0,0,VLOOKUP($S12-1,'表30-5-2-5-4'!$B$4:$AF$104,MATCH($D12&amp;"a",'表30-5-2-5-4'!$4:$4,0)-1,FALSE))
-VLOOKUP($T12,'表30-5-2-5-4'!$B$4:$AF$104,MATCH($D12,'表30-5-2-5-4'!$4:$4,0)-1,FALSE)*(T12/100-N12/H12)*100
-VLOOKUP($S12,'表30-5-2-5-4'!$B$4:$AF$104,MATCH($D12,'表30-5-2-5-4'!$4:$4,0)-1,FALSE)*(1-(S12/100-M12/H12)*100),
IF(C12="E2",VLOOKUP($T12,'表30-5-2-5-4'!$B$114:$AF$214,MATCH($D12&amp;"a",'表30-5-2-5-4'!$4:$4,0)-1,FALSE)
-IF($S12-1&lt;=0,0,VLOOKUP($S12-1,'表30-5-2-5-4'!$B$114:$AF$214,MATCH($D12&amp;"a",'表30-5-2-5-4'!$4:$4,0)-1,FALSE))
-VLOOKUP($T12,'表30-5-2-5-4'!$B$114:$AF$214,MATCH($D12,'表30-5-2-5-4'!$4:$4,0)-1,FALSE)*(T12/100-N12/H12)*100
-VLOOKUP($S12,'表30-5-2-5-4'!$B$114:$AF$214,MATCH($D12,'表30-5-2-5-4'!$4:$4,0)-1,FALSE)*(1-(S12/100-M12/H12)*100),0))))</f>
        <v>0</v>
      </c>
      <c r="V12" s="2478">
        <f t="shared" si="4"/>
        <v>0</v>
      </c>
      <c r="W12" s="2478">
        <f t="shared" si="5"/>
        <v>0</v>
      </c>
      <c r="X12" s="2718">
        <f t="shared" si="9"/>
        <v>0</v>
      </c>
      <c r="Y12" s="2718">
        <f t="shared" si="10"/>
        <v>0</v>
      </c>
    </row>
    <row r="13" spans="1:25">
      <c r="A13" s="2473" t="str">
        <f t="shared" si="6"/>
        <v/>
      </c>
      <c r="B13" s="2737"/>
      <c r="C13" s="2737"/>
      <c r="D13" s="2737"/>
      <c r="E13" s="2738"/>
      <c r="F13" s="2738"/>
      <c r="G13" s="2738"/>
      <c r="H13" s="2739"/>
      <c r="I13" s="2740"/>
      <c r="J13" s="2740"/>
      <c r="K13" s="2740"/>
      <c r="L13" s="2740"/>
      <c r="M13" s="2738"/>
      <c r="N13" s="2738"/>
      <c r="O13" s="2474">
        <f t="shared" si="0"/>
        <v>0</v>
      </c>
      <c r="P13" s="2474">
        <f t="shared" si="1"/>
        <v>0</v>
      </c>
      <c r="Q13" s="2475">
        <f t="shared" si="7"/>
        <v>0</v>
      </c>
      <c r="R13" s="2475">
        <f t="shared" si="8"/>
        <v>0</v>
      </c>
      <c r="S13" s="2476">
        <f t="shared" si="2"/>
        <v>0</v>
      </c>
      <c r="T13" s="2476">
        <f t="shared" si="3"/>
        <v>0</v>
      </c>
      <c r="U13" s="2477">
        <f>IF(OR(E13="QS",B13=""),0,
IF(C13="F",VLOOKUP($T13,'表30-5-2-5-3'!$B:$AF,MATCH($D13&amp;"a",'表30-5-2-5-3'!$4:$4,0)-1,FALSE)
-IF($S13-1&lt;=0,0,VLOOKUP($S13-1,'表30-5-2-5-3'!$B:$AF,MATCH($D13&amp;"a",'表30-5-2-5-3'!$4:$4,0)-1,FALSE))
-VLOOKUP($T13,'表30-5-2-5-3'!$B:$AF,MATCH($D13,'表30-5-2-5-3'!$4:$4,0)-1,FALSE)*(T13/100-N13/H13)*100
-VLOOKUP($S13,'表30-5-2-5-3'!$B:$AF,MATCH($D13,'表30-5-2-5-3'!$4:$4,0)-1,FALSE)*(1-(S13/100-M13/H13)*100),
IF(C13="E1",VLOOKUP($T13,'表30-5-2-5-4'!$B$4:$AF$104,MATCH($D13&amp;"a",'表30-5-2-5-4'!$4:$4,0)-1,FALSE)
-IF($S13-1&lt;=0,0,VLOOKUP($S13-1,'表30-5-2-5-4'!$B$4:$AF$104,MATCH($D13&amp;"a",'表30-5-2-5-4'!$4:$4,0)-1,FALSE))
-VLOOKUP($T13,'表30-5-2-5-4'!$B$4:$AF$104,MATCH($D13,'表30-5-2-5-4'!$4:$4,0)-1,FALSE)*(T13/100-N13/H13)*100
-VLOOKUP($S13,'表30-5-2-5-4'!$B$4:$AF$104,MATCH($D13,'表30-5-2-5-4'!$4:$4,0)-1,FALSE)*(1-(S13/100-M13/H13)*100),
IF(C13="E2",VLOOKUP($T13,'表30-5-2-5-4'!$B$114:$AF$214,MATCH($D13&amp;"a",'表30-5-2-5-4'!$4:$4,0)-1,FALSE)
-IF($S13-1&lt;=0,0,VLOOKUP($S13-1,'表30-5-2-5-4'!$B$114:$AF$214,MATCH($D13&amp;"a",'表30-5-2-5-4'!$4:$4,0)-1,FALSE))
-VLOOKUP($T13,'表30-5-2-5-4'!$B$114:$AF$214,MATCH($D13,'表30-5-2-5-4'!$4:$4,0)-1,FALSE)*(T13/100-N13/H13)*100
-VLOOKUP($S13,'表30-5-2-5-4'!$B$114:$AF$214,MATCH($D13,'表30-5-2-5-4'!$4:$4,0)-1,FALSE)*(1-(S13/100-M13/H13)*100),0))))</f>
        <v>0</v>
      </c>
      <c r="V13" s="2478">
        <f t="shared" si="4"/>
        <v>0</v>
      </c>
      <c r="W13" s="2478">
        <f t="shared" si="5"/>
        <v>0</v>
      </c>
      <c r="X13" s="2718">
        <f t="shared" si="9"/>
        <v>0</v>
      </c>
      <c r="Y13" s="2718">
        <f t="shared" si="10"/>
        <v>0</v>
      </c>
    </row>
    <row r="14" spans="1:25">
      <c r="A14" s="2473" t="str">
        <f t="shared" si="6"/>
        <v/>
      </c>
      <c r="B14" s="2737"/>
      <c r="C14" s="2737"/>
      <c r="D14" s="2737"/>
      <c r="E14" s="2738"/>
      <c r="F14" s="2738"/>
      <c r="G14" s="2738"/>
      <c r="H14" s="2739"/>
      <c r="I14" s="2740"/>
      <c r="J14" s="2740"/>
      <c r="K14" s="2740"/>
      <c r="L14" s="2740"/>
      <c r="M14" s="2738"/>
      <c r="N14" s="2738"/>
      <c r="O14" s="2474">
        <f t="shared" si="0"/>
        <v>0</v>
      </c>
      <c r="P14" s="2474">
        <f t="shared" si="1"/>
        <v>0</v>
      </c>
      <c r="Q14" s="2475">
        <f t="shared" si="7"/>
        <v>0</v>
      </c>
      <c r="R14" s="2475">
        <f t="shared" si="8"/>
        <v>0</v>
      </c>
      <c r="S14" s="2476">
        <f t="shared" si="2"/>
        <v>0</v>
      </c>
      <c r="T14" s="2476">
        <f t="shared" si="3"/>
        <v>0</v>
      </c>
      <c r="U14" s="2477">
        <f>IF(OR(E14="QS",B14=""),0,
IF(C14="F",VLOOKUP($T14,'表30-5-2-5-3'!$B:$AF,MATCH($D14&amp;"a",'表30-5-2-5-3'!$4:$4,0)-1,FALSE)
-IF($S14-1&lt;=0,0,VLOOKUP($S14-1,'表30-5-2-5-3'!$B:$AF,MATCH($D14&amp;"a",'表30-5-2-5-3'!$4:$4,0)-1,FALSE))
-VLOOKUP($T14,'表30-5-2-5-3'!$B:$AF,MATCH($D14,'表30-5-2-5-3'!$4:$4,0)-1,FALSE)*(T14/100-N14/H14)*100
-VLOOKUP($S14,'表30-5-2-5-3'!$B:$AF,MATCH($D14,'表30-5-2-5-3'!$4:$4,0)-1,FALSE)*(1-(S14/100-M14/H14)*100),
IF(C14="E1",VLOOKUP($T14,'表30-5-2-5-4'!$B$4:$AF$104,MATCH($D14&amp;"a",'表30-5-2-5-4'!$4:$4,0)-1,FALSE)
-IF($S14-1&lt;=0,0,VLOOKUP($S14-1,'表30-5-2-5-4'!$B$4:$AF$104,MATCH($D14&amp;"a",'表30-5-2-5-4'!$4:$4,0)-1,FALSE))
-VLOOKUP($T14,'表30-5-2-5-4'!$B$4:$AF$104,MATCH($D14,'表30-5-2-5-4'!$4:$4,0)-1,FALSE)*(T14/100-N14/H14)*100
-VLOOKUP($S14,'表30-5-2-5-4'!$B$4:$AF$104,MATCH($D14,'表30-5-2-5-4'!$4:$4,0)-1,FALSE)*(1-(S14/100-M14/H14)*100),
IF(C14="E2",VLOOKUP($T14,'表30-5-2-5-4'!$B$114:$AF$214,MATCH($D14&amp;"a",'表30-5-2-5-4'!$4:$4,0)-1,FALSE)
-IF($S14-1&lt;=0,0,VLOOKUP($S14-1,'表30-5-2-5-4'!$B$114:$AF$214,MATCH($D14&amp;"a",'表30-5-2-5-4'!$4:$4,0)-1,FALSE))
-VLOOKUP($T14,'表30-5-2-5-4'!$B$114:$AF$214,MATCH($D14,'表30-5-2-5-4'!$4:$4,0)-1,FALSE)*(T14/100-N14/H14)*100
-VLOOKUP($S14,'表30-5-2-5-4'!$B$114:$AF$214,MATCH($D14,'表30-5-2-5-4'!$4:$4,0)-1,FALSE)*(1-(S14/100-M14/H14)*100),0))))</f>
        <v>0</v>
      </c>
      <c r="V14" s="2478">
        <f t="shared" si="4"/>
        <v>0</v>
      </c>
      <c r="W14" s="2478">
        <f t="shared" si="5"/>
        <v>0</v>
      </c>
      <c r="X14" s="2718">
        <f t="shared" si="9"/>
        <v>0</v>
      </c>
      <c r="Y14" s="2718">
        <f t="shared" si="10"/>
        <v>0</v>
      </c>
    </row>
    <row r="15" spans="1:25" ht="17.25" customHeight="1">
      <c r="A15" s="2473" t="str">
        <f t="shared" si="6"/>
        <v/>
      </c>
      <c r="B15" s="2737"/>
      <c r="C15" s="2737"/>
      <c r="D15" s="2737"/>
      <c r="E15" s="2738"/>
      <c r="F15" s="2738"/>
      <c r="G15" s="2738"/>
      <c r="H15" s="2739"/>
      <c r="I15" s="2740"/>
      <c r="J15" s="2740"/>
      <c r="K15" s="2740"/>
      <c r="L15" s="2740"/>
      <c r="M15" s="2738"/>
      <c r="N15" s="2738"/>
      <c r="O15" s="2474">
        <f t="shared" si="0"/>
        <v>0</v>
      </c>
      <c r="P15" s="2474">
        <f t="shared" si="1"/>
        <v>0</v>
      </c>
      <c r="Q15" s="2475">
        <f t="shared" si="7"/>
        <v>0</v>
      </c>
      <c r="R15" s="2475">
        <f t="shared" si="8"/>
        <v>0</v>
      </c>
      <c r="S15" s="2476">
        <f t="shared" si="2"/>
        <v>0</v>
      </c>
      <c r="T15" s="2476">
        <f t="shared" si="3"/>
        <v>0</v>
      </c>
      <c r="U15" s="2477">
        <f>IF(OR(E15="QS",B15=""),0,
IF(C15="F",VLOOKUP($T15,'表30-5-2-5-3'!$B:$AF,MATCH($D15&amp;"a",'表30-5-2-5-3'!$4:$4,0)-1,FALSE)
-IF($S15-1&lt;=0,0,VLOOKUP($S15-1,'表30-5-2-5-3'!$B:$AF,MATCH($D15&amp;"a",'表30-5-2-5-3'!$4:$4,0)-1,FALSE))
-VLOOKUP($T15,'表30-5-2-5-3'!$B:$AF,MATCH($D15,'表30-5-2-5-3'!$4:$4,0)-1,FALSE)*(T15/100-N15/H15)*100
-VLOOKUP($S15,'表30-5-2-5-3'!$B:$AF,MATCH($D15,'表30-5-2-5-3'!$4:$4,0)-1,FALSE)*(1-(S15/100-M15/H15)*100),
IF(C15="E1",VLOOKUP($T15,'表30-5-2-5-4'!$B$4:$AF$104,MATCH($D15&amp;"a",'表30-5-2-5-4'!$4:$4,0)-1,FALSE)
-IF($S15-1&lt;=0,0,VLOOKUP($S15-1,'表30-5-2-5-4'!$B$4:$AF$104,MATCH($D15&amp;"a",'表30-5-2-5-4'!$4:$4,0)-1,FALSE))
-VLOOKUP($T15,'表30-5-2-5-4'!$B$4:$AF$104,MATCH($D15,'表30-5-2-5-4'!$4:$4,0)-1,FALSE)*(T15/100-N15/H15)*100
-VLOOKUP($S15,'表30-5-2-5-4'!$B$4:$AF$104,MATCH($D15,'表30-5-2-5-4'!$4:$4,0)-1,FALSE)*(1-(S15/100-M15/H15)*100),
IF(C15="E2",VLOOKUP($T15,'表30-5-2-5-4'!$B$114:$AF$214,MATCH($D15&amp;"a",'表30-5-2-5-4'!$4:$4,0)-1,FALSE)
-IF($S15-1&lt;=0,0,VLOOKUP($S15-1,'表30-5-2-5-4'!$B$114:$AF$214,MATCH($D15&amp;"a",'表30-5-2-5-4'!$4:$4,0)-1,FALSE))
-VLOOKUP($T15,'表30-5-2-5-4'!$B$114:$AF$214,MATCH($D15,'表30-5-2-5-4'!$4:$4,0)-1,FALSE)*(T15/100-N15/H15)*100
-VLOOKUP($S15,'表30-5-2-5-4'!$B$114:$AF$214,MATCH($D15,'表30-5-2-5-4'!$4:$4,0)-1,FALSE)*(1-(S15/100-M15/H15)*100),0))))</f>
        <v>0</v>
      </c>
      <c r="V15" s="2478">
        <f t="shared" si="4"/>
        <v>0</v>
      </c>
      <c r="W15" s="2478">
        <f t="shared" si="5"/>
        <v>0</v>
      </c>
      <c r="X15" s="2718">
        <f t="shared" si="9"/>
        <v>0</v>
      </c>
      <c r="Y15" s="2718">
        <f t="shared" si="10"/>
        <v>0</v>
      </c>
    </row>
    <row r="16" spans="1:25">
      <c r="A16" s="2473" t="str">
        <f t="shared" si="6"/>
        <v/>
      </c>
      <c r="B16" s="2737"/>
      <c r="C16" s="2737"/>
      <c r="D16" s="2737"/>
      <c r="E16" s="2738"/>
      <c r="F16" s="2738"/>
      <c r="G16" s="2738"/>
      <c r="H16" s="2739"/>
      <c r="I16" s="2740"/>
      <c r="J16" s="2740"/>
      <c r="K16" s="2740"/>
      <c r="L16" s="2740"/>
      <c r="M16" s="2738"/>
      <c r="N16" s="2738"/>
      <c r="O16" s="2474">
        <f t="shared" si="0"/>
        <v>0</v>
      </c>
      <c r="P16" s="2474">
        <f t="shared" si="1"/>
        <v>0</v>
      </c>
      <c r="Q16" s="2475">
        <f t="shared" si="7"/>
        <v>0</v>
      </c>
      <c r="R16" s="2475">
        <f t="shared" si="8"/>
        <v>0</v>
      </c>
      <c r="S16" s="2476">
        <f t="shared" si="2"/>
        <v>0</v>
      </c>
      <c r="T16" s="2476">
        <f t="shared" si="3"/>
        <v>0</v>
      </c>
      <c r="U16" s="2477">
        <f>IF(OR(E16="QS",B16=""),0,
IF(C16="F",VLOOKUP($T16,'表30-5-2-5-3'!$B:$AF,MATCH($D16&amp;"a",'表30-5-2-5-3'!$4:$4,0)-1,FALSE)
-IF($S16-1&lt;=0,0,VLOOKUP($S16-1,'表30-5-2-5-3'!$B:$AF,MATCH($D16&amp;"a",'表30-5-2-5-3'!$4:$4,0)-1,FALSE))
-VLOOKUP($T16,'表30-5-2-5-3'!$B:$AF,MATCH($D16,'表30-5-2-5-3'!$4:$4,0)-1,FALSE)*(T16/100-N16/H16)*100
-VLOOKUP($S16,'表30-5-2-5-3'!$B:$AF,MATCH($D16,'表30-5-2-5-3'!$4:$4,0)-1,FALSE)*(1-(S16/100-M16/H16)*100),
IF(C16="E1",VLOOKUP($T16,'表30-5-2-5-4'!$B$4:$AF$104,MATCH($D16&amp;"a",'表30-5-2-5-4'!$4:$4,0)-1,FALSE)
-IF($S16-1&lt;=0,0,VLOOKUP($S16-1,'表30-5-2-5-4'!$B$4:$AF$104,MATCH($D16&amp;"a",'表30-5-2-5-4'!$4:$4,0)-1,FALSE))
-VLOOKUP($T16,'表30-5-2-5-4'!$B$4:$AF$104,MATCH($D16,'表30-5-2-5-4'!$4:$4,0)-1,FALSE)*(T16/100-N16/H16)*100
-VLOOKUP($S16,'表30-5-2-5-4'!$B$4:$AF$104,MATCH($D16,'表30-5-2-5-4'!$4:$4,0)-1,FALSE)*(1-(S16/100-M16/H16)*100),
IF(C16="E2",VLOOKUP($T16,'表30-5-2-5-4'!$B$114:$AF$214,MATCH($D16&amp;"a",'表30-5-2-5-4'!$4:$4,0)-1,FALSE)
-IF($S16-1&lt;=0,0,VLOOKUP($S16-1,'表30-5-2-5-4'!$B$114:$AF$214,MATCH($D16&amp;"a",'表30-5-2-5-4'!$4:$4,0)-1,FALSE))
-VLOOKUP($T16,'表30-5-2-5-4'!$B$114:$AF$214,MATCH($D16,'表30-5-2-5-4'!$4:$4,0)-1,FALSE)*(T16/100-N16/H16)*100
-VLOOKUP($S16,'表30-5-2-5-4'!$B$114:$AF$214,MATCH($D16,'表30-5-2-5-4'!$4:$4,0)-1,FALSE)*(1-(S16/100-M16/H16)*100),0))))</f>
        <v>0</v>
      </c>
      <c r="V16" s="2478">
        <f t="shared" si="4"/>
        <v>0</v>
      </c>
      <c r="W16" s="2478">
        <f t="shared" si="5"/>
        <v>0</v>
      </c>
      <c r="X16" s="2718">
        <f t="shared" si="9"/>
        <v>0</v>
      </c>
      <c r="Y16" s="2718">
        <f t="shared" si="10"/>
        <v>0</v>
      </c>
    </row>
    <row r="17" spans="1:25">
      <c r="A17" s="2473" t="str">
        <f t="shared" si="6"/>
        <v/>
      </c>
      <c r="B17" s="2737"/>
      <c r="C17" s="2737"/>
      <c r="D17" s="2737"/>
      <c r="E17" s="2738"/>
      <c r="F17" s="2738"/>
      <c r="G17" s="2738"/>
      <c r="H17" s="2739"/>
      <c r="I17" s="2740"/>
      <c r="J17" s="2740"/>
      <c r="K17" s="2740"/>
      <c r="L17" s="2740"/>
      <c r="M17" s="2738"/>
      <c r="N17" s="2738"/>
      <c r="O17" s="2474">
        <f t="shared" si="0"/>
        <v>0</v>
      </c>
      <c r="P17" s="2474">
        <f t="shared" si="1"/>
        <v>0</v>
      </c>
      <c r="Q17" s="2475">
        <f t="shared" si="7"/>
        <v>0</v>
      </c>
      <c r="R17" s="2475">
        <f t="shared" si="8"/>
        <v>0</v>
      </c>
      <c r="S17" s="2476">
        <f t="shared" si="2"/>
        <v>0</v>
      </c>
      <c r="T17" s="2476">
        <f t="shared" si="3"/>
        <v>0</v>
      </c>
      <c r="U17" s="2477">
        <f>IF(OR(E17="QS",B17=""),0,
IF(C17="F",VLOOKUP($T17,'表30-5-2-5-3'!$B:$AF,MATCH($D17&amp;"a",'表30-5-2-5-3'!$4:$4,0)-1,FALSE)
-IF($S17-1&lt;=0,0,VLOOKUP($S17-1,'表30-5-2-5-3'!$B:$AF,MATCH($D17&amp;"a",'表30-5-2-5-3'!$4:$4,0)-1,FALSE))
-VLOOKUP($T17,'表30-5-2-5-3'!$B:$AF,MATCH($D17,'表30-5-2-5-3'!$4:$4,0)-1,FALSE)*(T17/100-N17/H17)*100
-VLOOKUP($S17,'表30-5-2-5-3'!$B:$AF,MATCH($D17,'表30-5-2-5-3'!$4:$4,0)-1,FALSE)*(1-(S17/100-M17/H17)*100),
IF(C17="E1",VLOOKUP($T17,'表30-5-2-5-4'!$B$4:$AF$104,MATCH($D17&amp;"a",'表30-5-2-5-4'!$4:$4,0)-1,FALSE)
-IF($S17-1&lt;=0,0,VLOOKUP($S17-1,'表30-5-2-5-4'!$B$4:$AF$104,MATCH($D17&amp;"a",'表30-5-2-5-4'!$4:$4,0)-1,FALSE))
-VLOOKUP($T17,'表30-5-2-5-4'!$B$4:$AF$104,MATCH($D17,'表30-5-2-5-4'!$4:$4,0)-1,FALSE)*(T17/100-N17/H17)*100
-VLOOKUP($S17,'表30-5-2-5-4'!$B$4:$AF$104,MATCH($D17,'表30-5-2-5-4'!$4:$4,0)-1,FALSE)*(1-(S17/100-M17/H17)*100),
IF(C17="E2",VLOOKUP($T17,'表30-5-2-5-4'!$B$114:$AF$214,MATCH($D17&amp;"a",'表30-5-2-5-4'!$4:$4,0)-1,FALSE)
-IF($S17-1&lt;=0,0,VLOOKUP($S17-1,'表30-5-2-5-4'!$B$114:$AF$214,MATCH($D17&amp;"a",'表30-5-2-5-4'!$4:$4,0)-1,FALSE))
-VLOOKUP($T17,'表30-5-2-5-4'!$B$114:$AF$214,MATCH($D17,'表30-5-2-5-4'!$4:$4,0)-1,FALSE)*(T17/100-N17/H17)*100
-VLOOKUP($S17,'表30-5-2-5-4'!$B$114:$AF$214,MATCH($D17,'表30-5-2-5-4'!$4:$4,0)-1,FALSE)*(1-(S17/100-M17/H17)*100),0))))</f>
        <v>0</v>
      </c>
      <c r="V17" s="2478">
        <f t="shared" si="4"/>
        <v>0</v>
      </c>
      <c r="W17" s="2478">
        <f t="shared" si="5"/>
        <v>0</v>
      </c>
      <c r="X17" s="2718">
        <f t="shared" si="9"/>
        <v>0</v>
      </c>
      <c r="Y17" s="2718">
        <f t="shared" si="10"/>
        <v>0</v>
      </c>
    </row>
    <row r="18" spans="1:25">
      <c r="A18" s="2473" t="str">
        <f t="shared" si="6"/>
        <v/>
      </c>
      <c r="B18" s="2737"/>
      <c r="C18" s="2737"/>
      <c r="D18" s="2737"/>
      <c r="E18" s="2738"/>
      <c r="F18" s="2738"/>
      <c r="G18" s="2738"/>
      <c r="H18" s="2739"/>
      <c r="I18" s="2740"/>
      <c r="J18" s="2740"/>
      <c r="K18" s="2740"/>
      <c r="L18" s="2740"/>
      <c r="M18" s="2738"/>
      <c r="N18" s="2738"/>
      <c r="O18" s="2474">
        <f t="shared" si="0"/>
        <v>0</v>
      </c>
      <c r="P18" s="2474">
        <f t="shared" si="1"/>
        <v>0</v>
      </c>
      <c r="Q18" s="2475">
        <f t="shared" si="7"/>
        <v>0</v>
      </c>
      <c r="R18" s="2475">
        <f t="shared" si="8"/>
        <v>0</v>
      </c>
      <c r="S18" s="2476">
        <f t="shared" si="2"/>
        <v>0</v>
      </c>
      <c r="T18" s="2476">
        <f t="shared" si="3"/>
        <v>0</v>
      </c>
      <c r="U18" s="2477">
        <f>IF(OR(E18="QS",B18=""),0,
IF(C18="F",VLOOKUP($T18,'表30-5-2-5-3'!$B:$AF,MATCH($D18&amp;"a",'表30-5-2-5-3'!$4:$4,0)-1,FALSE)
-IF($S18-1&lt;=0,0,VLOOKUP($S18-1,'表30-5-2-5-3'!$B:$AF,MATCH($D18&amp;"a",'表30-5-2-5-3'!$4:$4,0)-1,FALSE))
-VLOOKUP($T18,'表30-5-2-5-3'!$B:$AF,MATCH($D18,'表30-5-2-5-3'!$4:$4,0)-1,FALSE)*(T18/100-N18/H18)*100
-VLOOKUP($S18,'表30-5-2-5-3'!$B:$AF,MATCH($D18,'表30-5-2-5-3'!$4:$4,0)-1,FALSE)*(1-(S18/100-M18/H18)*100),
IF(C18="E1",VLOOKUP($T18,'表30-5-2-5-4'!$B$4:$AF$104,MATCH($D18&amp;"a",'表30-5-2-5-4'!$4:$4,0)-1,FALSE)
-IF($S18-1&lt;=0,0,VLOOKUP($S18-1,'表30-5-2-5-4'!$B$4:$AF$104,MATCH($D18&amp;"a",'表30-5-2-5-4'!$4:$4,0)-1,FALSE))
-VLOOKUP($T18,'表30-5-2-5-4'!$B$4:$AF$104,MATCH($D18,'表30-5-2-5-4'!$4:$4,0)-1,FALSE)*(T18/100-N18/H18)*100
-VLOOKUP($S18,'表30-5-2-5-4'!$B$4:$AF$104,MATCH($D18,'表30-5-2-5-4'!$4:$4,0)-1,FALSE)*(1-(S18/100-M18/H18)*100),
IF(C18="E2",VLOOKUP($T18,'表30-5-2-5-4'!$B$114:$AF$214,MATCH($D18&amp;"a",'表30-5-2-5-4'!$4:$4,0)-1,FALSE)
-IF($S18-1&lt;=0,0,VLOOKUP($S18-1,'表30-5-2-5-4'!$B$114:$AF$214,MATCH($D18&amp;"a",'表30-5-2-5-4'!$4:$4,0)-1,FALSE))
-VLOOKUP($T18,'表30-5-2-5-4'!$B$114:$AF$214,MATCH($D18,'表30-5-2-5-4'!$4:$4,0)-1,FALSE)*(T18/100-N18/H18)*100
-VLOOKUP($S18,'表30-5-2-5-4'!$B$114:$AF$214,MATCH($D18,'表30-5-2-5-4'!$4:$4,0)-1,FALSE)*(1-(S18/100-M18/H18)*100),0))))</f>
        <v>0</v>
      </c>
      <c r="V18" s="2478">
        <f t="shared" si="4"/>
        <v>0</v>
      </c>
      <c r="W18" s="2478">
        <f t="shared" si="5"/>
        <v>0</v>
      </c>
      <c r="X18" s="2718">
        <f t="shared" si="9"/>
        <v>0</v>
      </c>
      <c r="Y18" s="2718">
        <f t="shared" si="10"/>
        <v>0</v>
      </c>
    </row>
    <row r="19" spans="1:25">
      <c r="A19" s="2473" t="str">
        <f t="shared" si="6"/>
        <v/>
      </c>
      <c r="B19" s="2737"/>
      <c r="C19" s="2737"/>
      <c r="D19" s="2737"/>
      <c r="E19" s="2738"/>
      <c r="F19" s="2738"/>
      <c r="G19" s="2738"/>
      <c r="H19" s="2739"/>
      <c r="I19" s="2740"/>
      <c r="J19" s="2740"/>
      <c r="K19" s="2740"/>
      <c r="L19" s="2740"/>
      <c r="M19" s="2738"/>
      <c r="N19" s="2738"/>
      <c r="O19" s="2474">
        <f t="shared" si="0"/>
        <v>0</v>
      </c>
      <c r="P19" s="2474">
        <f t="shared" si="1"/>
        <v>0</v>
      </c>
      <c r="Q19" s="2475">
        <f t="shared" si="7"/>
        <v>0</v>
      </c>
      <c r="R19" s="2475">
        <f t="shared" si="8"/>
        <v>0</v>
      </c>
      <c r="S19" s="2476">
        <f t="shared" si="2"/>
        <v>0</v>
      </c>
      <c r="T19" s="2476">
        <f t="shared" si="3"/>
        <v>0</v>
      </c>
      <c r="U19" s="2477">
        <f>IF(OR(E19="QS",B19=""),0,
IF(C19="F",VLOOKUP($T19,'表30-5-2-5-3'!$B:$AF,MATCH($D19&amp;"a",'表30-5-2-5-3'!$4:$4,0)-1,FALSE)
-IF($S19-1&lt;=0,0,VLOOKUP($S19-1,'表30-5-2-5-3'!$B:$AF,MATCH($D19&amp;"a",'表30-5-2-5-3'!$4:$4,0)-1,FALSE))
-VLOOKUP($T19,'表30-5-2-5-3'!$B:$AF,MATCH($D19,'表30-5-2-5-3'!$4:$4,0)-1,FALSE)*(T19/100-N19/H19)*100
-VLOOKUP($S19,'表30-5-2-5-3'!$B:$AF,MATCH($D19,'表30-5-2-5-3'!$4:$4,0)-1,FALSE)*(1-(S19/100-M19/H19)*100),
IF(C19="E1",VLOOKUP($T19,'表30-5-2-5-4'!$B$4:$AF$104,MATCH($D19&amp;"a",'表30-5-2-5-4'!$4:$4,0)-1,FALSE)
-IF($S19-1&lt;=0,0,VLOOKUP($S19-1,'表30-5-2-5-4'!$B$4:$AF$104,MATCH($D19&amp;"a",'表30-5-2-5-4'!$4:$4,0)-1,FALSE))
-VLOOKUP($T19,'表30-5-2-5-4'!$B$4:$AF$104,MATCH($D19,'表30-5-2-5-4'!$4:$4,0)-1,FALSE)*(T19/100-N19/H19)*100
-VLOOKUP($S19,'表30-5-2-5-4'!$B$4:$AF$104,MATCH($D19,'表30-5-2-5-4'!$4:$4,0)-1,FALSE)*(1-(S19/100-M19/H19)*100),
IF(C19="E2",VLOOKUP($T19,'表30-5-2-5-4'!$B$114:$AF$214,MATCH($D19&amp;"a",'表30-5-2-5-4'!$4:$4,0)-1,FALSE)
-IF($S19-1&lt;=0,0,VLOOKUP($S19-1,'表30-5-2-5-4'!$B$114:$AF$214,MATCH($D19&amp;"a",'表30-5-2-5-4'!$4:$4,0)-1,FALSE))
-VLOOKUP($T19,'表30-5-2-5-4'!$B$114:$AF$214,MATCH($D19,'表30-5-2-5-4'!$4:$4,0)-1,FALSE)*(T19/100-N19/H19)*100
-VLOOKUP($S19,'表30-5-2-5-4'!$B$114:$AF$214,MATCH($D19,'表30-5-2-5-4'!$4:$4,0)-1,FALSE)*(1-(S19/100-M19/H19)*100),0))))</f>
        <v>0</v>
      </c>
      <c r="V19" s="2478">
        <f t="shared" si="4"/>
        <v>0</v>
      </c>
      <c r="W19" s="2478">
        <f t="shared" si="5"/>
        <v>0</v>
      </c>
      <c r="X19" s="2718">
        <f t="shared" si="9"/>
        <v>0</v>
      </c>
      <c r="Y19" s="2718">
        <f t="shared" si="10"/>
        <v>0</v>
      </c>
    </row>
    <row r="20" spans="1:25">
      <c r="A20" s="2473" t="str">
        <f t="shared" si="6"/>
        <v/>
      </c>
      <c r="B20" s="2737"/>
      <c r="C20" s="2737"/>
      <c r="D20" s="2737"/>
      <c r="E20" s="2738"/>
      <c r="F20" s="2738"/>
      <c r="G20" s="2738"/>
      <c r="H20" s="2739"/>
      <c r="I20" s="2740"/>
      <c r="J20" s="2740"/>
      <c r="K20" s="2740"/>
      <c r="L20" s="2740"/>
      <c r="M20" s="2738"/>
      <c r="N20" s="2738"/>
      <c r="O20" s="2474">
        <f t="shared" si="0"/>
        <v>0</v>
      </c>
      <c r="P20" s="2474">
        <f t="shared" si="1"/>
        <v>0</v>
      </c>
      <c r="Q20" s="2475">
        <f t="shared" si="7"/>
        <v>0</v>
      </c>
      <c r="R20" s="2475">
        <f t="shared" si="8"/>
        <v>0</v>
      </c>
      <c r="S20" s="2476">
        <f t="shared" si="2"/>
        <v>0</v>
      </c>
      <c r="T20" s="2476">
        <f t="shared" si="3"/>
        <v>0</v>
      </c>
      <c r="U20" s="2477">
        <f>IF(OR(E20="QS",B20=""),0,
IF(C20="F",VLOOKUP($T20,'表30-5-2-5-3'!$B:$AF,MATCH($D20&amp;"a",'表30-5-2-5-3'!$4:$4,0)-1,FALSE)
-IF($S20-1&lt;=0,0,VLOOKUP($S20-1,'表30-5-2-5-3'!$B:$AF,MATCH($D20&amp;"a",'表30-5-2-5-3'!$4:$4,0)-1,FALSE))
-VLOOKUP($T20,'表30-5-2-5-3'!$B:$AF,MATCH($D20,'表30-5-2-5-3'!$4:$4,0)-1,FALSE)*(T20/100-N20/H20)*100
-VLOOKUP($S20,'表30-5-2-5-3'!$B:$AF,MATCH($D20,'表30-5-2-5-3'!$4:$4,0)-1,FALSE)*(1-(S20/100-M20/H20)*100),
IF(C20="E1",VLOOKUP($T20,'表30-5-2-5-4'!$B$4:$AF$104,MATCH($D20&amp;"a",'表30-5-2-5-4'!$4:$4,0)-1,FALSE)
-IF($S20-1&lt;=0,0,VLOOKUP($S20-1,'表30-5-2-5-4'!$B$4:$AF$104,MATCH($D20&amp;"a",'表30-5-2-5-4'!$4:$4,0)-1,FALSE))
-VLOOKUP($T20,'表30-5-2-5-4'!$B$4:$AF$104,MATCH($D20,'表30-5-2-5-4'!$4:$4,0)-1,FALSE)*(T20/100-N20/H20)*100
-VLOOKUP($S20,'表30-5-2-5-4'!$B$4:$AF$104,MATCH($D20,'表30-5-2-5-4'!$4:$4,0)-1,FALSE)*(1-(S20/100-M20/H20)*100),
IF(C20="E2",VLOOKUP($T20,'表30-5-2-5-4'!$B$114:$AF$214,MATCH($D20&amp;"a",'表30-5-2-5-4'!$4:$4,0)-1,FALSE)
-IF($S20-1&lt;=0,0,VLOOKUP($S20-1,'表30-5-2-5-4'!$B$114:$AF$214,MATCH($D20&amp;"a",'表30-5-2-5-4'!$4:$4,0)-1,FALSE))
-VLOOKUP($T20,'表30-5-2-5-4'!$B$114:$AF$214,MATCH($D20,'表30-5-2-5-4'!$4:$4,0)-1,FALSE)*(T20/100-N20/H20)*100
-VLOOKUP($S20,'表30-5-2-5-4'!$B$114:$AF$214,MATCH($D20,'表30-5-2-5-4'!$4:$4,0)-1,FALSE)*(1-(S20/100-M20/H20)*100),0))))</f>
        <v>0</v>
      </c>
      <c r="V20" s="2478">
        <f t="shared" si="4"/>
        <v>0</v>
      </c>
      <c r="W20" s="2478">
        <f t="shared" si="5"/>
        <v>0</v>
      </c>
      <c r="X20" s="2718">
        <f t="shared" si="9"/>
        <v>0</v>
      </c>
      <c r="Y20" s="2718">
        <f t="shared" si="10"/>
        <v>0</v>
      </c>
    </row>
    <row r="21" spans="1:25">
      <c r="A21" s="2473" t="str">
        <f t="shared" si="6"/>
        <v/>
      </c>
      <c r="B21" s="2737"/>
      <c r="C21" s="2737"/>
      <c r="D21" s="2737"/>
      <c r="E21" s="2738"/>
      <c r="F21" s="2738"/>
      <c r="G21" s="2738"/>
      <c r="H21" s="2739"/>
      <c r="I21" s="2740"/>
      <c r="J21" s="2740"/>
      <c r="K21" s="2740"/>
      <c r="L21" s="2740"/>
      <c r="M21" s="2738"/>
      <c r="N21" s="2738"/>
      <c r="O21" s="2474">
        <f t="shared" si="0"/>
        <v>0</v>
      </c>
      <c r="P21" s="2474">
        <f t="shared" si="1"/>
        <v>0</v>
      </c>
      <c r="Q21" s="2475">
        <f t="shared" si="7"/>
        <v>0</v>
      </c>
      <c r="R21" s="2475">
        <f t="shared" si="8"/>
        <v>0</v>
      </c>
      <c r="S21" s="2476">
        <f t="shared" si="2"/>
        <v>0</v>
      </c>
      <c r="T21" s="2476">
        <f t="shared" si="3"/>
        <v>0</v>
      </c>
      <c r="U21" s="2477">
        <f>IF(OR(E21="QS",B21=""),0,
IF(C21="F",VLOOKUP($T21,'表30-5-2-5-3'!$B:$AF,MATCH($D21&amp;"a",'表30-5-2-5-3'!$4:$4,0)-1,FALSE)
-IF($S21-1&lt;=0,0,VLOOKUP($S21-1,'表30-5-2-5-3'!$B:$AF,MATCH($D21&amp;"a",'表30-5-2-5-3'!$4:$4,0)-1,FALSE))
-VLOOKUP($T21,'表30-5-2-5-3'!$B:$AF,MATCH($D21,'表30-5-2-5-3'!$4:$4,0)-1,FALSE)*(T21/100-N21/H21)*100
-VLOOKUP($S21,'表30-5-2-5-3'!$B:$AF,MATCH($D21,'表30-5-2-5-3'!$4:$4,0)-1,FALSE)*(1-(S21/100-M21/H21)*100),
IF(C21="E1",VLOOKUP($T21,'表30-5-2-5-4'!$B$4:$AF$104,MATCH($D21&amp;"a",'表30-5-2-5-4'!$4:$4,0)-1,FALSE)
-IF($S21-1&lt;=0,0,VLOOKUP($S21-1,'表30-5-2-5-4'!$B$4:$AF$104,MATCH($D21&amp;"a",'表30-5-2-5-4'!$4:$4,0)-1,FALSE))
-VLOOKUP($T21,'表30-5-2-5-4'!$B$4:$AF$104,MATCH($D21,'表30-5-2-5-4'!$4:$4,0)-1,FALSE)*(T21/100-N21/H21)*100
-VLOOKUP($S21,'表30-5-2-5-4'!$B$4:$AF$104,MATCH($D21,'表30-5-2-5-4'!$4:$4,0)-1,FALSE)*(1-(S21/100-M21/H21)*100),
IF(C21="E2",VLOOKUP($T21,'表30-5-2-5-4'!$B$114:$AF$214,MATCH($D21&amp;"a",'表30-5-2-5-4'!$4:$4,0)-1,FALSE)
-IF($S21-1&lt;=0,0,VLOOKUP($S21-1,'表30-5-2-5-4'!$B$114:$AF$214,MATCH($D21&amp;"a",'表30-5-2-5-4'!$4:$4,0)-1,FALSE))
-VLOOKUP($T21,'表30-5-2-5-4'!$B$114:$AF$214,MATCH($D21,'表30-5-2-5-4'!$4:$4,0)-1,FALSE)*(T21/100-N21/H21)*100
-VLOOKUP($S21,'表30-5-2-5-4'!$B$114:$AF$214,MATCH($D21,'表30-5-2-5-4'!$4:$4,0)-1,FALSE)*(1-(S21/100-M21/H21)*100),0))))</f>
        <v>0</v>
      </c>
      <c r="V21" s="2478">
        <f t="shared" si="4"/>
        <v>0</v>
      </c>
      <c r="W21" s="2478">
        <f t="shared" si="5"/>
        <v>0</v>
      </c>
      <c r="X21" s="2718">
        <f t="shared" si="9"/>
        <v>0</v>
      </c>
      <c r="Y21" s="2718">
        <f t="shared" si="10"/>
        <v>0</v>
      </c>
    </row>
    <row r="22" spans="1:25">
      <c r="A22" s="2473" t="str">
        <f t="shared" si="6"/>
        <v/>
      </c>
      <c r="B22" s="2737"/>
      <c r="C22" s="2737"/>
      <c r="D22" s="2737"/>
      <c r="E22" s="2738"/>
      <c r="F22" s="2738"/>
      <c r="G22" s="2738"/>
      <c r="H22" s="2739"/>
      <c r="I22" s="2740"/>
      <c r="J22" s="2740"/>
      <c r="K22" s="2740"/>
      <c r="L22" s="2740"/>
      <c r="M22" s="2738"/>
      <c r="N22" s="2738"/>
      <c r="O22" s="2474">
        <f t="shared" si="0"/>
        <v>0</v>
      </c>
      <c r="P22" s="2474">
        <f t="shared" si="1"/>
        <v>0</v>
      </c>
      <c r="Q22" s="2475">
        <f t="shared" si="7"/>
        <v>0</v>
      </c>
      <c r="R22" s="2475">
        <f t="shared" si="8"/>
        <v>0</v>
      </c>
      <c r="S22" s="2476">
        <f t="shared" si="2"/>
        <v>0</v>
      </c>
      <c r="T22" s="2476">
        <f t="shared" si="3"/>
        <v>0</v>
      </c>
      <c r="U22" s="2477">
        <f>IF(OR(E22="QS",B22=""),0,
IF(C22="F",VLOOKUP($T22,'表30-5-2-5-3'!$B:$AF,MATCH($D22&amp;"a",'表30-5-2-5-3'!$4:$4,0)-1,FALSE)
-IF($S22-1&lt;=0,0,VLOOKUP($S22-1,'表30-5-2-5-3'!$B:$AF,MATCH($D22&amp;"a",'表30-5-2-5-3'!$4:$4,0)-1,FALSE))
-VLOOKUP($T22,'表30-5-2-5-3'!$B:$AF,MATCH($D22,'表30-5-2-5-3'!$4:$4,0)-1,FALSE)*(T22/100-N22/H22)*100
-VLOOKUP($S22,'表30-5-2-5-3'!$B:$AF,MATCH($D22,'表30-5-2-5-3'!$4:$4,0)-1,FALSE)*(1-(S22/100-M22/H22)*100),
IF(C22="E1",VLOOKUP($T22,'表30-5-2-5-4'!$B$4:$AF$104,MATCH($D22&amp;"a",'表30-5-2-5-4'!$4:$4,0)-1,FALSE)
-IF($S22-1&lt;=0,0,VLOOKUP($S22-1,'表30-5-2-5-4'!$B$4:$AF$104,MATCH($D22&amp;"a",'表30-5-2-5-4'!$4:$4,0)-1,FALSE))
-VLOOKUP($T22,'表30-5-2-5-4'!$B$4:$AF$104,MATCH($D22,'表30-5-2-5-4'!$4:$4,0)-1,FALSE)*(T22/100-N22/H22)*100
-VLOOKUP($S22,'表30-5-2-5-4'!$B$4:$AF$104,MATCH($D22,'表30-5-2-5-4'!$4:$4,0)-1,FALSE)*(1-(S22/100-M22/H22)*100),
IF(C22="E2",VLOOKUP($T22,'表30-5-2-5-4'!$B$114:$AF$214,MATCH($D22&amp;"a",'表30-5-2-5-4'!$4:$4,0)-1,FALSE)
-IF($S22-1&lt;=0,0,VLOOKUP($S22-1,'表30-5-2-5-4'!$B$114:$AF$214,MATCH($D22&amp;"a",'表30-5-2-5-4'!$4:$4,0)-1,FALSE))
-VLOOKUP($T22,'表30-5-2-5-4'!$B$114:$AF$214,MATCH($D22,'表30-5-2-5-4'!$4:$4,0)-1,FALSE)*(T22/100-N22/H22)*100
-VLOOKUP($S22,'表30-5-2-5-4'!$B$114:$AF$214,MATCH($D22,'表30-5-2-5-4'!$4:$4,0)-1,FALSE)*(1-(S22/100-M22/H22)*100),0))))</f>
        <v>0</v>
      </c>
      <c r="V22" s="2478">
        <f t="shared" si="4"/>
        <v>0</v>
      </c>
      <c r="W22" s="2478">
        <f t="shared" si="5"/>
        <v>0</v>
      </c>
      <c r="X22" s="2718">
        <f t="shared" si="9"/>
        <v>0</v>
      </c>
      <c r="Y22" s="2718">
        <f t="shared" si="10"/>
        <v>0</v>
      </c>
    </row>
    <row r="23" spans="1:25">
      <c r="A23" s="2473" t="str">
        <f t="shared" si="6"/>
        <v/>
      </c>
      <c r="B23" s="2737"/>
      <c r="C23" s="2737"/>
      <c r="D23" s="2737"/>
      <c r="E23" s="2738"/>
      <c r="F23" s="2738"/>
      <c r="G23" s="2738"/>
      <c r="H23" s="2739"/>
      <c r="I23" s="2740"/>
      <c r="J23" s="2740"/>
      <c r="K23" s="2740"/>
      <c r="L23" s="2740"/>
      <c r="M23" s="2738"/>
      <c r="N23" s="2738"/>
      <c r="O23" s="2474">
        <f t="shared" si="0"/>
        <v>0</v>
      </c>
      <c r="P23" s="2474">
        <f t="shared" si="1"/>
        <v>0</v>
      </c>
      <c r="Q23" s="2475">
        <f t="shared" si="7"/>
        <v>0</v>
      </c>
      <c r="R23" s="2475">
        <f t="shared" si="8"/>
        <v>0</v>
      </c>
      <c r="S23" s="2476">
        <f t="shared" si="2"/>
        <v>0</v>
      </c>
      <c r="T23" s="2476">
        <f t="shared" si="3"/>
        <v>0</v>
      </c>
      <c r="U23" s="2477">
        <f>IF(OR(E23="QS",B23=""),0,
IF(C23="F",VLOOKUP($T23,'表30-5-2-5-3'!$B:$AF,MATCH($D23&amp;"a",'表30-5-2-5-3'!$4:$4,0)-1,FALSE)
-IF($S23-1&lt;=0,0,VLOOKUP($S23-1,'表30-5-2-5-3'!$B:$AF,MATCH($D23&amp;"a",'表30-5-2-5-3'!$4:$4,0)-1,FALSE))
-VLOOKUP($T23,'表30-5-2-5-3'!$B:$AF,MATCH($D23,'表30-5-2-5-3'!$4:$4,0)-1,FALSE)*(T23/100-N23/H23)*100
-VLOOKUP($S23,'表30-5-2-5-3'!$B:$AF,MATCH($D23,'表30-5-2-5-3'!$4:$4,0)-1,FALSE)*(1-(S23/100-M23/H23)*100),
IF(C23="E1",VLOOKUP($T23,'表30-5-2-5-4'!$B$4:$AF$104,MATCH($D23&amp;"a",'表30-5-2-5-4'!$4:$4,0)-1,FALSE)
-IF($S23-1&lt;=0,0,VLOOKUP($S23-1,'表30-5-2-5-4'!$B$4:$AF$104,MATCH($D23&amp;"a",'表30-5-2-5-4'!$4:$4,0)-1,FALSE))
-VLOOKUP($T23,'表30-5-2-5-4'!$B$4:$AF$104,MATCH($D23,'表30-5-2-5-4'!$4:$4,0)-1,FALSE)*(T23/100-N23/H23)*100
-VLOOKUP($S23,'表30-5-2-5-4'!$B$4:$AF$104,MATCH($D23,'表30-5-2-5-4'!$4:$4,0)-1,FALSE)*(1-(S23/100-M23/H23)*100),
IF(C23="E2",VLOOKUP($T23,'表30-5-2-5-4'!$B$114:$AF$214,MATCH($D23&amp;"a",'表30-5-2-5-4'!$4:$4,0)-1,FALSE)
-IF($S23-1&lt;=0,0,VLOOKUP($S23-1,'表30-5-2-5-4'!$B$114:$AF$214,MATCH($D23&amp;"a",'表30-5-2-5-4'!$4:$4,0)-1,FALSE))
-VLOOKUP($T23,'表30-5-2-5-4'!$B$114:$AF$214,MATCH($D23,'表30-5-2-5-4'!$4:$4,0)-1,FALSE)*(T23/100-N23/H23)*100
-VLOOKUP($S23,'表30-5-2-5-4'!$B$114:$AF$214,MATCH($D23,'表30-5-2-5-4'!$4:$4,0)-1,FALSE)*(1-(S23/100-M23/H23)*100),0))))</f>
        <v>0</v>
      </c>
      <c r="V23" s="2478">
        <f t="shared" si="4"/>
        <v>0</v>
      </c>
      <c r="W23" s="2478">
        <f t="shared" si="5"/>
        <v>0</v>
      </c>
      <c r="X23" s="2718">
        <f t="shared" si="9"/>
        <v>0</v>
      </c>
      <c r="Y23" s="2718">
        <f t="shared" si="10"/>
        <v>0</v>
      </c>
    </row>
    <row r="24" spans="1:25">
      <c r="A24" s="2473" t="str">
        <f t="shared" si="6"/>
        <v/>
      </c>
      <c r="B24" s="2737"/>
      <c r="C24" s="2737"/>
      <c r="D24" s="2737"/>
      <c r="E24" s="2738"/>
      <c r="F24" s="2738"/>
      <c r="G24" s="2738"/>
      <c r="H24" s="2739"/>
      <c r="I24" s="2740"/>
      <c r="J24" s="2740"/>
      <c r="K24" s="2740"/>
      <c r="L24" s="2740"/>
      <c r="M24" s="2738"/>
      <c r="N24" s="2738"/>
      <c r="O24" s="2474">
        <f t="shared" si="0"/>
        <v>0</v>
      </c>
      <c r="P24" s="2474">
        <f>IF(E24="QS",G24*J24,0)</f>
        <v>0</v>
      </c>
      <c r="Q24" s="2475">
        <f t="shared" si="7"/>
        <v>0</v>
      </c>
      <c r="R24" s="2475">
        <f t="shared" si="8"/>
        <v>0</v>
      </c>
      <c r="S24" s="2476">
        <f t="shared" si="2"/>
        <v>0</v>
      </c>
      <c r="T24" s="2476">
        <f t="shared" si="3"/>
        <v>0</v>
      </c>
      <c r="U24" s="2477">
        <f>IF(OR(E24="QS",B24=""),0,
IF(C24="F",VLOOKUP($T24,'表30-5-2-5-3'!$B:$AF,MATCH($D24&amp;"a",'表30-5-2-5-3'!$4:$4,0)-1,FALSE)
-IF($S24-1&lt;=0,0,VLOOKUP($S24-1,'表30-5-2-5-3'!$B:$AF,MATCH($D24&amp;"a",'表30-5-2-5-3'!$4:$4,0)-1,FALSE))
-VLOOKUP($T24,'表30-5-2-5-3'!$B:$AF,MATCH($D24,'表30-5-2-5-3'!$4:$4,0)-1,FALSE)*(T24/100-N24/H24)*100
-VLOOKUP($S24,'表30-5-2-5-3'!$B:$AF,MATCH($D24,'表30-5-2-5-3'!$4:$4,0)-1,FALSE)*(1-(S24/100-M24/H24)*100),
IF(C24="E1",VLOOKUP($T24,'表30-5-2-5-4'!$B$4:$AF$104,MATCH($D24&amp;"a",'表30-5-2-5-4'!$4:$4,0)-1,FALSE)
-IF($S24-1&lt;=0,0,VLOOKUP($S24-1,'表30-5-2-5-4'!$B$4:$AF$104,MATCH($D24&amp;"a",'表30-5-2-5-4'!$4:$4,0)-1,FALSE))
-VLOOKUP($T24,'表30-5-2-5-4'!$B$4:$AF$104,MATCH($D24,'表30-5-2-5-4'!$4:$4,0)-1,FALSE)*(T24/100-N24/H24)*100
-VLOOKUP($S24,'表30-5-2-5-4'!$B$4:$AF$104,MATCH($D24,'表30-5-2-5-4'!$4:$4,0)-1,FALSE)*(1-(S24/100-M24/H24)*100),
IF(C24="E2",VLOOKUP($T24,'表30-5-2-5-4'!$B$114:$AF$214,MATCH($D24&amp;"a",'表30-5-2-5-4'!$4:$4,0)-1,FALSE)
-IF($S24-1&lt;=0,0,VLOOKUP($S24-1,'表30-5-2-5-4'!$B$114:$AF$214,MATCH($D24&amp;"a",'表30-5-2-5-4'!$4:$4,0)-1,FALSE))
-VLOOKUP($T24,'表30-5-2-5-4'!$B$114:$AF$214,MATCH($D24,'表30-5-2-5-4'!$4:$4,0)-1,FALSE)*(T24/100-N24/H24)*100
-VLOOKUP($S24,'表30-5-2-5-4'!$B$114:$AF$214,MATCH($D24,'表30-5-2-5-4'!$4:$4,0)-1,FALSE)*(1-(S24/100-M24/H24)*100),0))))</f>
        <v>0</v>
      </c>
      <c r="V24" s="2478">
        <f t="shared" si="4"/>
        <v>0</v>
      </c>
      <c r="W24" s="2478">
        <f t="shared" si="5"/>
        <v>0</v>
      </c>
      <c r="X24" s="2718">
        <f t="shared" si="9"/>
        <v>0</v>
      </c>
      <c r="Y24" s="2718">
        <f t="shared" si="10"/>
        <v>0</v>
      </c>
    </row>
    <row r="25" spans="1:25">
      <c r="A25" s="2473" t="str">
        <f t="shared" si="6"/>
        <v/>
      </c>
      <c r="B25" s="2737"/>
      <c r="C25" s="2737"/>
      <c r="D25" s="2737"/>
      <c r="E25" s="2738"/>
      <c r="F25" s="2738"/>
      <c r="G25" s="2738"/>
      <c r="H25" s="2739"/>
      <c r="I25" s="2740"/>
      <c r="J25" s="2740"/>
      <c r="K25" s="2740"/>
      <c r="L25" s="2740"/>
      <c r="M25" s="2738"/>
      <c r="N25" s="2738"/>
      <c r="O25" s="2474">
        <f t="shared" si="0"/>
        <v>0</v>
      </c>
      <c r="P25" s="2474">
        <f t="shared" si="1"/>
        <v>0</v>
      </c>
      <c r="Q25" s="2475">
        <f t="shared" si="7"/>
        <v>0</v>
      </c>
      <c r="R25" s="2475">
        <f t="shared" si="8"/>
        <v>0</v>
      </c>
      <c r="S25" s="2476">
        <f t="shared" si="2"/>
        <v>0</v>
      </c>
      <c r="T25" s="2476">
        <f t="shared" si="3"/>
        <v>0</v>
      </c>
      <c r="U25" s="2477">
        <f>IF(OR(E25="QS",B25=""),0,
IF(C25="F",VLOOKUP($T25,'表30-5-2-5-3'!$B:$AF,MATCH($D25&amp;"a",'表30-5-2-5-3'!$4:$4,0)-1,FALSE)
-IF($S25-1&lt;=0,0,VLOOKUP($S25-1,'表30-5-2-5-3'!$B:$AF,MATCH($D25&amp;"a",'表30-5-2-5-3'!$4:$4,0)-1,FALSE))
-VLOOKUP($T25,'表30-5-2-5-3'!$B:$AF,MATCH($D25,'表30-5-2-5-3'!$4:$4,0)-1,FALSE)*(T25/100-N25/H25)*100
-VLOOKUP($S25,'表30-5-2-5-3'!$B:$AF,MATCH($D25,'表30-5-2-5-3'!$4:$4,0)-1,FALSE)*(1-(S25/100-M25/H25)*100),
IF(C25="E1",VLOOKUP($T25,'表30-5-2-5-4'!$B$4:$AF$104,MATCH($D25&amp;"a",'表30-5-2-5-4'!$4:$4,0)-1,FALSE)
-IF($S25-1&lt;=0,0,VLOOKUP($S25-1,'表30-5-2-5-4'!$B$4:$AF$104,MATCH($D25&amp;"a",'表30-5-2-5-4'!$4:$4,0)-1,FALSE))
-VLOOKUP($T25,'表30-5-2-5-4'!$B$4:$AF$104,MATCH($D25,'表30-5-2-5-4'!$4:$4,0)-1,FALSE)*(T25/100-N25/H25)*100
-VLOOKUP($S25,'表30-5-2-5-4'!$B$4:$AF$104,MATCH($D25,'表30-5-2-5-4'!$4:$4,0)-1,FALSE)*(1-(S25/100-M25/H25)*100),
IF(C25="E2",VLOOKUP($T25,'表30-5-2-5-4'!$B$114:$AF$214,MATCH($D25&amp;"a",'表30-5-2-5-4'!$4:$4,0)-1,FALSE)
-IF($S25-1&lt;=0,0,VLOOKUP($S25-1,'表30-5-2-5-4'!$B$114:$AF$214,MATCH($D25&amp;"a",'表30-5-2-5-4'!$4:$4,0)-1,FALSE))
-VLOOKUP($T25,'表30-5-2-5-4'!$B$114:$AF$214,MATCH($D25,'表30-5-2-5-4'!$4:$4,0)-1,FALSE)*(T25/100-N25/H25)*100
-VLOOKUP($S25,'表30-5-2-5-4'!$B$114:$AF$214,MATCH($D25,'表30-5-2-5-4'!$4:$4,0)-1,FALSE)*(1-(S25/100-M25/H25)*100),0))))</f>
        <v>0</v>
      </c>
      <c r="V25" s="2478">
        <f t="shared" si="4"/>
        <v>0</v>
      </c>
      <c r="W25" s="2478">
        <f t="shared" si="5"/>
        <v>0</v>
      </c>
      <c r="X25" s="2718">
        <f t="shared" si="9"/>
        <v>0</v>
      </c>
      <c r="Y25" s="2718">
        <f t="shared" si="10"/>
        <v>0</v>
      </c>
    </row>
    <row r="26" spans="1:25">
      <c r="A26" s="2473" t="str">
        <f t="shared" si="6"/>
        <v/>
      </c>
      <c r="B26" s="2737"/>
      <c r="C26" s="2737"/>
      <c r="D26" s="2737"/>
      <c r="E26" s="2738"/>
      <c r="F26" s="2738"/>
      <c r="G26" s="2738"/>
      <c r="H26" s="2739"/>
      <c r="I26" s="2740"/>
      <c r="J26" s="2740"/>
      <c r="K26" s="2740"/>
      <c r="L26" s="2740"/>
      <c r="M26" s="2738"/>
      <c r="N26" s="2738"/>
      <c r="O26" s="2474">
        <f t="shared" si="0"/>
        <v>0</v>
      </c>
      <c r="P26" s="2474">
        <f t="shared" si="1"/>
        <v>0</v>
      </c>
      <c r="Q26" s="2475">
        <f t="shared" si="7"/>
        <v>0</v>
      </c>
      <c r="R26" s="2475">
        <f t="shared" si="8"/>
        <v>0</v>
      </c>
      <c r="S26" s="2476">
        <f t="shared" si="2"/>
        <v>0</v>
      </c>
      <c r="T26" s="2476">
        <f t="shared" si="3"/>
        <v>0</v>
      </c>
      <c r="U26" s="2477">
        <f>IF(OR(E26="QS",B26=""),0,
IF(C26="F",VLOOKUP($T26,'表30-5-2-5-3'!$B:$AF,MATCH($D26&amp;"a",'表30-5-2-5-3'!$4:$4,0)-1,FALSE)
-IF($S26-1&lt;=0,0,VLOOKUP($S26-1,'表30-5-2-5-3'!$B:$AF,MATCH($D26&amp;"a",'表30-5-2-5-3'!$4:$4,0)-1,FALSE))
-VLOOKUP($T26,'表30-5-2-5-3'!$B:$AF,MATCH($D26,'表30-5-2-5-3'!$4:$4,0)-1,FALSE)*(T26/100-N26/H26)*100
-VLOOKUP($S26,'表30-5-2-5-3'!$B:$AF,MATCH($D26,'表30-5-2-5-3'!$4:$4,0)-1,FALSE)*(1-(S26/100-M26/H26)*100),
IF(C26="E1",VLOOKUP($T26,'表30-5-2-5-4'!$B$4:$AF$104,MATCH($D26&amp;"a",'表30-5-2-5-4'!$4:$4,0)-1,FALSE)
-IF($S26-1&lt;=0,0,VLOOKUP($S26-1,'表30-5-2-5-4'!$B$4:$AF$104,MATCH($D26&amp;"a",'表30-5-2-5-4'!$4:$4,0)-1,FALSE))
-VLOOKUP($T26,'表30-5-2-5-4'!$B$4:$AF$104,MATCH($D26,'表30-5-2-5-4'!$4:$4,0)-1,FALSE)*(T26/100-N26/H26)*100
-VLOOKUP($S26,'表30-5-2-5-4'!$B$4:$AF$104,MATCH($D26,'表30-5-2-5-4'!$4:$4,0)-1,FALSE)*(1-(S26/100-M26/H26)*100),
IF(C26="E2",VLOOKUP($T26,'表30-5-2-5-4'!$B$114:$AF$214,MATCH($D26&amp;"a",'表30-5-2-5-4'!$4:$4,0)-1,FALSE)
-IF($S26-1&lt;=0,0,VLOOKUP($S26-1,'表30-5-2-5-4'!$B$114:$AF$214,MATCH($D26&amp;"a",'表30-5-2-5-4'!$4:$4,0)-1,FALSE))
-VLOOKUP($T26,'表30-5-2-5-4'!$B$114:$AF$214,MATCH($D26,'表30-5-2-5-4'!$4:$4,0)-1,FALSE)*(T26/100-N26/H26)*100
-VLOOKUP($S26,'表30-5-2-5-4'!$B$114:$AF$214,MATCH($D26,'表30-5-2-5-4'!$4:$4,0)-1,FALSE)*(1-(S26/100-M26/H26)*100),0))))</f>
        <v>0</v>
      </c>
      <c r="V26" s="2478">
        <f t="shared" si="4"/>
        <v>0</v>
      </c>
      <c r="W26" s="2478">
        <f t="shared" si="5"/>
        <v>0</v>
      </c>
      <c r="X26" s="2718">
        <f t="shared" si="9"/>
        <v>0</v>
      </c>
      <c r="Y26" s="2718">
        <f t="shared" si="10"/>
        <v>0</v>
      </c>
    </row>
    <row r="27" spans="1:25">
      <c r="A27" s="2473" t="str">
        <f t="shared" si="6"/>
        <v/>
      </c>
      <c r="B27" s="2737"/>
      <c r="C27" s="2737"/>
      <c r="D27" s="2737"/>
      <c r="E27" s="2738"/>
      <c r="F27" s="2738"/>
      <c r="G27" s="2738"/>
      <c r="H27" s="2739"/>
      <c r="I27" s="2740"/>
      <c r="J27" s="2740"/>
      <c r="K27" s="2740"/>
      <c r="L27" s="2740"/>
      <c r="M27" s="2738"/>
      <c r="N27" s="2738"/>
      <c r="O27" s="2474">
        <f t="shared" si="0"/>
        <v>0</v>
      </c>
      <c r="P27" s="2474">
        <f t="shared" si="1"/>
        <v>0</v>
      </c>
      <c r="Q27" s="2475">
        <f t="shared" si="7"/>
        <v>0</v>
      </c>
      <c r="R27" s="2475">
        <f t="shared" si="8"/>
        <v>0</v>
      </c>
      <c r="S27" s="2476">
        <f t="shared" si="2"/>
        <v>0</v>
      </c>
      <c r="T27" s="2476">
        <f t="shared" si="3"/>
        <v>0</v>
      </c>
      <c r="U27" s="2477">
        <f>IF(OR(E27="QS",B27=""),0,
IF(C27="F",VLOOKUP($T27,'表30-5-2-5-3'!$B:$AF,MATCH($D27&amp;"a",'表30-5-2-5-3'!$4:$4,0)-1,FALSE)
-IF($S27-1&lt;=0,0,VLOOKUP($S27-1,'表30-5-2-5-3'!$B:$AF,MATCH($D27&amp;"a",'表30-5-2-5-3'!$4:$4,0)-1,FALSE))
-VLOOKUP($T27,'表30-5-2-5-3'!$B:$AF,MATCH($D27,'表30-5-2-5-3'!$4:$4,0)-1,FALSE)*(T27/100-N27/H27)*100
-VLOOKUP($S27,'表30-5-2-5-3'!$B:$AF,MATCH($D27,'表30-5-2-5-3'!$4:$4,0)-1,FALSE)*(1-(S27/100-M27/H27)*100),
IF(C27="E1",VLOOKUP($T27,'表30-5-2-5-4'!$B$4:$AF$104,MATCH($D27&amp;"a",'表30-5-2-5-4'!$4:$4,0)-1,FALSE)
-IF($S27-1&lt;=0,0,VLOOKUP($S27-1,'表30-5-2-5-4'!$B$4:$AF$104,MATCH($D27&amp;"a",'表30-5-2-5-4'!$4:$4,0)-1,FALSE))
-VLOOKUP($T27,'表30-5-2-5-4'!$B$4:$AF$104,MATCH($D27,'表30-5-2-5-4'!$4:$4,0)-1,FALSE)*(T27/100-N27/H27)*100
-VLOOKUP($S27,'表30-5-2-5-4'!$B$4:$AF$104,MATCH($D27,'表30-5-2-5-4'!$4:$4,0)-1,FALSE)*(1-(S27/100-M27/H27)*100),
IF(C27="E2",VLOOKUP($T27,'表30-5-2-5-4'!$B$114:$AF$214,MATCH($D27&amp;"a",'表30-5-2-5-4'!$4:$4,0)-1,FALSE)
-IF($S27-1&lt;=0,0,VLOOKUP($S27-1,'表30-5-2-5-4'!$B$114:$AF$214,MATCH($D27&amp;"a",'表30-5-2-5-4'!$4:$4,0)-1,FALSE))
-VLOOKUP($T27,'表30-5-2-5-4'!$B$114:$AF$214,MATCH($D27,'表30-5-2-5-4'!$4:$4,0)-1,FALSE)*(T27/100-N27/H27)*100
-VLOOKUP($S27,'表30-5-2-5-4'!$B$114:$AF$214,MATCH($D27,'表30-5-2-5-4'!$4:$4,0)-1,FALSE)*(1-(S27/100-M27/H27)*100),0))))</f>
        <v>0</v>
      </c>
      <c r="V27" s="2478">
        <f t="shared" si="4"/>
        <v>0</v>
      </c>
      <c r="W27" s="2478">
        <f t="shared" si="5"/>
        <v>0</v>
      </c>
      <c r="X27" s="2718">
        <f t="shared" si="9"/>
        <v>0</v>
      </c>
      <c r="Y27" s="2718">
        <f t="shared" si="10"/>
        <v>0</v>
      </c>
    </row>
    <row r="28" spans="1:25">
      <c r="A28" s="2473" t="str">
        <f t="shared" si="6"/>
        <v/>
      </c>
      <c r="B28" s="2737"/>
      <c r="C28" s="2737"/>
      <c r="D28" s="2737"/>
      <c r="E28" s="2738"/>
      <c r="F28" s="2738"/>
      <c r="G28" s="2738"/>
      <c r="H28" s="2739"/>
      <c r="I28" s="2740"/>
      <c r="J28" s="2740"/>
      <c r="K28" s="2740"/>
      <c r="L28" s="2740"/>
      <c r="M28" s="2738"/>
      <c r="N28" s="2738"/>
      <c r="O28" s="2474">
        <f t="shared" si="0"/>
        <v>0</v>
      </c>
      <c r="P28" s="2474">
        <f t="shared" si="1"/>
        <v>0</v>
      </c>
      <c r="Q28" s="2475">
        <f t="shared" si="7"/>
        <v>0</v>
      </c>
      <c r="R28" s="2475">
        <f t="shared" si="8"/>
        <v>0</v>
      </c>
      <c r="S28" s="2476">
        <f t="shared" si="2"/>
        <v>0</v>
      </c>
      <c r="T28" s="2476">
        <f t="shared" si="3"/>
        <v>0</v>
      </c>
      <c r="U28" s="2477">
        <f>IF(OR(E28="QS",B28=""),0,
IF(C28="F",VLOOKUP($T28,'表30-5-2-5-3'!$B:$AF,MATCH($D28&amp;"a",'表30-5-2-5-3'!$4:$4,0)-1,FALSE)
-IF($S28-1&lt;=0,0,VLOOKUP($S28-1,'表30-5-2-5-3'!$B:$AF,MATCH($D28&amp;"a",'表30-5-2-5-3'!$4:$4,0)-1,FALSE))
-VLOOKUP($T28,'表30-5-2-5-3'!$B:$AF,MATCH($D28,'表30-5-2-5-3'!$4:$4,0)-1,FALSE)*(T28/100-N28/H28)*100
-VLOOKUP($S28,'表30-5-2-5-3'!$B:$AF,MATCH($D28,'表30-5-2-5-3'!$4:$4,0)-1,FALSE)*(1-(S28/100-M28/H28)*100),
IF(C28="E1",VLOOKUP($T28,'表30-5-2-5-4'!$B$4:$AF$104,MATCH($D28&amp;"a",'表30-5-2-5-4'!$4:$4,0)-1,FALSE)
-IF($S28-1&lt;=0,0,VLOOKUP($S28-1,'表30-5-2-5-4'!$B$4:$AF$104,MATCH($D28&amp;"a",'表30-5-2-5-4'!$4:$4,0)-1,FALSE))
-VLOOKUP($T28,'表30-5-2-5-4'!$B$4:$AF$104,MATCH($D28,'表30-5-2-5-4'!$4:$4,0)-1,FALSE)*(T28/100-N28/H28)*100
-VLOOKUP($S28,'表30-5-2-5-4'!$B$4:$AF$104,MATCH($D28,'表30-5-2-5-4'!$4:$4,0)-1,FALSE)*(1-(S28/100-M28/H28)*100),
IF(C28="E2",VLOOKUP($T28,'表30-5-2-5-4'!$B$114:$AF$214,MATCH($D28&amp;"a",'表30-5-2-5-4'!$4:$4,0)-1,FALSE)
-IF($S28-1&lt;=0,0,VLOOKUP($S28-1,'表30-5-2-5-4'!$B$114:$AF$214,MATCH($D28&amp;"a",'表30-5-2-5-4'!$4:$4,0)-1,FALSE))
-VLOOKUP($T28,'表30-5-2-5-4'!$B$114:$AF$214,MATCH($D28,'表30-5-2-5-4'!$4:$4,0)-1,FALSE)*(T28/100-N28/H28)*100
-VLOOKUP($S28,'表30-5-2-5-4'!$B$114:$AF$214,MATCH($D28,'表30-5-2-5-4'!$4:$4,0)-1,FALSE)*(1-(S28/100-M28/H28)*100),0))))</f>
        <v>0</v>
      </c>
      <c r="V28" s="2478">
        <f t="shared" si="4"/>
        <v>0</v>
      </c>
      <c r="W28" s="2478">
        <f t="shared" si="5"/>
        <v>0</v>
      </c>
      <c r="X28" s="2718">
        <f t="shared" si="9"/>
        <v>0</v>
      </c>
      <c r="Y28" s="2718">
        <f t="shared" si="10"/>
        <v>0</v>
      </c>
    </row>
    <row r="29" spans="1:25">
      <c r="A29" s="2473" t="str">
        <f t="shared" si="6"/>
        <v/>
      </c>
      <c r="B29" s="2737"/>
      <c r="C29" s="2737"/>
      <c r="D29" s="2737"/>
      <c r="E29" s="2738"/>
      <c r="F29" s="2738"/>
      <c r="G29" s="2738"/>
      <c r="H29" s="2739"/>
      <c r="I29" s="2740"/>
      <c r="J29" s="2740"/>
      <c r="K29" s="2740"/>
      <c r="L29" s="2740"/>
      <c r="M29" s="2738"/>
      <c r="N29" s="2738"/>
      <c r="O29" s="2474">
        <f t="shared" si="0"/>
        <v>0</v>
      </c>
      <c r="P29" s="2474">
        <f t="shared" si="1"/>
        <v>0</v>
      </c>
      <c r="Q29" s="2475">
        <f t="shared" si="7"/>
        <v>0</v>
      </c>
      <c r="R29" s="2475">
        <f t="shared" si="8"/>
        <v>0</v>
      </c>
      <c r="S29" s="2476">
        <f t="shared" si="2"/>
        <v>0</v>
      </c>
      <c r="T29" s="2476">
        <f t="shared" si="3"/>
        <v>0</v>
      </c>
      <c r="U29" s="2477">
        <f>IF(OR(E29="QS",B29=""),0,
IF(C29="F",VLOOKUP($T29,'表30-5-2-5-3'!$B:$AF,MATCH($D29&amp;"a",'表30-5-2-5-3'!$4:$4,0)-1,FALSE)
-IF($S29-1&lt;=0,0,VLOOKUP($S29-1,'表30-5-2-5-3'!$B:$AF,MATCH($D29&amp;"a",'表30-5-2-5-3'!$4:$4,0)-1,FALSE))
-VLOOKUP($T29,'表30-5-2-5-3'!$B:$AF,MATCH($D29,'表30-5-2-5-3'!$4:$4,0)-1,FALSE)*(T29/100-N29/H29)*100
-VLOOKUP($S29,'表30-5-2-5-3'!$B:$AF,MATCH($D29,'表30-5-2-5-3'!$4:$4,0)-1,FALSE)*(1-(S29/100-M29/H29)*100),
IF(C29="E1",VLOOKUP($T29,'表30-5-2-5-4'!$B$4:$AF$104,MATCH($D29&amp;"a",'表30-5-2-5-4'!$4:$4,0)-1,FALSE)
-IF($S29-1&lt;=0,0,VLOOKUP($S29-1,'表30-5-2-5-4'!$B$4:$AF$104,MATCH($D29&amp;"a",'表30-5-2-5-4'!$4:$4,0)-1,FALSE))
-VLOOKUP($T29,'表30-5-2-5-4'!$B$4:$AF$104,MATCH($D29,'表30-5-2-5-4'!$4:$4,0)-1,FALSE)*(T29/100-N29/H29)*100
-VLOOKUP($S29,'表30-5-2-5-4'!$B$4:$AF$104,MATCH($D29,'表30-5-2-5-4'!$4:$4,0)-1,FALSE)*(1-(S29/100-M29/H29)*100),
IF(C29="E2",VLOOKUP($T29,'表30-5-2-5-4'!$B$114:$AF$214,MATCH($D29&amp;"a",'表30-5-2-5-4'!$4:$4,0)-1,FALSE)
-IF($S29-1&lt;=0,0,VLOOKUP($S29-1,'表30-5-2-5-4'!$B$114:$AF$214,MATCH($D29&amp;"a",'表30-5-2-5-4'!$4:$4,0)-1,FALSE))
-VLOOKUP($T29,'表30-5-2-5-4'!$B$114:$AF$214,MATCH($D29,'表30-5-2-5-4'!$4:$4,0)-1,FALSE)*(T29/100-N29/H29)*100
-VLOOKUP($S29,'表30-5-2-5-4'!$B$114:$AF$214,MATCH($D29,'表30-5-2-5-4'!$4:$4,0)-1,FALSE)*(1-(S29/100-M29/H29)*100),0))))</f>
        <v>0</v>
      </c>
      <c r="V29" s="2478">
        <f t="shared" si="4"/>
        <v>0</v>
      </c>
      <c r="W29" s="2478">
        <f t="shared" si="5"/>
        <v>0</v>
      </c>
      <c r="X29" s="2718">
        <f t="shared" si="9"/>
        <v>0</v>
      </c>
      <c r="Y29" s="2718">
        <f t="shared" si="10"/>
        <v>0</v>
      </c>
    </row>
    <row r="30" spans="1:25">
      <c r="A30" s="2473" t="str">
        <f t="shared" si="6"/>
        <v/>
      </c>
      <c r="B30" s="2737"/>
      <c r="C30" s="2737"/>
      <c r="D30" s="2737"/>
      <c r="E30" s="2738"/>
      <c r="F30" s="2738"/>
      <c r="G30" s="2738"/>
      <c r="H30" s="2739"/>
      <c r="I30" s="2740"/>
      <c r="J30" s="2740"/>
      <c r="K30" s="2740"/>
      <c r="L30" s="2740"/>
      <c r="M30" s="2738"/>
      <c r="N30" s="2738"/>
      <c r="O30" s="2474">
        <f t="shared" si="0"/>
        <v>0</v>
      </c>
      <c r="P30" s="2474">
        <f t="shared" si="1"/>
        <v>0</v>
      </c>
      <c r="Q30" s="2475">
        <f t="shared" si="7"/>
        <v>0</v>
      </c>
      <c r="R30" s="2475">
        <f t="shared" si="8"/>
        <v>0</v>
      </c>
      <c r="S30" s="2476">
        <f t="shared" si="2"/>
        <v>0</v>
      </c>
      <c r="T30" s="2476">
        <f t="shared" si="3"/>
        <v>0</v>
      </c>
      <c r="U30" s="2477">
        <f>IF(OR(E30="QS",B30=""),0,
IF(C30="F",VLOOKUP($T30,'表30-5-2-5-3'!$B:$AF,MATCH($D30&amp;"a",'表30-5-2-5-3'!$4:$4,0)-1,FALSE)
-IF($S30-1&lt;=0,0,VLOOKUP($S30-1,'表30-5-2-5-3'!$B:$AF,MATCH($D30&amp;"a",'表30-5-2-5-3'!$4:$4,0)-1,FALSE))
-VLOOKUP($T30,'表30-5-2-5-3'!$B:$AF,MATCH($D30,'表30-5-2-5-3'!$4:$4,0)-1,FALSE)*(T30/100-N30/H30)*100
-VLOOKUP($S30,'表30-5-2-5-3'!$B:$AF,MATCH($D30,'表30-5-2-5-3'!$4:$4,0)-1,FALSE)*(1-(S30/100-M30/H30)*100),
IF(C30="E1",VLOOKUP($T30,'表30-5-2-5-4'!$B$4:$AF$104,MATCH($D30&amp;"a",'表30-5-2-5-4'!$4:$4,0)-1,FALSE)
-IF($S30-1&lt;=0,0,VLOOKUP($S30-1,'表30-5-2-5-4'!$B$4:$AF$104,MATCH($D30&amp;"a",'表30-5-2-5-4'!$4:$4,0)-1,FALSE))
-VLOOKUP($T30,'表30-5-2-5-4'!$B$4:$AF$104,MATCH($D30,'表30-5-2-5-4'!$4:$4,0)-1,FALSE)*(T30/100-N30/H30)*100
-VLOOKUP($S30,'表30-5-2-5-4'!$B$4:$AF$104,MATCH($D30,'表30-5-2-5-4'!$4:$4,0)-1,FALSE)*(1-(S30/100-M30/H30)*100),
IF(C30="E2",VLOOKUP($T30,'表30-5-2-5-4'!$B$114:$AF$214,MATCH($D30&amp;"a",'表30-5-2-5-4'!$4:$4,0)-1,FALSE)
-IF($S30-1&lt;=0,0,VLOOKUP($S30-1,'表30-5-2-5-4'!$B$114:$AF$214,MATCH($D30&amp;"a",'表30-5-2-5-4'!$4:$4,0)-1,FALSE))
-VLOOKUP($T30,'表30-5-2-5-4'!$B$114:$AF$214,MATCH($D30,'表30-5-2-5-4'!$4:$4,0)-1,FALSE)*(T30/100-N30/H30)*100
-VLOOKUP($S30,'表30-5-2-5-4'!$B$114:$AF$214,MATCH($D30,'表30-5-2-5-4'!$4:$4,0)-1,FALSE)*(1-(S30/100-M30/H30)*100),0))))</f>
        <v>0</v>
      </c>
      <c r="V30" s="2478">
        <f t="shared" si="4"/>
        <v>0</v>
      </c>
      <c r="W30" s="2478">
        <f t="shared" si="5"/>
        <v>0</v>
      </c>
      <c r="X30" s="2718">
        <f t="shared" si="9"/>
        <v>0</v>
      </c>
      <c r="Y30" s="2718">
        <f t="shared" si="10"/>
        <v>0</v>
      </c>
    </row>
    <row r="31" spans="1:25">
      <c r="A31" s="2473" t="str">
        <f t="shared" si="6"/>
        <v/>
      </c>
      <c r="B31" s="2737"/>
      <c r="C31" s="2737"/>
      <c r="D31" s="2737"/>
      <c r="E31" s="2738"/>
      <c r="F31" s="2738"/>
      <c r="G31" s="2738"/>
      <c r="H31" s="2739"/>
      <c r="I31" s="2740"/>
      <c r="J31" s="2740"/>
      <c r="K31" s="2740"/>
      <c r="L31" s="2740"/>
      <c r="M31" s="2738"/>
      <c r="N31" s="2738"/>
      <c r="O31" s="2474">
        <f t="shared" si="0"/>
        <v>0</v>
      </c>
      <c r="P31" s="2474">
        <f t="shared" si="1"/>
        <v>0</v>
      </c>
      <c r="Q31" s="2475">
        <f t="shared" si="7"/>
        <v>0</v>
      </c>
      <c r="R31" s="2475">
        <f t="shared" si="8"/>
        <v>0</v>
      </c>
      <c r="S31" s="2476">
        <f t="shared" si="2"/>
        <v>0</v>
      </c>
      <c r="T31" s="2476">
        <f t="shared" si="3"/>
        <v>0</v>
      </c>
      <c r="U31" s="2477">
        <f>IF(OR(E31="QS",B31=""),0,
IF(C31="F",VLOOKUP($T31,'表30-5-2-5-3'!$B:$AF,MATCH($D31&amp;"a",'表30-5-2-5-3'!$4:$4,0)-1,FALSE)
-IF($S31-1&lt;=0,0,VLOOKUP($S31-1,'表30-5-2-5-3'!$B:$AF,MATCH($D31&amp;"a",'表30-5-2-5-3'!$4:$4,0)-1,FALSE))
-VLOOKUP($T31,'表30-5-2-5-3'!$B:$AF,MATCH($D31,'表30-5-2-5-3'!$4:$4,0)-1,FALSE)*(T31/100-N31/H31)*100
-VLOOKUP($S31,'表30-5-2-5-3'!$B:$AF,MATCH($D31,'表30-5-2-5-3'!$4:$4,0)-1,FALSE)*(1-(S31/100-M31/H31)*100),
IF(C31="E1",VLOOKUP($T31,'表30-5-2-5-4'!$B$4:$AF$104,MATCH($D31&amp;"a",'表30-5-2-5-4'!$4:$4,0)-1,FALSE)
-IF($S31-1&lt;=0,0,VLOOKUP($S31-1,'表30-5-2-5-4'!$B$4:$AF$104,MATCH($D31&amp;"a",'表30-5-2-5-4'!$4:$4,0)-1,FALSE))
-VLOOKUP($T31,'表30-5-2-5-4'!$B$4:$AF$104,MATCH($D31,'表30-5-2-5-4'!$4:$4,0)-1,FALSE)*(T31/100-N31/H31)*100
-VLOOKUP($S31,'表30-5-2-5-4'!$B$4:$AF$104,MATCH($D31,'表30-5-2-5-4'!$4:$4,0)-1,FALSE)*(1-(S31/100-M31/H31)*100),
IF(C31="E2",VLOOKUP($T31,'表30-5-2-5-4'!$B$114:$AF$214,MATCH($D31&amp;"a",'表30-5-2-5-4'!$4:$4,0)-1,FALSE)
-IF($S31-1&lt;=0,0,VLOOKUP($S31-1,'表30-5-2-5-4'!$B$114:$AF$214,MATCH($D31&amp;"a",'表30-5-2-5-4'!$4:$4,0)-1,FALSE))
-VLOOKUP($T31,'表30-5-2-5-4'!$B$114:$AF$214,MATCH($D31,'表30-5-2-5-4'!$4:$4,0)-1,FALSE)*(T31/100-N31/H31)*100
-VLOOKUP($S31,'表30-5-2-5-4'!$B$114:$AF$214,MATCH($D31,'表30-5-2-5-4'!$4:$4,0)-1,FALSE)*(1-(S31/100-M31/H31)*100),0))))</f>
        <v>0</v>
      </c>
      <c r="V31" s="2478">
        <f t="shared" si="4"/>
        <v>0</v>
      </c>
      <c r="W31" s="2478">
        <f t="shared" si="5"/>
        <v>0</v>
      </c>
      <c r="X31" s="2718">
        <f t="shared" si="9"/>
        <v>0</v>
      </c>
      <c r="Y31" s="2718">
        <f t="shared" si="10"/>
        <v>0</v>
      </c>
    </row>
    <row r="32" spans="1:25">
      <c r="A32" s="2473" t="str">
        <f t="shared" si="6"/>
        <v/>
      </c>
      <c r="B32" s="2737"/>
      <c r="C32" s="2737"/>
      <c r="D32" s="2737"/>
      <c r="E32" s="2738"/>
      <c r="F32" s="2738"/>
      <c r="G32" s="2738"/>
      <c r="H32" s="2739"/>
      <c r="I32" s="2740"/>
      <c r="J32" s="2740"/>
      <c r="K32" s="2740"/>
      <c r="L32" s="2740"/>
      <c r="M32" s="2738"/>
      <c r="N32" s="2738"/>
      <c r="O32" s="2474">
        <f t="shared" si="0"/>
        <v>0</v>
      </c>
      <c r="P32" s="2474">
        <f t="shared" si="1"/>
        <v>0</v>
      </c>
      <c r="Q32" s="2475">
        <f t="shared" si="7"/>
        <v>0</v>
      </c>
      <c r="R32" s="2475">
        <f t="shared" si="8"/>
        <v>0</v>
      </c>
      <c r="S32" s="2476">
        <f t="shared" si="2"/>
        <v>0</v>
      </c>
      <c r="T32" s="2476">
        <f t="shared" si="3"/>
        <v>0</v>
      </c>
      <c r="U32" s="2477">
        <f>IF(OR(E32="QS",B32=""),0,
IF(C32="F",VLOOKUP($T32,'表30-5-2-5-3'!$B:$AF,MATCH($D32&amp;"a",'表30-5-2-5-3'!$4:$4,0)-1,FALSE)
-IF($S32-1&lt;=0,0,VLOOKUP($S32-1,'表30-5-2-5-3'!$B:$AF,MATCH($D32&amp;"a",'表30-5-2-5-3'!$4:$4,0)-1,FALSE))
-VLOOKUP($T32,'表30-5-2-5-3'!$B:$AF,MATCH($D32,'表30-5-2-5-3'!$4:$4,0)-1,FALSE)*(T32/100-N32/H32)*100
-VLOOKUP($S32,'表30-5-2-5-3'!$B:$AF,MATCH($D32,'表30-5-2-5-3'!$4:$4,0)-1,FALSE)*(1-(S32/100-M32/H32)*100),
IF(C32="E1",VLOOKUP($T32,'表30-5-2-5-4'!$B$4:$AF$104,MATCH($D32&amp;"a",'表30-5-2-5-4'!$4:$4,0)-1,FALSE)
-IF($S32-1&lt;=0,0,VLOOKUP($S32-1,'表30-5-2-5-4'!$B$4:$AF$104,MATCH($D32&amp;"a",'表30-5-2-5-4'!$4:$4,0)-1,FALSE))
-VLOOKUP($T32,'表30-5-2-5-4'!$B$4:$AF$104,MATCH($D32,'表30-5-2-5-4'!$4:$4,0)-1,FALSE)*(T32/100-N32/H32)*100
-VLOOKUP($S32,'表30-5-2-5-4'!$B$4:$AF$104,MATCH($D32,'表30-5-2-5-4'!$4:$4,0)-1,FALSE)*(1-(S32/100-M32/H32)*100),
IF(C32="E2",VLOOKUP($T32,'表30-5-2-5-4'!$B$114:$AF$214,MATCH($D32&amp;"a",'表30-5-2-5-4'!$4:$4,0)-1,FALSE)
-IF($S32-1&lt;=0,0,VLOOKUP($S32-1,'表30-5-2-5-4'!$B$114:$AF$214,MATCH($D32&amp;"a",'表30-5-2-5-4'!$4:$4,0)-1,FALSE))
-VLOOKUP($T32,'表30-5-2-5-4'!$B$114:$AF$214,MATCH($D32,'表30-5-2-5-4'!$4:$4,0)-1,FALSE)*(T32/100-N32/H32)*100
-VLOOKUP($S32,'表30-5-2-5-4'!$B$114:$AF$214,MATCH($D32,'表30-5-2-5-4'!$4:$4,0)-1,FALSE)*(1-(S32/100-M32/H32)*100),0))))</f>
        <v>0</v>
      </c>
      <c r="V32" s="2478">
        <f t="shared" si="4"/>
        <v>0</v>
      </c>
      <c r="W32" s="2478">
        <f t="shared" si="5"/>
        <v>0</v>
      </c>
      <c r="X32" s="2718">
        <f t="shared" si="9"/>
        <v>0</v>
      </c>
      <c r="Y32" s="2718">
        <f t="shared" si="10"/>
        <v>0</v>
      </c>
    </row>
    <row r="33" spans="1:25">
      <c r="A33" s="2473" t="str">
        <f t="shared" si="6"/>
        <v/>
      </c>
      <c r="B33" s="2737"/>
      <c r="C33" s="2737"/>
      <c r="D33" s="2737"/>
      <c r="E33" s="2738"/>
      <c r="F33" s="2738"/>
      <c r="G33" s="2738"/>
      <c r="H33" s="2739"/>
      <c r="I33" s="2740"/>
      <c r="J33" s="2740"/>
      <c r="K33" s="2740"/>
      <c r="L33" s="2740"/>
      <c r="M33" s="2738"/>
      <c r="N33" s="2738"/>
      <c r="O33" s="2474">
        <f t="shared" si="0"/>
        <v>0</v>
      </c>
      <c r="P33" s="2474">
        <f t="shared" si="1"/>
        <v>0</v>
      </c>
      <c r="Q33" s="2475">
        <f t="shared" si="7"/>
        <v>0</v>
      </c>
      <c r="R33" s="2475">
        <f t="shared" si="8"/>
        <v>0</v>
      </c>
      <c r="S33" s="2476">
        <f t="shared" si="2"/>
        <v>0</v>
      </c>
      <c r="T33" s="2476">
        <f t="shared" si="3"/>
        <v>0</v>
      </c>
      <c r="U33" s="2477">
        <f>IF(OR(E33="QS",B33=""),0,
IF(C33="F",VLOOKUP($T33,'表30-5-2-5-3'!$B:$AF,MATCH($D33&amp;"a",'表30-5-2-5-3'!$4:$4,0)-1,FALSE)
-IF($S33-1&lt;=0,0,VLOOKUP($S33-1,'表30-5-2-5-3'!$B:$AF,MATCH($D33&amp;"a",'表30-5-2-5-3'!$4:$4,0)-1,FALSE))
-VLOOKUP($T33,'表30-5-2-5-3'!$B:$AF,MATCH($D33,'表30-5-2-5-3'!$4:$4,0)-1,FALSE)*(T33/100-N33/H33)*100
-VLOOKUP($S33,'表30-5-2-5-3'!$B:$AF,MATCH($D33,'表30-5-2-5-3'!$4:$4,0)-1,FALSE)*(1-(S33/100-M33/H33)*100),
IF(C33="E1",VLOOKUP($T33,'表30-5-2-5-4'!$B$4:$AF$104,MATCH($D33&amp;"a",'表30-5-2-5-4'!$4:$4,0)-1,FALSE)
-IF($S33-1&lt;=0,0,VLOOKUP($S33-1,'表30-5-2-5-4'!$B$4:$AF$104,MATCH($D33&amp;"a",'表30-5-2-5-4'!$4:$4,0)-1,FALSE))
-VLOOKUP($T33,'表30-5-2-5-4'!$B$4:$AF$104,MATCH($D33,'表30-5-2-5-4'!$4:$4,0)-1,FALSE)*(T33/100-N33/H33)*100
-VLOOKUP($S33,'表30-5-2-5-4'!$B$4:$AF$104,MATCH($D33,'表30-5-2-5-4'!$4:$4,0)-1,FALSE)*(1-(S33/100-M33/H33)*100),
IF(C33="E2",VLOOKUP($T33,'表30-5-2-5-4'!$B$114:$AF$214,MATCH($D33&amp;"a",'表30-5-2-5-4'!$4:$4,0)-1,FALSE)
-IF($S33-1&lt;=0,0,VLOOKUP($S33-1,'表30-5-2-5-4'!$B$114:$AF$214,MATCH($D33&amp;"a",'表30-5-2-5-4'!$4:$4,0)-1,FALSE))
-VLOOKUP($T33,'表30-5-2-5-4'!$B$114:$AF$214,MATCH($D33,'表30-5-2-5-4'!$4:$4,0)-1,FALSE)*(T33/100-N33/H33)*100
-VLOOKUP($S33,'表30-5-2-5-4'!$B$114:$AF$214,MATCH($D33,'表30-5-2-5-4'!$4:$4,0)-1,FALSE)*(1-(S33/100-M33/H33)*100),0))))</f>
        <v>0</v>
      </c>
      <c r="V33" s="2478">
        <f t="shared" si="4"/>
        <v>0</v>
      </c>
      <c r="W33" s="2478">
        <f t="shared" si="5"/>
        <v>0</v>
      </c>
      <c r="X33" s="2718">
        <f t="shared" si="9"/>
        <v>0</v>
      </c>
      <c r="Y33" s="2718">
        <f t="shared" si="10"/>
        <v>0</v>
      </c>
    </row>
    <row r="34" spans="1:25">
      <c r="A34" s="2473" t="str">
        <f t="shared" si="6"/>
        <v/>
      </c>
      <c r="B34" s="2737"/>
      <c r="C34" s="2737"/>
      <c r="D34" s="2737"/>
      <c r="E34" s="2738"/>
      <c r="F34" s="2738"/>
      <c r="G34" s="2738"/>
      <c r="H34" s="2739"/>
      <c r="I34" s="2740"/>
      <c r="J34" s="2740"/>
      <c r="K34" s="2740"/>
      <c r="L34" s="2740"/>
      <c r="M34" s="2738"/>
      <c r="N34" s="2738"/>
      <c r="O34" s="2474">
        <f t="shared" si="0"/>
        <v>0</v>
      </c>
      <c r="P34" s="2474">
        <f t="shared" si="1"/>
        <v>0</v>
      </c>
      <c r="Q34" s="2475">
        <f t="shared" si="7"/>
        <v>0</v>
      </c>
      <c r="R34" s="2475">
        <f t="shared" si="8"/>
        <v>0</v>
      </c>
      <c r="S34" s="2476">
        <f t="shared" si="2"/>
        <v>0</v>
      </c>
      <c r="T34" s="2476">
        <f t="shared" si="3"/>
        <v>0</v>
      </c>
      <c r="U34" s="2477">
        <f>IF(OR(E34="QS",B34=""),0,
IF(C34="F",VLOOKUP($T34,'表30-5-2-5-3'!$B:$AF,MATCH($D34&amp;"a",'表30-5-2-5-3'!$4:$4,0)-1,FALSE)
-IF($S34-1&lt;=0,0,VLOOKUP($S34-1,'表30-5-2-5-3'!$B:$AF,MATCH($D34&amp;"a",'表30-5-2-5-3'!$4:$4,0)-1,FALSE))
-VLOOKUP($T34,'表30-5-2-5-3'!$B:$AF,MATCH($D34,'表30-5-2-5-3'!$4:$4,0)-1,FALSE)*(T34/100-N34/H34)*100
-VLOOKUP($S34,'表30-5-2-5-3'!$B:$AF,MATCH($D34,'表30-5-2-5-3'!$4:$4,0)-1,FALSE)*(1-(S34/100-M34/H34)*100),
IF(C34="E1",VLOOKUP($T34,'表30-5-2-5-4'!$B$4:$AF$104,MATCH($D34&amp;"a",'表30-5-2-5-4'!$4:$4,0)-1,FALSE)
-IF($S34-1&lt;=0,0,VLOOKUP($S34-1,'表30-5-2-5-4'!$B$4:$AF$104,MATCH($D34&amp;"a",'表30-5-2-5-4'!$4:$4,0)-1,FALSE))
-VLOOKUP($T34,'表30-5-2-5-4'!$B$4:$AF$104,MATCH($D34,'表30-5-2-5-4'!$4:$4,0)-1,FALSE)*(T34/100-N34/H34)*100
-VLOOKUP($S34,'表30-5-2-5-4'!$B$4:$AF$104,MATCH($D34,'表30-5-2-5-4'!$4:$4,0)-1,FALSE)*(1-(S34/100-M34/H34)*100),
IF(C34="E2",VLOOKUP($T34,'表30-5-2-5-4'!$B$114:$AF$214,MATCH($D34&amp;"a",'表30-5-2-5-4'!$4:$4,0)-1,FALSE)
-IF($S34-1&lt;=0,0,VLOOKUP($S34-1,'表30-5-2-5-4'!$B$114:$AF$214,MATCH($D34&amp;"a",'表30-5-2-5-4'!$4:$4,0)-1,FALSE))
-VLOOKUP($T34,'表30-5-2-5-4'!$B$114:$AF$214,MATCH($D34,'表30-5-2-5-4'!$4:$4,0)-1,FALSE)*(T34/100-N34/H34)*100
-VLOOKUP($S34,'表30-5-2-5-4'!$B$114:$AF$214,MATCH($D34,'表30-5-2-5-4'!$4:$4,0)-1,FALSE)*(1-(S34/100-M34/H34)*100),0))))</f>
        <v>0</v>
      </c>
      <c r="V34" s="2478">
        <f t="shared" si="4"/>
        <v>0</v>
      </c>
      <c r="W34" s="2478">
        <f t="shared" si="5"/>
        <v>0</v>
      </c>
      <c r="X34" s="2718">
        <f t="shared" si="9"/>
        <v>0</v>
      </c>
      <c r="Y34" s="2718">
        <f t="shared" si="10"/>
        <v>0</v>
      </c>
    </row>
    <row r="35" spans="1:25">
      <c r="A35" s="2473" t="str">
        <f t="shared" si="6"/>
        <v/>
      </c>
      <c r="B35" s="2737"/>
      <c r="C35" s="2737"/>
      <c r="D35" s="2737"/>
      <c r="E35" s="2738"/>
      <c r="F35" s="2738"/>
      <c r="G35" s="2738"/>
      <c r="H35" s="2739"/>
      <c r="I35" s="2740"/>
      <c r="J35" s="2740"/>
      <c r="K35" s="2740"/>
      <c r="L35" s="2740"/>
      <c r="M35" s="2738"/>
      <c r="N35" s="2738"/>
      <c r="O35" s="2474">
        <f t="shared" si="0"/>
        <v>0</v>
      </c>
      <c r="P35" s="2474">
        <f t="shared" si="1"/>
        <v>0</v>
      </c>
      <c r="Q35" s="2475">
        <f t="shared" si="7"/>
        <v>0</v>
      </c>
      <c r="R35" s="2475">
        <f t="shared" si="8"/>
        <v>0</v>
      </c>
      <c r="S35" s="2476">
        <f t="shared" si="2"/>
        <v>0</v>
      </c>
      <c r="T35" s="2476">
        <f t="shared" si="3"/>
        <v>0</v>
      </c>
      <c r="U35" s="2477">
        <f>IF(OR(E35="QS",B35=""),0,
IF(C35="F",VLOOKUP($T35,'表30-5-2-5-3'!$B:$AF,MATCH($D35&amp;"a",'表30-5-2-5-3'!$4:$4,0)-1,FALSE)
-IF($S35-1&lt;=0,0,VLOOKUP($S35-1,'表30-5-2-5-3'!$B:$AF,MATCH($D35&amp;"a",'表30-5-2-5-3'!$4:$4,0)-1,FALSE))
-VLOOKUP($T35,'表30-5-2-5-3'!$B:$AF,MATCH($D35,'表30-5-2-5-3'!$4:$4,0)-1,FALSE)*(T35/100-N35/H35)*100
-VLOOKUP($S35,'表30-5-2-5-3'!$B:$AF,MATCH($D35,'表30-5-2-5-3'!$4:$4,0)-1,FALSE)*(1-(S35/100-M35/H35)*100),
IF(C35="E1",VLOOKUP($T35,'表30-5-2-5-4'!$B$4:$AF$104,MATCH($D35&amp;"a",'表30-5-2-5-4'!$4:$4,0)-1,FALSE)
-IF($S35-1&lt;=0,0,VLOOKUP($S35-1,'表30-5-2-5-4'!$B$4:$AF$104,MATCH($D35&amp;"a",'表30-5-2-5-4'!$4:$4,0)-1,FALSE))
-VLOOKUP($T35,'表30-5-2-5-4'!$B$4:$AF$104,MATCH($D35,'表30-5-2-5-4'!$4:$4,0)-1,FALSE)*(T35/100-N35/H35)*100
-VLOOKUP($S35,'表30-5-2-5-4'!$B$4:$AF$104,MATCH($D35,'表30-5-2-5-4'!$4:$4,0)-1,FALSE)*(1-(S35/100-M35/H35)*100),
IF(C35="E2",VLOOKUP($T35,'表30-5-2-5-4'!$B$114:$AF$214,MATCH($D35&amp;"a",'表30-5-2-5-4'!$4:$4,0)-1,FALSE)
-IF($S35-1&lt;=0,0,VLOOKUP($S35-1,'表30-5-2-5-4'!$B$114:$AF$214,MATCH($D35&amp;"a",'表30-5-2-5-4'!$4:$4,0)-1,FALSE))
-VLOOKUP($T35,'表30-5-2-5-4'!$B$114:$AF$214,MATCH($D35,'表30-5-2-5-4'!$4:$4,0)-1,FALSE)*(T35/100-N35/H35)*100
-VLOOKUP($S35,'表30-5-2-5-4'!$B$114:$AF$214,MATCH($D35,'表30-5-2-5-4'!$4:$4,0)-1,FALSE)*(1-(S35/100-M35/H35)*100),0))))</f>
        <v>0</v>
      </c>
      <c r="V35" s="2478">
        <f t="shared" si="4"/>
        <v>0</v>
      </c>
      <c r="W35" s="2478">
        <f t="shared" si="5"/>
        <v>0</v>
      </c>
      <c r="X35" s="2718">
        <f t="shared" si="9"/>
        <v>0</v>
      </c>
      <c r="Y35" s="2718">
        <f t="shared" si="10"/>
        <v>0</v>
      </c>
    </row>
    <row r="36" spans="1:25">
      <c r="A36" s="2473" t="str">
        <f t="shared" si="6"/>
        <v/>
      </c>
      <c r="B36" s="2737"/>
      <c r="C36" s="2737"/>
      <c r="D36" s="2737"/>
      <c r="E36" s="2738"/>
      <c r="F36" s="2738"/>
      <c r="G36" s="2738"/>
      <c r="H36" s="2739"/>
      <c r="I36" s="2740"/>
      <c r="J36" s="2740"/>
      <c r="K36" s="2740"/>
      <c r="L36" s="2740"/>
      <c r="M36" s="2738"/>
      <c r="N36" s="2738"/>
      <c r="O36" s="2474">
        <f t="shared" si="0"/>
        <v>0</v>
      </c>
      <c r="P36" s="2474">
        <f t="shared" si="1"/>
        <v>0</v>
      </c>
      <c r="Q36" s="2475">
        <f t="shared" si="7"/>
        <v>0</v>
      </c>
      <c r="R36" s="2475">
        <f t="shared" si="8"/>
        <v>0</v>
      </c>
      <c r="S36" s="2476">
        <f t="shared" si="2"/>
        <v>0</v>
      </c>
      <c r="T36" s="2476">
        <f t="shared" si="3"/>
        <v>0</v>
      </c>
      <c r="U36" s="2477">
        <f>IF(OR(E36="QS",B36=""),0,
IF(C36="F",VLOOKUP($T36,'表30-5-2-5-3'!$B:$AF,MATCH($D36&amp;"a",'表30-5-2-5-3'!$4:$4,0)-1,FALSE)
-IF($S36-1&lt;=0,0,VLOOKUP($S36-1,'表30-5-2-5-3'!$B:$AF,MATCH($D36&amp;"a",'表30-5-2-5-3'!$4:$4,0)-1,FALSE))
-VLOOKUP($T36,'表30-5-2-5-3'!$B:$AF,MATCH($D36,'表30-5-2-5-3'!$4:$4,0)-1,FALSE)*(T36/100-N36/H36)*100
-VLOOKUP($S36,'表30-5-2-5-3'!$B:$AF,MATCH($D36,'表30-5-2-5-3'!$4:$4,0)-1,FALSE)*(1-(S36/100-M36/H36)*100),
IF(C36="E1",VLOOKUP($T36,'表30-5-2-5-4'!$B$4:$AF$104,MATCH($D36&amp;"a",'表30-5-2-5-4'!$4:$4,0)-1,FALSE)
-IF($S36-1&lt;=0,0,VLOOKUP($S36-1,'表30-5-2-5-4'!$B$4:$AF$104,MATCH($D36&amp;"a",'表30-5-2-5-4'!$4:$4,0)-1,FALSE))
-VLOOKUP($T36,'表30-5-2-5-4'!$B$4:$AF$104,MATCH($D36,'表30-5-2-5-4'!$4:$4,0)-1,FALSE)*(T36/100-N36/H36)*100
-VLOOKUP($S36,'表30-5-2-5-4'!$B$4:$AF$104,MATCH($D36,'表30-5-2-5-4'!$4:$4,0)-1,FALSE)*(1-(S36/100-M36/H36)*100),
IF(C36="E2",VLOOKUP($T36,'表30-5-2-5-4'!$B$114:$AF$214,MATCH($D36&amp;"a",'表30-5-2-5-4'!$4:$4,0)-1,FALSE)
-IF($S36-1&lt;=0,0,VLOOKUP($S36-1,'表30-5-2-5-4'!$B$114:$AF$214,MATCH($D36&amp;"a",'表30-5-2-5-4'!$4:$4,0)-1,FALSE))
-VLOOKUP($T36,'表30-5-2-5-4'!$B$114:$AF$214,MATCH($D36,'表30-5-2-5-4'!$4:$4,0)-1,FALSE)*(T36/100-N36/H36)*100
-VLOOKUP($S36,'表30-5-2-5-4'!$B$114:$AF$214,MATCH($D36,'表30-5-2-5-4'!$4:$4,0)-1,FALSE)*(1-(S36/100-M36/H36)*100),0))))</f>
        <v>0</v>
      </c>
      <c r="V36" s="2478">
        <f t="shared" si="4"/>
        <v>0</v>
      </c>
      <c r="W36" s="2478">
        <f t="shared" si="5"/>
        <v>0</v>
      </c>
      <c r="X36" s="2718">
        <f t="shared" si="9"/>
        <v>0</v>
      </c>
      <c r="Y36" s="2718">
        <f t="shared" si="10"/>
        <v>0</v>
      </c>
    </row>
    <row r="37" spans="1:25">
      <c r="A37" s="2473" t="str">
        <f t="shared" si="6"/>
        <v/>
      </c>
      <c r="B37" s="2737"/>
      <c r="C37" s="2737"/>
      <c r="D37" s="2737"/>
      <c r="E37" s="2738"/>
      <c r="F37" s="2738"/>
      <c r="G37" s="2738"/>
      <c r="H37" s="2739"/>
      <c r="I37" s="2740"/>
      <c r="J37" s="2740"/>
      <c r="K37" s="2740"/>
      <c r="L37" s="2740"/>
      <c r="M37" s="2738"/>
      <c r="N37" s="2738"/>
      <c r="O37" s="2474">
        <f t="shared" si="0"/>
        <v>0</v>
      </c>
      <c r="P37" s="2474">
        <f t="shared" si="1"/>
        <v>0</v>
      </c>
      <c r="Q37" s="2475">
        <f t="shared" si="7"/>
        <v>0</v>
      </c>
      <c r="R37" s="2475">
        <f t="shared" si="8"/>
        <v>0</v>
      </c>
      <c r="S37" s="2476">
        <f t="shared" si="2"/>
        <v>0</v>
      </c>
      <c r="T37" s="2476">
        <f t="shared" si="3"/>
        <v>0</v>
      </c>
      <c r="U37" s="2477">
        <f>IF(OR(E37="QS",B37=""),0,
IF(C37="F",VLOOKUP($T37,'表30-5-2-5-3'!$B:$AF,MATCH($D37&amp;"a",'表30-5-2-5-3'!$4:$4,0)-1,FALSE)
-IF($S37-1&lt;=0,0,VLOOKUP($S37-1,'表30-5-2-5-3'!$B:$AF,MATCH($D37&amp;"a",'表30-5-2-5-3'!$4:$4,0)-1,FALSE))
-VLOOKUP($T37,'表30-5-2-5-3'!$B:$AF,MATCH($D37,'表30-5-2-5-3'!$4:$4,0)-1,FALSE)*(T37/100-N37/H37)*100
-VLOOKUP($S37,'表30-5-2-5-3'!$B:$AF,MATCH($D37,'表30-5-2-5-3'!$4:$4,0)-1,FALSE)*(1-(S37/100-M37/H37)*100),
IF(C37="E1",VLOOKUP($T37,'表30-5-2-5-4'!$B$4:$AF$104,MATCH($D37&amp;"a",'表30-5-2-5-4'!$4:$4,0)-1,FALSE)
-IF($S37-1&lt;=0,0,VLOOKUP($S37-1,'表30-5-2-5-4'!$B$4:$AF$104,MATCH($D37&amp;"a",'表30-5-2-5-4'!$4:$4,0)-1,FALSE))
-VLOOKUP($T37,'表30-5-2-5-4'!$B$4:$AF$104,MATCH($D37,'表30-5-2-5-4'!$4:$4,0)-1,FALSE)*(T37/100-N37/H37)*100
-VLOOKUP($S37,'表30-5-2-5-4'!$B$4:$AF$104,MATCH($D37,'表30-5-2-5-4'!$4:$4,0)-1,FALSE)*(1-(S37/100-M37/H37)*100),
IF(C37="E2",VLOOKUP($T37,'表30-5-2-5-4'!$B$114:$AF$214,MATCH($D37&amp;"a",'表30-5-2-5-4'!$4:$4,0)-1,FALSE)
-IF($S37-1&lt;=0,0,VLOOKUP($S37-1,'表30-5-2-5-4'!$B$114:$AF$214,MATCH($D37&amp;"a",'表30-5-2-5-4'!$4:$4,0)-1,FALSE))
-VLOOKUP($T37,'表30-5-2-5-4'!$B$114:$AF$214,MATCH($D37,'表30-5-2-5-4'!$4:$4,0)-1,FALSE)*(T37/100-N37/H37)*100
-VLOOKUP($S37,'表30-5-2-5-4'!$B$114:$AF$214,MATCH($D37,'表30-5-2-5-4'!$4:$4,0)-1,FALSE)*(1-(S37/100-M37/H37)*100),0))))</f>
        <v>0</v>
      </c>
      <c r="V37" s="2478">
        <f t="shared" si="4"/>
        <v>0</v>
      </c>
      <c r="W37" s="2478">
        <f t="shared" si="5"/>
        <v>0</v>
      </c>
      <c r="X37" s="2718">
        <f t="shared" si="9"/>
        <v>0</v>
      </c>
      <c r="Y37" s="2718">
        <f t="shared" si="10"/>
        <v>0</v>
      </c>
    </row>
    <row r="38" spans="1:25">
      <c r="A38" s="2473" t="str">
        <f t="shared" si="6"/>
        <v/>
      </c>
      <c r="B38" s="2737"/>
      <c r="C38" s="2737"/>
      <c r="D38" s="2737"/>
      <c r="E38" s="2738"/>
      <c r="F38" s="2738"/>
      <c r="G38" s="2738"/>
      <c r="H38" s="2739"/>
      <c r="I38" s="2740"/>
      <c r="J38" s="2740"/>
      <c r="K38" s="2740"/>
      <c r="L38" s="2740"/>
      <c r="M38" s="2738"/>
      <c r="N38" s="2738"/>
      <c r="O38" s="2474">
        <f t="shared" si="0"/>
        <v>0</v>
      </c>
      <c r="P38" s="2474">
        <f t="shared" si="1"/>
        <v>0</v>
      </c>
      <c r="Q38" s="2475">
        <f t="shared" si="7"/>
        <v>0</v>
      </c>
      <c r="R38" s="2475">
        <f t="shared" si="8"/>
        <v>0</v>
      </c>
      <c r="S38" s="2476">
        <f t="shared" si="2"/>
        <v>0</v>
      </c>
      <c r="T38" s="2476">
        <f t="shared" si="3"/>
        <v>0</v>
      </c>
      <c r="U38" s="2477">
        <f>IF(OR(E38="QS",B38=""),0,
IF(C38="F",VLOOKUP($T38,'表30-5-2-5-3'!$B:$AF,MATCH($D38&amp;"a",'表30-5-2-5-3'!$4:$4,0)-1,FALSE)
-IF($S38-1&lt;=0,0,VLOOKUP($S38-1,'表30-5-2-5-3'!$B:$AF,MATCH($D38&amp;"a",'表30-5-2-5-3'!$4:$4,0)-1,FALSE))
-VLOOKUP($T38,'表30-5-2-5-3'!$B:$AF,MATCH($D38,'表30-5-2-5-3'!$4:$4,0)-1,FALSE)*(T38/100-N38/H38)*100
-VLOOKUP($S38,'表30-5-2-5-3'!$B:$AF,MATCH($D38,'表30-5-2-5-3'!$4:$4,0)-1,FALSE)*(1-(S38/100-M38/H38)*100),
IF(C38="E1",VLOOKUP($T38,'表30-5-2-5-4'!$B$4:$AF$104,MATCH($D38&amp;"a",'表30-5-2-5-4'!$4:$4,0)-1,FALSE)
-IF($S38-1&lt;=0,0,VLOOKUP($S38-1,'表30-5-2-5-4'!$B$4:$AF$104,MATCH($D38&amp;"a",'表30-5-2-5-4'!$4:$4,0)-1,FALSE))
-VLOOKUP($T38,'表30-5-2-5-4'!$B$4:$AF$104,MATCH($D38,'表30-5-2-5-4'!$4:$4,0)-1,FALSE)*(T38/100-N38/H38)*100
-VLOOKUP($S38,'表30-5-2-5-4'!$B$4:$AF$104,MATCH($D38,'表30-5-2-5-4'!$4:$4,0)-1,FALSE)*(1-(S38/100-M38/H38)*100),
IF(C38="E2",VLOOKUP($T38,'表30-5-2-5-4'!$B$114:$AF$214,MATCH($D38&amp;"a",'表30-5-2-5-4'!$4:$4,0)-1,FALSE)
-IF($S38-1&lt;=0,0,VLOOKUP($S38-1,'表30-5-2-5-4'!$B$114:$AF$214,MATCH($D38&amp;"a",'表30-5-2-5-4'!$4:$4,0)-1,FALSE))
-VLOOKUP($T38,'表30-5-2-5-4'!$B$114:$AF$214,MATCH($D38,'表30-5-2-5-4'!$4:$4,0)-1,FALSE)*(T38/100-N38/H38)*100
-VLOOKUP($S38,'表30-5-2-5-4'!$B$114:$AF$214,MATCH($D38,'表30-5-2-5-4'!$4:$4,0)-1,FALSE)*(1-(S38/100-M38/H38)*100),0))))</f>
        <v>0</v>
      </c>
      <c r="V38" s="2478">
        <f t="shared" si="4"/>
        <v>0</v>
      </c>
      <c r="W38" s="2478">
        <f t="shared" si="5"/>
        <v>0</v>
      </c>
      <c r="X38" s="2718">
        <f t="shared" si="9"/>
        <v>0</v>
      </c>
      <c r="Y38" s="2718">
        <f t="shared" si="10"/>
        <v>0</v>
      </c>
    </row>
    <row r="39" spans="1:25">
      <c r="A39" s="2473" t="str">
        <f t="shared" si="6"/>
        <v/>
      </c>
      <c r="B39" s="2737"/>
      <c r="C39" s="2737"/>
      <c r="D39" s="2737"/>
      <c r="E39" s="2738"/>
      <c r="F39" s="2738"/>
      <c r="G39" s="2738"/>
      <c r="H39" s="2739"/>
      <c r="I39" s="2740"/>
      <c r="J39" s="2740"/>
      <c r="K39" s="2740"/>
      <c r="L39" s="2740"/>
      <c r="M39" s="2738"/>
      <c r="N39" s="2738"/>
      <c r="O39" s="2474">
        <f t="shared" si="0"/>
        <v>0</v>
      </c>
      <c r="P39" s="2474">
        <f t="shared" si="1"/>
        <v>0</v>
      </c>
      <c r="Q39" s="2475">
        <f t="shared" si="7"/>
        <v>0</v>
      </c>
      <c r="R39" s="2475">
        <f t="shared" si="8"/>
        <v>0</v>
      </c>
      <c r="S39" s="2476">
        <f t="shared" si="2"/>
        <v>0</v>
      </c>
      <c r="T39" s="2476">
        <f t="shared" si="3"/>
        <v>0</v>
      </c>
      <c r="U39" s="2477">
        <f>IF(OR(E39="QS",B39=""),0,
IF(C39="F",VLOOKUP($T39,'表30-5-2-5-3'!$B:$AF,MATCH($D39&amp;"a",'表30-5-2-5-3'!$4:$4,0)-1,FALSE)
-IF($S39-1&lt;=0,0,VLOOKUP($S39-1,'表30-5-2-5-3'!$B:$AF,MATCH($D39&amp;"a",'表30-5-2-5-3'!$4:$4,0)-1,FALSE))
-VLOOKUP($T39,'表30-5-2-5-3'!$B:$AF,MATCH($D39,'表30-5-2-5-3'!$4:$4,0)-1,FALSE)*(T39/100-N39/H39)*100
-VLOOKUP($S39,'表30-5-2-5-3'!$B:$AF,MATCH($D39,'表30-5-2-5-3'!$4:$4,0)-1,FALSE)*(1-(S39/100-M39/H39)*100),
IF(C39="E1",VLOOKUP($T39,'表30-5-2-5-4'!$B$4:$AF$104,MATCH($D39&amp;"a",'表30-5-2-5-4'!$4:$4,0)-1,FALSE)
-IF($S39-1&lt;=0,0,VLOOKUP($S39-1,'表30-5-2-5-4'!$B$4:$AF$104,MATCH($D39&amp;"a",'表30-5-2-5-4'!$4:$4,0)-1,FALSE))
-VLOOKUP($T39,'表30-5-2-5-4'!$B$4:$AF$104,MATCH($D39,'表30-5-2-5-4'!$4:$4,0)-1,FALSE)*(T39/100-N39/H39)*100
-VLOOKUP($S39,'表30-5-2-5-4'!$B$4:$AF$104,MATCH($D39,'表30-5-2-5-4'!$4:$4,0)-1,FALSE)*(1-(S39/100-M39/H39)*100),
IF(C39="E2",VLOOKUP($T39,'表30-5-2-5-4'!$B$114:$AF$214,MATCH($D39&amp;"a",'表30-5-2-5-4'!$4:$4,0)-1,FALSE)
-IF($S39-1&lt;=0,0,VLOOKUP($S39-1,'表30-5-2-5-4'!$B$114:$AF$214,MATCH($D39&amp;"a",'表30-5-2-5-4'!$4:$4,0)-1,FALSE))
-VLOOKUP($T39,'表30-5-2-5-4'!$B$114:$AF$214,MATCH($D39,'表30-5-2-5-4'!$4:$4,0)-1,FALSE)*(T39/100-N39/H39)*100
-VLOOKUP($S39,'表30-5-2-5-4'!$B$114:$AF$214,MATCH($D39,'表30-5-2-5-4'!$4:$4,0)-1,FALSE)*(1-(S39/100-M39/H39)*100),0))))</f>
        <v>0</v>
      </c>
      <c r="V39" s="2478">
        <f t="shared" si="4"/>
        <v>0</v>
      </c>
      <c r="W39" s="2478">
        <f t="shared" si="5"/>
        <v>0</v>
      </c>
      <c r="X39" s="2718">
        <f t="shared" si="9"/>
        <v>0</v>
      </c>
      <c r="Y39" s="2718">
        <f t="shared" si="10"/>
        <v>0</v>
      </c>
    </row>
    <row r="40" spans="1:25">
      <c r="A40" s="2473" t="str">
        <f t="shared" si="6"/>
        <v/>
      </c>
      <c r="B40" s="2737"/>
      <c r="C40" s="2737"/>
      <c r="D40" s="2737"/>
      <c r="E40" s="2738"/>
      <c r="F40" s="2738"/>
      <c r="G40" s="2738"/>
      <c r="H40" s="2739"/>
      <c r="I40" s="2740"/>
      <c r="J40" s="2740"/>
      <c r="K40" s="2740"/>
      <c r="L40" s="2740"/>
      <c r="M40" s="2738"/>
      <c r="N40" s="2738"/>
      <c r="O40" s="2474">
        <f t="shared" si="0"/>
        <v>0</v>
      </c>
      <c r="P40" s="2474">
        <f t="shared" si="1"/>
        <v>0</v>
      </c>
      <c r="Q40" s="2475">
        <f t="shared" si="7"/>
        <v>0</v>
      </c>
      <c r="R40" s="2475">
        <f t="shared" si="8"/>
        <v>0</v>
      </c>
      <c r="S40" s="2476">
        <f t="shared" si="2"/>
        <v>0</v>
      </c>
      <c r="T40" s="2476">
        <f t="shared" si="3"/>
        <v>0</v>
      </c>
      <c r="U40" s="2477">
        <f>IF(OR(E40="QS",B40=""),0,
IF(C40="F",VLOOKUP($T40,'表30-5-2-5-3'!$B:$AF,MATCH($D40&amp;"a",'表30-5-2-5-3'!$4:$4,0)-1,FALSE)
-IF($S40-1&lt;=0,0,VLOOKUP($S40-1,'表30-5-2-5-3'!$B:$AF,MATCH($D40&amp;"a",'表30-5-2-5-3'!$4:$4,0)-1,FALSE))
-VLOOKUP($T40,'表30-5-2-5-3'!$B:$AF,MATCH($D40,'表30-5-2-5-3'!$4:$4,0)-1,FALSE)*(T40/100-N40/H40)*100
-VLOOKUP($S40,'表30-5-2-5-3'!$B:$AF,MATCH($D40,'表30-5-2-5-3'!$4:$4,0)-1,FALSE)*(1-(S40/100-M40/H40)*100),
IF(C40="E1",VLOOKUP($T40,'表30-5-2-5-4'!$B$4:$AF$104,MATCH($D40&amp;"a",'表30-5-2-5-4'!$4:$4,0)-1,FALSE)
-IF($S40-1&lt;=0,0,VLOOKUP($S40-1,'表30-5-2-5-4'!$B$4:$AF$104,MATCH($D40&amp;"a",'表30-5-2-5-4'!$4:$4,0)-1,FALSE))
-VLOOKUP($T40,'表30-5-2-5-4'!$B$4:$AF$104,MATCH($D40,'表30-5-2-5-4'!$4:$4,0)-1,FALSE)*(T40/100-N40/H40)*100
-VLOOKUP($S40,'表30-5-2-5-4'!$B$4:$AF$104,MATCH($D40,'表30-5-2-5-4'!$4:$4,0)-1,FALSE)*(1-(S40/100-M40/H40)*100),
IF(C40="E2",VLOOKUP($T40,'表30-5-2-5-4'!$B$114:$AF$214,MATCH($D40&amp;"a",'表30-5-2-5-4'!$4:$4,0)-1,FALSE)
-IF($S40-1&lt;=0,0,VLOOKUP($S40-1,'表30-5-2-5-4'!$B$114:$AF$214,MATCH($D40&amp;"a",'表30-5-2-5-4'!$4:$4,0)-1,FALSE))
-VLOOKUP($T40,'表30-5-2-5-4'!$B$114:$AF$214,MATCH($D40,'表30-5-2-5-4'!$4:$4,0)-1,FALSE)*(T40/100-N40/H40)*100
-VLOOKUP($S40,'表30-5-2-5-4'!$B$114:$AF$214,MATCH($D40,'表30-5-2-5-4'!$4:$4,0)-1,FALSE)*(1-(S40/100-M40/H40)*100),0))))</f>
        <v>0</v>
      </c>
      <c r="V40" s="2478">
        <f t="shared" si="4"/>
        <v>0</v>
      </c>
      <c r="W40" s="2478">
        <f t="shared" si="5"/>
        <v>0</v>
      </c>
      <c r="X40" s="2718">
        <f t="shared" si="9"/>
        <v>0</v>
      </c>
      <c r="Y40" s="2718">
        <f t="shared" si="10"/>
        <v>0</v>
      </c>
    </row>
    <row r="41" spans="1:25">
      <c r="A41" s="2473" t="str">
        <f t="shared" si="6"/>
        <v/>
      </c>
      <c r="B41" s="2737"/>
      <c r="C41" s="2737"/>
      <c r="D41" s="2737"/>
      <c r="E41" s="2738"/>
      <c r="F41" s="2738"/>
      <c r="G41" s="2738"/>
      <c r="H41" s="2739"/>
      <c r="I41" s="2740"/>
      <c r="J41" s="2740"/>
      <c r="K41" s="2740"/>
      <c r="L41" s="2740"/>
      <c r="M41" s="2738"/>
      <c r="N41" s="2738"/>
      <c r="O41" s="2474">
        <f t="shared" si="0"/>
        <v>0</v>
      </c>
      <c r="P41" s="2474">
        <f t="shared" si="1"/>
        <v>0</v>
      </c>
      <c r="Q41" s="2475">
        <f t="shared" si="7"/>
        <v>0</v>
      </c>
      <c r="R41" s="2475">
        <f t="shared" si="8"/>
        <v>0</v>
      </c>
      <c r="S41" s="2476">
        <f t="shared" si="2"/>
        <v>0</v>
      </c>
      <c r="T41" s="2476">
        <f t="shared" si="3"/>
        <v>0</v>
      </c>
      <c r="U41" s="2477">
        <f>IF(OR(E41="QS",B41=""),0,
IF(C41="F",VLOOKUP($T41,'表30-5-2-5-3'!$B:$AF,MATCH($D41&amp;"a",'表30-5-2-5-3'!$4:$4,0)-1,FALSE)
-IF($S41-1&lt;=0,0,VLOOKUP($S41-1,'表30-5-2-5-3'!$B:$AF,MATCH($D41&amp;"a",'表30-5-2-5-3'!$4:$4,0)-1,FALSE))
-VLOOKUP($T41,'表30-5-2-5-3'!$B:$AF,MATCH($D41,'表30-5-2-5-3'!$4:$4,0)-1,FALSE)*(T41/100-N41/H41)*100
-VLOOKUP($S41,'表30-5-2-5-3'!$B:$AF,MATCH($D41,'表30-5-2-5-3'!$4:$4,0)-1,FALSE)*(1-(S41/100-M41/H41)*100),
IF(C41="E1",VLOOKUP($T41,'表30-5-2-5-4'!$B$4:$AF$104,MATCH($D41&amp;"a",'表30-5-2-5-4'!$4:$4,0)-1,FALSE)
-IF($S41-1&lt;=0,0,VLOOKUP($S41-1,'表30-5-2-5-4'!$B$4:$AF$104,MATCH($D41&amp;"a",'表30-5-2-5-4'!$4:$4,0)-1,FALSE))
-VLOOKUP($T41,'表30-5-2-5-4'!$B$4:$AF$104,MATCH($D41,'表30-5-2-5-4'!$4:$4,0)-1,FALSE)*(T41/100-N41/H41)*100
-VLOOKUP($S41,'表30-5-2-5-4'!$B$4:$AF$104,MATCH($D41,'表30-5-2-5-4'!$4:$4,0)-1,FALSE)*(1-(S41/100-M41/H41)*100),
IF(C41="E2",VLOOKUP($T41,'表30-5-2-5-4'!$B$114:$AF$214,MATCH($D41&amp;"a",'表30-5-2-5-4'!$4:$4,0)-1,FALSE)
-IF($S41-1&lt;=0,0,VLOOKUP($S41-1,'表30-5-2-5-4'!$B$114:$AF$214,MATCH($D41&amp;"a",'表30-5-2-5-4'!$4:$4,0)-1,FALSE))
-VLOOKUP($T41,'表30-5-2-5-4'!$B$114:$AF$214,MATCH($D41,'表30-5-2-5-4'!$4:$4,0)-1,FALSE)*(T41/100-N41/H41)*100
-VLOOKUP($S41,'表30-5-2-5-4'!$B$114:$AF$214,MATCH($D41,'表30-5-2-5-4'!$4:$4,0)-1,FALSE)*(1-(S41/100-M41/H41)*100),0))))</f>
        <v>0</v>
      </c>
      <c r="V41" s="2478">
        <f t="shared" si="4"/>
        <v>0</v>
      </c>
      <c r="W41" s="2478">
        <f t="shared" si="5"/>
        <v>0</v>
      </c>
      <c r="X41" s="2718">
        <f t="shared" si="9"/>
        <v>0</v>
      </c>
      <c r="Y41" s="2718">
        <f t="shared" si="10"/>
        <v>0</v>
      </c>
    </row>
    <row r="42" spans="1:25">
      <c r="A42" s="2473" t="str">
        <f t="shared" si="6"/>
        <v/>
      </c>
      <c r="B42" s="2737"/>
      <c r="C42" s="2737"/>
      <c r="D42" s="2737"/>
      <c r="E42" s="2738"/>
      <c r="F42" s="2738"/>
      <c r="G42" s="2738"/>
      <c r="H42" s="2739"/>
      <c r="I42" s="2740"/>
      <c r="J42" s="2740"/>
      <c r="K42" s="2740"/>
      <c r="L42" s="2740"/>
      <c r="M42" s="2738"/>
      <c r="N42" s="2738"/>
      <c r="O42" s="2474">
        <f t="shared" si="0"/>
        <v>0</v>
      </c>
      <c r="P42" s="2474">
        <f t="shared" si="1"/>
        <v>0</v>
      </c>
      <c r="Q42" s="2475">
        <f t="shared" si="7"/>
        <v>0</v>
      </c>
      <c r="R42" s="2475">
        <f t="shared" si="8"/>
        <v>0</v>
      </c>
      <c r="S42" s="2476">
        <f t="shared" si="2"/>
        <v>0</v>
      </c>
      <c r="T42" s="2476">
        <f t="shared" si="3"/>
        <v>0</v>
      </c>
      <c r="U42" s="2477">
        <f>IF(OR(E42="QS",B42=""),0,
IF(C42="F",VLOOKUP($T42,'表30-5-2-5-3'!$B:$AF,MATCH($D42&amp;"a",'表30-5-2-5-3'!$4:$4,0)-1,FALSE)
-IF($S42-1&lt;=0,0,VLOOKUP($S42-1,'表30-5-2-5-3'!$B:$AF,MATCH($D42&amp;"a",'表30-5-2-5-3'!$4:$4,0)-1,FALSE))
-VLOOKUP($T42,'表30-5-2-5-3'!$B:$AF,MATCH($D42,'表30-5-2-5-3'!$4:$4,0)-1,FALSE)*(T42/100-N42/H42)*100
-VLOOKUP($S42,'表30-5-2-5-3'!$B:$AF,MATCH($D42,'表30-5-2-5-3'!$4:$4,0)-1,FALSE)*(1-(S42/100-M42/H42)*100),
IF(C42="E1",VLOOKUP($T42,'表30-5-2-5-4'!$B$4:$AF$104,MATCH($D42&amp;"a",'表30-5-2-5-4'!$4:$4,0)-1,FALSE)
-IF($S42-1&lt;=0,0,VLOOKUP($S42-1,'表30-5-2-5-4'!$B$4:$AF$104,MATCH($D42&amp;"a",'表30-5-2-5-4'!$4:$4,0)-1,FALSE))
-VLOOKUP($T42,'表30-5-2-5-4'!$B$4:$AF$104,MATCH($D42,'表30-5-2-5-4'!$4:$4,0)-1,FALSE)*(T42/100-N42/H42)*100
-VLOOKUP($S42,'表30-5-2-5-4'!$B$4:$AF$104,MATCH($D42,'表30-5-2-5-4'!$4:$4,0)-1,FALSE)*(1-(S42/100-M42/H42)*100),
IF(C42="E2",VLOOKUP($T42,'表30-5-2-5-4'!$B$114:$AF$214,MATCH($D42&amp;"a",'表30-5-2-5-4'!$4:$4,0)-1,FALSE)
-IF($S42-1&lt;=0,0,VLOOKUP($S42-1,'表30-5-2-5-4'!$B$114:$AF$214,MATCH($D42&amp;"a",'表30-5-2-5-4'!$4:$4,0)-1,FALSE))
-VLOOKUP($T42,'表30-5-2-5-4'!$B$114:$AF$214,MATCH($D42,'表30-5-2-5-4'!$4:$4,0)-1,FALSE)*(T42/100-N42/H42)*100
-VLOOKUP($S42,'表30-5-2-5-4'!$B$114:$AF$214,MATCH($D42,'表30-5-2-5-4'!$4:$4,0)-1,FALSE)*(1-(S42/100-M42/H42)*100),0))))</f>
        <v>0</v>
      </c>
      <c r="V42" s="2478">
        <f t="shared" si="4"/>
        <v>0</v>
      </c>
      <c r="W42" s="2478">
        <f t="shared" si="5"/>
        <v>0</v>
      </c>
      <c r="X42" s="2718">
        <f t="shared" si="9"/>
        <v>0</v>
      </c>
      <c r="Y42" s="2718">
        <f t="shared" si="10"/>
        <v>0</v>
      </c>
    </row>
    <row r="43" spans="1:25">
      <c r="A43" s="2473" t="str">
        <f t="shared" si="6"/>
        <v/>
      </c>
      <c r="B43" s="2737"/>
      <c r="C43" s="2737"/>
      <c r="D43" s="2737"/>
      <c r="E43" s="2738"/>
      <c r="F43" s="2738"/>
      <c r="G43" s="2738"/>
      <c r="H43" s="2739"/>
      <c r="I43" s="2740"/>
      <c r="J43" s="2740"/>
      <c r="K43" s="2740"/>
      <c r="L43" s="2740"/>
      <c r="M43" s="2738"/>
      <c r="N43" s="2738"/>
      <c r="O43" s="2474">
        <f t="shared" si="0"/>
        <v>0</v>
      </c>
      <c r="P43" s="2474">
        <f t="shared" si="1"/>
        <v>0</v>
      </c>
      <c r="Q43" s="2475">
        <f t="shared" si="7"/>
        <v>0</v>
      </c>
      <c r="R43" s="2475">
        <f t="shared" si="8"/>
        <v>0</v>
      </c>
      <c r="S43" s="2476">
        <f t="shared" si="2"/>
        <v>0</v>
      </c>
      <c r="T43" s="2476">
        <f t="shared" si="3"/>
        <v>0</v>
      </c>
      <c r="U43" s="2477">
        <f>IF(OR(E43="QS",B43=""),0,
IF(C43="F",VLOOKUP($T43,'表30-5-2-5-3'!$B:$AF,MATCH($D43&amp;"a",'表30-5-2-5-3'!$4:$4,0)-1,FALSE)
-IF($S43-1&lt;=0,0,VLOOKUP($S43-1,'表30-5-2-5-3'!$B:$AF,MATCH($D43&amp;"a",'表30-5-2-5-3'!$4:$4,0)-1,FALSE))
-VLOOKUP($T43,'表30-5-2-5-3'!$B:$AF,MATCH($D43,'表30-5-2-5-3'!$4:$4,0)-1,FALSE)*(T43/100-N43/H43)*100
-VLOOKUP($S43,'表30-5-2-5-3'!$B:$AF,MATCH($D43,'表30-5-2-5-3'!$4:$4,0)-1,FALSE)*(1-(S43/100-M43/H43)*100),
IF(C43="E1",VLOOKUP($T43,'表30-5-2-5-4'!$B$4:$AF$104,MATCH($D43&amp;"a",'表30-5-2-5-4'!$4:$4,0)-1,FALSE)
-IF($S43-1&lt;=0,0,VLOOKUP($S43-1,'表30-5-2-5-4'!$B$4:$AF$104,MATCH($D43&amp;"a",'表30-5-2-5-4'!$4:$4,0)-1,FALSE))
-VLOOKUP($T43,'表30-5-2-5-4'!$B$4:$AF$104,MATCH($D43,'表30-5-2-5-4'!$4:$4,0)-1,FALSE)*(T43/100-N43/H43)*100
-VLOOKUP($S43,'表30-5-2-5-4'!$B$4:$AF$104,MATCH($D43,'表30-5-2-5-4'!$4:$4,0)-1,FALSE)*(1-(S43/100-M43/H43)*100),
IF(C43="E2",VLOOKUP($T43,'表30-5-2-5-4'!$B$114:$AF$214,MATCH($D43&amp;"a",'表30-5-2-5-4'!$4:$4,0)-1,FALSE)
-IF($S43-1&lt;=0,0,VLOOKUP($S43-1,'表30-5-2-5-4'!$B$114:$AF$214,MATCH($D43&amp;"a",'表30-5-2-5-4'!$4:$4,0)-1,FALSE))
-VLOOKUP($T43,'表30-5-2-5-4'!$B$114:$AF$214,MATCH($D43,'表30-5-2-5-4'!$4:$4,0)-1,FALSE)*(T43/100-N43/H43)*100
-VLOOKUP($S43,'表30-5-2-5-4'!$B$114:$AF$214,MATCH($D43,'表30-5-2-5-4'!$4:$4,0)-1,FALSE)*(1-(S43/100-M43/H43)*100),0))))</f>
        <v>0</v>
      </c>
      <c r="V43" s="2478">
        <f t="shared" si="4"/>
        <v>0</v>
      </c>
      <c r="W43" s="2478">
        <f t="shared" si="5"/>
        <v>0</v>
      </c>
      <c r="X43" s="2718">
        <f t="shared" si="9"/>
        <v>0</v>
      </c>
      <c r="Y43" s="2718">
        <f t="shared" si="10"/>
        <v>0</v>
      </c>
    </row>
    <row r="44" spans="1:25">
      <c r="A44" s="2473" t="str">
        <f t="shared" si="6"/>
        <v/>
      </c>
      <c r="B44" s="2737"/>
      <c r="C44" s="2737"/>
      <c r="D44" s="2737"/>
      <c r="E44" s="2738"/>
      <c r="F44" s="2738"/>
      <c r="G44" s="2738"/>
      <c r="H44" s="2739"/>
      <c r="I44" s="2740"/>
      <c r="J44" s="2740"/>
      <c r="K44" s="2740"/>
      <c r="L44" s="2740"/>
      <c r="M44" s="2738"/>
      <c r="N44" s="2738"/>
      <c r="O44" s="2474">
        <f t="shared" si="0"/>
        <v>0</v>
      </c>
      <c r="P44" s="2474">
        <f t="shared" si="1"/>
        <v>0</v>
      </c>
      <c r="Q44" s="2475">
        <f t="shared" si="7"/>
        <v>0</v>
      </c>
      <c r="R44" s="2475">
        <f t="shared" si="8"/>
        <v>0</v>
      </c>
      <c r="S44" s="2476">
        <f t="shared" si="2"/>
        <v>0</v>
      </c>
      <c r="T44" s="2476">
        <f t="shared" si="3"/>
        <v>0</v>
      </c>
      <c r="U44" s="2477">
        <f>IF(OR(E44="QS",B44=""),0,
IF(C44="F",VLOOKUP($T44,'表30-5-2-5-3'!$B:$AF,MATCH($D44&amp;"a",'表30-5-2-5-3'!$4:$4,0)-1,FALSE)
-IF($S44-1&lt;=0,0,VLOOKUP($S44-1,'表30-5-2-5-3'!$B:$AF,MATCH($D44&amp;"a",'表30-5-2-5-3'!$4:$4,0)-1,FALSE))
-VLOOKUP($T44,'表30-5-2-5-3'!$B:$AF,MATCH($D44,'表30-5-2-5-3'!$4:$4,0)-1,FALSE)*(T44/100-N44/H44)*100
-VLOOKUP($S44,'表30-5-2-5-3'!$B:$AF,MATCH($D44,'表30-5-2-5-3'!$4:$4,0)-1,FALSE)*(1-(S44/100-M44/H44)*100),
IF(C44="E1",VLOOKUP($T44,'表30-5-2-5-4'!$B$4:$AF$104,MATCH($D44&amp;"a",'表30-5-2-5-4'!$4:$4,0)-1,FALSE)
-IF($S44-1&lt;=0,0,VLOOKUP($S44-1,'表30-5-2-5-4'!$B$4:$AF$104,MATCH($D44&amp;"a",'表30-5-2-5-4'!$4:$4,0)-1,FALSE))
-VLOOKUP($T44,'表30-5-2-5-4'!$B$4:$AF$104,MATCH($D44,'表30-5-2-5-4'!$4:$4,0)-1,FALSE)*(T44/100-N44/H44)*100
-VLOOKUP($S44,'表30-5-2-5-4'!$B$4:$AF$104,MATCH($D44,'表30-5-2-5-4'!$4:$4,0)-1,FALSE)*(1-(S44/100-M44/H44)*100),
IF(C44="E2",VLOOKUP($T44,'表30-5-2-5-4'!$B$114:$AF$214,MATCH($D44&amp;"a",'表30-5-2-5-4'!$4:$4,0)-1,FALSE)
-IF($S44-1&lt;=0,0,VLOOKUP($S44-1,'表30-5-2-5-4'!$B$114:$AF$214,MATCH($D44&amp;"a",'表30-5-2-5-4'!$4:$4,0)-1,FALSE))
-VLOOKUP($T44,'表30-5-2-5-4'!$B$114:$AF$214,MATCH($D44,'表30-5-2-5-4'!$4:$4,0)-1,FALSE)*(T44/100-N44/H44)*100
-VLOOKUP($S44,'表30-5-2-5-4'!$B$114:$AF$214,MATCH($D44,'表30-5-2-5-4'!$4:$4,0)-1,FALSE)*(1-(S44/100-M44/H44)*100),0))))</f>
        <v>0</v>
      </c>
      <c r="V44" s="2478">
        <f t="shared" si="4"/>
        <v>0</v>
      </c>
      <c r="W44" s="2478">
        <f t="shared" si="5"/>
        <v>0</v>
      </c>
      <c r="X44" s="2718">
        <f t="shared" si="9"/>
        <v>0</v>
      </c>
      <c r="Y44" s="2718">
        <f t="shared" si="10"/>
        <v>0</v>
      </c>
    </row>
    <row r="45" spans="1:25">
      <c r="A45" s="2473" t="str">
        <f t="shared" si="6"/>
        <v/>
      </c>
      <c r="B45" s="2737"/>
      <c r="C45" s="2737"/>
      <c r="D45" s="2737"/>
      <c r="E45" s="2738"/>
      <c r="F45" s="2738"/>
      <c r="G45" s="2738"/>
      <c r="H45" s="2739"/>
      <c r="I45" s="2740"/>
      <c r="J45" s="2740"/>
      <c r="K45" s="2740"/>
      <c r="L45" s="2740"/>
      <c r="M45" s="2738"/>
      <c r="N45" s="2738"/>
      <c r="O45" s="2474">
        <f t="shared" si="0"/>
        <v>0</v>
      </c>
      <c r="P45" s="2474">
        <f t="shared" si="1"/>
        <v>0</v>
      </c>
      <c r="Q45" s="2475">
        <f t="shared" si="7"/>
        <v>0</v>
      </c>
      <c r="R45" s="2475">
        <f t="shared" si="8"/>
        <v>0</v>
      </c>
      <c r="S45" s="2476">
        <f t="shared" si="2"/>
        <v>0</v>
      </c>
      <c r="T45" s="2476">
        <f t="shared" si="3"/>
        <v>0</v>
      </c>
      <c r="U45" s="2477">
        <f>IF(OR(E45="QS",B45=""),0,
IF(C45="F",VLOOKUP($T45,'表30-5-2-5-3'!$B:$AF,MATCH($D45&amp;"a",'表30-5-2-5-3'!$4:$4,0)-1,FALSE)
-IF($S45-1&lt;=0,0,VLOOKUP($S45-1,'表30-5-2-5-3'!$B:$AF,MATCH($D45&amp;"a",'表30-5-2-5-3'!$4:$4,0)-1,FALSE))
-VLOOKUP($T45,'表30-5-2-5-3'!$B:$AF,MATCH($D45,'表30-5-2-5-3'!$4:$4,0)-1,FALSE)*(T45/100-N45/H45)*100
-VLOOKUP($S45,'表30-5-2-5-3'!$B:$AF,MATCH($D45,'表30-5-2-5-3'!$4:$4,0)-1,FALSE)*(1-(S45/100-M45/H45)*100),
IF(C45="E1",VLOOKUP($T45,'表30-5-2-5-4'!$B$4:$AF$104,MATCH($D45&amp;"a",'表30-5-2-5-4'!$4:$4,0)-1,FALSE)
-IF($S45-1&lt;=0,0,VLOOKUP($S45-1,'表30-5-2-5-4'!$B$4:$AF$104,MATCH($D45&amp;"a",'表30-5-2-5-4'!$4:$4,0)-1,FALSE))
-VLOOKUP($T45,'表30-5-2-5-4'!$B$4:$AF$104,MATCH($D45,'表30-5-2-5-4'!$4:$4,0)-1,FALSE)*(T45/100-N45/H45)*100
-VLOOKUP($S45,'表30-5-2-5-4'!$B$4:$AF$104,MATCH($D45,'表30-5-2-5-4'!$4:$4,0)-1,FALSE)*(1-(S45/100-M45/H45)*100),
IF(C45="E2",VLOOKUP($T45,'表30-5-2-5-4'!$B$114:$AF$214,MATCH($D45&amp;"a",'表30-5-2-5-4'!$4:$4,0)-1,FALSE)
-IF($S45-1&lt;=0,0,VLOOKUP($S45-1,'表30-5-2-5-4'!$B$114:$AF$214,MATCH($D45&amp;"a",'表30-5-2-5-4'!$4:$4,0)-1,FALSE))
-VLOOKUP($T45,'表30-5-2-5-4'!$B$114:$AF$214,MATCH($D45,'表30-5-2-5-4'!$4:$4,0)-1,FALSE)*(T45/100-N45/H45)*100
-VLOOKUP($S45,'表30-5-2-5-4'!$B$114:$AF$214,MATCH($D45,'表30-5-2-5-4'!$4:$4,0)-1,FALSE)*(1-(S45/100-M45/H45)*100),0))))</f>
        <v>0</v>
      </c>
      <c r="V45" s="2478">
        <f t="shared" si="4"/>
        <v>0</v>
      </c>
      <c r="W45" s="2478">
        <f t="shared" si="5"/>
        <v>0</v>
      </c>
      <c r="X45" s="2718">
        <f t="shared" si="9"/>
        <v>0</v>
      </c>
      <c r="Y45" s="2718">
        <f t="shared" si="10"/>
        <v>0</v>
      </c>
    </row>
    <row r="46" spans="1:25">
      <c r="A46" s="2473" t="str">
        <f t="shared" si="6"/>
        <v/>
      </c>
      <c r="B46" s="2737"/>
      <c r="C46" s="2737"/>
      <c r="D46" s="2737"/>
      <c r="E46" s="2738"/>
      <c r="F46" s="2738"/>
      <c r="G46" s="2738"/>
      <c r="H46" s="2739"/>
      <c r="I46" s="2740"/>
      <c r="J46" s="2740"/>
      <c r="K46" s="2740"/>
      <c r="L46" s="2740"/>
      <c r="M46" s="2738"/>
      <c r="N46" s="2738"/>
      <c r="O46" s="2474">
        <f t="shared" si="0"/>
        <v>0</v>
      </c>
      <c r="P46" s="2474">
        <f t="shared" si="1"/>
        <v>0</v>
      </c>
      <c r="Q46" s="2475">
        <f t="shared" si="7"/>
        <v>0</v>
      </c>
      <c r="R46" s="2475">
        <f t="shared" si="8"/>
        <v>0</v>
      </c>
      <c r="S46" s="2476">
        <f t="shared" si="2"/>
        <v>0</v>
      </c>
      <c r="T46" s="2476">
        <f t="shared" si="3"/>
        <v>0</v>
      </c>
      <c r="U46" s="2477">
        <f>IF(OR(E46="QS",B46=""),0,
IF(C46="F",VLOOKUP($T46,'表30-5-2-5-3'!$B:$AF,MATCH($D46&amp;"a",'表30-5-2-5-3'!$4:$4,0)-1,FALSE)
-IF($S46-1&lt;=0,0,VLOOKUP($S46-1,'表30-5-2-5-3'!$B:$AF,MATCH($D46&amp;"a",'表30-5-2-5-3'!$4:$4,0)-1,FALSE))
-VLOOKUP($T46,'表30-5-2-5-3'!$B:$AF,MATCH($D46,'表30-5-2-5-3'!$4:$4,0)-1,FALSE)*(T46/100-N46/H46)*100
-VLOOKUP($S46,'表30-5-2-5-3'!$B:$AF,MATCH($D46,'表30-5-2-5-3'!$4:$4,0)-1,FALSE)*(1-(S46/100-M46/H46)*100),
IF(C46="E1",VLOOKUP($T46,'表30-5-2-5-4'!$B$4:$AF$104,MATCH($D46&amp;"a",'表30-5-2-5-4'!$4:$4,0)-1,FALSE)
-IF($S46-1&lt;=0,0,VLOOKUP($S46-1,'表30-5-2-5-4'!$B$4:$AF$104,MATCH($D46&amp;"a",'表30-5-2-5-4'!$4:$4,0)-1,FALSE))
-VLOOKUP($T46,'表30-5-2-5-4'!$B$4:$AF$104,MATCH($D46,'表30-5-2-5-4'!$4:$4,0)-1,FALSE)*(T46/100-N46/H46)*100
-VLOOKUP($S46,'表30-5-2-5-4'!$B$4:$AF$104,MATCH($D46,'表30-5-2-5-4'!$4:$4,0)-1,FALSE)*(1-(S46/100-M46/H46)*100),
IF(C46="E2",VLOOKUP($T46,'表30-5-2-5-4'!$B$114:$AF$214,MATCH($D46&amp;"a",'表30-5-2-5-4'!$4:$4,0)-1,FALSE)
-IF($S46-1&lt;=0,0,VLOOKUP($S46-1,'表30-5-2-5-4'!$B$114:$AF$214,MATCH($D46&amp;"a",'表30-5-2-5-4'!$4:$4,0)-1,FALSE))
-VLOOKUP($T46,'表30-5-2-5-4'!$B$114:$AF$214,MATCH($D46,'表30-5-2-5-4'!$4:$4,0)-1,FALSE)*(T46/100-N46/H46)*100
-VLOOKUP($S46,'表30-5-2-5-4'!$B$114:$AF$214,MATCH($D46,'表30-5-2-5-4'!$4:$4,0)-1,FALSE)*(1-(S46/100-M46/H46)*100),0))))</f>
        <v>0</v>
      </c>
      <c r="V46" s="2478">
        <f t="shared" si="4"/>
        <v>0</v>
      </c>
      <c r="W46" s="2478">
        <f t="shared" si="5"/>
        <v>0</v>
      </c>
      <c r="X46" s="2718">
        <f t="shared" si="9"/>
        <v>0</v>
      </c>
      <c r="Y46" s="2718">
        <f t="shared" si="10"/>
        <v>0</v>
      </c>
    </row>
    <row r="47" spans="1:25">
      <c r="A47" s="2473" t="str">
        <f t="shared" si="6"/>
        <v/>
      </c>
      <c r="B47" s="2737"/>
      <c r="C47" s="2737"/>
      <c r="D47" s="2737"/>
      <c r="E47" s="2738"/>
      <c r="F47" s="2738"/>
      <c r="G47" s="2738"/>
      <c r="H47" s="2739"/>
      <c r="I47" s="2740"/>
      <c r="J47" s="2740"/>
      <c r="K47" s="2740"/>
      <c r="L47" s="2740"/>
      <c r="M47" s="2738"/>
      <c r="N47" s="2738"/>
      <c r="O47" s="2474">
        <f t="shared" si="0"/>
        <v>0</v>
      </c>
      <c r="P47" s="2474">
        <f t="shared" si="1"/>
        <v>0</v>
      </c>
      <c r="Q47" s="2475">
        <f t="shared" si="7"/>
        <v>0</v>
      </c>
      <c r="R47" s="2475">
        <f t="shared" si="8"/>
        <v>0</v>
      </c>
      <c r="S47" s="2476">
        <f t="shared" si="2"/>
        <v>0</v>
      </c>
      <c r="T47" s="2476">
        <f t="shared" si="3"/>
        <v>0</v>
      </c>
      <c r="U47" s="2477">
        <f>IF(OR(E47="QS",B47=""),0,
IF(C47="F",VLOOKUP($T47,'表30-5-2-5-3'!$B:$AF,MATCH($D47&amp;"a",'表30-5-2-5-3'!$4:$4,0)-1,FALSE)
-IF($S47-1&lt;=0,0,VLOOKUP($S47-1,'表30-5-2-5-3'!$B:$AF,MATCH($D47&amp;"a",'表30-5-2-5-3'!$4:$4,0)-1,FALSE))
-VLOOKUP($T47,'表30-5-2-5-3'!$B:$AF,MATCH($D47,'表30-5-2-5-3'!$4:$4,0)-1,FALSE)*(T47/100-N47/H47)*100
-VLOOKUP($S47,'表30-5-2-5-3'!$B:$AF,MATCH($D47,'表30-5-2-5-3'!$4:$4,0)-1,FALSE)*(1-(S47/100-M47/H47)*100),
IF(C47="E1",VLOOKUP($T47,'表30-5-2-5-4'!$B$4:$AF$104,MATCH($D47&amp;"a",'表30-5-2-5-4'!$4:$4,0)-1,FALSE)
-IF($S47-1&lt;=0,0,VLOOKUP($S47-1,'表30-5-2-5-4'!$B$4:$AF$104,MATCH($D47&amp;"a",'表30-5-2-5-4'!$4:$4,0)-1,FALSE))
-VLOOKUP($T47,'表30-5-2-5-4'!$B$4:$AF$104,MATCH($D47,'表30-5-2-5-4'!$4:$4,0)-1,FALSE)*(T47/100-N47/H47)*100
-VLOOKUP($S47,'表30-5-2-5-4'!$B$4:$AF$104,MATCH($D47,'表30-5-2-5-4'!$4:$4,0)-1,FALSE)*(1-(S47/100-M47/H47)*100),
IF(C47="E2",VLOOKUP($T47,'表30-5-2-5-4'!$B$114:$AF$214,MATCH($D47&amp;"a",'表30-5-2-5-4'!$4:$4,0)-1,FALSE)
-IF($S47-1&lt;=0,0,VLOOKUP($S47-1,'表30-5-2-5-4'!$B$114:$AF$214,MATCH($D47&amp;"a",'表30-5-2-5-4'!$4:$4,0)-1,FALSE))
-VLOOKUP($T47,'表30-5-2-5-4'!$B$114:$AF$214,MATCH($D47,'表30-5-2-5-4'!$4:$4,0)-1,FALSE)*(T47/100-N47/H47)*100
-VLOOKUP($S47,'表30-5-2-5-4'!$B$114:$AF$214,MATCH($D47,'表30-5-2-5-4'!$4:$4,0)-1,FALSE)*(1-(S47/100-M47/H47)*100),0))))</f>
        <v>0</v>
      </c>
      <c r="V47" s="2478">
        <f t="shared" si="4"/>
        <v>0</v>
      </c>
      <c r="W47" s="2478">
        <f t="shared" si="5"/>
        <v>0</v>
      </c>
      <c r="X47" s="2718">
        <f t="shared" si="9"/>
        <v>0</v>
      </c>
      <c r="Y47" s="2718">
        <f t="shared" si="10"/>
        <v>0</v>
      </c>
    </row>
    <row r="48" spans="1:25">
      <c r="A48" s="2473" t="str">
        <f t="shared" si="6"/>
        <v/>
      </c>
      <c r="B48" s="2737"/>
      <c r="C48" s="2737"/>
      <c r="D48" s="2737"/>
      <c r="E48" s="2738"/>
      <c r="F48" s="2738"/>
      <c r="G48" s="2738"/>
      <c r="H48" s="2739"/>
      <c r="I48" s="2740"/>
      <c r="J48" s="2740"/>
      <c r="K48" s="2740"/>
      <c r="L48" s="2740"/>
      <c r="M48" s="2738"/>
      <c r="N48" s="2738"/>
      <c r="O48" s="2474">
        <f t="shared" si="0"/>
        <v>0</v>
      </c>
      <c r="P48" s="2474">
        <f t="shared" si="1"/>
        <v>0</v>
      </c>
      <c r="Q48" s="2475">
        <f t="shared" si="7"/>
        <v>0</v>
      </c>
      <c r="R48" s="2475">
        <f t="shared" si="8"/>
        <v>0</v>
      </c>
      <c r="S48" s="2476">
        <f t="shared" si="2"/>
        <v>0</v>
      </c>
      <c r="T48" s="2476">
        <f t="shared" si="3"/>
        <v>0</v>
      </c>
      <c r="U48" s="2477">
        <f>IF(OR(E48="QS",B48=""),0,
IF(C48="F",VLOOKUP($T48,'表30-5-2-5-3'!$B:$AF,MATCH($D48&amp;"a",'表30-5-2-5-3'!$4:$4,0)-1,FALSE)
-IF($S48-1&lt;=0,0,VLOOKUP($S48-1,'表30-5-2-5-3'!$B:$AF,MATCH($D48&amp;"a",'表30-5-2-5-3'!$4:$4,0)-1,FALSE))
-VLOOKUP($T48,'表30-5-2-5-3'!$B:$AF,MATCH($D48,'表30-5-2-5-3'!$4:$4,0)-1,FALSE)*(T48/100-N48/H48)*100
-VLOOKUP($S48,'表30-5-2-5-3'!$B:$AF,MATCH($D48,'表30-5-2-5-3'!$4:$4,0)-1,FALSE)*(1-(S48/100-M48/H48)*100),
IF(C48="E1",VLOOKUP($T48,'表30-5-2-5-4'!$B$4:$AF$104,MATCH($D48&amp;"a",'表30-5-2-5-4'!$4:$4,0)-1,FALSE)
-IF($S48-1&lt;=0,0,VLOOKUP($S48-1,'表30-5-2-5-4'!$B$4:$AF$104,MATCH($D48&amp;"a",'表30-5-2-5-4'!$4:$4,0)-1,FALSE))
-VLOOKUP($T48,'表30-5-2-5-4'!$B$4:$AF$104,MATCH($D48,'表30-5-2-5-4'!$4:$4,0)-1,FALSE)*(T48/100-N48/H48)*100
-VLOOKUP($S48,'表30-5-2-5-4'!$B$4:$AF$104,MATCH($D48,'表30-5-2-5-4'!$4:$4,0)-1,FALSE)*(1-(S48/100-M48/H48)*100),
IF(C48="E2",VLOOKUP($T48,'表30-5-2-5-4'!$B$114:$AF$214,MATCH($D48&amp;"a",'表30-5-2-5-4'!$4:$4,0)-1,FALSE)
-IF($S48-1&lt;=0,0,VLOOKUP($S48-1,'表30-5-2-5-4'!$B$114:$AF$214,MATCH($D48&amp;"a",'表30-5-2-5-4'!$4:$4,0)-1,FALSE))
-VLOOKUP($T48,'表30-5-2-5-4'!$B$114:$AF$214,MATCH($D48,'表30-5-2-5-4'!$4:$4,0)-1,FALSE)*(T48/100-N48/H48)*100
-VLOOKUP($S48,'表30-5-2-5-4'!$B$114:$AF$214,MATCH($D48,'表30-5-2-5-4'!$4:$4,0)-1,FALSE)*(1-(S48/100-M48/H48)*100),0))))</f>
        <v>0</v>
      </c>
      <c r="V48" s="2478">
        <f t="shared" si="4"/>
        <v>0</v>
      </c>
      <c r="W48" s="2478">
        <f t="shared" si="5"/>
        <v>0</v>
      </c>
      <c r="X48" s="2718">
        <f t="shared" si="9"/>
        <v>0</v>
      </c>
      <c r="Y48" s="2718">
        <f t="shared" si="10"/>
        <v>0</v>
      </c>
    </row>
    <row r="49" spans="1:25">
      <c r="A49" s="2473" t="str">
        <f t="shared" si="6"/>
        <v/>
      </c>
      <c r="B49" s="2737"/>
      <c r="C49" s="2737"/>
      <c r="D49" s="2737"/>
      <c r="E49" s="2738"/>
      <c r="F49" s="2738"/>
      <c r="G49" s="2738"/>
      <c r="H49" s="2739"/>
      <c r="I49" s="2740"/>
      <c r="J49" s="2740"/>
      <c r="K49" s="2740"/>
      <c r="L49" s="2740"/>
      <c r="M49" s="2738"/>
      <c r="N49" s="2738"/>
      <c r="O49" s="2474">
        <f t="shared" si="0"/>
        <v>0</v>
      </c>
      <c r="P49" s="2474">
        <f t="shared" si="1"/>
        <v>0</v>
      </c>
      <c r="Q49" s="2475">
        <f t="shared" si="7"/>
        <v>0</v>
      </c>
      <c r="R49" s="2475">
        <f t="shared" si="8"/>
        <v>0</v>
      </c>
      <c r="S49" s="2476">
        <f t="shared" si="2"/>
        <v>0</v>
      </c>
      <c r="T49" s="2476">
        <f t="shared" si="3"/>
        <v>0</v>
      </c>
      <c r="U49" s="2477">
        <f>IF(OR(E49="QS",B49=""),0,
IF(C49="F",VLOOKUP($T49,'表30-5-2-5-3'!$B:$AF,MATCH($D49&amp;"a",'表30-5-2-5-3'!$4:$4,0)-1,FALSE)
-IF($S49-1&lt;=0,0,VLOOKUP($S49-1,'表30-5-2-5-3'!$B:$AF,MATCH($D49&amp;"a",'表30-5-2-5-3'!$4:$4,0)-1,FALSE))
-VLOOKUP($T49,'表30-5-2-5-3'!$B:$AF,MATCH($D49,'表30-5-2-5-3'!$4:$4,0)-1,FALSE)*(T49/100-N49/H49)*100
-VLOOKUP($S49,'表30-5-2-5-3'!$B:$AF,MATCH($D49,'表30-5-2-5-3'!$4:$4,0)-1,FALSE)*(1-(S49/100-M49/H49)*100),
IF(C49="E1",VLOOKUP($T49,'表30-5-2-5-4'!$B$4:$AF$104,MATCH($D49&amp;"a",'表30-5-2-5-4'!$4:$4,0)-1,FALSE)
-IF($S49-1&lt;=0,0,VLOOKUP($S49-1,'表30-5-2-5-4'!$B$4:$AF$104,MATCH($D49&amp;"a",'表30-5-2-5-4'!$4:$4,0)-1,FALSE))
-VLOOKUP($T49,'表30-5-2-5-4'!$B$4:$AF$104,MATCH($D49,'表30-5-2-5-4'!$4:$4,0)-1,FALSE)*(T49/100-N49/H49)*100
-VLOOKUP($S49,'表30-5-2-5-4'!$B$4:$AF$104,MATCH($D49,'表30-5-2-5-4'!$4:$4,0)-1,FALSE)*(1-(S49/100-M49/H49)*100),
IF(C49="E2",VLOOKUP($T49,'表30-5-2-5-4'!$B$114:$AF$214,MATCH($D49&amp;"a",'表30-5-2-5-4'!$4:$4,0)-1,FALSE)
-IF($S49-1&lt;=0,0,VLOOKUP($S49-1,'表30-5-2-5-4'!$B$114:$AF$214,MATCH($D49&amp;"a",'表30-5-2-5-4'!$4:$4,0)-1,FALSE))
-VLOOKUP($T49,'表30-5-2-5-4'!$B$114:$AF$214,MATCH($D49,'表30-5-2-5-4'!$4:$4,0)-1,FALSE)*(T49/100-N49/H49)*100
-VLOOKUP($S49,'表30-5-2-5-4'!$B$114:$AF$214,MATCH($D49,'表30-5-2-5-4'!$4:$4,0)-1,FALSE)*(1-(S49/100-M49/H49)*100),0))))</f>
        <v>0</v>
      </c>
      <c r="V49" s="2478">
        <f t="shared" si="4"/>
        <v>0</v>
      </c>
      <c r="W49" s="2478">
        <f t="shared" si="5"/>
        <v>0</v>
      </c>
      <c r="X49" s="2718">
        <f t="shared" si="9"/>
        <v>0</v>
      </c>
      <c r="Y49" s="2718">
        <f t="shared" si="10"/>
        <v>0</v>
      </c>
    </row>
    <row r="50" spans="1:25">
      <c r="A50" s="2473" t="str">
        <f t="shared" si="6"/>
        <v/>
      </c>
      <c r="B50" s="2737"/>
      <c r="C50" s="2737"/>
      <c r="D50" s="2737"/>
      <c r="E50" s="2738"/>
      <c r="F50" s="2738"/>
      <c r="G50" s="2738"/>
      <c r="H50" s="2739"/>
      <c r="I50" s="2740"/>
      <c r="J50" s="2740"/>
      <c r="K50" s="2740"/>
      <c r="L50" s="2740"/>
      <c r="M50" s="2738"/>
      <c r="N50" s="2738"/>
      <c r="O50" s="2474">
        <f t="shared" si="0"/>
        <v>0</v>
      </c>
      <c r="P50" s="2474">
        <f t="shared" si="1"/>
        <v>0</v>
      </c>
      <c r="Q50" s="2475">
        <f t="shared" si="7"/>
        <v>0</v>
      </c>
      <c r="R50" s="2475">
        <f t="shared" si="8"/>
        <v>0</v>
      </c>
      <c r="S50" s="2476">
        <f t="shared" si="2"/>
        <v>0</v>
      </c>
      <c r="T50" s="2476">
        <f t="shared" si="3"/>
        <v>0</v>
      </c>
      <c r="U50" s="2477">
        <f>IF(OR(E50="QS",B50=""),0,
IF(C50="F",VLOOKUP($T50,'表30-5-2-5-3'!$B:$AF,MATCH($D50&amp;"a",'表30-5-2-5-3'!$4:$4,0)-1,FALSE)
-IF($S50-1&lt;=0,0,VLOOKUP($S50-1,'表30-5-2-5-3'!$B:$AF,MATCH($D50&amp;"a",'表30-5-2-5-3'!$4:$4,0)-1,FALSE))
-VLOOKUP($T50,'表30-5-2-5-3'!$B:$AF,MATCH($D50,'表30-5-2-5-3'!$4:$4,0)-1,FALSE)*(T50/100-N50/H50)*100
-VLOOKUP($S50,'表30-5-2-5-3'!$B:$AF,MATCH($D50,'表30-5-2-5-3'!$4:$4,0)-1,FALSE)*(1-(S50/100-M50/H50)*100),
IF(C50="E1",VLOOKUP($T50,'表30-5-2-5-4'!$B$4:$AF$104,MATCH($D50&amp;"a",'表30-5-2-5-4'!$4:$4,0)-1,FALSE)
-IF($S50-1&lt;=0,0,VLOOKUP($S50-1,'表30-5-2-5-4'!$B$4:$AF$104,MATCH($D50&amp;"a",'表30-5-2-5-4'!$4:$4,0)-1,FALSE))
-VLOOKUP($T50,'表30-5-2-5-4'!$B$4:$AF$104,MATCH($D50,'表30-5-2-5-4'!$4:$4,0)-1,FALSE)*(T50/100-N50/H50)*100
-VLOOKUP($S50,'表30-5-2-5-4'!$B$4:$AF$104,MATCH($D50,'表30-5-2-5-4'!$4:$4,0)-1,FALSE)*(1-(S50/100-M50/H50)*100),
IF(C50="E2",VLOOKUP($T50,'表30-5-2-5-4'!$B$114:$AF$214,MATCH($D50&amp;"a",'表30-5-2-5-4'!$4:$4,0)-1,FALSE)
-IF($S50-1&lt;=0,0,VLOOKUP($S50-1,'表30-5-2-5-4'!$B$114:$AF$214,MATCH($D50&amp;"a",'表30-5-2-5-4'!$4:$4,0)-1,FALSE))
-VLOOKUP($T50,'表30-5-2-5-4'!$B$114:$AF$214,MATCH($D50,'表30-5-2-5-4'!$4:$4,0)-1,FALSE)*(T50/100-N50/H50)*100
-VLOOKUP($S50,'表30-5-2-5-4'!$B$114:$AF$214,MATCH($D50,'表30-5-2-5-4'!$4:$4,0)-1,FALSE)*(1-(S50/100-M50/H50)*100),0))))</f>
        <v>0</v>
      </c>
      <c r="V50" s="2478">
        <f t="shared" si="4"/>
        <v>0</v>
      </c>
      <c r="W50" s="2478">
        <f t="shared" si="5"/>
        <v>0</v>
      </c>
      <c r="X50" s="2718">
        <f t="shared" si="9"/>
        <v>0</v>
      </c>
      <c r="Y50" s="2718">
        <f t="shared" si="10"/>
        <v>0</v>
      </c>
    </row>
    <row r="51" spans="1:25">
      <c r="A51" s="2473" t="str">
        <f t="shared" si="6"/>
        <v/>
      </c>
      <c r="B51" s="2737"/>
      <c r="C51" s="2737"/>
      <c r="D51" s="2737"/>
      <c r="E51" s="2738"/>
      <c r="F51" s="2738"/>
      <c r="G51" s="2738"/>
      <c r="H51" s="2739"/>
      <c r="I51" s="2740"/>
      <c r="J51" s="2740"/>
      <c r="K51" s="2740"/>
      <c r="L51" s="2740"/>
      <c r="M51" s="2738"/>
      <c r="N51" s="2738"/>
      <c r="O51" s="2474">
        <f t="shared" si="0"/>
        <v>0</v>
      </c>
      <c r="P51" s="2474">
        <f t="shared" si="1"/>
        <v>0</v>
      </c>
      <c r="Q51" s="2475">
        <f t="shared" si="7"/>
        <v>0</v>
      </c>
      <c r="R51" s="2475">
        <f t="shared" si="8"/>
        <v>0</v>
      </c>
      <c r="S51" s="2476">
        <f t="shared" si="2"/>
        <v>0</v>
      </c>
      <c r="T51" s="2476">
        <f t="shared" si="3"/>
        <v>0</v>
      </c>
      <c r="U51" s="2477">
        <f>IF(OR(E51="QS",B51=""),0,
IF(C51="F",VLOOKUP($T51,'表30-5-2-5-3'!$B:$AF,MATCH($D51&amp;"a",'表30-5-2-5-3'!$4:$4,0)-1,FALSE)
-IF($S51-1&lt;=0,0,VLOOKUP($S51-1,'表30-5-2-5-3'!$B:$AF,MATCH($D51&amp;"a",'表30-5-2-5-3'!$4:$4,0)-1,FALSE))
-VLOOKUP($T51,'表30-5-2-5-3'!$B:$AF,MATCH($D51,'表30-5-2-5-3'!$4:$4,0)-1,FALSE)*(T51/100-N51/H51)*100
-VLOOKUP($S51,'表30-5-2-5-3'!$B:$AF,MATCH($D51,'表30-5-2-5-3'!$4:$4,0)-1,FALSE)*(1-(S51/100-M51/H51)*100),
IF(C51="E1",VLOOKUP($T51,'表30-5-2-5-4'!$B$4:$AF$104,MATCH($D51&amp;"a",'表30-5-2-5-4'!$4:$4,0)-1,FALSE)
-IF($S51-1&lt;=0,0,VLOOKUP($S51-1,'表30-5-2-5-4'!$B$4:$AF$104,MATCH($D51&amp;"a",'表30-5-2-5-4'!$4:$4,0)-1,FALSE))
-VLOOKUP($T51,'表30-5-2-5-4'!$B$4:$AF$104,MATCH($D51,'表30-5-2-5-4'!$4:$4,0)-1,FALSE)*(T51/100-N51/H51)*100
-VLOOKUP($S51,'表30-5-2-5-4'!$B$4:$AF$104,MATCH($D51,'表30-5-2-5-4'!$4:$4,0)-1,FALSE)*(1-(S51/100-M51/H51)*100),
IF(C51="E2",VLOOKUP($T51,'表30-5-2-5-4'!$B$114:$AF$214,MATCH($D51&amp;"a",'表30-5-2-5-4'!$4:$4,0)-1,FALSE)
-IF($S51-1&lt;=0,0,VLOOKUP($S51-1,'表30-5-2-5-4'!$B$114:$AF$214,MATCH($D51&amp;"a",'表30-5-2-5-4'!$4:$4,0)-1,FALSE))
-VLOOKUP($T51,'表30-5-2-5-4'!$B$114:$AF$214,MATCH($D51,'表30-5-2-5-4'!$4:$4,0)-1,FALSE)*(T51/100-N51/H51)*100
-VLOOKUP($S51,'表30-5-2-5-4'!$B$114:$AF$214,MATCH($D51,'表30-5-2-5-4'!$4:$4,0)-1,FALSE)*(1-(S51/100-M51/H51)*100),0))))</f>
        <v>0</v>
      </c>
      <c r="V51" s="2478">
        <f t="shared" si="4"/>
        <v>0</v>
      </c>
      <c r="W51" s="2478">
        <f t="shared" si="5"/>
        <v>0</v>
      </c>
      <c r="X51" s="2718">
        <f t="shared" si="9"/>
        <v>0</v>
      </c>
      <c r="Y51" s="2718">
        <f t="shared" si="10"/>
        <v>0</v>
      </c>
    </row>
    <row r="52" spans="1:25">
      <c r="A52" s="2473" t="str">
        <f t="shared" si="6"/>
        <v/>
      </c>
      <c r="B52" s="2737"/>
      <c r="C52" s="2737"/>
      <c r="D52" s="2737"/>
      <c r="E52" s="2738"/>
      <c r="F52" s="2738"/>
      <c r="G52" s="2738"/>
      <c r="H52" s="2739"/>
      <c r="I52" s="2740"/>
      <c r="J52" s="2740"/>
      <c r="K52" s="2740"/>
      <c r="L52" s="2740"/>
      <c r="M52" s="2738"/>
      <c r="N52" s="2738"/>
      <c r="O52" s="2474">
        <f t="shared" si="0"/>
        <v>0</v>
      </c>
      <c r="P52" s="2474">
        <f t="shared" si="1"/>
        <v>0</v>
      </c>
      <c r="Q52" s="2475">
        <f t="shared" si="7"/>
        <v>0</v>
      </c>
      <c r="R52" s="2475">
        <f t="shared" si="8"/>
        <v>0</v>
      </c>
      <c r="S52" s="2476">
        <f t="shared" si="2"/>
        <v>0</v>
      </c>
      <c r="T52" s="2476">
        <f t="shared" si="3"/>
        <v>0</v>
      </c>
      <c r="U52" s="2477">
        <f>IF(OR(E52="QS",B52=""),0,
IF(C52="F",VLOOKUP($T52,'表30-5-2-5-3'!$B:$AF,MATCH($D52&amp;"a",'表30-5-2-5-3'!$4:$4,0)-1,FALSE)
-IF($S52-1&lt;=0,0,VLOOKUP($S52-1,'表30-5-2-5-3'!$B:$AF,MATCH($D52&amp;"a",'表30-5-2-5-3'!$4:$4,0)-1,FALSE))
-VLOOKUP($T52,'表30-5-2-5-3'!$B:$AF,MATCH($D52,'表30-5-2-5-3'!$4:$4,0)-1,FALSE)*(T52/100-N52/H52)*100
-VLOOKUP($S52,'表30-5-2-5-3'!$B:$AF,MATCH($D52,'表30-5-2-5-3'!$4:$4,0)-1,FALSE)*(1-(S52/100-M52/H52)*100),
IF(C52="E1",VLOOKUP($T52,'表30-5-2-5-4'!$B$4:$AF$104,MATCH($D52&amp;"a",'表30-5-2-5-4'!$4:$4,0)-1,FALSE)
-IF($S52-1&lt;=0,0,VLOOKUP($S52-1,'表30-5-2-5-4'!$B$4:$AF$104,MATCH($D52&amp;"a",'表30-5-2-5-4'!$4:$4,0)-1,FALSE))
-VLOOKUP($T52,'表30-5-2-5-4'!$B$4:$AF$104,MATCH($D52,'表30-5-2-5-4'!$4:$4,0)-1,FALSE)*(T52/100-N52/H52)*100
-VLOOKUP($S52,'表30-5-2-5-4'!$B$4:$AF$104,MATCH($D52,'表30-5-2-5-4'!$4:$4,0)-1,FALSE)*(1-(S52/100-M52/H52)*100),
IF(C52="E2",VLOOKUP($T52,'表30-5-2-5-4'!$B$114:$AF$214,MATCH($D52&amp;"a",'表30-5-2-5-4'!$4:$4,0)-1,FALSE)
-IF($S52-1&lt;=0,0,VLOOKUP($S52-1,'表30-5-2-5-4'!$B$114:$AF$214,MATCH($D52&amp;"a",'表30-5-2-5-4'!$4:$4,0)-1,FALSE))
-VLOOKUP($T52,'表30-5-2-5-4'!$B$114:$AF$214,MATCH($D52,'表30-5-2-5-4'!$4:$4,0)-1,FALSE)*(T52/100-N52/H52)*100
-VLOOKUP($S52,'表30-5-2-5-4'!$B$114:$AF$214,MATCH($D52,'表30-5-2-5-4'!$4:$4,0)-1,FALSE)*(1-(S52/100-M52/H52)*100),0))))</f>
        <v>0</v>
      </c>
      <c r="V52" s="2478">
        <f t="shared" si="4"/>
        <v>0</v>
      </c>
      <c r="W52" s="2478">
        <f t="shared" si="5"/>
        <v>0</v>
      </c>
      <c r="X52" s="2718">
        <f t="shared" si="9"/>
        <v>0</v>
      </c>
      <c r="Y52" s="2718">
        <f t="shared" si="10"/>
        <v>0</v>
      </c>
    </row>
    <row r="53" spans="1:25">
      <c r="A53" s="2473" t="str">
        <f t="shared" si="6"/>
        <v/>
      </c>
      <c r="B53" s="2737"/>
      <c r="C53" s="2737"/>
      <c r="D53" s="2737"/>
      <c r="E53" s="2738"/>
      <c r="F53" s="2738"/>
      <c r="G53" s="2738"/>
      <c r="H53" s="2739"/>
      <c r="I53" s="2740"/>
      <c r="J53" s="2740"/>
      <c r="K53" s="2740"/>
      <c r="L53" s="2740"/>
      <c r="M53" s="2738"/>
      <c r="N53" s="2738"/>
      <c r="O53" s="2474">
        <f t="shared" si="0"/>
        <v>0</v>
      </c>
      <c r="P53" s="2474">
        <f t="shared" si="1"/>
        <v>0</v>
      </c>
      <c r="Q53" s="2475">
        <f t="shared" si="7"/>
        <v>0</v>
      </c>
      <c r="R53" s="2475">
        <f t="shared" si="8"/>
        <v>0</v>
      </c>
      <c r="S53" s="2476">
        <f t="shared" si="2"/>
        <v>0</v>
      </c>
      <c r="T53" s="2476">
        <f t="shared" si="3"/>
        <v>0</v>
      </c>
      <c r="U53" s="2477">
        <f>IF(OR(E53="QS",B53=""),0,
IF(C53="F",VLOOKUP($T53,'表30-5-2-5-3'!$B:$AF,MATCH($D53&amp;"a",'表30-5-2-5-3'!$4:$4,0)-1,FALSE)
-IF($S53-1&lt;=0,0,VLOOKUP($S53-1,'表30-5-2-5-3'!$B:$AF,MATCH($D53&amp;"a",'表30-5-2-5-3'!$4:$4,0)-1,FALSE))
-VLOOKUP($T53,'表30-5-2-5-3'!$B:$AF,MATCH($D53,'表30-5-2-5-3'!$4:$4,0)-1,FALSE)*(T53/100-N53/H53)*100
-VLOOKUP($S53,'表30-5-2-5-3'!$B:$AF,MATCH($D53,'表30-5-2-5-3'!$4:$4,0)-1,FALSE)*(1-(S53/100-M53/H53)*100),
IF(C53="E1",VLOOKUP($T53,'表30-5-2-5-4'!$B$4:$AF$104,MATCH($D53&amp;"a",'表30-5-2-5-4'!$4:$4,0)-1,FALSE)
-IF($S53-1&lt;=0,0,VLOOKUP($S53-1,'表30-5-2-5-4'!$B$4:$AF$104,MATCH($D53&amp;"a",'表30-5-2-5-4'!$4:$4,0)-1,FALSE))
-VLOOKUP($T53,'表30-5-2-5-4'!$B$4:$AF$104,MATCH($D53,'表30-5-2-5-4'!$4:$4,0)-1,FALSE)*(T53/100-N53/H53)*100
-VLOOKUP($S53,'表30-5-2-5-4'!$B$4:$AF$104,MATCH($D53,'表30-5-2-5-4'!$4:$4,0)-1,FALSE)*(1-(S53/100-M53/H53)*100),
IF(C53="E2",VLOOKUP($T53,'表30-5-2-5-4'!$B$114:$AF$214,MATCH($D53&amp;"a",'表30-5-2-5-4'!$4:$4,0)-1,FALSE)
-IF($S53-1&lt;=0,0,VLOOKUP($S53-1,'表30-5-2-5-4'!$B$114:$AF$214,MATCH($D53&amp;"a",'表30-5-2-5-4'!$4:$4,0)-1,FALSE))
-VLOOKUP($T53,'表30-5-2-5-4'!$B$114:$AF$214,MATCH($D53,'表30-5-2-5-4'!$4:$4,0)-1,FALSE)*(T53/100-N53/H53)*100
-VLOOKUP($S53,'表30-5-2-5-4'!$B$114:$AF$214,MATCH($D53,'表30-5-2-5-4'!$4:$4,0)-1,FALSE)*(1-(S53/100-M53/H53)*100),0))))</f>
        <v>0</v>
      </c>
      <c r="V53" s="2478">
        <f t="shared" si="4"/>
        <v>0</v>
      </c>
      <c r="W53" s="2478">
        <f t="shared" si="5"/>
        <v>0</v>
      </c>
      <c r="X53" s="2718">
        <f t="shared" si="9"/>
        <v>0</v>
      </c>
      <c r="Y53" s="2718">
        <f t="shared" si="10"/>
        <v>0</v>
      </c>
    </row>
    <row r="54" spans="1:25">
      <c r="A54" s="2473" t="str">
        <f t="shared" si="6"/>
        <v/>
      </c>
      <c r="B54" s="2737"/>
      <c r="C54" s="2737"/>
      <c r="D54" s="2737"/>
      <c r="E54" s="2738"/>
      <c r="F54" s="2738"/>
      <c r="G54" s="2738"/>
      <c r="H54" s="2739"/>
      <c r="I54" s="2740"/>
      <c r="J54" s="2740"/>
      <c r="K54" s="2740"/>
      <c r="L54" s="2740"/>
      <c r="M54" s="2738"/>
      <c r="N54" s="2738"/>
      <c r="O54" s="2474">
        <f t="shared" si="0"/>
        <v>0</v>
      </c>
      <c r="P54" s="2474">
        <f t="shared" si="1"/>
        <v>0</v>
      </c>
      <c r="Q54" s="2475">
        <f t="shared" si="7"/>
        <v>0</v>
      </c>
      <c r="R54" s="2475">
        <f t="shared" si="8"/>
        <v>0</v>
      </c>
      <c r="S54" s="2476">
        <f t="shared" si="2"/>
        <v>0</v>
      </c>
      <c r="T54" s="2476">
        <f t="shared" si="3"/>
        <v>0</v>
      </c>
      <c r="U54" s="2477">
        <f>IF(OR(E54="QS",B54=""),0,
IF(C54="F",VLOOKUP($T54,'表30-5-2-5-3'!$B:$AF,MATCH($D54&amp;"a",'表30-5-2-5-3'!$4:$4,0)-1,FALSE)
-IF($S54-1&lt;=0,0,VLOOKUP($S54-1,'表30-5-2-5-3'!$B:$AF,MATCH($D54&amp;"a",'表30-5-2-5-3'!$4:$4,0)-1,FALSE))
-VLOOKUP($T54,'表30-5-2-5-3'!$B:$AF,MATCH($D54,'表30-5-2-5-3'!$4:$4,0)-1,FALSE)*(T54/100-N54/H54)*100
-VLOOKUP($S54,'表30-5-2-5-3'!$B:$AF,MATCH($D54,'表30-5-2-5-3'!$4:$4,0)-1,FALSE)*(1-(S54/100-M54/H54)*100),
IF(C54="E1",VLOOKUP($T54,'表30-5-2-5-4'!$B$4:$AF$104,MATCH($D54&amp;"a",'表30-5-2-5-4'!$4:$4,0)-1,FALSE)
-IF($S54-1&lt;=0,0,VLOOKUP($S54-1,'表30-5-2-5-4'!$B$4:$AF$104,MATCH($D54&amp;"a",'表30-5-2-5-4'!$4:$4,0)-1,FALSE))
-VLOOKUP($T54,'表30-5-2-5-4'!$B$4:$AF$104,MATCH($D54,'表30-5-2-5-4'!$4:$4,0)-1,FALSE)*(T54/100-N54/H54)*100
-VLOOKUP($S54,'表30-5-2-5-4'!$B$4:$AF$104,MATCH($D54,'表30-5-2-5-4'!$4:$4,0)-1,FALSE)*(1-(S54/100-M54/H54)*100),
IF(C54="E2",VLOOKUP($T54,'表30-5-2-5-4'!$B$114:$AF$214,MATCH($D54&amp;"a",'表30-5-2-5-4'!$4:$4,0)-1,FALSE)
-IF($S54-1&lt;=0,0,VLOOKUP($S54-1,'表30-5-2-5-4'!$B$114:$AF$214,MATCH($D54&amp;"a",'表30-5-2-5-4'!$4:$4,0)-1,FALSE))
-VLOOKUP($T54,'表30-5-2-5-4'!$B$114:$AF$214,MATCH($D54,'表30-5-2-5-4'!$4:$4,0)-1,FALSE)*(T54/100-N54/H54)*100
-VLOOKUP($S54,'表30-5-2-5-4'!$B$114:$AF$214,MATCH($D54,'表30-5-2-5-4'!$4:$4,0)-1,FALSE)*(1-(S54/100-M54/H54)*100),0))))</f>
        <v>0</v>
      </c>
      <c r="V54" s="2478">
        <f t="shared" si="4"/>
        <v>0</v>
      </c>
      <c r="W54" s="2478">
        <f t="shared" si="5"/>
        <v>0</v>
      </c>
      <c r="X54" s="2718">
        <f t="shared" si="9"/>
        <v>0</v>
      </c>
      <c r="Y54" s="2718">
        <f t="shared" si="10"/>
        <v>0</v>
      </c>
    </row>
    <row r="55" spans="1:25">
      <c r="A55" s="2473" t="str">
        <f t="shared" si="6"/>
        <v/>
      </c>
      <c r="B55" s="2737"/>
      <c r="C55" s="2737"/>
      <c r="D55" s="2737"/>
      <c r="E55" s="2738"/>
      <c r="F55" s="2738"/>
      <c r="G55" s="2738"/>
      <c r="H55" s="2739"/>
      <c r="I55" s="2740"/>
      <c r="J55" s="2740"/>
      <c r="K55" s="2740"/>
      <c r="L55" s="2740"/>
      <c r="M55" s="2738"/>
      <c r="N55" s="2738"/>
      <c r="O55" s="2474">
        <f t="shared" si="0"/>
        <v>0</v>
      </c>
      <c r="P55" s="2474">
        <f t="shared" si="1"/>
        <v>0</v>
      </c>
      <c r="Q55" s="2475">
        <f t="shared" si="7"/>
        <v>0</v>
      </c>
      <c r="R55" s="2475">
        <f t="shared" si="8"/>
        <v>0</v>
      </c>
      <c r="S55" s="2476">
        <f t="shared" si="2"/>
        <v>0</v>
      </c>
      <c r="T55" s="2476">
        <f t="shared" si="3"/>
        <v>0</v>
      </c>
      <c r="U55" s="2477">
        <f>IF(OR(E55="QS",B55=""),0,
IF(C55="F",VLOOKUP($T55,'表30-5-2-5-3'!$B:$AF,MATCH($D55&amp;"a",'表30-5-2-5-3'!$4:$4,0)-1,FALSE)
-IF($S55-1&lt;=0,0,VLOOKUP($S55-1,'表30-5-2-5-3'!$B:$AF,MATCH($D55&amp;"a",'表30-5-2-5-3'!$4:$4,0)-1,FALSE))
-VLOOKUP($T55,'表30-5-2-5-3'!$B:$AF,MATCH($D55,'表30-5-2-5-3'!$4:$4,0)-1,FALSE)*(T55/100-N55/H55)*100
-VLOOKUP($S55,'表30-5-2-5-3'!$B:$AF,MATCH($D55,'表30-5-2-5-3'!$4:$4,0)-1,FALSE)*(1-(S55/100-M55/H55)*100),
IF(C55="E1",VLOOKUP($T55,'表30-5-2-5-4'!$B$4:$AF$104,MATCH($D55&amp;"a",'表30-5-2-5-4'!$4:$4,0)-1,FALSE)
-IF($S55-1&lt;=0,0,VLOOKUP($S55-1,'表30-5-2-5-4'!$B$4:$AF$104,MATCH($D55&amp;"a",'表30-5-2-5-4'!$4:$4,0)-1,FALSE))
-VLOOKUP($T55,'表30-5-2-5-4'!$B$4:$AF$104,MATCH($D55,'表30-5-2-5-4'!$4:$4,0)-1,FALSE)*(T55/100-N55/H55)*100
-VLOOKUP($S55,'表30-5-2-5-4'!$B$4:$AF$104,MATCH($D55,'表30-5-2-5-4'!$4:$4,0)-1,FALSE)*(1-(S55/100-M55/H55)*100),
IF(C55="E2",VLOOKUP($T55,'表30-5-2-5-4'!$B$114:$AF$214,MATCH($D55&amp;"a",'表30-5-2-5-4'!$4:$4,0)-1,FALSE)
-IF($S55-1&lt;=0,0,VLOOKUP($S55-1,'表30-5-2-5-4'!$B$114:$AF$214,MATCH($D55&amp;"a",'表30-5-2-5-4'!$4:$4,0)-1,FALSE))
-VLOOKUP($T55,'表30-5-2-5-4'!$B$114:$AF$214,MATCH($D55,'表30-5-2-5-4'!$4:$4,0)-1,FALSE)*(T55/100-N55/H55)*100
-VLOOKUP($S55,'表30-5-2-5-4'!$B$114:$AF$214,MATCH($D55,'表30-5-2-5-4'!$4:$4,0)-1,FALSE)*(1-(S55/100-M55/H55)*100),0))))</f>
        <v>0</v>
      </c>
      <c r="V55" s="2478">
        <f t="shared" si="4"/>
        <v>0</v>
      </c>
      <c r="W55" s="2478">
        <f t="shared" si="5"/>
        <v>0</v>
      </c>
      <c r="X55" s="2718">
        <f t="shared" si="9"/>
        <v>0</v>
      </c>
      <c r="Y55" s="2718">
        <f t="shared" si="10"/>
        <v>0</v>
      </c>
    </row>
    <row r="56" spans="1:25">
      <c r="A56" s="2473" t="str">
        <f t="shared" si="6"/>
        <v/>
      </c>
      <c r="B56" s="2737"/>
      <c r="C56" s="2737"/>
      <c r="D56" s="2737"/>
      <c r="E56" s="2738"/>
      <c r="F56" s="2738"/>
      <c r="G56" s="2738"/>
      <c r="H56" s="2739"/>
      <c r="I56" s="2740"/>
      <c r="J56" s="2740"/>
      <c r="K56" s="2740"/>
      <c r="L56" s="2740"/>
      <c r="M56" s="2738"/>
      <c r="N56" s="2738"/>
      <c r="O56" s="2474">
        <f t="shared" si="0"/>
        <v>0</v>
      </c>
      <c r="P56" s="2474">
        <f t="shared" si="1"/>
        <v>0</v>
      </c>
      <c r="Q56" s="2475">
        <f t="shared" si="7"/>
        <v>0</v>
      </c>
      <c r="R56" s="2475">
        <f t="shared" si="8"/>
        <v>0</v>
      </c>
      <c r="S56" s="2476">
        <f t="shared" si="2"/>
        <v>0</v>
      </c>
      <c r="T56" s="2476">
        <f t="shared" si="3"/>
        <v>0</v>
      </c>
      <c r="U56" s="2477">
        <f>IF(OR(E56="QS",B56=""),0,
IF(C56="F",VLOOKUP($T56,'表30-5-2-5-3'!$B:$AF,MATCH($D56&amp;"a",'表30-5-2-5-3'!$4:$4,0)-1,FALSE)
-IF($S56-1&lt;=0,0,VLOOKUP($S56-1,'表30-5-2-5-3'!$B:$AF,MATCH($D56&amp;"a",'表30-5-2-5-3'!$4:$4,0)-1,FALSE))
-VLOOKUP($T56,'表30-5-2-5-3'!$B:$AF,MATCH($D56,'表30-5-2-5-3'!$4:$4,0)-1,FALSE)*(T56/100-N56/H56)*100
-VLOOKUP($S56,'表30-5-2-5-3'!$B:$AF,MATCH($D56,'表30-5-2-5-3'!$4:$4,0)-1,FALSE)*(1-(S56/100-M56/H56)*100),
IF(C56="E1",VLOOKUP($T56,'表30-5-2-5-4'!$B$4:$AF$104,MATCH($D56&amp;"a",'表30-5-2-5-4'!$4:$4,0)-1,FALSE)
-IF($S56-1&lt;=0,0,VLOOKUP($S56-1,'表30-5-2-5-4'!$B$4:$AF$104,MATCH($D56&amp;"a",'表30-5-2-5-4'!$4:$4,0)-1,FALSE))
-VLOOKUP($T56,'表30-5-2-5-4'!$B$4:$AF$104,MATCH($D56,'表30-5-2-5-4'!$4:$4,0)-1,FALSE)*(T56/100-N56/H56)*100
-VLOOKUP($S56,'表30-5-2-5-4'!$B$4:$AF$104,MATCH($D56,'表30-5-2-5-4'!$4:$4,0)-1,FALSE)*(1-(S56/100-M56/H56)*100),
IF(C56="E2",VLOOKUP($T56,'表30-5-2-5-4'!$B$114:$AF$214,MATCH($D56&amp;"a",'表30-5-2-5-4'!$4:$4,0)-1,FALSE)
-IF($S56-1&lt;=0,0,VLOOKUP($S56-1,'表30-5-2-5-4'!$B$114:$AF$214,MATCH($D56&amp;"a",'表30-5-2-5-4'!$4:$4,0)-1,FALSE))
-VLOOKUP($T56,'表30-5-2-5-4'!$B$114:$AF$214,MATCH($D56,'表30-5-2-5-4'!$4:$4,0)-1,FALSE)*(T56/100-N56/H56)*100
-VLOOKUP($S56,'表30-5-2-5-4'!$B$114:$AF$214,MATCH($D56,'表30-5-2-5-4'!$4:$4,0)-1,FALSE)*(1-(S56/100-M56/H56)*100),0))))</f>
        <v>0</v>
      </c>
      <c r="V56" s="2478">
        <f t="shared" si="4"/>
        <v>0</v>
      </c>
      <c r="W56" s="2478">
        <f t="shared" si="5"/>
        <v>0</v>
      </c>
      <c r="X56" s="2718">
        <f t="shared" si="9"/>
        <v>0</v>
      </c>
      <c r="Y56" s="2718">
        <f t="shared" si="10"/>
        <v>0</v>
      </c>
    </row>
    <row r="57" spans="1:25">
      <c r="A57" s="2473" t="str">
        <f t="shared" si="6"/>
        <v/>
      </c>
      <c r="B57" s="2737"/>
      <c r="C57" s="2737"/>
      <c r="D57" s="2737"/>
      <c r="E57" s="2738"/>
      <c r="F57" s="2738"/>
      <c r="G57" s="2738"/>
      <c r="H57" s="2739"/>
      <c r="I57" s="2740"/>
      <c r="J57" s="2740"/>
      <c r="K57" s="2740"/>
      <c r="L57" s="2740"/>
      <c r="M57" s="2738"/>
      <c r="N57" s="2738"/>
      <c r="O57" s="2474">
        <f t="shared" si="0"/>
        <v>0</v>
      </c>
      <c r="P57" s="2474">
        <f t="shared" si="1"/>
        <v>0</v>
      </c>
      <c r="Q57" s="2475">
        <f t="shared" si="7"/>
        <v>0</v>
      </c>
      <c r="R57" s="2475">
        <f t="shared" si="8"/>
        <v>0</v>
      </c>
      <c r="S57" s="2476">
        <f t="shared" si="2"/>
        <v>0</v>
      </c>
      <c r="T57" s="2476">
        <f t="shared" si="3"/>
        <v>0</v>
      </c>
      <c r="U57" s="2477">
        <f>IF(OR(E57="QS",B57=""),0,
IF(C57="F",VLOOKUP($T57,'表30-5-2-5-3'!$B:$AF,MATCH($D57&amp;"a",'表30-5-2-5-3'!$4:$4,0)-1,FALSE)
-IF($S57-1&lt;=0,0,VLOOKUP($S57-1,'表30-5-2-5-3'!$B:$AF,MATCH($D57&amp;"a",'表30-5-2-5-3'!$4:$4,0)-1,FALSE))
-VLOOKUP($T57,'表30-5-2-5-3'!$B:$AF,MATCH($D57,'表30-5-2-5-3'!$4:$4,0)-1,FALSE)*(T57/100-N57/H57)*100
-VLOOKUP($S57,'表30-5-2-5-3'!$B:$AF,MATCH($D57,'表30-5-2-5-3'!$4:$4,0)-1,FALSE)*(1-(S57/100-M57/H57)*100),
IF(C57="E1",VLOOKUP($T57,'表30-5-2-5-4'!$B$4:$AF$104,MATCH($D57&amp;"a",'表30-5-2-5-4'!$4:$4,0)-1,FALSE)
-IF($S57-1&lt;=0,0,VLOOKUP($S57-1,'表30-5-2-5-4'!$B$4:$AF$104,MATCH($D57&amp;"a",'表30-5-2-5-4'!$4:$4,0)-1,FALSE))
-VLOOKUP($T57,'表30-5-2-5-4'!$B$4:$AF$104,MATCH($D57,'表30-5-2-5-4'!$4:$4,0)-1,FALSE)*(T57/100-N57/H57)*100
-VLOOKUP($S57,'表30-5-2-5-4'!$B$4:$AF$104,MATCH($D57,'表30-5-2-5-4'!$4:$4,0)-1,FALSE)*(1-(S57/100-M57/H57)*100),
IF(C57="E2",VLOOKUP($T57,'表30-5-2-5-4'!$B$114:$AF$214,MATCH($D57&amp;"a",'表30-5-2-5-4'!$4:$4,0)-1,FALSE)
-IF($S57-1&lt;=0,0,VLOOKUP($S57-1,'表30-5-2-5-4'!$B$114:$AF$214,MATCH($D57&amp;"a",'表30-5-2-5-4'!$4:$4,0)-1,FALSE))
-VLOOKUP($T57,'表30-5-2-5-4'!$B$114:$AF$214,MATCH($D57,'表30-5-2-5-4'!$4:$4,0)-1,FALSE)*(T57/100-N57/H57)*100
-VLOOKUP($S57,'表30-5-2-5-4'!$B$114:$AF$214,MATCH($D57,'表30-5-2-5-4'!$4:$4,0)-1,FALSE)*(1-(S57/100-M57/H57)*100),0))))</f>
        <v>0</v>
      </c>
      <c r="V57" s="2478">
        <f t="shared" si="4"/>
        <v>0</v>
      </c>
      <c r="W57" s="2478">
        <f t="shared" si="5"/>
        <v>0</v>
      </c>
      <c r="X57" s="2718">
        <f t="shared" si="9"/>
        <v>0</v>
      </c>
      <c r="Y57" s="2718">
        <f t="shared" si="10"/>
        <v>0</v>
      </c>
    </row>
    <row r="58" spans="1:25">
      <c r="A58" s="2473" t="str">
        <f t="shared" si="6"/>
        <v/>
      </c>
      <c r="B58" s="2737"/>
      <c r="C58" s="2737"/>
      <c r="D58" s="2737"/>
      <c r="E58" s="2738"/>
      <c r="F58" s="2738"/>
      <c r="G58" s="2738"/>
      <c r="H58" s="2739"/>
      <c r="I58" s="2740"/>
      <c r="J58" s="2740"/>
      <c r="K58" s="2740"/>
      <c r="L58" s="2740"/>
      <c r="M58" s="2738"/>
      <c r="N58" s="2738"/>
      <c r="O58" s="2474">
        <f t="shared" si="0"/>
        <v>0</v>
      </c>
      <c r="P58" s="2474">
        <f t="shared" si="1"/>
        <v>0</v>
      </c>
      <c r="Q58" s="2475">
        <f t="shared" si="7"/>
        <v>0</v>
      </c>
      <c r="R58" s="2475">
        <f t="shared" si="8"/>
        <v>0</v>
      </c>
      <c r="S58" s="2476">
        <f t="shared" si="2"/>
        <v>0</v>
      </c>
      <c r="T58" s="2476">
        <f t="shared" si="3"/>
        <v>0</v>
      </c>
      <c r="U58" s="2477">
        <f>IF(OR(E58="QS",B58=""),0,
IF(C58="F",VLOOKUP($T58,'表30-5-2-5-3'!$B:$AF,MATCH($D58&amp;"a",'表30-5-2-5-3'!$4:$4,0)-1,FALSE)
-IF($S58-1&lt;=0,0,VLOOKUP($S58-1,'表30-5-2-5-3'!$B:$AF,MATCH($D58&amp;"a",'表30-5-2-5-3'!$4:$4,0)-1,FALSE))
-VLOOKUP($T58,'表30-5-2-5-3'!$B:$AF,MATCH($D58,'表30-5-2-5-3'!$4:$4,0)-1,FALSE)*(T58/100-N58/H58)*100
-VLOOKUP($S58,'表30-5-2-5-3'!$B:$AF,MATCH($D58,'表30-5-2-5-3'!$4:$4,0)-1,FALSE)*(1-(S58/100-M58/H58)*100),
IF(C58="E1",VLOOKUP($T58,'表30-5-2-5-4'!$B$4:$AF$104,MATCH($D58&amp;"a",'表30-5-2-5-4'!$4:$4,0)-1,FALSE)
-IF($S58-1&lt;=0,0,VLOOKUP($S58-1,'表30-5-2-5-4'!$B$4:$AF$104,MATCH($D58&amp;"a",'表30-5-2-5-4'!$4:$4,0)-1,FALSE))
-VLOOKUP($T58,'表30-5-2-5-4'!$B$4:$AF$104,MATCH($D58,'表30-5-2-5-4'!$4:$4,0)-1,FALSE)*(T58/100-N58/H58)*100
-VLOOKUP($S58,'表30-5-2-5-4'!$B$4:$AF$104,MATCH($D58,'表30-5-2-5-4'!$4:$4,0)-1,FALSE)*(1-(S58/100-M58/H58)*100),
IF(C58="E2",VLOOKUP($T58,'表30-5-2-5-4'!$B$114:$AF$214,MATCH($D58&amp;"a",'表30-5-2-5-4'!$4:$4,0)-1,FALSE)
-IF($S58-1&lt;=0,0,VLOOKUP($S58-1,'表30-5-2-5-4'!$B$114:$AF$214,MATCH($D58&amp;"a",'表30-5-2-5-4'!$4:$4,0)-1,FALSE))
-VLOOKUP($T58,'表30-5-2-5-4'!$B$114:$AF$214,MATCH($D58,'表30-5-2-5-4'!$4:$4,0)-1,FALSE)*(T58/100-N58/H58)*100
-VLOOKUP($S58,'表30-5-2-5-4'!$B$114:$AF$214,MATCH($D58,'表30-5-2-5-4'!$4:$4,0)-1,FALSE)*(1-(S58/100-M58/H58)*100),0))))</f>
        <v>0</v>
      </c>
      <c r="V58" s="2478">
        <f t="shared" si="4"/>
        <v>0</v>
      </c>
      <c r="W58" s="2478">
        <f t="shared" si="5"/>
        <v>0</v>
      </c>
      <c r="X58" s="2718">
        <f t="shared" si="9"/>
        <v>0</v>
      </c>
      <c r="Y58" s="2718">
        <f t="shared" si="10"/>
        <v>0</v>
      </c>
    </row>
    <row r="59" spans="1:25">
      <c r="A59" s="2473" t="str">
        <f t="shared" si="6"/>
        <v/>
      </c>
      <c r="B59" s="2737"/>
      <c r="C59" s="2737"/>
      <c r="D59" s="2737"/>
      <c r="E59" s="2738"/>
      <c r="F59" s="2738"/>
      <c r="G59" s="2738"/>
      <c r="H59" s="2739"/>
      <c r="I59" s="2740"/>
      <c r="J59" s="2740"/>
      <c r="K59" s="2740"/>
      <c r="L59" s="2740"/>
      <c r="M59" s="2738"/>
      <c r="N59" s="2738"/>
      <c r="O59" s="2474">
        <f t="shared" si="0"/>
        <v>0</v>
      </c>
      <c r="P59" s="2474">
        <f t="shared" si="1"/>
        <v>0</v>
      </c>
      <c r="Q59" s="2475">
        <f t="shared" si="7"/>
        <v>0</v>
      </c>
      <c r="R59" s="2475">
        <f t="shared" si="8"/>
        <v>0</v>
      </c>
      <c r="S59" s="2476">
        <f t="shared" si="2"/>
        <v>0</v>
      </c>
      <c r="T59" s="2476">
        <f t="shared" si="3"/>
        <v>0</v>
      </c>
      <c r="U59" s="2477">
        <f>IF(OR(E59="QS",B59=""),0,
IF(C59="F",VLOOKUP($T59,'表30-5-2-5-3'!$B:$AF,MATCH($D59&amp;"a",'表30-5-2-5-3'!$4:$4,0)-1,FALSE)
-IF($S59-1&lt;=0,0,VLOOKUP($S59-1,'表30-5-2-5-3'!$B:$AF,MATCH($D59&amp;"a",'表30-5-2-5-3'!$4:$4,0)-1,FALSE))
-VLOOKUP($T59,'表30-5-2-5-3'!$B:$AF,MATCH($D59,'表30-5-2-5-3'!$4:$4,0)-1,FALSE)*(T59/100-N59/H59)*100
-VLOOKUP($S59,'表30-5-2-5-3'!$B:$AF,MATCH($D59,'表30-5-2-5-3'!$4:$4,0)-1,FALSE)*(1-(S59/100-M59/H59)*100),
IF(C59="E1",VLOOKUP($T59,'表30-5-2-5-4'!$B$4:$AF$104,MATCH($D59&amp;"a",'表30-5-2-5-4'!$4:$4,0)-1,FALSE)
-IF($S59-1&lt;=0,0,VLOOKUP($S59-1,'表30-5-2-5-4'!$B$4:$AF$104,MATCH($D59&amp;"a",'表30-5-2-5-4'!$4:$4,0)-1,FALSE))
-VLOOKUP($T59,'表30-5-2-5-4'!$B$4:$AF$104,MATCH($D59,'表30-5-2-5-4'!$4:$4,0)-1,FALSE)*(T59/100-N59/H59)*100
-VLOOKUP($S59,'表30-5-2-5-4'!$B$4:$AF$104,MATCH($D59,'表30-5-2-5-4'!$4:$4,0)-1,FALSE)*(1-(S59/100-M59/H59)*100),
IF(C59="E2",VLOOKUP($T59,'表30-5-2-5-4'!$B$114:$AF$214,MATCH($D59&amp;"a",'表30-5-2-5-4'!$4:$4,0)-1,FALSE)
-IF($S59-1&lt;=0,0,VLOOKUP($S59-1,'表30-5-2-5-4'!$B$114:$AF$214,MATCH($D59&amp;"a",'表30-5-2-5-4'!$4:$4,0)-1,FALSE))
-VLOOKUP($T59,'表30-5-2-5-4'!$B$114:$AF$214,MATCH($D59,'表30-5-2-5-4'!$4:$4,0)-1,FALSE)*(T59/100-N59/H59)*100
-VLOOKUP($S59,'表30-5-2-5-4'!$B$114:$AF$214,MATCH($D59,'表30-5-2-5-4'!$4:$4,0)-1,FALSE)*(1-(S59/100-M59/H59)*100),0))))</f>
        <v>0</v>
      </c>
      <c r="V59" s="2478">
        <f t="shared" si="4"/>
        <v>0</v>
      </c>
      <c r="W59" s="2478">
        <f t="shared" si="5"/>
        <v>0</v>
      </c>
      <c r="X59" s="2718">
        <f t="shared" si="9"/>
        <v>0</v>
      </c>
      <c r="Y59" s="2718">
        <f t="shared" si="10"/>
        <v>0</v>
      </c>
    </row>
    <row r="60" spans="1:25">
      <c r="A60" s="2473" t="str">
        <f t="shared" si="6"/>
        <v/>
      </c>
      <c r="B60" s="2737"/>
      <c r="C60" s="2737"/>
      <c r="D60" s="2737"/>
      <c r="E60" s="2738"/>
      <c r="F60" s="2738"/>
      <c r="G60" s="2738"/>
      <c r="H60" s="2739"/>
      <c r="I60" s="2740"/>
      <c r="J60" s="2740"/>
      <c r="K60" s="2740"/>
      <c r="L60" s="2740"/>
      <c r="M60" s="2738"/>
      <c r="N60" s="2738"/>
      <c r="O60" s="2474">
        <f t="shared" si="0"/>
        <v>0</v>
      </c>
      <c r="P60" s="2474">
        <f t="shared" si="1"/>
        <v>0</v>
      </c>
      <c r="Q60" s="2475">
        <f t="shared" si="7"/>
        <v>0</v>
      </c>
      <c r="R60" s="2475">
        <f t="shared" si="8"/>
        <v>0</v>
      </c>
      <c r="S60" s="2476">
        <f t="shared" si="2"/>
        <v>0</v>
      </c>
      <c r="T60" s="2476">
        <f t="shared" si="3"/>
        <v>0</v>
      </c>
      <c r="U60" s="2477">
        <f>IF(OR(E60="QS",B60=""),0,
IF(C60="F",VLOOKUP($T60,'表30-5-2-5-3'!$B:$AF,MATCH($D60&amp;"a",'表30-5-2-5-3'!$4:$4,0)-1,FALSE)
-IF($S60-1&lt;=0,0,VLOOKUP($S60-1,'表30-5-2-5-3'!$B:$AF,MATCH($D60&amp;"a",'表30-5-2-5-3'!$4:$4,0)-1,FALSE))
-VLOOKUP($T60,'表30-5-2-5-3'!$B:$AF,MATCH($D60,'表30-5-2-5-3'!$4:$4,0)-1,FALSE)*(T60/100-N60/H60)*100
-VLOOKUP($S60,'表30-5-2-5-3'!$B:$AF,MATCH($D60,'表30-5-2-5-3'!$4:$4,0)-1,FALSE)*(1-(S60/100-M60/H60)*100),
IF(C60="E1",VLOOKUP($T60,'表30-5-2-5-4'!$B$4:$AF$104,MATCH($D60&amp;"a",'表30-5-2-5-4'!$4:$4,0)-1,FALSE)
-IF($S60-1&lt;=0,0,VLOOKUP($S60-1,'表30-5-2-5-4'!$B$4:$AF$104,MATCH($D60&amp;"a",'表30-5-2-5-4'!$4:$4,0)-1,FALSE))
-VLOOKUP($T60,'表30-5-2-5-4'!$B$4:$AF$104,MATCH($D60,'表30-5-2-5-4'!$4:$4,0)-1,FALSE)*(T60/100-N60/H60)*100
-VLOOKUP($S60,'表30-5-2-5-4'!$B$4:$AF$104,MATCH($D60,'表30-5-2-5-4'!$4:$4,0)-1,FALSE)*(1-(S60/100-M60/H60)*100),
IF(C60="E2",VLOOKUP($T60,'表30-5-2-5-4'!$B$114:$AF$214,MATCH($D60&amp;"a",'表30-5-2-5-4'!$4:$4,0)-1,FALSE)
-IF($S60-1&lt;=0,0,VLOOKUP($S60-1,'表30-5-2-5-4'!$B$114:$AF$214,MATCH($D60&amp;"a",'表30-5-2-5-4'!$4:$4,0)-1,FALSE))
-VLOOKUP($T60,'表30-5-2-5-4'!$B$114:$AF$214,MATCH($D60,'表30-5-2-5-4'!$4:$4,0)-1,FALSE)*(T60/100-N60/H60)*100
-VLOOKUP($S60,'表30-5-2-5-4'!$B$114:$AF$214,MATCH($D60,'表30-5-2-5-4'!$4:$4,0)-1,FALSE)*(1-(S60/100-M60/H60)*100),0))))</f>
        <v>0</v>
      </c>
      <c r="V60" s="2478">
        <f t="shared" si="4"/>
        <v>0</v>
      </c>
      <c r="W60" s="2478">
        <f t="shared" si="5"/>
        <v>0</v>
      </c>
      <c r="X60" s="2718">
        <f t="shared" si="9"/>
        <v>0</v>
      </c>
      <c r="Y60" s="2718">
        <f t="shared" si="10"/>
        <v>0</v>
      </c>
    </row>
    <row r="61" spans="1:25">
      <c r="A61" s="2473" t="str">
        <f t="shared" si="6"/>
        <v/>
      </c>
      <c r="B61" s="2737"/>
      <c r="C61" s="2737"/>
      <c r="D61" s="2737"/>
      <c r="E61" s="2738"/>
      <c r="F61" s="2738"/>
      <c r="G61" s="2738"/>
      <c r="H61" s="2739"/>
      <c r="I61" s="2740"/>
      <c r="J61" s="2740"/>
      <c r="K61" s="2740"/>
      <c r="L61" s="2740"/>
      <c r="M61" s="2738"/>
      <c r="N61" s="2738"/>
      <c r="O61" s="2474">
        <f t="shared" si="0"/>
        <v>0</v>
      </c>
      <c r="P61" s="2474">
        <f t="shared" si="1"/>
        <v>0</v>
      </c>
      <c r="Q61" s="2475">
        <f t="shared" si="7"/>
        <v>0</v>
      </c>
      <c r="R61" s="2475">
        <f t="shared" si="8"/>
        <v>0</v>
      </c>
      <c r="S61" s="2476">
        <f t="shared" si="2"/>
        <v>0</v>
      </c>
      <c r="T61" s="2476">
        <f t="shared" si="3"/>
        <v>0</v>
      </c>
      <c r="U61" s="2477">
        <f>IF(OR(E61="QS",B61=""),0,
IF(C61="F",VLOOKUP($T61,'表30-5-2-5-3'!$B:$AF,MATCH($D61&amp;"a",'表30-5-2-5-3'!$4:$4,0)-1,FALSE)
-IF($S61-1&lt;=0,0,VLOOKUP($S61-1,'表30-5-2-5-3'!$B:$AF,MATCH($D61&amp;"a",'表30-5-2-5-3'!$4:$4,0)-1,FALSE))
-VLOOKUP($T61,'表30-5-2-5-3'!$B:$AF,MATCH($D61,'表30-5-2-5-3'!$4:$4,0)-1,FALSE)*(T61/100-N61/H61)*100
-VLOOKUP($S61,'表30-5-2-5-3'!$B:$AF,MATCH($D61,'表30-5-2-5-3'!$4:$4,0)-1,FALSE)*(1-(S61/100-M61/H61)*100),
IF(C61="E1",VLOOKUP($T61,'表30-5-2-5-4'!$B$4:$AF$104,MATCH($D61&amp;"a",'表30-5-2-5-4'!$4:$4,0)-1,FALSE)
-IF($S61-1&lt;=0,0,VLOOKUP($S61-1,'表30-5-2-5-4'!$B$4:$AF$104,MATCH($D61&amp;"a",'表30-5-2-5-4'!$4:$4,0)-1,FALSE))
-VLOOKUP($T61,'表30-5-2-5-4'!$B$4:$AF$104,MATCH($D61,'表30-5-2-5-4'!$4:$4,0)-1,FALSE)*(T61/100-N61/H61)*100
-VLOOKUP($S61,'表30-5-2-5-4'!$B$4:$AF$104,MATCH($D61,'表30-5-2-5-4'!$4:$4,0)-1,FALSE)*(1-(S61/100-M61/H61)*100),
IF(C61="E2",VLOOKUP($T61,'表30-5-2-5-4'!$B$114:$AF$214,MATCH($D61&amp;"a",'表30-5-2-5-4'!$4:$4,0)-1,FALSE)
-IF($S61-1&lt;=0,0,VLOOKUP($S61-1,'表30-5-2-5-4'!$B$114:$AF$214,MATCH($D61&amp;"a",'表30-5-2-5-4'!$4:$4,0)-1,FALSE))
-VLOOKUP($T61,'表30-5-2-5-4'!$B$114:$AF$214,MATCH($D61,'表30-5-2-5-4'!$4:$4,0)-1,FALSE)*(T61/100-N61/H61)*100
-VLOOKUP($S61,'表30-5-2-5-4'!$B$114:$AF$214,MATCH($D61,'表30-5-2-5-4'!$4:$4,0)-1,FALSE)*(1-(S61/100-M61/H61)*100),0))))</f>
        <v>0</v>
      </c>
      <c r="V61" s="2478">
        <f t="shared" si="4"/>
        <v>0</v>
      </c>
      <c r="W61" s="2478">
        <f t="shared" si="5"/>
        <v>0</v>
      </c>
      <c r="X61" s="2718">
        <f t="shared" si="9"/>
        <v>0</v>
      </c>
      <c r="Y61" s="2718">
        <f t="shared" si="10"/>
        <v>0</v>
      </c>
    </row>
    <row r="62" spans="1:25">
      <c r="A62" s="2473" t="str">
        <f t="shared" si="6"/>
        <v/>
      </c>
      <c r="B62" s="2737"/>
      <c r="C62" s="2737"/>
      <c r="D62" s="2737"/>
      <c r="E62" s="2738"/>
      <c r="F62" s="2738"/>
      <c r="G62" s="2738"/>
      <c r="H62" s="2739"/>
      <c r="I62" s="2740"/>
      <c r="J62" s="2740"/>
      <c r="K62" s="2740"/>
      <c r="L62" s="2740"/>
      <c r="M62" s="2738"/>
      <c r="N62" s="2738"/>
      <c r="O62" s="2474">
        <f t="shared" si="0"/>
        <v>0</v>
      </c>
      <c r="P62" s="2474">
        <f t="shared" si="1"/>
        <v>0</v>
      </c>
      <c r="Q62" s="2475">
        <f t="shared" si="7"/>
        <v>0</v>
      </c>
      <c r="R62" s="2475">
        <f t="shared" si="8"/>
        <v>0</v>
      </c>
      <c r="S62" s="2476">
        <f t="shared" si="2"/>
        <v>0</v>
      </c>
      <c r="T62" s="2476">
        <f t="shared" si="3"/>
        <v>0</v>
      </c>
      <c r="U62" s="2477">
        <f>IF(OR(E62="QS",B62=""),0,
IF(C62="F",VLOOKUP($T62,'表30-5-2-5-3'!$B:$AF,MATCH($D62&amp;"a",'表30-5-2-5-3'!$4:$4,0)-1,FALSE)
-IF($S62-1&lt;=0,0,VLOOKUP($S62-1,'表30-5-2-5-3'!$B:$AF,MATCH($D62&amp;"a",'表30-5-2-5-3'!$4:$4,0)-1,FALSE))
-VLOOKUP($T62,'表30-5-2-5-3'!$B:$AF,MATCH($D62,'表30-5-2-5-3'!$4:$4,0)-1,FALSE)*(T62/100-N62/H62)*100
-VLOOKUP($S62,'表30-5-2-5-3'!$B:$AF,MATCH($D62,'表30-5-2-5-3'!$4:$4,0)-1,FALSE)*(1-(S62/100-M62/H62)*100),
IF(C62="E1",VLOOKUP($T62,'表30-5-2-5-4'!$B$4:$AF$104,MATCH($D62&amp;"a",'表30-5-2-5-4'!$4:$4,0)-1,FALSE)
-IF($S62-1&lt;=0,0,VLOOKUP($S62-1,'表30-5-2-5-4'!$B$4:$AF$104,MATCH($D62&amp;"a",'表30-5-2-5-4'!$4:$4,0)-1,FALSE))
-VLOOKUP($T62,'表30-5-2-5-4'!$B$4:$AF$104,MATCH($D62,'表30-5-2-5-4'!$4:$4,0)-1,FALSE)*(T62/100-N62/H62)*100
-VLOOKUP($S62,'表30-5-2-5-4'!$B$4:$AF$104,MATCH($D62,'表30-5-2-5-4'!$4:$4,0)-1,FALSE)*(1-(S62/100-M62/H62)*100),
IF(C62="E2",VLOOKUP($T62,'表30-5-2-5-4'!$B$114:$AF$214,MATCH($D62&amp;"a",'表30-5-2-5-4'!$4:$4,0)-1,FALSE)
-IF($S62-1&lt;=0,0,VLOOKUP($S62-1,'表30-5-2-5-4'!$B$114:$AF$214,MATCH($D62&amp;"a",'表30-5-2-5-4'!$4:$4,0)-1,FALSE))
-VLOOKUP($T62,'表30-5-2-5-4'!$B$114:$AF$214,MATCH($D62,'表30-5-2-5-4'!$4:$4,0)-1,FALSE)*(T62/100-N62/H62)*100
-VLOOKUP($S62,'表30-5-2-5-4'!$B$114:$AF$214,MATCH($D62,'表30-5-2-5-4'!$4:$4,0)-1,FALSE)*(1-(S62/100-M62/H62)*100),0))))</f>
        <v>0</v>
      </c>
      <c r="V62" s="2478">
        <f t="shared" si="4"/>
        <v>0</v>
      </c>
      <c r="W62" s="2478">
        <f t="shared" si="5"/>
        <v>0</v>
      </c>
      <c r="X62" s="2718">
        <f t="shared" si="9"/>
        <v>0</v>
      </c>
      <c r="Y62" s="2718">
        <f t="shared" si="10"/>
        <v>0</v>
      </c>
    </row>
    <row r="63" spans="1:25">
      <c r="A63" s="2473" t="str">
        <f t="shared" si="6"/>
        <v/>
      </c>
      <c r="B63" s="2737"/>
      <c r="C63" s="2737"/>
      <c r="D63" s="2737"/>
      <c r="E63" s="2738"/>
      <c r="F63" s="2738"/>
      <c r="G63" s="2738"/>
      <c r="H63" s="2739"/>
      <c r="I63" s="2740"/>
      <c r="J63" s="2740"/>
      <c r="K63" s="2740"/>
      <c r="L63" s="2740"/>
      <c r="M63" s="2738"/>
      <c r="N63" s="2738"/>
      <c r="O63" s="2474">
        <f t="shared" si="0"/>
        <v>0</v>
      </c>
      <c r="P63" s="2474">
        <f t="shared" si="1"/>
        <v>0</v>
      </c>
      <c r="Q63" s="2475">
        <f t="shared" si="7"/>
        <v>0</v>
      </c>
      <c r="R63" s="2475">
        <f t="shared" si="8"/>
        <v>0</v>
      </c>
      <c r="S63" s="2476">
        <f t="shared" si="2"/>
        <v>0</v>
      </c>
      <c r="T63" s="2476">
        <f t="shared" si="3"/>
        <v>0</v>
      </c>
      <c r="U63" s="2477">
        <f>IF(OR(E63="QS",B63=""),0,
IF(C63="F",VLOOKUP($T63,'表30-5-2-5-3'!$B:$AF,MATCH($D63&amp;"a",'表30-5-2-5-3'!$4:$4,0)-1,FALSE)
-IF($S63-1&lt;=0,0,VLOOKUP($S63-1,'表30-5-2-5-3'!$B:$AF,MATCH($D63&amp;"a",'表30-5-2-5-3'!$4:$4,0)-1,FALSE))
-VLOOKUP($T63,'表30-5-2-5-3'!$B:$AF,MATCH($D63,'表30-5-2-5-3'!$4:$4,0)-1,FALSE)*(T63/100-N63/H63)*100
-VLOOKUP($S63,'表30-5-2-5-3'!$B:$AF,MATCH($D63,'表30-5-2-5-3'!$4:$4,0)-1,FALSE)*(1-(S63/100-M63/H63)*100),
IF(C63="E1",VLOOKUP($T63,'表30-5-2-5-4'!$B$4:$AF$104,MATCH($D63&amp;"a",'表30-5-2-5-4'!$4:$4,0)-1,FALSE)
-IF($S63-1&lt;=0,0,VLOOKUP($S63-1,'表30-5-2-5-4'!$B$4:$AF$104,MATCH($D63&amp;"a",'表30-5-2-5-4'!$4:$4,0)-1,FALSE))
-VLOOKUP($T63,'表30-5-2-5-4'!$B$4:$AF$104,MATCH($D63,'表30-5-2-5-4'!$4:$4,0)-1,FALSE)*(T63/100-N63/H63)*100
-VLOOKUP($S63,'表30-5-2-5-4'!$B$4:$AF$104,MATCH($D63,'表30-5-2-5-4'!$4:$4,0)-1,FALSE)*(1-(S63/100-M63/H63)*100),
IF(C63="E2",VLOOKUP($T63,'表30-5-2-5-4'!$B$114:$AF$214,MATCH($D63&amp;"a",'表30-5-2-5-4'!$4:$4,0)-1,FALSE)
-IF($S63-1&lt;=0,0,VLOOKUP($S63-1,'表30-5-2-5-4'!$B$114:$AF$214,MATCH($D63&amp;"a",'表30-5-2-5-4'!$4:$4,0)-1,FALSE))
-VLOOKUP($T63,'表30-5-2-5-4'!$B$114:$AF$214,MATCH($D63,'表30-5-2-5-4'!$4:$4,0)-1,FALSE)*(T63/100-N63/H63)*100
-VLOOKUP($S63,'表30-5-2-5-4'!$B$114:$AF$214,MATCH($D63,'表30-5-2-5-4'!$4:$4,0)-1,FALSE)*(1-(S63/100-M63/H63)*100),0))))</f>
        <v>0</v>
      </c>
      <c r="V63" s="2478">
        <f t="shared" si="4"/>
        <v>0</v>
      </c>
      <c r="W63" s="2478">
        <f t="shared" si="5"/>
        <v>0</v>
      </c>
      <c r="X63" s="2718">
        <f t="shared" si="9"/>
        <v>0</v>
      </c>
      <c r="Y63" s="2718">
        <f t="shared" si="10"/>
        <v>0</v>
      </c>
    </row>
    <row r="64" spans="1:25">
      <c r="A64" s="2473" t="str">
        <f t="shared" si="6"/>
        <v/>
      </c>
      <c r="B64" s="2737"/>
      <c r="C64" s="2737"/>
      <c r="D64" s="2737"/>
      <c r="E64" s="2738"/>
      <c r="F64" s="2738"/>
      <c r="G64" s="2738"/>
      <c r="H64" s="2739"/>
      <c r="I64" s="2740"/>
      <c r="J64" s="2740"/>
      <c r="K64" s="2740"/>
      <c r="L64" s="2740"/>
      <c r="M64" s="2738"/>
      <c r="N64" s="2738"/>
      <c r="O64" s="2474">
        <f t="shared" si="0"/>
        <v>0</v>
      </c>
      <c r="P64" s="2474">
        <f t="shared" si="1"/>
        <v>0</v>
      </c>
      <c r="Q64" s="2475">
        <f t="shared" si="7"/>
        <v>0</v>
      </c>
      <c r="R64" s="2475">
        <f t="shared" si="8"/>
        <v>0</v>
      </c>
      <c r="S64" s="2476">
        <f t="shared" si="2"/>
        <v>0</v>
      </c>
      <c r="T64" s="2476">
        <f t="shared" si="3"/>
        <v>0</v>
      </c>
      <c r="U64" s="2477">
        <f>IF(OR(E64="QS",B64=""),0,
IF(C64="F",VLOOKUP($T64,'表30-5-2-5-3'!$B:$AF,MATCH($D64&amp;"a",'表30-5-2-5-3'!$4:$4,0)-1,FALSE)
-IF($S64-1&lt;=0,0,VLOOKUP($S64-1,'表30-5-2-5-3'!$B:$AF,MATCH($D64&amp;"a",'表30-5-2-5-3'!$4:$4,0)-1,FALSE))
-VLOOKUP($T64,'表30-5-2-5-3'!$B:$AF,MATCH($D64,'表30-5-2-5-3'!$4:$4,0)-1,FALSE)*(T64/100-N64/H64)*100
-VLOOKUP($S64,'表30-5-2-5-3'!$B:$AF,MATCH($D64,'表30-5-2-5-3'!$4:$4,0)-1,FALSE)*(1-(S64/100-M64/H64)*100),
IF(C64="E1",VLOOKUP($T64,'表30-5-2-5-4'!$B$4:$AF$104,MATCH($D64&amp;"a",'表30-5-2-5-4'!$4:$4,0)-1,FALSE)
-IF($S64-1&lt;=0,0,VLOOKUP($S64-1,'表30-5-2-5-4'!$B$4:$AF$104,MATCH($D64&amp;"a",'表30-5-2-5-4'!$4:$4,0)-1,FALSE))
-VLOOKUP($T64,'表30-5-2-5-4'!$B$4:$AF$104,MATCH($D64,'表30-5-2-5-4'!$4:$4,0)-1,FALSE)*(T64/100-N64/H64)*100
-VLOOKUP($S64,'表30-5-2-5-4'!$B$4:$AF$104,MATCH($D64,'表30-5-2-5-4'!$4:$4,0)-1,FALSE)*(1-(S64/100-M64/H64)*100),
IF(C64="E2",VLOOKUP($T64,'表30-5-2-5-4'!$B$114:$AF$214,MATCH($D64&amp;"a",'表30-5-2-5-4'!$4:$4,0)-1,FALSE)
-IF($S64-1&lt;=0,0,VLOOKUP($S64-1,'表30-5-2-5-4'!$B$114:$AF$214,MATCH($D64&amp;"a",'表30-5-2-5-4'!$4:$4,0)-1,FALSE))
-VLOOKUP($T64,'表30-5-2-5-4'!$B$114:$AF$214,MATCH($D64,'表30-5-2-5-4'!$4:$4,0)-1,FALSE)*(T64/100-N64/H64)*100
-VLOOKUP($S64,'表30-5-2-5-4'!$B$114:$AF$214,MATCH($D64,'表30-5-2-5-4'!$4:$4,0)-1,FALSE)*(1-(S64/100-M64/H64)*100),0))))</f>
        <v>0</v>
      </c>
      <c r="V64" s="2478">
        <f t="shared" si="4"/>
        <v>0</v>
      </c>
      <c r="W64" s="2478">
        <f t="shared" si="5"/>
        <v>0</v>
      </c>
      <c r="X64" s="2718">
        <f t="shared" si="9"/>
        <v>0</v>
      </c>
      <c r="Y64" s="2718">
        <f t="shared" si="10"/>
        <v>0</v>
      </c>
    </row>
    <row r="65" spans="1:25">
      <c r="A65" s="2473" t="str">
        <f t="shared" si="6"/>
        <v/>
      </c>
      <c r="B65" s="2737"/>
      <c r="C65" s="2737"/>
      <c r="D65" s="2737"/>
      <c r="E65" s="2738"/>
      <c r="F65" s="2738"/>
      <c r="G65" s="2738"/>
      <c r="H65" s="2739"/>
      <c r="I65" s="2740"/>
      <c r="J65" s="2740"/>
      <c r="K65" s="2740"/>
      <c r="L65" s="2740"/>
      <c r="M65" s="2738"/>
      <c r="N65" s="2738"/>
      <c r="O65" s="2474">
        <f t="shared" si="0"/>
        <v>0</v>
      </c>
      <c r="P65" s="2474">
        <f t="shared" si="1"/>
        <v>0</v>
      </c>
      <c r="Q65" s="2475">
        <f t="shared" si="7"/>
        <v>0</v>
      </c>
      <c r="R65" s="2475">
        <f t="shared" si="8"/>
        <v>0</v>
      </c>
      <c r="S65" s="2476">
        <f t="shared" si="2"/>
        <v>0</v>
      </c>
      <c r="T65" s="2476">
        <f t="shared" si="3"/>
        <v>0</v>
      </c>
      <c r="U65" s="2477">
        <f>IF(OR(E65="QS",B65=""),0,
IF(C65="F",VLOOKUP($T65,'表30-5-2-5-3'!$B:$AF,MATCH($D65&amp;"a",'表30-5-2-5-3'!$4:$4,0)-1,FALSE)
-IF($S65-1&lt;=0,0,VLOOKUP($S65-1,'表30-5-2-5-3'!$B:$AF,MATCH($D65&amp;"a",'表30-5-2-5-3'!$4:$4,0)-1,FALSE))
-VLOOKUP($T65,'表30-5-2-5-3'!$B:$AF,MATCH($D65,'表30-5-2-5-3'!$4:$4,0)-1,FALSE)*(T65/100-N65/H65)*100
-VLOOKUP($S65,'表30-5-2-5-3'!$B:$AF,MATCH($D65,'表30-5-2-5-3'!$4:$4,0)-1,FALSE)*(1-(S65/100-M65/H65)*100),
IF(C65="E1",VLOOKUP($T65,'表30-5-2-5-4'!$B$4:$AF$104,MATCH($D65&amp;"a",'表30-5-2-5-4'!$4:$4,0)-1,FALSE)
-IF($S65-1&lt;=0,0,VLOOKUP($S65-1,'表30-5-2-5-4'!$B$4:$AF$104,MATCH($D65&amp;"a",'表30-5-2-5-4'!$4:$4,0)-1,FALSE))
-VLOOKUP($T65,'表30-5-2-5-4'!$B$4:$AF$104,MATCH($D65,'表30-5-2-5-4'!$4:$4,0)-1,FALSE)*(T65/100-N65/H65)*100
-VLOOKUP($S65,'表30-5-2-5-4'!$B$4:$AF$104,MATCH($D65,'表30-5-2-5-4'!$4:$4,0)-1,FALSE)*(1-(S65/100-M65/H65)*100),
IF(C65="E2",VLOOKUP($T65,'表30-5-2-5-4'!$B$114:$AF$214,MATCH($D65&amp;"a",'表30-5-2-5-4'!$4:$4,0)-1,FALSE)
-IF($S65-1&lt;=0,0,VLOOKUP($S65-1,'表30-5-2-5-4'!$B$114:$AF$214,MATCH($D65&amp;"a",'表30-5-2-5-4'!$4:$4,0)-1,FALSE))
-VLOOKUP($T65,'表30-5-2-5-4'!$B$114:$AF$214,MATCH($D65,'表30-5-2-5-4'!$4:$4,0)-1,FALSE)*(T65/100-N65/H65)*100
-VLOOKUP($S65,'表30-5-2-5-4'!$B$114:$AF$214,MATCH($D65,'表30-5-2-5-4'!$4:$4,0)-1,FALSE)*(1-(S65/100-M65/H65)*100),0))))</f>
        <v>0</v>
      </c>
      <c r="V65" s="2478">
        <f t="shared" si="4"/>
        <v>0</v>
      </c>
      <c r="W65" s="2478">
        <f t="shared" si="5"/>
        <v>0</v>
      </c>
      <c r="X65" s="2718">
        <f t="shared" si="9"/>
        <v>0</v>
      </c>
      <c r="Y65" s="2718">
        <f t="shared" si="10"/>
        <v>0</v>
      </c>
    </row>
    <row r="66" spans="1:25">
      <c r="A66" s="2473" t="str">
        <f t="shared" si="6"/>
        <v/>
      </c>
      <c r="B66" s="2737"/>
      <c r="C66" s="2737"/>
      <c r="D66" s="2737"/>
      <c r="E66" s="2738"/>
      <c r="F66" s="2738"/>
      <c r="G66" s="2738"/>
      <c r="H66" s="2739"/>
      <c r="I66" s="2740"/>
      <c r="J66" s="2740"/>
      <c r="K66" s="2740"/>
      <c r="L66" s="2740"/>
      <c r="M66" s="2738"/>
      <c r="N66" s="2738"/>
      <c r="O66" s="2474">
        <f t="shared" si="0"/>
        <v>0</v>
      </c>
      <c r="P66" s="2474">
        <f t="shared" si="1"/>
        <v>0</v>
      </c>
      <c r="Q66" s="2475">
        <f t="shared" si="7"/>
        <v>0</v>
      </c>
      <c r="R66" s="2475">
        <f t="shared" si="8"/>
        <v>0</v>
      </c>
      <c r="S66" s="2476">
        <f t="shared" si="2"/>
        <v>0</v>
      </c>
      <c r="T66" s="2476">
        <f t="shared" si="3"/>
        <v>0</v>
      </c>
      <c r="U66" s="2477">
        <f>IF(OR(E66="QS",B66=""),0,
IF(C66="F",VLOOKUP($T66,'表30-5-2-5-3'!$B:$AF,MATCH($D66&amp;"a",'表30-5-2-5-3'!$4:$4,0)-1,FALSE)
-IF($S66-1&lt;=0,0,VLOOKUP($S66-1,'表30-5-2-5-3'!$B:$AF,MATCH($D66&amp;"a",'表30-5-2-5-3'!$4:$4,0)-1,FALSE))
-VLOOKUP($T66,'表30-5-2-5-3'!$B:$AF,MATCH($D66,'表30-5-2-5-3'!$4:$4,0)-1,FALSE)*(T66/100-N66/H66)*100
-VLOOKUP($S66,'表30-5-2-5-3'!$B:$AF,MATCH($D66,'表30-5-2-5-3'!$4:$4,0)-1,FALSE)*(1-(S66/100-M66/H66)*100),
IF(C66="E1",VLOOKUP($T66,'表30-5-2-5-4'!$B$4:$AF$104,MATCH($D66&amp;"a",'表30-5-2-5-4'!$4:$4,0)-1,FALSE)
-IF($S66-1&lt;=0,0,VLOOKUP($S66-1,'表30-5-2-5-4'!$B$4:$AF$104,MATCH($D66&amp;"a",'表30-5-2-5-4'!$4:$4,0)-1,FALSE))
-VLOOKUP($T66,'表30-5-2-5-4'!$B$4:$AF$104,MATCH($D66,'表30-5-2-5-4'!$4:$4,0)-1,FALSE)*(T66/100-N66/H66)*100
-VLOOKUP($S66,'表30-5-2-5-4'!$B$4:$AF$104,MATCH($D66,'表30-5-2-5-4'!$4:$4,0)-1,FALSE)*(1-(S66/100-M66/H66)*100),
IF(C66="E2",VLOOKUP($T66,'表30-5-2-5-4'!$B$114:$AF$214,MATCH($D66&amp;"a",'表30-5-2-5-4'!$4:$4,0)-1,FALSE)
-IF($S66-1&lt;=0,0,VLOOKUP($S66-1,'表30-5-2-5-4'!$B$114:$AF$214,MATCH($D66&amp;"a",'表30-5-2-5-4'!$4:$4,0)-1,FALSE))
-VLOOKUP($T66,'表30-5-2-5-4'!$B$114:$AF$214,MATCH($D66,'表30-5-2-5-4'!$4:$4,0)-1,FALSE)*(T66/100-N66/H66)*100
-VLOOKUP($S66,'表30-5-2-5-4'!$B$114:$AF$214,MATCH($D66,'表30-5-2-5-4'!$4:$4,0)-1,FALSE)*(1-(S66/100-M66/H66)*100),0))))</f>
        <v>0</v>
      </c>
      <c r="V66" s="2478">
        <f t="shared" si="4"/>
        <v>0</v>
      </c>
      <c r="W66" s="2478">
        <f t="shared" si="5"/>
        <v>0</v>
      </c>
      <c r="X66" s="2718">
        <f t="shared" si="9"/>
        <v>0</v>
      </c>
      <c r="Y66" s="2718">
        <f t="shared" si="10"/>
        <v>0</v>
      </c>
    </row>
    <row r="67" spans="1:25">
      <c r="A67" s="2473" t="str">
        <f t="shared" si="6"/>
        <v/>
      </c>
      <c r="B67" s="2737"/>
      <c r="C67" s="2737"/>
      <c r="D67" s="2737"/>
      <c r="E67" s="2738"/>
      <c r="F67" s="2738"/>
      <c r="G67" s="2738"/>
      <c r="H67" s="2739"/>
      <c r="I67" s="2740"/>
      <c r="J67" s="2740"/>
      <c r="K67" s="2740"/>
      <c r="L67" s="2740"/>
      <c r="M67" s="2738"/>
      <c r="N67" s="2738"/>
      <c r="O67" s="2474">
        <f t="shared" si="0"/>
        <v>0</v>
      </c>
      <c r="P67" s="2474">
        <f t="shared" si="1"/>
        <v>0</v>
      </c>
      <c r="Q67" s="2475">
        <f t="shared" si="7"/>
        <v>0</v>
      </c>
      <c r="R67" s="2475">
        <f t="shared" si="8"/>
        <v>0</v>
      </c>
      <c r="S67" s="2476">
        <f t="shared" si="2"/>
        <v>0</v>
      </c>
      <c r="T67" s="2476">
        <f t="shared" si="3"/>
        <v>0</v>
      </c>
      <c r="U67" s="2477">
        <f>IF(OR(E67="QS",B67=""),0,
IF(C67="F",VLOOKUP($T67,'表30-5-2-5-3'!$B:$AF,MATCH($D67&amp;"a",'表30-5-2-5-3'!$4:$4,0)-1,FALSE)
-IF($S67-1&lt;=0,0,VLOOKUP($S67-1,'表30-5-2-5-3'!$B:$AF,MATCH($D67&amp;"a",'表30-5-2-5-3'!$4:$4,0)-1,FALSE))
-VLOOKUP($T67,'表30-5-2-5-3'!$B:$AF,MATCH($D67,'表30-5-2-5-3'!$4:$4,0)-1,FALSE)*(T67/100-N67/H67)*100
-VLOOKUP($S67,'表30-5-2-5-3'!$B:$AF,MATCH($D67,'表30-5-2-5-3'!$4:$4,0)-1,FALSE)*(1-(S67/100-M67/H67)*100),
IF(C67="E1",VLOOKUP($T67,'表30-5-2-5-4'!$B$4:$AF$104,MATCH($D67&amp;"a",'表30-5-2-5-4'!$4:$4,0)-1,FALSE)
-IF($S67-1&lt;=0,0,VLOOKUP($S67-1,'表30-5-2-5-4'!$B$4:$AF$104,MATCH($D67&amp;"a",'表30-5-2-5-4'!$4:$4,0)-1,FALSE))
-VLOOKUP($T67,'表30-5-2-5-4'!$B$4:$AF$104,MATCH($D67,'表30-5-2-5-4'!$4:$4,0)-1,FALSE)*(T67/100-N67/H67)*100
-VLOOKUP($S67,'表30-5-2-5-4'!$B$4:$AF$104,MATCH($D67,'表30-5-2-5-4'!$4:$4,0)-1,FALSE)*(1-(S67/100-M67/H67)*100),
IF(C67="E2",VLOOKUP($T67,'表30-5-2-5-4'!$B$114:$AF$214,MATCH($D67&amp;"a",'表30-5-2-5-4'!$4:$4,0)-1,FALSE)
-IF($S67-1&lt;=0,0,VLOOKUP($S67-1,'表30-5-2-5-4'!$B$114:$AF$214,MATCH($D67&amp;"a",'表30-5-2-5-4'!$4:$4,0)-1,FALSE))
-VLOOKUP($T67,'表30-5-2-5-4'!$B$114:$AF$214,MATCH($D67,'表30-5-2-5-4'!$4:$4,0)-1,FALSE)*(T67/100-N67/H67)*100
-VLOOKUP($S67,'表30-5-2-5-4'!$B$114:$AF$214,MATCH($D67,'表30-5-2-5-4'!$4:$4,0)-1,FALSE)*(1-(S67/100-M67/H67)*100),0))))</f>
        <v>0</v>
      </c>
      <c r="V67" s="2478">
        <f t="shared" si="4"/>
        <v>0</v>
      </c>
      <c r="W67" s="2478">
        <f t="shared" si="5"/>
        <v>0</v>
      </c>
      <c r="X67" s="2718">
        <f t="shared" si="9"/>
        <v>0</v>
      </c>
      <c r="Y67" s="2718">
        <f t="shared" si="10"/>
        <v>0</v>
      </c>
    </row>
    <row r="68" spans="1:25">
      <c r="A68" s="2473" t="str">
        <f t="shared" si="6"/>
        <v/>
      </c>
      <c r="B68" s="2737"/>
      <c r="C68" s="2737"/>
      <c r="D68" s="2737"/>
      <c r="E68" s="2738"/>
      <c r="F68" s="2738"/>
      <c r="G68" s="2738"/>
      <c r="H68" s="2739"/>
      <c r="I68" s="2740"/>
      <c r="J68" s="2740"/>
      <c r="K68" s="2740"/>
      <c r="L68" s="2740"/>
      <c r="M68" s="2738"/>
      <c r="N68" s="2738"/>
      <c r="O68" s="2474">
        <f t="shared" si="0"/>
        <v>0</v>
      </c>
      <c r="P68" s="2474">
        <f t="shared" si="1"/>
        <v>0</v>
      </c>
      <c r="Q68" s="2475">
        <f t="shared" si="7"/>
        <v>0</v>
      </c>
      <c r="R68" s="2475">
        <f t="shared" si="8"/>
        <v>0</v>
      </c>
      <c r="S68" s="2476">
        <f t="shared" si="2"/>
        <v>0</v>
      </c>
      <c r="T68" s="2476">
        <f t="shared" si="3"/>
        <v>0</v>
      </c>
      <c r="U68" s="2477">
        <f>IF(OR(E68="QS",B68=""),0,
IF(C68="F",VLOOKUP($T68,'表30-5-2-5-3'!$B:$AF,MATCH($D68&amp;"a",'表30-5-2-5-3'!$4:$4,0)-1,FALSE)
-IF($S68-1&lt;=0,0,VLOOKUP($S68-1,'表30-5-2-5-3'!$B:$AF,MATCH($D68&amp;"a",'表30-5-2-5-3'!$4:$4,0)-1,FALSE))
-VLOOKUP($T68,'表30-5-2-5-3'!$B:$AF,MATCH($D68,'表30-5-2-5-3'!$4:$4,0)-1,FALSE)*(T68/100-N68/H68)*100
-VLOOKUP($S68,'表30-5-2-5-3'!$B:$AF,MATCH($D68,'表30-5-2-5-3'!$4:$4,0)-1,FALSE)*(1-(S68/100-M68/H68)*100),
IF(C68="E1",VLOOKUP($T68,'表30-5-2-5-4'!$B$4:$AF$104,MATCH($D68&amp;"a",'表30-5-2-5-4'!$4:$4,0)-1,FALSE)
-IF($S68-1&lt;=0,0,VLOOKUP($S68-1,'表30-5-2-5-4'!$B$4:$AF$104,MATCH($D68&amp;"a",'表30-5-2-5-4'!$4:$4,0)-1,FALSE))
-VLOOKUP($T68,'表30-5-2-5-4'!$B$4:$AF$104,MATCH($D68,'表30-5-2-5-4'!$4:$4,0)-1,FALSE)*(T68/100-N68/H68)*100
-VLOOKUP($S68,'表30-5-2-5-4'!$B$4:$AF$104,MATCH($D68,'表30-5-2-5-4'!$4:$4,0)-1,FALSE)*(1-(S68/100-M68/H68)*100),
IF(C68="E2",VLOOKUP($T68,'表30-5-2-5-4'!$B$114:$AF$214,MATCH($D68&amp;"a",'表30-5-2-5-4'!$4:$4,0)-1,FALSE)
-IF($S68-1&lt;=0,0,VLOOKUP($S68-1,'表30-5-2-5-4'!$B$114:$AF$214,MATCH($D68&amp;"a",'表30-5-2-5-4'!$4:$4,0)-1,FALSE))
-VLOOKUP($T68,'表30-5-2-5-4'!$B$114:$AF$214,MATCH($D68,'表30-5-2-5-4'!$4:$4,0)-1,FALSE)*(T68/100-N68/H68)*100
-VLOOKUP($S68,'表30-5-2-5-4'!$B$114:$AF$214,MATCH($D68,'表30-5-2-5-4'!$4:$4,0)-1,FALSE)*(1-(S68/100-M68/H68)*100),0))))</f>
        <v>0</v>
      </c>
      <c r="V68" s="2478">
        <f t="shared" si="4"/>
        <v>0</v>
      </c>
      <c r="W68" s="2478">
        <f t="shared" si="5"/>
        <v>0</v>
      </c>
      <c r="X68" s="2718">
        <f t="shared" si="9"/>
        <v>0</v>
      </c>
      <c r="Y68" s="2718">
        <f t="shared" si="10"/>
        <v>0</v>
      </c>
    </row>
    <row r="69" spans="1:25">
      <c r="A69" s="2473" t="str">
        <f t="shared" si="6"/>
        <v/>
      </c>
      <c r="B69" s="2737"/>
      <c r="C69" s="2737"/>
      <c r="D69" s="2737"/>
      <c r="E69" s="2738"/>
      <c r="F69" s="2738"/>
      <c r="G69" s="2738"/>
      <c r="H69" s="2739"/>
      <c r="I69" s="2740"/>
      <c r="J69" s="2740"/>
      <c r="K69" s="2740"/>
      <c r="L69" s="2740"/>
      <c r="M69" s="2738"/>
      <c r="N69" s="2738"/>
      <c r="O69" s="2474">
        <f t="shared" si="0"/>
        <v>0</v>
      </c>
      <c r="P69" s="2474">
        <f t="shared" si="1"/>
        <v>0</v>
      </c>
      <c r="Q69" s="2475">
        <f t="shared" si="7"/>
        <v>0</v>
      </c>
      <c r="R69" s="2475">
        <f t="shared" si="8"/>
        <v>0</v>
      </c>
      <c r="S69" s="2476">
        <f t="shared" si="2"/>
        <v>0</v>
      </c>
      <c r="T69" s="2476">
        <f t="shared" si="3"/>
        <v>0</v>
      </c>
      <c r="U69" s="2477">
        <f>IF(OR(E69="QS",B69=""),0,
IF(C69="F",VLOOKUP($T69,'表30-5-2-5-3'!$B:$AF,MATCH($D69&amp;"a",'表30-5-2-5-3'!$4:$4,0)-1,FALSE)
-IF($S69-1&lt;=0,0,VLOOKUP($S69-1,'表30-5-2-5-3'!$B:$AF,MATCH($D69&amp;"a",'表30-5-2-5-3'!$4:$4,0)-1,FALSE))
-VLOOKUP($T69,'表30-5-2-5-3'!$B:$AF,MATCH($D69,'表30-5-2-5-3'!$4:$4,0)-1,FALSE)*(T69/100-N69/H69)*100
-VLOOKUP($S69,'表30-5-2-5-3'!$B:$AF,MATCH($D69,'表30-5-2-5-3'!$4:$4,0)-1,FALSE)*(1-(S69/100-M69/H69)*100),
IF(C69="E1",VLOOKUP($T69,'表30-5-2-5-4'!$B$4:$AF$104,MATCH($D69&amp;"a",'表30-5-2-5-4'!$4:$4,0)-1,FALSE)
-IF($S69-1&lt;=0,0,VLOOKUP($S69-1,'表30-5-2-5-4'!$B$4:$AF$104,MATCH($D69&amp;"a",'表30-5-2-5-4'!$4:$4,0)-1,FALSE))
-VLOOKUP($T69,'表30-5-2-5-4'!$B$4:$AF$104,MATCH($D69,'表30-5-2-5-4'!$4:$4,0)-1,FALSE)*(T69/100-N69/H69)*100
-VLOOKUP($S69,'表30-5-2-5-4'!$B$4:$AF$104,MATCH($D69,'表30-5-2-5-4'!$4:$4,0)-1,FALSE)*(1-(S69/100-M69/H69)*100),
IF(C69="E2",VLOOKUP($T69,'表30-5-2-5-4'!$B$114:$AF$214,MATCH($D69&amp;"a",'表30-5-2-5-4'!$4:$4,0)-1,FALSE)
-IF($S69-1&lt;=0,0,VLOOKUP($S69-1,'表30-5-2-5-4'!$B$114:$AF$214,MATCH($D69&amp;"a",'表30-5-2-5-4'!$4:$4,0)-1,FALSE))
-VLOOKUP($T69,'表30-5-2-5-4'!$B$114:$AF$214,MATCH($D69,'表30-5-2-5-4'!$4:$4,0)-1,FALSE)*(T69/100-N69/H69)*100
-VLOOKUP($S69,'表30-5-2-5-4'!$B$114:$AF$214,MATCH($D69,'表30-5-2-5-4'!$4:$4,0)-1,FALSE)*(1-(S69/100-M69/H69)*100),0))))</f>
        <v>0</v>
      </c>
      <c r="V69" s="2478">
        <f t="shared" si="4"/>
        <v>0</v>
      </c>
      <c r="W69" s="2478">
        <f t="shared" si="5"/>
        <v>0</v>
      </c>
      <c r="X69" s="2718">
        <f t="shared" si="9"/>
        <v>0</v>
      </c>
      <c r="Y69" s="2718">
        <f t="shared" si="10"/>
        <v>0</v>
      </c>
    </row>
    <row r="70" spans="1:25">
      <c r="A70" s="2473" t="str">
        <f t="shared" si="6"/>
        <v/>
      </c>
      <c r="B70" s="2737"/>
      <c r="C70" s="2737"/>
      <c r="D70" s="2737"/>
      <c r="E70" s="2738"/>
      <c r="F70" s="2738"/>
      <c r="G70" s="2738"/>
      <c r="H70" s="2739"/>
      <c r="I70" s="2740"/>
      <c r="J70" s="2740"/>
      <c r="K70" s="2740"/>
      <c r="L70" s="2740"/>
      <c r="M70" s="2738"/>
      <c r="N70" s="2738"/>
      <c r="O70" s="2474">
        <f t="shared" ref="O70:O133" si="11">IF(E70="QS",G70*I70,0)</f>
        <v>0</v>
      </c>
      <c r="P70" s="2474">
        <f t="shared" ref="P70:P133" si="12">IF(E70="QS",G70*J70,0)</f>
        <v>0</v>
      </c>
      <c r="Q70" s="2475">
        <f t="shared" si="7"/>
        <v>0</v>
      </c>
      <c r="R70" s="2475">
        <f t="shared" si="8"/>
        <v>0</v>
      </c>
      <c r="S70" s="2476">
        <f t="shared" ref="S70:S133" si="13">IF(OR(E70="QS",B70=""),0,CEILING((M70+1)/H70*100,1))</f>
        <v>0</v>
      </c>
      <c r="T70" s="2476">
        <f t="shared" ref="T70:T133" si="14">IF(OR(E70="QS",B70=""),0,CEILING(N70/H70*100,1))</f>
        <v>0</v>
      </c>
      <c r="U70" s="2477">
        <f>IF(OR(E70="QS",B70=""),0,
IF(C70="F",VLOOKUP($T70,'表30-5-2-5-3'!$B:$AF,MATCH($D70&amp;"a",'表30-5-2-5-3'!$4:$4,0)-1,FALSE)
-IF($S70-1&lt;=0,0,VLOOKUP($S70-1,'表30-5-2-5-3'!$B:$AF,MATCH($D70&amp;"a",'表30-5-2-5-3'!$4:$4,0)-1,FALSE))
-VLOOKUP($T70,'表30-5-2-5-3'!$B:$AF,MATCH($D70,'表30-5-2-5-3'!$4:$4,0)-1,FALSE)*(T70/100-N70/H70)*100
-VLOOKUP($S70,'表30-5-2-5-3'!$B:$AF,MATCH($D70,'表30-5-2-5-3'!$4:$4,0)-1,FALSE)*(1-(S70/100-M70/H70)*100),
IF(C70="E1",VLOOKUP($T70,'表30-5-2-5-4'!$B$4:$AF$104,MATCH($D70&amp;"a",'表30-5-2-5-4'!$4:$4,0)-1,FALSE)
-IF($S70-1&lt;=0,0,VLOOKUP($S70-1,'表30-5-2-5-4'!$B$4:$AF$104,MATCH($D70&amp;"a",'表30-5-2-5-4'!$4:$4,0)-1,FALSE))
-VLOOKUP($T70,'表30-5-2-5-4'!$B$4:$AF$104,MATCH($D70,'表30-5-2-5-4'!$4:$4,0)-1,FALSE)*(T70/100-N70/H70)*100
-VLOOKUP($S70,'表30-5-2-5-4'!$B$4:$AF$104,MATCH($D70,'表30-5-2-5-4'!$4:$4,0)-1,FALSE)*(1-(S70/100-M70/H70)*100),
IF(C70="E2",VLOOKUP($T70,'表30-5-2-5-4'!$B$114:$AF$214,MATCH($D70&amp;"a",'表30-5-2-5-4'!$4:$4,0)-1,FALSE)
-IF($S70-1&lt;=0,0,VLOOKUP($S70-1,'表30-5-2-5-4'!$B$114:$AF$214,MATCH($D70&amp;"a",'表30-5-2-5-4'!$4:$4,0)-1,FALSE))
-VLOOKUP($T70,'表30-5-2-5-4'!$B$114:$AF$214,MATCH($D70,'表30-5-2-5-4'!$4:$4,0)-1,FALSE)*(T70/100-N70/H70)*100
-VLOOKUP($S70,'表30-5-2-5-4'!$B$114:$AF$214,MATCH($D70,'表30-5-2-5-4'!$4:$4,0)-1,FALSE)*(1-(S70/100-M70/H70)*100),0))))</f>
        <v>0</v>
      </c>
      <c r="V70" s="2478">
        <f t="shared" ref="V70:V133" si="15">H70*U70*Q70</f>
        <v>0</v>
      </c>
      <c r="W70" s="2478">
        <f t="shared" ref="W70:W133" si="16">H70*U70*R70</f>
        <v>0</v>
      </c>
      <c r="X70" s="2718">
        <f t="shared" si="9"/>
        <v>0</v>
      </c>
      <c r="Y70" s="2718">
        <f t="shared" si="10"/>
        <v>0</v>
      </c>
    </row>
    <row r="71" spans="1:25">
      <c r="A71" s="2473" t="str">
        <f t="shared" ref="A71:A134" si="17">C71&amp;D71&amp;LEFT(E71,1)</f>
        <v/>
      </c>
      <c r="B71" s="2737"/>
      <c r="C71" s="2737"/>
      <c r="D71" s="2737"/>
      <c r="E71" s="2738"/>
      <c r="F71" s="2738"/>
      <c r="G71" s="2738"/>
      <c r="H71" s="2739"/>
      <c r="I71" s="2740"/>
      <c r="J71" s="2740"/>
      <c r="K71" s="2740"/>
      <c r="L71" s="2740"/>
      <c r="M71" s="2738"/>
      <c r="N71" s="2738"/>
      <c r="O71" s="2474">
        <f t="shared" si="11"/>
        <v>0</v>
      </c>
      <c r="P71" s="2474">
        <f t="shared" si="12"/>
        <v>0</v>
      </c>
      <c r="Q71" s="2475">
        <f t="shared" ref="Q71:Q134" si="18">IF(OR(E71="QS",E71=""),0,(N71-M71)/H71*K71)</f>
        <v>0</v>
      </c>
      <c r="R71" s="2475">
        <f t="shared" ref="R71:R134" si="19">IF(OR(E71="QS",E71=""),0,(N71-M71)/H71*L71)</f>
        <v>0</v>
      </c>
      <c r="S71" s="2476">
        <f t="shared" si="13"/>
        <v>0</v>
      </c>
      <c r="T71" s="2476">
        <f t="shared" si="14"/>
        <v>0</v>
      </c>
      <c r="U71" s="2477">
        <f>IF(OR(E71="QS",B71=""),0,
IF(C71="F",VLOOKUP($T71,'表30-5-2-5-3'!$B:$AF,MATCH($D71&amp;"a",'表30-5-2-5-3'!$4:$4,0)-1,FALSE)
-IF($S71-1&lt;=0,0,VLOOKUP($S71-1,'表30-5-2-5-3'!$B:$AF,MATCH($D71&amp;"a",'表30-5-2-5-3'!$4:$4,0)-1,FALSE))
-VLOOKUP($T71,'表30-5-2-5-3'!$B:$AF,MATCH($D71,'表30-5-2-5-3'!$4:$4,0)-1,FALSE)*(T71/100-N71/H71)*100
-VLOOKUP($S71,'表30-5-2-5-3'!$B:$AF,MATCH($D71,'表30-5-2-5-3'!$4:$4,0)-1,FALSE)*(1-(S71/100-M71/H71)*100),
IF(C71="E1",VLOOKUP($T71,'表30-5-2-5-4'!$B$4:$AF$104,MATCH($D71&amp;"a",'表30-5-2-5-4'!$4:$4,0)-1,FALSE)
-IF($S71-1&lt;=0,0,VLOOKUP($S71-1,'表30-5-2-5-4'!$B$4:$AF$104,MATCH($D71&amp;"a",'表30-5-2-5-4'!$4:$4,0)-1,FALSE))
-VLOOKUP($T71,'表30-5-2-5-4'!$B$4:$AF$104,MATCH($D71,'表30-5-2-5-4'!$4:$4,0)-1,FALSE)*(T71/100-N71/H71)*100
-VLOOKUP($S71,'表30-5-2-5-4'!$B$4:$AF$104,MATCH($D71,'表30-5-2-5-4'!$4:$4,0)-1,FALSE)*(1-(S71/100-M71/H71)*100),
IF(C71="E2",VLOOKUP($T71,'表30-5-2-5-4'!$B$114:$AF$214,MATCH($D71&amp;"a",'表30-5-2-5-4'!$4:$4,0)-1,FALSE)
-IF($S71-1&lt;=0,0,VLOOKUP($S71-1,'表30-5-2-5-4'!$B$114:$AF$214,MATCH($D71&amp;"a",'表30-5-2-5-4'!$4:$4,0)-1,FALSE))
-VLOOKUP($T71,'表30-5-2-5-4'!$B$114:$AF$214,MATCH($D71,'表30-5-2-5-4'!$4:$4,0)-1,FALSE)*(T71/100-N71/H71)*100
-VLOOKUP($S71,'表30-5-2-5-4'!$B$114:$AF$214,MATCH($D71,'表30-5-2-5-4'!$4:$4,0)-1,FALSE)*(1-(S71/100-M71/H71)*100),0))))</f>
        <v>0</v>
      </c>
      <c r="V71" s="2478">
        <f t="shared" si="15"/>
        <v>0</v>
      </c>
      <c r="W71" s="2478">
        <f t="shared" si="16"/>
        <v>0</v>
      </c>
      <c r="X71" s="2718">
        <f t="shared" ref="X71:X134" si="20">U71*F71</f>
        <v>0</v>
      </c>
      <c r="Y71" s="2718">
        <f t="shared" ref="Y71:Y134" si="21">IFERROR(U71*F71*(L71/K71),0)</f>
        <v>0</v>
      </c>
    </row>
    <row r="72" spans="1:25">
      <c r="A72" s="2473" t="str">
        <f t="shared" si="17"/>
        <v/>
      </c>
      <c r="B72" s="2737"/>
      <c r="C72" s="2737"/>
      <c r="D72" s="2737"/>
      <c r="E72" s="2738"/>
      <c r="F72" s="2738"/>
      <c r="G72" s="2738"/>
      <c r="H72" s="2739"/>
      <c r="I72" s="2740"/>
      <c r="J72" s="2740"/>
      <c r="K72" s="2740"/>
      <c r="L72" s="2740"/>
      <c r="M72" s="2738"/>
      <c r="N72" s="2738"/>
      <c r="O72" s="2474">
        <f t="shared" si="11"/>
        <v>0</v>
      </c>
      <c r="P72" s="2474">
        <f t="shared" si="12"/>
        <v>0</v>
      </c>
      <c r="Q72" s="2475">
        <f t="shared" si="18"/>
        <v>0</v>
      </c>
      <c r="R72" s="2475">
        <f t="shared" si="19"/>
        <v>0</v>
      </c>
      <c r="S72" s="2476">
        <f t="shared" si="13"/>
        <v>0</v>
      </c>
      <c r="T72" s="2476">
        <f t="shared" si="14"/>
        <v>0</v>
      </c>
      <c r="U72" s="2477">
        <f>IF(OR(E72="QS",B72=""),0,
IF(C72="F",VLOOKUP($T72,'表30-5-2-5-3'!$B:$AF,MATCH($D72&amp;"a",'表30-5-2-5-3'!$4:$4,0)-1,FALSE)
-IF($S72-1&lt;=0,0,VLOOKUP($S72-1,'表30-5-2-5-3'!$B:$AF,MATCH($D72&amp;"a",'表30-5-2-5-3'!$4:$4,0)-1,FALSE))
-VLOOKUP($T72,'表30-5-2-5-3'!$B:$AF,MATCH($D72,'表30-5-2-5-3'!$4:$4,0)-1,FALSE)*(T72/100-N72/H72)*100
-VLOOKUP($S72,'表30-5-2-5-3'!$B:$AF,MATCH($D72,'表30-5-2-5-3'!$4:$4,0)-1,FALSE)*(1-(S72/100-M72/H72)*100),
IF(C72="E1",VLOOKUP($T72,'表30-5-2-5-4'!$B$4:$AF$104,MATCH($D72&amp;"a",'表30-5-2-5-4'!$4:$4,0)-1,FALSE)
-IF($S72-1&lt;=0,0,VLOOKUP($S72-1,'表30-5-2-5-4'!$B$4:$AF$104,MATCH($D72&amp;"a",'表30-5-2-5-4'!$4:$4,0)-1,FALSE))
-VLOOKUP($T72,'表30-5-2-5-4'!$B$4:$AF$104,MATCH($D72,'表30-5-2-5-4'!$4:$4,0)-1,FALSE)*(T72/100-N72/H72)*100
-VLOOKUP($S72,'表30-5-2-5-4'!$B$4:$AF$104,MATCH($D72,'表30-5-2-5-4'!$4:$4,0)-1,FALSE)*(1-(S72/100-M72/H72)*100),
IF(C72="E2",VLOOKUP($T72,'表30-5-2-5-4'!$B$114:$AF$214,MATCH($D72&amp;"a",'表30-5-2-5-4'!$4:$4,0)-1,FALSE)
-IF($S72-1&lt;=0,0,VLOOKUP($S72-1,'表30-5-2-5-4'!$B$114:$AF$214,MATCH($D72&amp;"a",'表30-5-2-5-4'!$4:$4,0)-1,FALSE))
-VLOOKUP($T72,'表30-5-2-5-4'!$B$114:$AF$214,MATCH($D72,'表30-5-2-5-4'!$4:$4,0)-1,FALSE)*(T72/100-N72/H72)*100
-VLOOKUP($S72,'表30-5-2-5-4'!$B$114:$AF$214,MATCH($D72,'表30-5-2-5-4'!$4:$4,0)-1,FALSE)*(1-(S72/100-M72/H72)*100),0))))</f>
        <v>0</v>
      </c>
      <c r="V72" s="2478">
        <f t="shared" si="15"/>
        <v>0</v>
      </c>
      <c r="W72" s="2478">
        <f t="shared" si="16"/>
        <v>0</v>
      </c>
      <c r="X72" s="2718">
        <f t="shared" si="20"/>
        <v>0</v>
      </c>
      <c r="Y72" s="2718">
        <f t="shared" si="21"/>
        <v>0</v>
      </c>
    </row>
    <row r="73" spans="1:25">
      <c r="A73" s="2473" t="str">
        <f t="shared" si="17"/>
        <v/>
      </c>
      <c r="B73" s="2737"/>
      <c r="C73" s="2737"/>
      <c r="D73" s="2737"/>
      <c r="E73" s="2738"/>
      <c r="F73" s="2738"/>
      <c r="G73" s="2738"/>
      <c r="H73" s="2739"/>
      <c r="I73" s="2740"/>
      <c r="J73" s="2740"/>
      <c r="K73" s="2740"/>
      <c r="L73" s="2740"/>
      <c r="M73" s="2738"/>
      <c r="N73" s="2738"/>
      <c r="O73" s="2474">
        <f t="shared" si="11"/>
        <v>0</v>
      </c>
      <c r="P73" s="2474">
        <f t="shared" si="12"/>
        <v>0</v>
      </c>
      <c r="Q73" s="2475">
        <f t="shared" si="18"/>
        <v>0</v>
      </c>
      <c r="R73" s="2475">
        <f t="shared" si="19"/>
        <v>0</v>
      </c>
      <c r="S73" s="2476">
        <f t="shared" si="13"/>
        <v>0</v>
      </c>
      <c r="T73" s="2476">
        <f t="shared" si="14"/>
        <v>0</v>
      </c>
      <c r="U73" s="2477">
        <f>IF(OR(E73="QS",B73=""),0,
IF(C73="F",VLOOKUP($T73,'表30-5-2-5-3'!$B:$AF,MATCH($D73&amp;"a",'表30-5-2-5-3'!$4:$4,0)-1,FALSE)
-IF($S73-1&lt;=0,0,VLOOKUP($S73-1,'表30-5-2-5-3'!$B:$AF,MATCH($D73&amp;"a",'表30-5-2-5-3'!$4:$4,0)-1,FALSE))
-VLOOKUP($T73,'表30-5-2-5-3'!$B:$AF,MATCH($D73,'表30-5-2-5-3'!$4:$4,0)-1,FALSE)*(T73/100-N73/H73)*100
-VLOOKUP($S73,'表30-5-2-5-3'!$B:$AF,MATCH($D73,'表30-5-2-5-3'!$4:$4,0)-1,FALSE)*(1-(S73/100-M73/H73)*100),
IF(C73="E1",VLOOKUP($T73,'表30-5-2-5-4'!$B$4:$AF$104,MATCH($D73&amp;"a",'表30-5-2-5-4'!$4:$4,0)-1,FALSE)
-IF($S73-1&lt;=0,0,VLOOKUP($S73-1,'表30-5-2-5-4'!$B$4:$AF$104,MATCH($D73&amp;"a",'表30-5-2-5-4'!$4:$4,0)-1,FALSE))
-VLOOKUP($T73,'表30-5-2-5-4'!$B$4:$AF$104,MATCH($D73,'表30-5-2-5-4'!$4:$4,0)-1,FALSE)*(T73/100-N73/H73)*100
-VLOOKUP($S73,'表30-5-2-5-4'!$B$4:$AF$104,MATCH($D73,'表30-5-2-5-4'!$4:$4,0)-1,FALSE)*(1-(S73/100-M73/H73)*100),
IF(C73="E2",VLOOKUP($T73,'表30-5-2-5-4'!$B$114:$AF$214,MATCH($D73&amp;"a",'表30-5-2-5-4'!$4:$4,0)-1,FALSE)
-IF($S73-1&lt;=0,0,VLOOKUP($S73-1,'表30-5-2-5-4'!$B$114:$AF$214,MATCH($D73&amp;"a",'表30-5-2-5-4'!$4:$4,0)-1,FALSE))
-VLOOKUP($T73,'表30-5-2-5-4'!$B$114:$AF$214,MATCH($D73,'表30-5-2-5-4'!$4:$4,0)-1,FALSE)*(T73/100-N73/H73)*100
-VLOOKUP($S73,'表30-5-2-5-4'!$B$114:$AF$214,MATCH($D73,'表30-5-2-5-4'!$4:$4,0)-1,FALSE)*(1-(S73/100-M73/H73)*100),0))))</f>
        <v>0</v>
      </c>
      <c r="V73" s="2478">
        <f t="shared" si="15"/>
        <v>0</v>
      </c>
      <c r="W73" s="2478">
        <f t="shared" si="16"/>
        <v>0</v>
      </c>
      <c r="X73" s="2718">
        <f t="shared" si="20"/>
        <v>0</v>
      </c>
      <c r="Y73" s="2718">
        <f t="shared" si="21"/>
        <v>0</v>
      </c>
    </row>
    <row r="74" spans="1:25">
      <c r="A74" s="2473" t="str">
        <f t="shared" si="17"/>
        <v/>
      </c>
      <c r="B74" s="2737"/>
      <c r="C74" s="2737"/>
      <c r="D74" s="2737"/>
      <c r="E74" s="2738"/>
      <c r="F74" s="2738"/>
      <c r="G74" s="2738"/>
      <c r="H74" s="2739"/>
      <c r="I74" s="2740"/>
      <c r="J74" s="2740"/>
      <c r="K74" s="2740"/>
      <c r="L74" s="2740"/>
      <c r="M74" s="2738"/>
      <c r="N74" s="2738"/>
      <c r="O74" s="2474">
        <f t="shared" si="11"/>
        <v>0</v>
      </c>
      <c r="P74" s="2474">
        <f t="shared" si="12"/>
        <v>0</v>
      </c>
      <c r="Q74" s="2475">
        <f t="shared" si="18"/>
        <v>0</v>
      </c>
      <c r="R74" s="2475">
        <f t="shared" si="19"/>
        <v>0</v>
      </c>
      <c r="S74" s="2476">
        <f t="shared" si="13"/>
        <v>0</v>
      </c>
      <c r="T74" s="2476">
        <f t="shared" si="14"/>
        <v>0</v>
      </c>
      <c r="U74" s="2477">
        <f>IF(OR(E74="QS",B74=""),0,
IF(C74="F",VLOOKUP($T74,'表30-5-2-5-3'!$B:$AF,MATCH($D74&amp;"a",'表30-5-2-5-3'!$4:$4,0)-1,FALSE)
-IF($S74-1&lt;=0,0,VLOOKUP($S74-1,'表30-5-2-5-3'!$B:$AF,MATCH($D74&amp;"a",'表30-5-2-5-3'!$4:$4,0)-1,FALSE))
-VLOOKUP($T74,'表30-5-2-5-3'!$B:$AF,MATCH($D74,'表30-5-2-5-3'!$4:$4,0)-1,FALSE)*(T74/100-N74/H74)*100
-VLOOKUP($S74,'表30-5-2-5-3'!$B:$AF,MATCH($D74,'表30-5-2-5-3'!$4:$4,0)-1,FALSE)*(1-(S74/100-M74/H74)*100),
IF(C74="E1",VLOOKUP($T74,'表30-5-2-5-4'!$B$4:$AF$104,MATCH($D74&amp;"a",'表30-5-2-5-4'!$4:$4,0)-1,FALSE)
-IF($S74-1&lt;=0,0,VLOOKUP($S74-1,'表30-5-2-5-4'!$B$4:$AF$104,MATCH($D74&amp;"a",'表30-5-2-5-4'!$4:$4,0)-1,FALSE))
-VLOOKUP($T74,'表30-5-2-5-4'!$B$4:$AF$104,MATCH($D74,'表30-5-2-5-4'!$4:$4,0)-1,FALSE)*(T74/100-N74/H74)*100
-VLOOKUP($S74,'表30-5-2-5-4'!$B$4:$AF$104,MATCH($D74,'表30-5-2-5-4'!$4:$4,0)-1,FALSE)*(1-(S74/100-M74/H74)*100),
IF(C74="E2",VLOOKUP($T74,'表30-5-2-5-4'!$B$114:$AF$214,MATCH($D74&amp;"a",'表30-5-2-5-4'!$4:$4,0)-1,FALSE)
-IF($S74-1&lt;=0,0,VLOOKUP($S74-1,'表30-5-2-5-4'!$B$114:$AF$214,MATCH($D74&amp;"a",'表30-5-2-5-4'!$4:$4,0)-1,FALSE))
-VLOOKUP($T74,'表30-5-2-5-4'!$B$114:$AF$214,MATCH($D74,'表30-5-2-5-4'!$4:$4,0)-1,FALSE)*(T74/100-N74/H74)*100
-VLOOKUP($S74,'表30-5-2-5-4'!$B$114:$AF$214,MATCH($D74,'表30-5-2-5-4'!$4:$4,0)-1,FALSE)*(1-(S74/100-M74/H74)*100),0))))</f>
        <v>0</v>
      </c>
      <c r="V74" s="2478">
        <f t="shared" si="15"/>
        <v>0</v>
      </c>
      <c r="W74" s="2478">
        <f t="shared" si="16"/>
        <v>0</v>
      </c>
      <c r="X74" s="2718">
        <f t="shared" si="20"/>
        <v>0</v>
      </c>
      <c r="Y74" s="2718">
        <f t="shared" si="21"/>
        <v>0</v>
      </c>
    </row>
    <row r="75" spans="1:25">
      <c r="A75" s="2473" t="str">
        <f t="shared" si="17"/>
        <v/>
      </c>
      <c r="B75" s="2737"/>
      <c r="C75" s="2737"/>
      <c r="D75" s="2737"/>
      <c r="E75" s="2738"/>
      <c r="F75" s="2738"/>
      <c r="G75" s="2738"/>
      <c r="H75" s="2739"/>
      <c r="I75" s="2740"/>
      <c r="J75" s="2740"/>
      <c r="K75" s="2740"/>
      <c r="L75" s="2740"/>
      <c r="M75" s="2738"/>
      <c r="N75" s="2738"/>
      <c r="O75" s="2474">
        <f t="shared" si="11"/>
        <v>0</v>
      </c>
      <c r="P75" s="2474">
        <f t="shared" si="12"/>
        <v>0</v>
      </c>
      <c r="Q75" s="2475">
        <f t="shared" si="18"/>
        <v>0</v>
      </c>
      <c r="R75" s="2475">
        <f t="shared" si="19"/>
        <v>0</v>
      </c>
      <c r="S75" s="2476">
        <f t="shared" si="13"/>
        <v>0</v>
      </c>
      <c r="T75" s="2476">
        <f t="shared" si="14"/>
        <v>0</v>
      </c>
      <c r="U75" s="2477">
        <f>IF(OR(E75="QS",B75=""),0,
IF(C75="F",VLOOKUP($T75,'表30-5-2-5-3'!$B:$AF,MATCH($D75&amp;"a",'表30-5-2-5-3'!$4:$4,0)-1,FALSE)
-IF($S75-1&lt;=0,0,VLOOKUP($S75-1,'表30-5-2-5-3'!$B:$AF,MATCH($D75&amp;"a",'表30-5-2-5-3'!$4:$4,0)-1,FALSE))
-VLOOKUP($T75,'表30-5-2-5-3'!$B:$AF,MATCH($D75,'表30-5-2-5-3'!$4:$4,0)-1,FALSE)*(T75/100-N75/H75)*100
-VLOOKUP($S75,'表30-5-2-5-3'!$B:$AF,MATCH($D75,'表30-5-2-5-3'!$4:$4,0)-1,FALSE)*(1-(S75/100-M75/H75)*100),
IF(C75="E1",VLOOKUP($T75,'表30-5-2-5-4'!$B$4:$AF$104,MATCH($D75&amp;"a",'表30-5-2-5-4'!$4:$4,0)-1,FALSE)
-IF($S75-1&lt;=0,0,VLOOKUP($S75-1,'表30-5-2-5-4'!$B$4:$AF$104,MATCH($D75&amp;"a",'表30-5-2-5-4'!$4:$4,0)-1,FALSE))
-VLOOKUP($T75,'表30-5-2-5-4'!$B$4:$AF$104,MATCH($D75,'表30-5-2-5-4'!$4:$4,0)-1,FALSE)*(T75/100-N75/H75)*100
-VLOOKUP($S75,'表30-5-2-5-4'!$B$4:$AF$104,MATCH($D75,'表30-5-2-5-4'!$4:$4,0)-1,FALSE)*(1-(S75/100-M75/H75)*100),
IF(C75="E2",VLOOKUP($T75,'表30-5-2-5-4'!$B$114:$AF$214,MATCH($D75&amp;"a",'表30-5-2-5-4'!$4:$4,0)-1,FALSE)
-IF($S75-1&lt;=0,0,VLOOKUP($S75-1,'表30-5-2-5-4'!$B$114:$AF$214,MATCH($D75&amp;"a",'表30-5-2-5-4'!$4:$4,0)-1,FALSE))
-VLOOKUP($T75,'表30-5-2-5-4'!$B$114:$AF$214,MATCH($D75,'表30-5-2-5-4'!$4:$4,0)-1,FALSE)*(T75/100-N75/H75)*100
-VLOOKUP($S75,'表30-5-2-5-4'!$B$114:$AF$214,MATCH($D75,'表30-5-2-5-4'!$4:$4,0)-1,FALSE)*(1-(S75/100-M75/H75)*100),0))))</f>
        <v>0</v>
      </c>
      <c r="V75" s="2478">
        <f t="shared" si="15"/>
        <v>0</v>
      </c>
      <c r="W75" s="2478">
        <f t="shared" si="16"/>
        <v>0</v>
      </c>
      <c r="X75" s="2718">
        <f t="shared" si="20"/>
        <v>0</v>
      </c>
      <c r="Y75" s="2718">
        <f t="shared" si="21"/>
        <v>0</v>
      </c>
    </row>
    <row r="76" spans="1:25">
      <c r="A76" s="2473" t="str">
        <f t="shared" si="17"/>
        <v/>
      </c>
      <c r="B76" s="2737"/>
      <c r="C76" s="2737"/>
      <c r="D76" s="2737"/>
      <c r="E76" s="2738"/>
      <c r="F76" s="2738"/>
      <c r="G76" s="2738"/>
      <c r="H76" s="2739"/>
      <c r="I76" s="2740"/>
      <c r="J76" s="2740"/>
      <c r="K76" s="2740"/>
      <c r="L76" s="2740"/>
      <c r="M76" s="2738"/>
      <c r="N76" s="2738"/>
      <c r="O76" s="2474">
        <f t="shared" si="11"/>
        <v>0</v>
      </c>
      <c r="P76" s="2474">
        <f t="shared" si="12"/>
        <v>0</v>
      </c>
      <c r="Q76" s="2475">
        <f t="shared" si="18"/>
        <v>0</v>
      </c>
      <c r="R76" s="2475">
        <f t="shared" si="19"/>
        <v>0</v>
      </c>
      <c r="S76" s="2476">
        <f t="shared" si="13"/>
        <v>0</v>
      </c>
      <c r="T76" s="2476">
        <f t="shared" si="14"/>
        <v>0</v>
      </c>
      <c r="U76" s="2477">
        <f>IF(OR(E76="QS",B76=""),0,
IF(C76="F",VLOOKUP($T76,'表30-5-2-5-3'!$B:$AF,MATCH($D76&amp;"a",'表30-5-2-5-3'!$4:$4,0)-1,FALSE)
-IF($S76-1&lt;=0,0,VLOOKUP($S76-1,'表30-5-2-5-3'!$B:$AF,MATCH($D76&amp;"a",'表30-5-2-5-3'!$4:$4,0)-1,FALSE))
-VLOOKUP($T76,'表30-5-2-5-3'!$B:$AF,MATCH($D76,'表30-5-2-5-3'!$4:$4,0)-1,FALSE)*(T76/100-N76/H76)*100
-VLOOKUP($S76,'表30-5-2-5-3'!$B:$AF,MATCH($D76,'表30-5-2-5-3'!$4:$4,0)-1,FALSE)*(1-(S76/100-M76/H76)*100),
IF(C76="E1",VLOOKUP($T76,'表30-5-2-5-4'!$B$4:$AF$104,MATCH($D76&amp;"a",'表30-5-2-5-4'!$4:$4,0)-1,FALSE)
-IF($S76-1&lt;=0,0,VLOOKUP($S76-1,'表30-5-2-5-4'!$B$4:$AF$104,MATCH($D76&amp;"a",'表30-5-2-5-4'!$4:$4,0)-1,FALSE))
-VLOOKUP($T76,'表30-5-2-5-4'!$B$4:$AF$104,MATCH($D76,'表30-5-2-5-4'!$4:$4,0)-1,FALSE)*(T76/100-N76/H76)*100
-VLOOKUP($S76,'表30-5-2-5-4'!$B$4:$AF$104,MATCH($D76,'表30-5-2-5-4'!$4:$4,0)-1,FALSE)*(1-(S76/100-M76/H76)*100),
IF(C76="E2",VLOOKUP($T76,'表30-5-2-5-4'!$B$114:$AF$214,MATCH($D76&amp;"a",'表30-5-2-5-4'!$4:$4,0)-1,FALSE)
-IF($S76-1&lt;=0,0,VLOOKUP($S76-1,'表30-5-2-5-4'!$B$114:$AF$214,MATCH($D76&amp;"a",'表30-5-2-5-4'!$4:$4,0)-1,FALSE))
-VLOOKUP($T76,'表30-5-2-5-4'!$B$114:$AF$214,MATCH($D76,'表30-5-2-5-4'!$4:$4,0)-1,FALSE)*(T76/100-N76/H76)*100
-VLOOKUP($S76,'表30-5-2-5-4'!$B$114:$AF$214,MATCH($D76,'表30-5-2-5-4'!$4:$4,0)-1,FALSE)*(1-(S76/100-M76/H76)*100),0))))</f>
        <v>0</v>
      </c>
      <c r="V76" s="2478">
        <f t="shared" si="15"/>
        <v>0</v>
      </c>
      <c r="W76" s="2478">
        <f t="shared" si="16"/>
        <v>0</v>
      </c>
      <c r="X76" s="2718">
        <f t="shared" si="20"/>
        <v>0</v>
      </c>
      <c r="Y76" s="2718">
        <f t="shared" si="21"/>
        <v>0</v>
      </c>
    </row>
    <row r="77" spans="1:25">
      <c r="A77" s="2473" t="str">
        <f t="shared" si="17"/>
        <v/>
      </c>
      <c r="B77" s="2737"/>
      <c r="C77" s="2737"/>
      <c r="D77" s="2737"/>
      <c r="E77" s="2738"/>
      <c r="F77" s="2738"/>
      <c r="G77" s="2738"/>
      <c r="H77" s="2739"/>
      <c r="I77" s="2740"/>
      <c r="J77" s="2740"/>
      <c r="K77" s="2740"/>
      <c r="L77" s="2740"/>
      <c r="M77" s="2738"/>
      <c r="N77" s="2738"/>
      <c r="O77" s="2474">
        <f t="shared" si="11"/>
        <v>0</v>
      </c>
      <c r="P77" s="2474">
        <f t="shared" si="12"/>
        <v>0</v>
      </c>
      <c r="Q77" s="2475">
        <f t="shared" si="18"/>
        <v>0</v>
      </c>
      <c r="R77" s="2475">
        <f t="shared" si="19"/>
        <v>0</v>
      </c>
      <c r="S77" s="2476">
        <f t="shared" si="13"/>
        <v>0</v>
      </c>
      <c r="T77" s="2476">
        <f t="shared" si="14"/>
        <v>0</v>
      </c>
      <c r="U77" s="2477">
        <f>IF(OR(E77="QS",B77=""),0,
IF(C77="F",VLOOKUP($T77,'表30-5-2-5-3'!$B:$AF,MATCH($D77&amp;"a",'表30-5-2-5-3'!$4:$4,0)-1,FALSE)
-IF($S77-1&lt;=0,0,VLOOKUP($S77-1,'表30-5-2-5-3'!$B:$AF,MATCH($D77&amp;"a",'表30-5-2-5-3'!$4:$4,0)-1,FALSE))
-VLOOKUP($T77,'表30-5-2-5-3'!$B:$AF,MATCH($D77,'表30-5-2-5-3'!$4:$4,0)-1,FALSE)*(T77/100-N77/H77)*100
-VLOOKUP($S77,'表30-5-2-5-3'!$B:$AF,MATCH($D77,'表30-5-2-5-3'!$4:$4,0)-1,FALSE)*(1-(S77/100-M77/H77)*100),
IF(C77="E1",VLOOKUP($T77,'表30-5-2-5-4'!$B$4:$AF$104,MATCH($D77&amp;"a",'表30-5-2-5-4'!$4:$4,0)-1,FALSE)
-IF($S77-1&lt;=0,0,VLOOKUP($S77-1,'表30-5-2-5-4'!$B$4:$AF$104,MATCH($D77&amp;"a",'表30-5-2-5-4'!$4:$4,0)-1,FALSE))
-VLOOKUP($T77,'表30-5-2-5-4'!$B$4:$AF$104,MATCH($D77,'表30-5-2-5-4'!$4:$4,0)-1,FALSE)*(T77/100-N77/H77)*100
-VLOOKUP($S77,'表30-5-2-5-4'!$B$4:$AF$104,MATCH($D77,'表30-5-2-5-4'!$4:$4,0)-1,FALSE)*(1-(S77/100-M77/H77)*100),
IF(C77="E2",VLOOKUP($T77,'表30-5-2-5-4'!$B$114:$AF$214,MATCH($D77&amp;"a",'表30-5-2-5-4'!$4:$4,0)-1,FALSE)
-IF($S77-1&lt;=0,0,VLOOKUP($S77-1,'表30-5-2-5-4'!$B$114:$AF$214,MATCH($D77&amp;"a",'表30-5-2-5-4'!$4:$4,0)-1,FALSE))
-VLOOKUP($T77,'表30-5-2-5-4'!$B$114:$AF$214,MATCH($D77,'表30-5-2-5-4'!$4:$4,0)-1,FALSE)*(T77/100-N77/H77)*100
-VLOOKUP($S77,'表30-5-2-5-4'!$B$114:$AF$214,MATCH($D77,'表30-5-2-5-4'!$4:$4,0)-1,FALSE)*(1-(S77/100-M77/H77)*100),0))))</f>
        <v>0</v>
      </c>
      <c r="V77" s="2478">
        <f t="shared" si="15"/>
        <v>0</v>
      </c>
      <c r="W77" s="2478">
        <f t="shared" si="16"/>
        <v>0</v>
      </c>
      <c r="X77" s="2718">
        <f t="shared" si="20"/>
        <v>0</v>
      </c>
      <c r="Y77" s="2718">
        <f t="shared" si="21"/>
        <v>0</v>
      </c>
    </row>
    <row r="78" spans="1:25">
      <c r="A78" s="2473" t="str">
        <f t="shared" si="17"/>
        <v/>
      </c>
      <c r="B78" s="2737"/>
      <c r="C78" s="2737"/>
      <c r="D78" s="2737"/>
      <c r="E78" s="2738"/>
      <c r="F78" s="2738"/>
      <c r="G78" s="2738"/>
      <c r="H78" s="2739"/>
      <c r="I78" s="2740"/>
      <c r="J78" s="2740"/>
      <c r="K78" s="2740"/>
      <c r="L78" s="2740"/>
      <c r="M78" s="2738"/>
      <c r="N78" s="2738"/>
      <c r="O78" s="2474">
        <f t="shared" si="11"/>
        <v>0</v>
      </c>
      <c r="P78" s="2474">
        <f t="shared" si="12"/>
        <v>0</v>
      </c>
      <c r="Q78" s="2475">
        <f t="shared" si="18"/>
        <v>0</v>
      </c>
      <c r="R78" s="2475">
        <f t="shared" si="19"/>
        <v>0</v>
      </c>
      <c r="S78" s="2476">
        <f t="shared" si="13"/>
        <v>0</v>
      </c>
      <c r="T78" s="2476">
        <f t="shared" si="14"/>
        <v>0</v>
      </c>
      <c r="U78" s="2477">
        <f>IF(OR(E78="QS",B78=""),0,
IF(C78="F",VLOOKUP($T78,'表30-5-2-5-3'!$B:$AF,MATCH($D78&amp;"a",'表30-5-2-5-3'!$4:$4,0)-1,FALSE)
-IF($S78-1&lt;=0,0,VLOOKUP($S78-1,'表30-5-2-5-3'!$B:$AF,MATCH($D78&amp;"a",'表30-5-2-5-3'!$4:$4,0)-1,FALSE))
-VLOOKUP($T78,'表30-5-2-5-3'!$B:$AF,MATCH($D78,'表30-5-2-5-3'!$4:$4,0)-1,FALSE)*(T78/100-N78/H78)*100
-VLOOKUP($S78,'表30-5-2-5-3'!$B:$AF,MATCH($D78,'表30-5-2-5-3'!$4:$4,0)-1,FALSE)*(1-(S78/100-M78/H78)*100),
IF(C78="E1",VLOOKUP($T78,'表30-5-2-5-4'!$B$4:$AF$104,MATCH($D78&amp;"a",'表30-5-2-5-4'!$4:$4,0)-1,FALSE)
-IF($S78-1&lt;=0,0,VLOOKUP($S78-1,'表30-5-2-5-4'!$B$4:$AF$104,MATCH($D78&amp;"a",'表30-5-2-5-4'!$4:$4,0)-1,FALSE))
-VLOOKUP($T78,'表30-5-2-5-4'!$B$4:$AF$104,MATCH($D78,'表30-5-2-5-4'!$4:$4,0)-1,FALSE)*(T78/100-N78/H78)*100
-VLOOKUP($S78,'表30-5-2-5-4'!$B$4:$AF$104,MATCH($D78,'表30-5-2-5-4'!$4:$4,0)-1,FALSE)*(1-(S78/100-M78/H78)*100),
IF(C78="E2",VLOOKUP($T78,'表30-5-2-5-4'!$B$114:$AF$214,MATCH($D78&amp;"a",'表30-5-2-5-4'!$4:$4,0)-1,FALSE)
-IF($S78-1&lt;=0,0,VLOOKUP($S78-1,'表30-5-2-5-4'!$B$114:$AF$214,MATCH($D78&amp;"a",'表30-5-2-5-4'!$4:$4,0)-1,FALSE))
-VLOOKUP($T78,'表30-5-2-5-4'!$B$114:$AF$214,MATCH($D78,'表30-5-2-5-4'!$4:$4,0)-1,FALSE)*(T78/100-N78/H78)*100
-VLOOKUP($S78,'表30-5-2-5-4'!$B$114:$AF$214,MATCH($D78,'表30-5-2-5-4'!$4:$4,0)-1,FALSE)*(1-(S78/100-M78/H78)*100),0))))</f>
        <v>0</v>
      </c>
      <c r="V78" s="2478">
        <f t="shared" si="15"/>
        <v>0</v>
      </c>
      <c r="W78" s="2478">
        <f t="shared" si="16"/>
        <v>0</v>
      </c>
      <c r="X78" s="2718">
        <f t="shared" si="20"/>
        <v>0</v>
      </c>
      <c r="Y78" s="2718">
        <f t="shared" si="21"/>
        <v>0</v>
      </c>
    </row>
    <row r="79" spans="1:25">
      <c r="A79" s="2473" t="str">
        <f t="shared" si="17"/>
        <v/>
      </c>
      <c r="B79" s="2737"/>
      <c r="C79" s="2737"/>
      <c r="D79" s="2737"/>
      <c r="E79" s="2738"/>
      <c r="F79" s="2738"/>
      <c r="G79" s="2738"/>
      <c r="H79" s="2739"/>
      <c r="I79" s="2740"/>
      <c r="J79" s="2740"/>
      <c r="K79" s="2740"/>
      <c r="L79" s="2740"/>
      <c r="M79" s="2738"/>
      <c r="N79" s="2738"/>
      <c r="O79" s="2474">
        <f t="shared" si="11"/>
        <v>0</v>
      </c>
      <c r="P79" s="2474">
        <f t="shared" si="12"/>
        <v>0</v>
      </c>
      <c r="Q79" s="2475">
        <f t="shared" si="18"/>
        <v>0</v>
      </c>
      <c r="R79" s="2475">
        <f t="shared" si="19"/>
        <v>0</v>
      </c>
      <c r="S79" s="2476">
        <f t="shared" si="13"/>
        <v>0</v>
      </c>
      <c r="T79" s="2476">
        <f t="shared" si="14"/>
        <v>0</v>
      </c>
      <c r="U79" s="2477">
        <f>IF(OR(E79="QS",B79=""),0,
IF(C79="F",VLOOKUP($T79,'表30-5-2-5-3'!$B:$AF,MATCH($D79&amp;"a",'表30-5-2-5-3'!$4:$4,0)-1,FALSE)
-IF($S79-1&lt;=0,0,VLOOKUP($S79-1,'表30-5-2-5-3'!$B:$AF,MATCH($D79&amp;"a",'表30-5-2-5-3'!$4:$4,0)-1,FALSE))
-VLOOKUP($T79,'表30-5-2-5-3'!$B:$AF,MATCH($D79,'表30-5-2-5-3'!$4:$4,0)-1,FALSE)*(T79/100-N79/H79)*100
-VLOOKUP($S79,'表30-5-2-5-3'!$B:$AF,MATCH($D79,'表30-5-2-5-3'!$4:$4,0)-1,FALSE)*(1-(S79/100-M79/H79)*100),
IF(C79="E1",VLOOKUP($T79,'表30-5-2-5-4'!$B$4:$AF$104,MATCH($D79&amp;"a",'表30-5-2-5-4'!$4:$4,0)-1,FALSE)
-IF($S79-1&lt;=0,0,VLOOKUP($S79-1,'表30-5-2-5-4'!$B$4:$AF$104,MATCH($D79&amp;"a",'表30-5-2-5-4'!$4:$4,0)-1,FALSE))
-VLOOKUP($T79,'表30-5-2-5-4'!$B$4:$AF$104,MATCH($D79,'表30-5-2-5-4'!$4:$4,0)-1,FALSE)*(T79/100-N79/H79)*100
-VLOOKUP($S79,'表30-5-2-5-4'!$B$4:$AF$104,MATCH($D79,'表30-5-2-5-4'!$4:$4,0)-1,FALSE)*(1-(S79/100-M79/H79)*100),
IF(C79="E2",VLOOKUP($T79,'表30-5-2-5-4'!$B$114:$AF$214,MATCH($D79&amp;"a",'表30-5-2-5-4'!$4:$4,0)-1,FALSE)
-IF($S79-1&lt;=0,0,VLOOKUP($S79-1,'表30-5-2-5-4'!$B$114:$AF$214,MATCH($D79&amp;"a",'表30-5-2-5-4'!$4:$4,0)-1,FALSE))
-VLOOKUP($T79,'表30-5-2-5-4'!$B$114:$AF$214,MATCH($D79,'表30-5-2-5-4'!$4:$4,0)-1,FALSE)*(T79/100-N79/H79)*100
-VLOOKUP($S79,'表30-5-2-5-4'!$B$114:$AF$214,MATCH($D79,'表30-5-2-5-4'!$4:$4,0)-1,FALSE)*(1-(S79/100-M79/H79)*100),0))))</f>
        <v>0</v>
      </c>
      <c r="V79" s="2478">
        <f t="shared" si="15"/>
        <v>0</v>
      </c>
      <c r="W79" s="2478">
        <f t="shared" si="16"/>
        <v>0</v>
      </c>
      <c r="X79" s="2718">
        <f t="shared" si="20"/>
        <v>0</v>
      </c>
      <c r="Y79" s="2718">
        <f t="shared" si="21"/>
        <v>0</v>
      </c>
    </row>
    <row r="80" spans="1:25">
      <c r="A80" s="2473" t="str">
        <f t="shared" si="17"/>
        <v/>
      </c>
      <c r="B80" s="2737"/>
      <c r="C80" s="2737"/>
      <c r="D80" s="2737"/>
      <c r="E80" s="2738"/>
      <c r="F80" s="2738"/>
      <c r="G80" s="2738"/>
      <c r="H80" s="2739"/>
      <c r="I80" s="2740"/>
      <c r="J80" s="2740"/>
      <c r="K80" s="2740"/>
      <c r="L80" s="2740"/>
      <c r="M80" s="2738"/>
      <c r="N80" s="2738"/>
      <c r="O80" s="2474">
        <f t="shared" si="11"/>
        <v>0</v>
      </c>
      <c r="P80" s="2474">
        <f t="shared" si="12"/>
        <v>0</v>
      </c>
      <c r="Q80" s="2475">
        <f t="shared" si="18"/>
        <v>0</v>
      </c>
      <c r="R80" s="2475">
        <f t="shared" si="19"/>
        <v>0</v>
      </c>
      <c r="S80" s="2476">
        <f t="shared" si="13"/>
        <v>0</v>
      </c>
      <c r="T80" s="2476">
        <f t="shared" si="14"/>
        <v>0</v>
      </c>
      <c r="U80" s="2477">
        <f>IF(OR(E80="QS",B80=""),0,
IF(C80="F",VLOOKUP($T80,'表30-5-2-5-3'!$B:$AF,MATCH($D80&amp;"a",'表30-5-2-5-3'!$4:$4,0)-1,FALSE)
-IF($S80-1&lt;=0,0,VLOOKUP($S80-1,'表30-5-2-5-3'!$B:$AF,MATCH($D80&amp;"a",'表30-5-2-5-3'!$4:$4,0)-1,FALSE))
-VLOOKUP($T80,'表30-5-2-5-3'!$B:$AF,MATCH($D80,'表30-5-2-5-3'!$4:$4,0)-1,FALSE)*(T80/100-N80/H80)*100
-VLOOKUP($S80,'表30-5-2-5-3'!$B:$AF,MATCH($D80,'表30-5-2-5-3'!$4:$4,0)-1,FALSE)*(1-(S80/100-M80/H80)*100),
IF(C80="E1",VLOOKUP($T80,'表30-5-2-5-4'!$B$4:$AF$104,MATCH($D80&amp;"a",'表30-5-2-5-4'!$4:$4,0)-1,FALSE)
-IF($S80-1&lt;=0,0,VLOOKUP($S80-1,'表30-5-2-5-4'!$B$4:$AF$104,MATCH($D80&amp;"a",'表30-5-2-5-4'!$4:$4,0)-1,FALSE))
-VLOOKUP($T80,'表30-5-2-5-4'!$B$4:$AF$104,MATCH($D80,'表30-5-2-5-4'!$4:$4,0)-1,FALSE)*(T80/100-N80/H80)*100
-VLOOKUP($S80,'表30-5-2-5-4'!$B$4:$AF$104,MATCH($D80,'表30-5-2-5-4'!$4:$4,0)-1,FALSE)*(1-(S80/100-M80/H80)*100),
IF(C80="E2",VLOOKUP($T80,'表30-5-2-5-4'!$B$114:$AF$214,MATCH($D80&amp;"a",'表30-5-2-5-4'!$4:$4,0)-1,FALSE)
-IF($S80-1&lt;=0,0,VLOOKUP($S80-1,'表30-5-2-5-4'!$B$114:$AF$214,MATCH($D80&amp;"a",'表30-5-2-5-4'!$4:$4,0)-1,FALSE))
-VLOOKUP($T80,'表30-5-2-5-4'!$B$114:$AF$214,MATCH($D80,'表30-5-2-5-4'!$4:$4,0)-1,FALSE)*(T80/100-N80/H80)*100
-VLOOKUP($S80,'表30-5-2-5-4'!$B$114:$AF$214,MATCH($D80,'表30-5-2-5-4'!$4:$4,0)-1,FALSE)*(1-(S80/100-M80/H80)*100),0))))</f>
        <v>0</v>
      </c>
      <c r="V80" s="2478">
        <f t="shared" si="15"/>
        <v>0</v>
      </c>
      <c r="W80" s="2478">
        <f t="shared" si="16"/>
        <v>0</v>
      </c>
      <c r="X80" s="2718">
        <f t="shared" si="20"/>
        <v>0</v>
      </c>
      <c r="Y80" s="2718">
        <f t="shared" si="21"/>
        <v>0</v>
      </c>
    </row>
    <row r="81" spans="1:25">
      <c r="A81" s="2473" t="str">
        <f t="shared" si="17"/>
        <v/>
      </c>
      <c r="B81" s="2737"/>
      <c r="C81" s="2737"/>
      <c r="D81" s="2737"/>
      <c r="E81" s="2738"/>
      <c r="F81" s="2738"/>
      <c r="G81" s="2738"/>
      <c r="H81" s="2739"/>
      <c r="I81" s="2740"/>
      <c r="J81" s="2740"/>
      <c r="K81" s="2740"/>
      <c r="L81" s="2740"/>
      <c r="M81" s="2738"/>
      <c r="N81" s="2738"/>
      <c r="O81" s="2474">
        <f t="shared" si="11"/>
        <v>0</v>
      </c>
      <c r="P81" s="2474">
        <f t="shared" si="12"/>
        <v>0</v>
      </c>
      <c r="Q81" s="2475">
        <f t="shared" si="18"/>
        <v>0</v>
      </c>
      <c r="R81" s="2475">
        <f t="shared" si="19"/>
        <v>0</v>
      </c>
      <c r="S81" s="2476">
        <f t="shared" si="13"/>
        <v>0</v>
      </c>
      <c r="T81" s="2476">
        <f t="shared" si="14"/>
        <v>0</v>
      </c>
      <c r="U81" s="2477">
        <f>IF(OR(E81="QS",B81=""),0,
IF(C81="F",VLOOKUP($T81,'表30-5-2-5-3'!$B:$AF,MATCH($D81&amp;"a",'表30-5-2-5-3'!$4:$4,0)-1,FALSE)
-IF($S81-1&lt;=0,0,VLOOKUP($S81-1,'表30-5-2-5-3'!$B:$AF,MATCH($D81&amp;"a",'表30-5-2-5-3'!$4:$4,0)-1,FALSE))
-VLOOKUP($T81,'表30-5-2-5-3'!$B:$AF,MATCH($D81,'表30-5-2-5-3'!$4:$4,0)-1,FALSE)*(T81/100-N81/H81)*100
-VLOOKUP($S81,'表30-5-2-5-3'!$B:$AF,MATCH($D81,'表30-5-2-5-3'!$4:$4,0)-1,FALSE)*(1-(S81/100-M81/H81)*100),
IF(C81="E1",VLOOKUP($T81,'表30-5-2-5-4'!$B$4:$AF$104,MATCH($D81&amp;"a",'表30-5-2-5-4'!$4:$4,0)-1,FALSE)
-IF($S81-1&lt;=0,0,VLOOKUP($S81-1,'表30-5-2-5-4'!$B$4:$AF$104,MATCH($D81&amp;"a",'表30-5-2-5-4'!$4:$4,0)-1,FALSE))
-VLOOKUP($T81,'表30-5-2-5-4'!$B$4:$AF$104,MATCH($D81,'表30-5-2-5-4'!$4:$4,0)-1,FALSE)*(T81/100-N81/H81)*100
-VLOOKUP($S81,'表30-5-2-5-4'!$B$4:$AF$104,MATCH($D81,'表30-5-2-5-4'!$4:$4,0)-1,FALSE)*(1-(S81/100-M81/H81)*100),
IF(C81="E2",VLOOKUP($T81,'表30-5-2-5-4'!$B$114:$AF$214,MATCH($D81&amp;"a",'表30-5-2-5-4'!$4:$4,0)-1,FALSE)
-IF($S81-1&lt;=0,0,VLOOKUP($S81-1,'表30-5-2-5-4'!$B$114:$AF$214,MATCH($D81&amp;"a",'表30-5-2-5-4'!$4:$4,0)-1,FALSE))
-VLOOKUP($T81,'表30-5-2-5-4'!$B$114:$AF$214,MATCH($D81,'表30-5-2-5-4'!$4:$4,0)-1,FALSE)*(T81/100-N81/H81)*100
-VLOOKUP($S81,'表30-5-2-5-4'!$B$114:$AF$214,MATCH($D81,'表30-5-2-5-4'!$4:$4,0)-1,FALSE)*(1-(S81/100-M81/H81)*100),0))))</f>
        <v>0</v>
      </c>
      <c r="V81" s="2478">
        <f t="shared" si="15"/>
        <v>0</v>
      </c>
      <c r="W81" s="2478">
        <f t="shared" si="16"/>
        <v>0</v>
      </c>
      <c r="X81" s="2718">
        <f t="shared" si="20"/>
        <v>0</v>
      </c>
      <c r="Y81" s="2718">
        <f t="shared" si="21"/>
        <v>0</v>
      </c>
    </row>
    <row r="82" spans="1:25">
      <c r="A82" s="2473" t="str">
        <f t="shared" si="17"/>
        <v/>
      </c>
      <c r="B82" s="2737"/>
      <c r="C82" s="2737"/>
      <c r="D82" s="2737"/>
      <c r="E82" s="2738"/>
      <c r="F82" s="2738"/>
      <c r="G82" s="2738"/>
      <c r="H82" s="2739"/>
      <c r="I82" s="2740"/>
      <c r="J82" s="2740"/>
      <c r="K82" s="2740"/>
      <c r="L82" s="2740"/>
      <c r="M82" s="2738"/>
      <c r="N82" s="2738"/>
      <c r="O82" s="2474">
        <f t="shared" si="11"/>
        <v>0</v>
      </c>
      <c r="P82" s="2474">
        <f t="shared" si="12"/>
        <v>0</v>
      </c>
      <c r="Q82" s="2475">
        <f t="shared" si="18"/>
        <v>0</v>
      </c>
      <c r="R82" s="2475">
        <f t="shared" si="19"/>
        <v>0</v>
      </c>
      <c r="S82" s="2476">
        <f t="shared" si="13"/>
        <v>0</v>
      </c>
      <c r="T82" s="2476">
        <f t="shared" si="14"/>
        <v>0</v>
      </c>
      <c r="U82" s="2477">
        <f>IF(OR(E82="QS",B82=""),0,
IF(C82="F",VLOOKUP($T82,'表30-5-2-5-3'!$B:$AF,MATCH($D82&amp;"a",'表30-5-2-5-3'!$4:$4,0)-1,FALSE)
-IF($S82-1&lt;=0,0,VLOOKUP($S82-1,'表30-5-2-5-3'!$B:$AF,MATCH($D82&amp;"a",'表30-5-2-5-3'!$4:$4,0)-1,FALSE))
-VLOOKUP($T82,'表30-5-2-5-3'!$B:$AF,MATCH($D82,'表30-5-2-5-3'!$4:$4,0)-1,FALSE)*(T82/100-N82/H82)*100
-VLOOKUP($S82,'表30-5-2-5-3'!$B:$AF,MATCH($D82,'表30-5-2-5-3'!$4:$4,0)-1,FALSE)*(1-(S82/100-M82/H82)*100),
IF(C82="E1",VLOOKUP($T82,'表30-5-2-5-4'!$B$4:$AF$104,MATCH($D82&amp;"a",'表30-5-2-5-4'!$4:$4,0)-1,FALSE)
-IF($S82-1&lt;=0,0,VLOOKUP($S82-1,'表30-5-2-5-4'!$B$4:$AF$104,MATCH($D82&amp;"a",'表30-5-2-5-4'!$4:$4,0)-1,FALSE))
-VLOOKUP($T82,'表30-5-2-5-4'!$B$4:$AF$104,MATCH($D82,'表30-5-2-5-4'!$4:$4,0)-1,FALSE)*(T82/100-N82/H82)*100
-VLOOKUP($S82,'表30-5-2-5-4'!$B$4:$AF$104,MATCH($D82,'表30-5-2-5-4'!$4:$4,0)-1,FALSE)*(1-(S82/100-M82/H82)*100),
IF(C82="E2",VLOOKUP($T82,'表30-5-2-5-4'!$B$114:$AF$214,MATCH($D82&amp;"a",'表30-5-2-5-4'!$4:$4,0)-1,FALSE)
-IF($S82-1&lt;=0,0,VLOOKUP($S82-1,'表30-5-2-5-4'!$B$114:$AF$214,MATCH($D82&amp;"a",'表30-5-2-5-4'!$4:$4,0)-1,FALSE))
-VLOOKUP($T82,'表30-5-2-5-4'!$B$114:$AF$214,MATCH($D82,'表30-5-2-5-4'!$4:$4,0)-1,FALSE)*(T82/100-N82/H82)*100
-VLOOKUP($S82,'表30-5-2-5-4'!$B$114:$AF$214,MATCH($D82,'表30-5-2-5-4'!$4:$4,0)-1,FALSE)*(1-(S82/100-M82/H82)*100),0))))</f>
        <v>0</v>
      </c>
      <c r="V82" s="2478">
        <f t="shared" si="15"/>
        <v>0</v>
      </c>
      <c r="W82" s="2478">
        <f t="shared" si="16"/>
        <v>0</v>
      </c>
      <c r="X82" s="2718">
        <f t="shared" si="20"/>
        <v>0</v>
      </c>
      <c r="Y82" s="2718">
        <f t="shared" si="21"/>
        <v>0</v>
      </c>
    </row>
    <row r="83" spans="1:25">
      <c r="A83" s="2473" t="str">
        <f t="shared" si="17"/>
        <v/>
      </c>
      <c r="B83" s="2737"/>
      <c r="C83" s="2737"/>
      <c r="D83" s="2737"/>
      <c r="E83" s="2738"/>
      <c r="F83" s="2738"/>
      <c r="G83" s="2738"/>
      <c r="H83" s="2739"/>
      <c r="I83" s="2740"/>
      <c r="J83" s="2740"/>
      <c r="K83" s="2740"/>
      <c r="L83" s="2740"/>
      <c r="M83" s="2738"/>
      <c r="N83" s="2738"/>
      <c r="O83" s="2474">
        <f t="shared" si="11"/>
        <v>0</v>
      </c>
      <c r="P83" s="2474">
        <f t="shared" si="12"/>
        <v>0</v>
      </c>
      <c r="Q83" s="2475">
        <f t="shared" si="18"/>
        <v>0</v>
      </c>
      <c r="R83" s="2475">
        <f t="shared" si="19"/>
        <v>0</v>
      </c>
      <c r="S83" s="2476">
        <f t="shared" si="13"/>
        <v>0</v>
      </c>
      <c r="T83" s="2476">
        <f t="shared" si="14"/>
        <v>0</v>
      </c>
      <c r="U83" s="2477">
        <f>IF(OR(E83="QS",B83=""),0,
IF(C83="F",VLOOKUP($T83,'表30-5-2-5-3'!$B:$AF,MATCH($D83&amp;"a",'表30-5-2-5-3'!$4:$4,0)-1,FALSE)
-IF($S83-1&lt;=0,0,VLOOKUP($S83-1,'表30-5-2-5-3'!$B:$AF,MATCH($D83&amp;"a",'表30-5-2-5-3'!$4:$4,0)-1,FALSE))
-VLOOKUP($T83,'表30-5-2-5-3'!$B:$AF,MATCH($D83,'表30-5-2-5-3'!$4:$4,0)-1,FALSE)*(T83/100-N83/H83)*100
-VLOOKUP($S83,'表30-5-2-5-3'!$B:$AF,MATCH($D83,'表30-5-2-5-3'!$4:$4,0)-1,FALSE)*(1-(S83/100-M83/H83)*100),
IF(C83="E1",VLOOKUP($T83,'表30-5-2-5-4'!$B$4:$AF$104,MATCH($D83&amp;"a",'表30-5-2-5-4'!$4:$4,0)-1,FALSE)
-IF($S83-1&lt;=0,0,VLOOKUP($S83-1,'表30-5-2-5-4'!$B$4:$AF$104,MATCH($D83&amp;"a",'表30-5-2-5-4'!$4:$4,0)-1,FALSE))
-VLOOKUP($T83,'表30-5-2-5-4'!$B$4:$AF$104,MATCH($D83,'表30-5-2-5-4'!$4:$4,0)-1,FALSE)*(T83/100-N83/H83)*100
-VLOOKUP($S83,'表30-5-2-5-4'!$B$4:$AF$104,MATCH($D83,'表30-5-2-5-4'!$4:$4,0)-1,FALSE)*(1-(S83/100-M83/H83)*100),
IF(C83="E2",VLOOKUP($T83,'表30-5-2-5-4'!$B$114:$AF$214,MATCH($D83&amp;"a",'表30-5-2-5-4'!$4:$4,0)-1,FALSE)
-IF($S83-1&lt;=0,0,VLOOKUP($S83-1,'表30-5-2-5-4'!$B$114:$AF$214,MATCH($D83&amp;"a",'表30-5-2-5-4'!$4:$4,0)-1,FALSE))
-VLOOKUP($T83,'表30-5-2-5-4'!$B$114:$AF$214,MATCH($D83,'表30-5-2-5-4'!$4:$4,0)-1,FALSE)*(T83/100-N83/H83)*100
-VLOOKUP($S83,'表30-5-2-5-4'!$B$114:$AF$214,MATCH($D83,'表30-5-2-5-4'!$4:$4,0)-1,FALSE)*(1-(S83/100-M83/H83)*100),0))))</f>
        <v>0</v>
      </c>
      <c r="V83" s="2478">
        <f t="shared" si="15"/>
        <v>0</v>
      </c>
      <c r="W83" s="2478">
        <f t="shared" si="16"/>
        <v>0</v>
      </c>
      <c r="X83" s="2718">
        <f t="shared" si="20"/>
        <v>0</v>
      </c>
      <c r="Y83" s="2718">
        <f t="shared" si="21"/>
        <v>0</v>
      </c>
    </row>
    <row r="84" spans="1:25">
      <c r="A84" s="2473" t="str">
        <f t="shared" si="17"/>
        <v/>
      </c>
      <c r="B84" s="2737"/>
      <c r="C84" s="2737"/>
      <c r="D84" s="2737"/>
      <c r="E84" s="2738"/>
      <c r="F84" s="2738"/>
      <c r="G84" s="2738"/>
      <c r="H84" s="2739"/>
      <c r="I84" s="2740"/>
      <c r="J84" s="2740"/>
      <c r="K84" s="2740"/>
      <c r="L84" s="2740"/>
      <c r="M84" s="2738"/>
      <c r="N84" s="2738"/>
      <c r="O84" s="2474">
        <f t="shared" si="11"/>
        <v>0</v>
      </c>
      <c r="P84" s="2474">
        <f t="shared" si="12"/>
        <v>0</v>
      </c>
      <c r="Q84" s="2475">
        <f t="shared" si="18"/>
        <v>0</v>
      </c>
      <c r="R84" s="2475">
        <f t="shared" si="19"/>
        <v>0</v>
      </c>
      <c r="S84" s="2476">
        <f t="shared" si="13"/>
        <v>0</v>
      </c>
      <c r="T84" s="2476">
        <f t="shared" si="14"/>
        <v>0</v>
      </c>
      <c r="U84" s="2477">
        <f>IF(OR(E84="QS",B84=""),0,
IF(C84="F",VLOOKUP($T84,'表30-5-2-5-3'!$B:$AF,MATCH($D84&amp;"a",'表30-5-2-5-3'!$4:$4,0)-1,FALSE)
-IF($S84-1&lt;=0,0,VLOOKUP($S84-1,'表30-5-2-5-3'!$B:$AF,MATCH($D84&amp;"a",'表30-5-2-5-3'!$4:$4,0)-1,FALSE))
-VLOOKUP($T84,'表30-5-2-5-3'!$B:$AF,MATCH($D84,'表30-5-2-5-3'!$4:$4,0)-1,FALSE)*(T84/100-N84/H84)*100
-VLOOKUP($S84,'表30-5-2-5-3'!$B:$AF,MATCH($D84,'表30-5-2-5-3'!$4:$4,0)-1,FALSE)*(1-(S84/100-M84/H84)*100),
IF(C84="E1",VLOOKUP($T84,'表30-5-2-5-4'!$B$4:$AF$104,MATCH($D84&amp;"a",'表30-5-2-5-4'!$4:$4,0)-1,FALSE)
-IF($S84-1&lt;=0,0,VLOOKUP($S84-1,'表30-5-2-5-4'!$B$4:$AF$104,MATCH($D84&amp;"a",'表30-5-2-5-4'!$4:$4,0)-1,FALSE))
-VLOOKUP($T84,'表30-5-2-5-4'!$B$4:$AF$104,MATCH($D84,'表30-5-2-5-4'!$4:$4,0)-1,FALSE)*(T84/100-N84/H84)*100
-VLOOKUP($S84,'表30-5-2-5-4'!$B$4:$AF$104,MATCH($D84,'表30-5-2-5-4'!$4:$4,0)-1,FALSE)*(1-(S84/100-M84/H84)*100),
IF(C84="E2",VLOOKUP($T84,'表30-5-2-5-4'!$B$114:$AF$214,MATCH($D84&amp;"a",'表30-5-2-5-4'!$4:$4,0)-1,FALSE)
-IF($S84-1&lt;=0,0,VLOOKUP($S84-1,'表30-5-2-5-4'!$B$114:$AF$214,MATCH($D84&amp;"a",'表30-5-2-5-4'!$4:$4,0)-1,FALSE))
-VLOOKUP($T84,'表30-5-2-5-4'!$B$114:$AF$214,MATCH($D84,'表30-5-2-5-4'!$4:$4,0)-1,FALSE)*(T84/100-N84/H84)*100
-VLOOKUP($S84,'表30-5-2-5-4'!$B$114:$AF$214,MATCH($D84,'表30-5-2-5-4'!$4:$4,0)-1,FALSE)*(1-(S84/100-M84/H84)*100),0))))</f>
        <v>0</v>
      </c>
      <c r="V84" s="2478">
        <f t="shared" si="15"/>
        <v>0</v>
      </c>
      <c r="W84" s="2478">
        <f t="shared" si="16"/>
        <v>0</v>
      </c>
      <c r="X84" s="2718">
        <f t="shared" si="20"/>
        <v>0</v>
      </c>
      <c r="Y84" s="2718">
        <f t="shared" si="21"/>
        <v>0</v>
      </c>
    </row>
    <row r="85" spans="1:25">
      <c r="A85" s="2473" t="str">
        <f t="shared" si="17"/>
        <v/>
      </c>
      <c r="B85" s="2737"/>
      <c r="C85" s="2737"/>
      <c r="D85" s="2737"/>
      <c r="E85" s="2738"/>
      <c r="F85" s="2738"/>
      <c r="G85" s="2738"/>
      <c r="H85" s="2739"/>
      <c r="I85" s="2740"/>
      <c r="J85" s="2740"/>
      <c r="K85" s="2740"/>
      <c r="L85" s="2740"/>
      <c r="M85" s="2738"/>
      <c r="N85" s="2738"/>
      <c r="O85" s="2474">
        <f t="shared" si="11"/>
        <v>0</v>
      </c>
      <c r="P85" s="2474">
        <f t="shared" si="12"/>
        <v>0</v>
      </c>
      <c r="Q85" s="2475">
        <f t="shared" si="18"/>
        <v>0</v>
      </c>
      <c r="R85" s="2475">
        <f t="shared" si="19"/>
        <v>0</v>
      </c>
      <c r="S85" s="2476">
        <f t="shared" si="13"/>
        <v>0</v>
      </c>
      <c r="T85" s="2476">
        <f t="shared" si="14"/>
        <v>0</v>
      </c>
      <c r="U85" s="2477">
        <f>IF(OR(E85="QS",B85=""),0,
IF(C85="F",VLOOKUP($T85,'表30-5-2-5-3'!$B:$AF,MATCH($D85&amp;"a",'表30-5-2-5-3'!$4:$4,0)-1,FALSE)
-IF($S85-1&lt;=0,0,VLOOKUP($S85-1,'表30-5-2-5-3'!$B:$AF,MATCH($D85&amp;"a",'表30-5-2-5-3'!$4:$4,0)-1,FALSE))
-VLOOKUP($T85,'表30-5-2-5-3'!$B:$AF,MATCH($D85,'表30-5-2-5-3'!$4:$4,0)-1,FALSE)*(T85/100-N85/H85)*100
-VLOOKUP($S85,'表30-5-2-5-3'!$B:$AF,MATCH($D85,'表30-5-2-5-3'!$4:$4,0)-1,FALSE)*(1-(S85/100-M85/H85)*100),
IF(C85="E1",VLOOKUP($T85,'表30-5-2-5-4'!$B$4:$AF$104,MATCH($D85&amp;"a",'表30-5-2-5-4'!$4:$4,0)-1,FALSE)
-IF($S85-1&lt;=0,0,VLOOKUP($S85-1,'表30-5-2-5-4'!$B$4:$AF$104,MATCH($D85&amp;"a",'表30-5-2-5-4'!$4:$4,0)-1,FALSE))
-VLOOKUP($T85,'表30-5-2-5-4'!$B$4:$AF$104,MATCH($D85,'表30-5-2-5-4'!$4:$4,0)-1,FALSE)*(T85/100-N85/H85)*100
-VLOOKUP($S85,'表30-5-2-5-4'!$B$4:$AF$104,MATCH($D85,'表30-5-2-5-4'!$4:$4,0)-1,FALSE)*(1-(S85/100-M85/H85)*100),
IF(C85="E2",VLOOKUP($T85,'表30-5-2-5-4'!$B$114:$AF$214,MATCH($D85&amp;"a",'表30-5-2-5-4'!$4:$4,0)-1,FALSE)
-IF($S85-1&lt;=0,0,VLOOKUP($S85-1,'表30-5-2-5-4'!$B$114:$AF$214,MATCH($D85&amp;"a",'表30-5-2-5-4'!$4:$4,0)-1,FALSE))
-VLOOKUP($T85,'表30-5-2-5-4'!$B$114:$AF$214,MATCH($D85,'表30-5-2-5-4'!$4:$4,0)-1,FALSE)*(T85/100-N85/H85)*100
-VLOOKUP($S85,'表30-5-2-5-4'!$B$114:$AF$214,MATCH($D85,'表30-5-2-5-4'!$4:$4,0)-1,FALSE)*(1-(S85/100-M85/H85)*100),0))))</f>
        <v>0</v>
      </c>
      <c r="V85" s="2478">
        <f t="shared" si="15"/>
        <v>0</v>
      </c>
      <c r="W85" s="2478">
        <f t="shared" si="16"/>
        <v>0</v>
      </c>
      <c r="X85" s="2718">
        <f t="shared" si="20"/>
        <v>0</v>
      </c>
      <c r="Y85" s="2718">
        <f t="shared" si="21"/>
        <v>0</v>
      </c>
    </row>
    <row r="86" spans="1:25">
      <c r="A86" s="2473" t="str">
        <f t="shared" si="17"/>
        <v/>
      </c>
      <c r="B86" s="2737"/>
      <c r="C86" s="2737"/>
      <c r="D86" s="2737"/>
      <c r="E86" s="2738"/>
      <c r="F86" s="2738"/>
      <c r="G86" s="2738"/>
      <c r="H86" s="2739"/>
      <c r="I86" s="2740"/>
      <c r="J86" s="2740"/>
      <c r="K86" s="2740"/>
      <c r="L86" s="2740"/>
      <c r="M86" s="2738"/>
      <c r="N86" s="2738"/>
      <c r="O86" s="2474">
        <f t="shared" si="11"/>
        <v>0</v>
      </c>
      <c r="P86" s="2474">
        <f t="shared" si="12"/>
        <v>0</v>
      </c>
      <c r="Q86" s="2475">
        <f t="shared" si="18"/>
        <v>0</v>
      </c>
      <c r="R86" s="2475">
        <f t="shared" si="19"/>
        <v>0</v>
      </c>
      <c r="S86" s="2476">
        <f t="shared" si="13"/>
        <v>0</v>
      </c>
      <c r="T86" s="2476">
        <f t="shared" si="14"/>
        <v>0</v>
      </c>
      <c r="U86" s="2477">
        <f>IF(OR(E86="QS",B86=""),0,
IF(C86="F",VLOOKUP($T86,'表30-5-2-5-3'!$B:$AF,MATCH($D86&amp;"a",'表30-5-2-5-3'!$4:$4,0)-1,FALSE)
-IF($S86-1&lt;=0,0,VLOOKUP($S86-1,'表30-5-2-5-3'!$B:$AF,MATCH($D86&amp;"a",'表30-5-2-5-3'!$4:$4,0)-1,FALSE))
-VLOOKUP($T86,'表30-5-2-5-3'!$B:$AF,MATCH($D86,'表30-5-2-5-3'!$4:$4,0)-1,FALSE)*(T86/100-N86/H86)*100
-VLOOKUP($S86,'表30-5-2-5-3'!$B:$AF,MATCH($D86,'表30-5-2-5-3'!$4:$4,0)-1,FALSE)*(1-(S86/100-M86/H86)*100),
IF(C86="E1",VLOOKUP($T86,'表30-5-2-5-4'!$B$4:$AF$104,MATCH($D86&amp;"a",'表30-5-2-5-4'!$4:$4,0)-1,FALSE)
-IF($S86-1&lt;=0,0,VLOOKUP($S86-1,'表30-5-2-5-4'!$B$4:$AF$104,MATCH($D86&amp;"a",'表30-5-2-5-4'!$4:$4,0)-1,FALSE))
-VLOOKUP($T86,'表30-5-2-5-4'!$B$4:$AF$104,MATCH($D86,'表30-5-2-5-4'!$4:$4,0)-1,FALSE)*(T86/100-N86/H86)*100
-VLOOKUP($S86,'表30-5-2-5-4'!$B$4:$AF$104,MATCH($D86,'表30-5-2-5-4'!$4:$4,0)-1,FALSE)*(1-(S86/100-M86/H86)*100),
IF(C86="E2",VLOOKUP($T86,'表30-5-2-5-4'!$B$114:$AF$214,MATCH($D86&amp;"a",'表30-5-2-5-4'!$4:$4,0)-1,FALSE)
-IF($S86-1&lt;=0,0,VLOOKUP($S86-1,'表30-5-2-5-4'!$B$114:$AF$214,MATCH($D86&amp;"a",'表30-5-2-5-4'!$4:$4,0)-1,FALSE))
-VLOOKUP($T86,'表30-5-2-5-4'!$B$114:$AF$214,MATCH($D86,'表30-5-2-5-4'!$4:$4,0)-1,FALSE)*(T86/100-N86/H86)*100
-VLOOKUP($S86,'表30-5-2-5-4'!$B$114:$AF$214,MATCH($D86,'表30-5-2-5-4'!$4:$4,0)-1,FALSE)*(1-(S86/100-M86/H86)*100),0))))</f>
        <v>0</v>
      </c>
      <c r="V86" s="2478">
        <f t="shared" si="15"/>
        <v>0</v>
      </c>
      <c r="W86" s="2478">
        <f t="shared" si="16"/>
        <v>0</v>
      </c>
      <c r="X86" s="2718">
        <f t="shared" si="20"/>
        <v>0</v>
      </c>
      <c r="Y86" s="2718">
        <f t="shared" si="21"/>
        <v>0</v>
      </c>
    </row>
    <row r="87" spans="1:25">
      <c r="A87" s="2473" t="str">
        <f t="shared" si="17"/>
        <v/>
      </c>
      <c r="B87" s="2737"/>
      <c r="C87" s="2737"/>
      <c r="D87" s="2737"/>
      <c r="E87" s="2738"/>
      <c r="F87" s="2738"/>
      <c r="G87" s="2738"/>
      <c r="H87" s="2739"/>
      <c r="I87" s="2740"/>
      <c r="J87" s="2740"/>
      <c r="K87" s="2740"/>
      <c r="L87" s="2740"/>
      <c r="M87" s="2738"/>
      <c r="N87" s="2738"/>
      <c r="O87" s="2474">
        <f t="shared" si="11"/>
        <v>0</v>
      </c>
      <c r="P87" s="2474">
        <f t="shared" si="12"/>
        <v>0</v>
      </c>
      <c r="Q87" s="2475">
        <f t="shared" si="18"/>
        <v>0</v>
      </c>
      <c r="R87" s="2475">
        <f t="shared" si="19"/>
        <v>0</v>
      </c>
      <c r="S87" s="2476">
        <f t="shared" si="13"/>
        <v>0</v>
      </c>
      <c r="T87" s="2476">
        <f t="shared" si="14"/>
        <v>0</v>
      </c>
      <c r="U87" s="2477">
        <f>IF(OR(E87="QS",B87=""),0,
IF(C87="F",VLOOKUP($T87,'表30-5-2-5-3'!$B:$AF,MATCH($D87&amp;"a",'表30-5-2-5-3'!$4:$4,0)-1,FALSE)
-IF($S87-1&lt;=0,0,VLOOKUP($S87-1,'表30-5-2-5-3'!$B:$AF,MATCH($D87&amp;"a",'表30-5-2-5-3'!$4:$4,0)-1,FALSE))
-VLOOKUP($T87,'表30-5-2-5-3'!$B:$AF,MATCH($D87,'表30-5-2-5-3'!$4:$4,0)-1,FALSE)*(T87/100-N87/H87)*100
-VLOOKUP($S87,'表30-5-2-5-3'!$B:$AF,MATCH($D87,'表30-5-2-5-3'!$4:$4,0)-1,FALSE)*(1-(S87/100-M87/H87)*100),
IF(C87="E1",VLOOKUP($T87,'表30-5-2-5-4'!$B$4:$AF$104,MATCH($D87&amp;"a",'表30-5-2-5-4'!$4:$4,0)-1,FALSE)
-IF($S87-1&lt;=0,0,VLOOKUP($S87-1,'表30-5-2-5-4'!$B$4:$AF$104,MATCH($D87&amp;"a",'表30-5-2-5-4'!$4:$4,0)-1,FALSE))
-VLOOKUP($T87,'表30-5-2-5-4'!$B$4:$AF$104,MATCH($D87,'表30-5-2-5-4'!$4:$4,0)-1,FALSE)*(T87/100-N87/H87)*100
-VLOOKUP($S87,'表30-5-2-5-4'!$B$4:$AF$104,MATCH($D87,'表30-5-2-5-4'!$4:$4,0)-1,FALSE)*(1-(S87/100-M87/H87)*100),
IF(C87="E2",VLOOKUP($T87,'表30-5-2-5-4'!$B$114:$AF$214,MATCH($D87&amp;"a",'表30-5-2-5-4'!$4:$4,0)-1,FALSE)
-IF($S87-1&lt;=0,0,VLOOKUP($S87-1,'表30-5-2-5-4'!$B$114:$AF$214,MATCH($D87&amp;"a",'表30-5-2-5-4'!$4:$4,0)-1,FALSE))
-VLOOKUP($T87,'表30-5-2-5-4'!$B$114:$AF$214,MATCH($D87,'表30-5-2-5-4'!$4:$4,0)-1,FALSE)*(T87/100-N87/H87)*100
-VLOOKUP($S87,'表30-5-2-5-4'!$B$114:$AF$214,MATCH($D87,'表30-5-2-5-4'!$4:$4,0)-1,FALSE)*(1-(S87/100-M87/H87)*100),0))))</f>
        <v>0</v>
      </c>
      <c r="V87" s="2478">
        <f t="shared" si="15"/>
        <v>0</v>
      </c>
      <c r="W87" s="2478">
        <f t="shared" si="16"/>
        <v>0</v>
      </c>
      <c r="X87" s="2718">
        <f t="shared" si="20"/>
        <v>0</v>
      </c>
      <c r="Y87" s="2718">
        <f t="shared" si="21"/>
        <v>0</v>
      </c>
    </row>
    <row r="88" spans="1:25">
      <c r="A88" s="2473" t="str">
        <f t="shared" si="17"/>
        <v/>
      </c>
      <c r="B88" s="2737"/>
      <c r="C88" s="2737"/>
      <c r="D88" s="2737"/>
      <c r="E88" s="2738"/>
      <c r="F88" s="2738"/>
      <c r="G88" s="2738"/>
      <c r="H88" s="2739"/>
      <c r="I88" s="2740"/>
      <c r="J88" s="2740"/>
      <c r="K88" s="2740"/>
      <c r="L88" s="2740"/>
      <c r="M88" s="2738"/>
      <c r="N88" s="2738"/>
      <c r="O88" s="2474">
        <f t="shared" si="11"/>
        <v>0</v>
      </c>
      <c r="P88" s="2474">
        <f t="shared" si="12"/>
        <v>0</v>
      </c>
      <c r="Q88" s="2475">
        <f t="shared" si="18"/>
        <v>0</v>
      </c>
      <c r="R88" s="2475">
        <f t="shared" si="19"/>
        <v>0</v>
      </c>
      <c r="S88" s="2476">
        <f t="shared" si="13"/>
        <v>0</v>
      </c>
      <c r="T88" s="2476">
        <f t="shared" si="14"/>
        <v>0</v>
      </c>
      <c r="U88" s="2477">
        <f>IF(OR(E88="QS",B88=""),0,
IF(C88="F",VLOOKUP($T88,'表30-5-2-5-3'!$B:$AF,MATCH($D88&amp;"a",'表30-5-2-5-3'!$4:$4,0)-1,FALSE)
-IF($S88-1&lt;=0,0,VLOOKUP($S88-1,'表30-5-2-5-3'!$B:$AF,MATCH($D88&amp;"a",'表30-5-2-5-3'!$4:$4,0)-1,FALSE))
-VLOOKUP($T88,'表30-5-2-5-3'!$B:$AF,MATCH($D88,'表30-5-2-5-3'!$4:$4,0)-1,FALSE)*(T88/100-N88/H88)*100
-VLOOKUP($S88,'表30-5-2-5-3'!$B:$AF,MATCH($D88,'表30-5-2-5-3'!$4:$4,0)-1,FALSE)*(1-(S88/100-M88/H88)*100),
IF(C88="E1",VLOOKUP($T88,'表30-5-2-5-4'!$B$4:$AF$104,MATCH($D88&amp;"a",'表30-5-2-5-4'!$4:$4,0)-1,FALSE)
-IF($S88-1&lt;=0,0,VLOOKUP($S88-1,'表30-5-2-5-4'!$B$4:$AF$104,MATCH($D88&amp;"a",'表30-5-2-5-4'!$4:$4,0)-1,FALSE))
-VLOOKUP($T88,'表30-5-2-5-4'!$B$4:$AF$104,MATCH($D88,'表30-5-2-5-4'!$4:$4,0)-1,FALSE)*(T88/100-N88/H88)*100
-VLOOKUP($S88,'表30-5-2-5-4'!$B$4:$AF$104,MATCH($D88,'表30-5-2-5-4'!$4:$4,0)-1,FALSE)*(1-(S88/100-M88/H88)*100),
IF(C88="E2",VLOOKUP($T88,'表30-5-2-5-4'!$B$114:$AF$214,MATCH($D88&amp;"a",'表30-5-2-5-4'!$4:$4,0)-1,FALSE)
-IF($S88-1&lt;=0,0,VLOOKUP($S88-1,'表30-5-2-5-4'!$B$114:$AF$214,MATCH($D88&amp;"a",'表30-5-2-5-4'!$4:$4,0)-1,FALSE))
-VLOOKUP($T88,'表30-5-2-5-4'!$B$114:$AF$214,MATCH($D88,'表30-5-2-5-4'!$4:$4,0)-1,FALSE)*(T88/100-N88/H88)*100
-VLOOKUP($S88,'表30-5-2-5-4'!$B$114:$AF$214,MATCH($D88,'表30-5-2-5-4'!$4:$4,0)-1,FALSE)*(1-(S88/100-M88/H88)*100),0))))</f>
        <v>0</v>
      </c>
      <c r="V88" s="2478">
        <f t="shared" si="15"/>
        <v>0</v>
      </c>
      <c r="W88" s="2478">
        <f t="shared" si="16"/>
        <v>0</v>
      </c>
      <c r="X88" s="2718">
        <f t="shared" si="20"/>
        <v>0</v>
      </c>
      <c r="Y88" s="2718">
        <f t="shared" si="21"/>
        <v>0</v>
      </c>
    </row>
    <row r="89" spans="1:25">
      <c r="A89" s="2473" t="str">
        <f t="shared" si="17"/>
        <v/>
      </c>
      <c r="B89" s="2737"/>
      <c r="C89" s="2737"/>
      <c r="D89" s="2737"/>
      <c r="E89" s="2738"/>
      <c r="F89" s="2738"/>
      <c r="G89" s="2738"/>
      <c r="H89" s="2739"/>
      <c r="I89" s="2740"/>
      <c r="J89" s="2740"/>
      <c r="K89" s="2740"/>
      <c r="L89" s="2740"/>
      <c r="M89" s="2738"/>
      <c r="N89" s="2738"/>
      <c r="O89" s="2474">
        <f t="shared" si="11"/>
        <v>0</v>
      </c>
      <c r="P89" s="2474">
        <f t="shared" si="12"/>
        <v>0</v>
      </c>
      <c r="Q89" s="2475">
        <f t="shared" si="18"/>
        <v>0</v>
      </c>
      <c r="R89" s="2475">
        <f t="shared" si="19"/>
        <v>0</v>
      </c>
      <c r="S89" s="2476">
        <f t="shared" si="13"/>
        <v>0</v>
      </c>
      <c r="T89" s="2476">
        <f t="shared" si="14"/>
        <v>0</v>
      </c>
      <c r="U89" s="2477">
        <f>IF(OR(E89="QS",B89=""),0,
IF(C89="F",VLOOKUP($T89,'表30-5-2-5-3'!$B:$AF,MATCH($D89&amp;"a",'表30-5-2-5-3'!$4:$4,0)-1,FALSE)
-IF($S89-1&lt;=0,0,VLOOKUP($S89-1,'表30-5-2-5-3'!$B:$AF,MATCH($D89&amp;"a",'表30-5-2-5-3'!$4:$4,0)-1,FALSE))
-VLOOKUP($T89,'表30-5-2-5-3'!$B:$AF,MATCH($D89,'表30-5-2-5-3'!$4:$4,0)-1,FALSE)*(T89/100-N89/H89)*100
-VLOOKUP($S89,'表30-5-2-5-3'!$B:$AF,MATCH($D89,'表30-5-2-5-3'!$4:$4,0)-1,FALSE)*(1-(S89/100-M89/H89)*100),
IF(C89="E1",VLOOKUP($T89,'表30-5-2-5-4'!$B$4:$AF$104,MATCH($D89&amp;"a",'表30-5-2-5-4'!$4:$4,0)-1,FALSE)
-IF($S89-1&lt;=0,0,VLOOKUP($S89-1,'表30-5-2-5-4'!$B$4:$AF$104,MATCH($D89&amp;"a",'表30-5-2-5-4'!$4:$4,0)-1,FALSE))
-VLOOKUP($T89,'表30-5-2-5-4'!$B$4:$AF$104,MATCH($D89,'表30-5-2-5-4'!$4:$4,0)-1,FALSE)*(T89/100-N89/H89)*100
-VLOOKUP($S89,'表30-5-2-5-4'!$B$4:$AF$104,MATCH($D89,'表30-5-2-5-4'!$4:$4,0)-1,FALSE)*(1-(S89/100-M89/H89)*100),
IF(C89="E2",VLOOKUP($T89,'表30-5-2-5-4'!$B$114:$AF$214,MATCH($D89&amp;"a",'表30-5-2-5-4'!$4:$4,0)-1,FALSE)
-IF($S89-1&lt;=0,0,VLOOKUP($S89-1,'表30-5-2-5-4'!$B$114:$AF$214,MATCH($D89&amp;"a",'表30-5-2-5-4'!$4:$4,0)-1,FALSE))
-VLOOKUP($T89,'表30-5-2-5-4'!$B$114:$AF$214,MATCH($D89,'表30-5-2-5-4'!$4:$4,0)-1,FALSE)*(T89/100-N89/H89)*100
-VLOOKUP($S89,'表30-5-2-5-4'!$B$114:$AF$214,MATCH($D89,'表30-5-2-5-4'!$4:$4,0)-1,FALSE)*(1-(S89/100-M89/H89)*100),0))))</f>
        <v>0</v>
      </c>
      <c r="V89" s="2478">
        <f t="shared" si="15"/>
        <v>0</v>
      </c>
      <c r="W89" s="2478">
        <f t="shared" si="16"/>
        <v>0</v>
      </c>
      <c r="X89" s="2718">
        <f t="shared" si="20"/>
        <v>0</v>
      </c>
      <c r="Y89" s="2718">
        <f t="shared" si="21"/>
        <v>0</v>
      </c>
    </row>
    <row r="90" spans="1:25">
      <c r="A90" s="2473" t="str">
        <f t="shared" si="17"/>
        <v/>
      </c>
      <c r="B90" s="2737"/>
      <c r="C90" s="2737"/>
      <c r="D90" s="2737"/>
      <c r="E90" s="2738"/>
      <c r="F90" s="2738"/>
      <c r="G90" s="2738"/>
      <c r="H90" s="2739"/>
      <c r="I90" s="2740"/>
      <c r="J90" s="2740"/>
      <c r="K90" s="2740"/>
      <c r="L90" s="2740"/>
      <c r="M90" s="2738"/>
      <c r="N90" s="2738"/>
      <c r="O90" s="2474">
        <f t="shared" si="11"/>
        <v>0</v>
      </c>
      <c r="P90" s="2474">
        <f t="shared" si="12"/>
        <v>0</v>
      </c>
      <c r="Q90" s="2475">
        <f t="shared" si="18"/>
        <v>0</v>
      </c>
      <c r="R90" s="2475">
        <f t="shared" si="19"/>
        <v>0</v>
      </c>
      <c r="S90" s="2476">
        <f t="shared" si="13"/>
        <v>0</v>
      </c>
      <c r="T90" s="2476">
        <f t="shared" si="14"/>
        <v>0</v>
      </c>
      <c r="U90" s="2477">
        <f>IF(OR(E90="QS",B90=""),0,
IF(C90="F",VLOOKUP($T90,'表30-5-2-5-3'!$B:$AF,MATCH($D90&amp;"a",'表30-5-2-5-3'!$4:$4,0)-1,FALSE)
-IF($S90-1&lt;=0,0,VLOOKUP($S90-1,'表30-5-2-5-3'!$B:$AF,MATCH($D90&amp;"a",'表30-5-2-5-3'!$4:$4,0)-1,FALSE))
-VLOOKUP($T90,'表30-5-2-5-3'!$B:$AF,MATCH($D90,'表30-5-2-5-3'!$4:$4,0)-1,FALSE)*(T90/100-N90/H90)*100
-VLOOKUP($S90,'表30-5-2-5-3'!$B:$AF,MATCH($D90,'表30-5-2-5-3'!$4:$4,0)-1,FALSE)*(1-(S90/100-M90/H90)*100),
IF(C90="E1",VLOOKUP($T90,'表30-5-2-5-4'!$B$4:$AF$104,MATCH($D90&amp;"a",'表30-5-2-5-4'!$4:$4,0)-1,FALSE)
-IF($S90-1&lt;=0,0,VLOOKUP($S90-1,'表30-5-2-5-4'!$B$4:$AF$104,MATCH($D90&amp;"a",'表30-5-2-5-4'!$4:$4,0)-1,FALSE))
-VLOOKUP($T90,'表30-5-2-5-4'!$B$4:$AF$104,MATCH($D90,'表30-5-2-5-4'!$4:$4,0)-1,FALSE)*(T90/100-N90/H90)*100
-VLOOKUP($S90,'表30-5-2-5-4'!$B$4:$AF$104,MATCH($D90,'表30-5-2-5-4'!$4:$4,0)-1,FALSE)*(1-(S90/100-M90/H90)*100),
IF(C90="E2",VLOOKUP($T90,'表30-5-2-5-4'!$B$114:$AF$214,MATCH($D90&amp;"a",'表30-5-2-5-4'!$4:$4,0)-1,FALSE)
-IF($S90-1&lt;=0,0,VLOOKUP($S90-1,'表30-5-2-5-4'!$B$114:$AF$214,MATCH($D90&amp;"a",'表30-5-2-5-4'!$4:$4,0)-1,FALSE))
-VLOOKUP($T90,'表30-5-2-5-4'!$B$114:$AF$214,MATCH($D90,'表30-5-2-5-4'!$4:$4,0)-1,FALSE)*(T90/100-N90/H90)*100
-VLOOKUP($S90,'表30-5-2-5-4'!$B$114:$AF$214,MATCH($D90,'表30-5-2-5-4'!$4:$4,0)-1,FALSE)*(1-(S90/100-M90/H90)*100),0))))</f>
        <v>0</v>
      </c>
      <c r="V90" s="2478">
        <f t="shared" si="15"/>
        <v>0</v>
      </c>
      <c r="W90" s="2478">
        <f t="shared" si="16"/>
        <v>0</v>
      </c>
      <c r="X90" s="2718">
        <f t="shared" si="20"/>
        <v>0</v>
      </c>
      <c r="Y90" s="2718">
        <f t="shared" si="21"/>
        <v>0</v>
      </c>
    </row>
    <row r="91" spans="1:25">
      <c r="A91" s="2473" t="str">
        <f t="shared" si="17"/>
        <v/>
      </c>
      <c r="B91" s="2737"/>
      <c r="C91" s="2737"/>
      <c r="D91" s="2737"/>
      <c r="E91" s="2738"/>
      <c r="F91" s="2738"/>
      <c r="G91" s="2738"/>
      <c r="H91" s="2739"/>
      <c r="I91" s="2740"/>
      <c r="J91" s="2740"/>
      <c r="K91" s="2740"/>
      <c r="L91" s="2740"/>
      <c r="M91" s="2738"/>
      <c r="N91" s="2738"/>
      <c r="O91" s="2474">
        <f t="shared" si="11"/>
        <v>0</v>
      </c>
      <c r="P91" s="2474">
        <f t="shared" si="12"/>
        <v>0</v>
      </c>
      <c r="Q91" s="2475">
        <f t="shared" si="18"/>
        <v>0</v>
      </c>
      <c r="R91" s="2475">
        <f t="shared" si="19"/>
        <v>0</v>
      </c>
      <c r="S91" s="2476">
        <f t="shared" si="13"/>
        <v>0</v>
      </c>
      <c r="T91" s="2476">
        <f t="shared" si="14"/>
        <v>0</v>
      </c>
      <c r="U91" s="2477">
        <f>IF(OR(E91="QS",B91=""),0,
IF(C91="F",VLOOKUP($T91,'表30-5-2-5-3'!$B:$AF,MATCH($D91&amp;"a",'表30-5-2-5-3'!$4:$4,0)-1,FALSE)
-IF($S91-1&lt;=0,0,VLOOKUP($S91-1,'表30-5-2-5-3'!$B:$AF,MATCH($D91&amp;"a",'表30-5-2-5-3'!$4:$4,0)-1,FALSE))
-VLOOKUP($T91,'表30-5-2-5-3'!$B:$AF,MATCH($D91,'表30-5-2-5-3'!$4:$4,0)-1,FALSE)*(T91/100-N91/H91)*100
-VLOOKUP($S91,'表30-5-2-5-3'!$B:$AF,MATCH($D91,'表30-5-2-5-3'!$4:$4,0)-1,FALSE)*(1-(S91/100-M91/H91)*100),
IF(C91="E1",VLOOKUP($T91,'表30-5-2-5-4'!$B$4:$AF$104,MATCH($D91&amp;"a",'表30-5-2-5-4'!$4:$4,0)-1,FALSE)
-IF($S91-1&lt;=0,0,VLOOKUP($S91-1,'表30-5-2-5-4'!$B$4:$AF$104,MATCH($D91&amp;"a",'表30-5-2-5-4'!$4:$4,0)-1,FALSE))
-VLOOKUP($T91,'表30-5-2-5-4'!$B$4:$AF$104,MATCH($D91,'表30-5-2-5-4'!$4:$4,0)-1,FALSE)*(T91/100-N91/H91)*100
-VLOOKUP($S91,'表30-5-2-5-4'!$B$4:$AF$104,MATCH($D91,'表30-5-2-5-4'!$4:$4,0)-1,FALSE)*(1-(S91/100-M91/H91)*100),
IF(C91="E2",VLOOKUP($T91,'表30-5-2-5-4'!$B$114:$AF$214,MATCH($D91&amp;"a",'表30-5-2-5-4'!$4:$4,0)-1,FALSE)
-IF($S91-1&lt;=0,0,VLOOKUP($S91-1,'表30-5-2-5-4'!$B$114:$AF$214,MATCH($D91&amp;"a",'表30-5-2-5-4'!$4:$4,0)-1,FALSE))
-VLOOKUP($T91,'表30-5-2-5-4'!$B$114:$AF$214,MATCH($D91,'表30-5-2-5-4'!$4:$4,0)-1,FALSE)*(T91/100-N91/H91)*100
-VLOOKUP($S91,'表30-5-2-5-4'!$B$114:$AF$214,MATCH($D91,'表30-5-2-5-4'!$4:$4,0)-1,FALSE)*(1-(S91/100-M91/H91)*100),0))))</f>
        <v>0</v>
      </c>
      <c r="V91" s="2478">
        <f t="shared" si="15"/>
        <v>0</v>
      </c>
      <c r="W91" s="2478">
        <f t="shared" si="16"/>
        <v>0</v>
      </c>
      <c r="X91" s="2718">
        <f t="shared" si="20"/>
        <v>0</v>
      </c>
      <c r="Y91" s="2718">
        <f t="shared" si="21"/>
        <v>0</v>
      </c>
    </row>
    <row r="92" spans="1:25">
      <c r="A92" s="2473" t="str">
        <f t="shared" si="17"/>
        <v/>
      </c>
      <c r="B92" s="2737"/>
      <c r="C92" s="2737"/>
      <c r="D92" s="2737"/>
      <c r="E92" s="2738"/>
      <c r="F92" s="2738"/>
      <c r="G92" s="2738"/>
      <c r="H92" s="2739"/>
      <c r="I92" s="2740"/>
      <c r="J92" s="2740"/>
      <c r="K92" s="2740"/>
      <c r="L92" s="2740"/>
      <c r="M92" s="2738"/>
      <c r="N92" s="2738"/>
      <c r="O92" s="2474">
        <f t="shared" si="11"/>
        <v>0</v>
      </c>
      <c r="P92" s="2474">
        <f t="shared" si="12"/>
        <v>0</v>
      </c>
      <c r="Q92" s="2475">
        <f t="shared" si="18"/>
        <v>0</v>
      </c>
      <c r="R92" s="2475">
        <f t="shared" si="19"/>
        <v>0</v>
      </c>
      <c r="S92" s="2476">
        <f t="shared" si="13"/>
        <v>0</v>
      </c>
      <c r="T92" s="2476">
        <f t="shared" si="14"/>
        <v>0</v>
      </c>
      <c r="U92" s="2477">
        <f>IF(OR(E92="QS",B92=""),0,
IF(C92="F",VLOOKUP($T92,'表30-5-2-5-3'!$B:$AF,MATCH($D92&amp;"a",'表30-5-2-5-3'!$4:$4,0)-1,FALSE)
-IF($S92-1&lt;=0,0,VLOOKUP($S92-1,'表30-5-2-5-3'!$B:$AF,MATCH($D92&amp;"a",'表30-5-2-5-3'!$4:$4,0)-1,FALSE))
-VLOOKUP($T92,'表30-5-2-5-3'!$B:$AF,MATCH($D92,'表30-5-2-5-3'!$4:$4,0)-1,FALSE)*(T92/100-N92/H92)*100
-VLOOKUP($S92,'表30-5-2-5-3'!$B:$AF,MATCH($D92,'表30-5-2-5-3'!$4:$4,0)-1,FALSE)*(1-(S92/100-M92/H92)*100),
IF(C92="E1",VLOOKUP($T92,'表30-5-2-5-4'!$B$4:$AF$104,MATCH($D92&amp;"a",'表30-5-2-5-4'!$4:$4,0)-1,FALSE)
-IF($S92-1&lt;=0,0,VLOOKUP($S92-1,'表30-5-2-5-4'!$B$4:$AF$104,MATCH($D92&amp;"a",'表30-5-2-5-4'!$4:$4,0)-1,FALSE))
-VLOOKUP($T92,'表30-5-2-5-4'!$B$4:$AF$104,MATCH($D92,'表30-5-2-5-4'!$4:$4,0)-1,FALSE)*(T92/100-N92/H92)*100
-VLOOKUP($S92,'表30-5-2-5-4'!$B$4:$AF$104,MATCH($D92,'表30-5-2-5-4'!$4:$4,0)-1,FALSE)*(1-(S92/100-M92/H92)*100),
IF(C92="E2",VLOOKUP($T92,'表30-5-2-5-4'!$B$114:$AF$214,MATCH($D92&amp;"a",'表30-5-2-5-4'!$4:$4,0)-1,FALSE)
-IF($S92-1&lt;=0,0,VLOOKUP($S92-1,'表30-5-2-5-4'!$B$114:$AF$214,MATCH($D92&amp;"a",'表30-5-2-5-4'!$4:$4,0)-1,FALSE))
-VLOOKUP($T92,'表30-5-2-5-4'!$B$114:$AF$214,MATCH($D92,'表30-5-2-5-4'!$4:$4,0)-1,FALSE)*(T92/100-N92/H92)*100
-VLOOKUP($S92,'表30-5-2-5-4'!$B$114:$AF$214,MATCH($D92,'表30-5-2-5-4'!$4:$4,0)-1,FALSE)*(1-(S92/100-M92/H92)*100),0))))</f>
        <v>0</v>
      </c>
      <c r="V92" s="2478">
        <f t="shared" si="15"/>
        <v>0</v>
      </c>
      <c r="W92" s="2478">
        <f t="shared" si="16"/>
        <v>0</v>
      </c>
      <c r="X92" s="2718">
        <f t="shared" si="20"/>
        <v>0</v>
      </c>
      <c r="Y92" s="2718">
        <f t="shared" si="21"/>
        <v>0</v>
      </c>
    </row>
    <row r="93" spans="1:25">
      <c r="A93" s="2473" t="str">
        <f t="shared" si="17"/>
        <v/>
      </c>
      <c r="B93" s="2737"/>
      <c r="C93" s="2737"/>
      <c r="D93" s="2737"/>
      <c r="E93" s="2738"/>
      <c r="F93" s="2738"/>
      <c r="G93" s="2738"/>
      <c r="H93" s="2739"/>
      <c r="I93" s="2740"/>
      <c r="J93" s="2740"/>
      <c r="K93" s="2740"/>
      <c r="L93" s="2740"/>
      <c r="M93" s="2738"/>
      <c r="N93" s="2738"/>
      <c r="O93" s="2474">
        <f t="shared" si="11"/>
        <v>0</v>
      </c>
      <c r="P93" s="2474">
        <f t="shared" si="12"/>
        <v>0</v>
      </c>
      <c r="Q93" s="2475">
        <f t="shared" si="18"/>
        <v>0</v>
      </c>
      <c r="R93" s="2475">
        <f t="shared" si="19"/>
        <v>0</v>
      </c>
      <c r="S93" s="2476">
        <f t="shared" si="13"/>
        <v>0</v>
      </c>
      <c r="T93" s="2476">
        <f t="shared" si="14"/>
        <v>0</v>
      </c>
      <c r="U93" s="2477">
        <f>IF(OR(E93="QS",B93=""),0,
IF(C93="F",VLOOKUP($T93,'表30-5-2-5-3'!$B:$AF,MATCH($D93&amp;"a",'表30-5-2-5-3'!$4:$4,0)-1,FALSE)
-IF($S93-1&lt;=0,0,VLOOKUP($S93-1,'表30-5-2-5-3'!$B:$AF,MATCH($D93&amp;"a",'表30-5-2-5-3'!$4:$4,0)-1,FALSE))
-VLOOKUP($T93,'表30-5-2-5-3'!$B:$AF,MATCH($D93,'表30-5-2-5-3'!$4:$4,0)-1,FALSE)*(T93/100-N93/H93)*100
-VLOOKUP($S93,'表30-5-2-5-3'!$B:$AF,MATCH($D93,'表30-5-2-5-3'!$4:$4,0)-1,FALSE)*(1-(S93/100-M93/H93)*100),
IF(C93="E1",VLOOKUP($T93,'表30-5-2-5-4'!$B$4:$AF$104,MATCH($D93&amp;"a",'表30-5-2-5-4'!$4:$4,0)-1,FALSE)
-IF($S93-1&lt;=0,0,VLOOKUP($S93-1,'表30-5-2-5-4'!$B$4:$AF$104,MATCH($D93&amp;"a",'表30-5-2-5-4'!$4:$4,0)-1,FALSE))
-VLOOKUP($T93,'表30-5-2-5-4'!$B$4:$AF$104,MATCH($D93,'表30-5-2-5-4'!$4:$4,0)-1,FALSE)*(T93/100-N93/H93)*100
-VLOOKUP($S93,'表30-5-2-5-4'!$B$4:$AF$104,MATCH($D93,'表30-5-2-5-4'!$4:$4,0)-1,FALSE)*(1-(S93/100-M93/H93)*100),
IF(C93="E2",VLOOKUP($T93,'表30-5-2-5-4'!$B$114:$AF$214,MATCH($D93&amp;"a",'表30-5-2-5-4'!$4:$4,0)-1,FALSE)
-IF($S93-1&lt;=0,0,VLOOKUP($S93-1,'表30-5-2-5-4'!$B$114:$AF$214,MATCH($D93&amp;"a",'表30-5-2-5-4'!$4:$4,0)-1,FALSE))
-VLOOKUP($T93,'表30-5-2-5-4'!$B$114:$AF$214,MATCH($D93,'表30-5-2-5-4'!$4:$4,0)-1,FALSE)*(T93/100-N93/H93)*100
-VLOOKUP($S93,'表30-5-2-5-4'!$B$114:$AF$214,MATCH($D93,'表30-5-2-5-4'!$4:$4,0)-1,FALSE)*(1-(S93/100-M93/H93)*100),0))))</f>
        <v>0</v>
      </c>
      <c r="V93" s="2478">
        <f t="shared" si="15"/>
        <v>0</v>
      </c>
      <c r="W93" s="2478">
        <f t="shared" si="16"/>
        <v>0</v>
      </c>
      <c r="X93" s="2718">
        <f t="shared" si="20"/>
        <v>0</v>
      </c>
      <c r="Y93" s="2718">
        <f t="shared" si="21"/>
        <v>0</v>
      </c>
    </row>
    <row r="94" spans="1:25">
      <c r="A94" s="2473" t="str">
        <f t="shared" si="17"/>
        <v/>
      </c>
      <c r="B94" s="2737"/>
      <c r="C94" s="2737"/>
      <c r="D94" s="2737"/>
      <c r="E94" s="2738"/>
      <c r="F94" s="2738"/>
      <c r="G94" s="2738"/>
      <c r="H94" s="2739"/>
      <c r="I94" s="2740"/>
      <c r="J94" s="2740"/>
      <c r="K94" s="2740"/>
      <c r="L94" s="2740"/>
      <c r="M94" s="2738"/>
      <c r="N94" s="2738"/>
      <c r="O94" s="2474">
        <f t="shared" si="11"/>
        <v>0</v>
      </c>
      <c r="P94" s="2474">
        <f t="shared" si="12"/>
        <v>0</v>
      </c>
      <c r="Q94" s="2475">
        <f t="shared" si="18"/>
        <v>0</v>
      </c>
      <c r="R94" s="2475">
        <f t="shared" si="19"/>
        <v>0</v>
      </c>
      <c r="S94" s="2476">
        <f t="shared" si="13"/>
        <v>0</v>
      </c>
      <c r="T94" s="2476">
        <f t="shared" si="14"/>
        <v>0</v>
      </c>
      <c r="U94" s="2477">
        <f>IF(OR(E94="QS",B94=""),0,
IF(C94="F",VLOOKUP($T94,'表30-5-2-5-3'!$B:$AF,MATCH($D94&amp;"a",'表30-5-2-5-3'!$4:$4,0)-1,FALSE)
-IF($S94-1&lt;=0,0,VLOOKUP($S94-1,'表30-5-2-5-3'!$B:$AF,MATCH($D94&amp;"a",'表30-5-2-5-3'!$4:$4,0)-1,FALSE))
-VLOOKUP($T94,'表30-5-2-5-3'!$B:$AF,MATCH($D94,'表30-5-2-5-3'!$4:$4,0)-1,FALSE)*(T94/100-N94/H94)*100
-VLOOKUP($S94,'表30-5-2-5-3'!$B:$AF,MATCH($D94,'表30-5-2-5-3'!$4:$4,0)-1,FALSE)*(1-(S94/100-M94/H94)*100),
IF(C94="E1",VLOOKUP($T94,'表30-5-2-5-4'!$B$4:$AF$104,MATCH($D94&amp;"a",'表30-5-2-5-4'!$4:$4,0)-1,FALSE)
-IF($S94-1&lt;=0,0,VLOOKUP($S94-1,'表30-5-2-5-4'!$B$4:$AF$104,MATCH($D94&amp;"a",'表30-5-2-5-4'!$4:$4,0)-1,FALSE))
-VLOOKUP($T94,'表30-5-2-5-4'!$B$4:$AF$104,MATCH($D94,'表30-5-2-5-4'!$4:$4,0)-1,FALSE)*(T94/100-N94/H94)*100
-VLOOKUP($S94,'表30-5-2-5-4'!$B$4:$AF$104,MATCH($D94,'表30-5-2-5-4'!$4:$4,0)-1,FALSE)*(1-(S94/100-M94/H94)*100),
IF(C94="E2",VLOOKUP($T94,'表30-5-2-5-4'!$B$114:$AF$214,MATCH($D94&amp;"a",'表30-5-2-5-4'!$4:$4,0)-1,FALSE)
-IF($S94-1&lt;=0,0,VLOOKUP($S94-1,'表30-5-2-5-4'!$B$114:$AF$214,MATCH($D94&amp;"a",'表30-5-2-5-4'!$4:$4,0)-1,FALSE))
-VLOOKUP($T94,'表30-5-2-5-4'!$B$114:$AF$214,MATCH($D94,'表30-5-2-5-4'!$4:$4,0)-1,FALSE)*(T94/100-N94/H94)*100
-VLOOKUP($S94,'表30-5-2-5-4'!$B$114:$AF$214,MATCH($D94,'表30-5-2-5-4'!$4:$4,0)-1,FALSE)*(1-(S94/100-M94/H94)*100),0))))</f>
        <v>0</v>
      </c>
      <c r="V94" s="2478">
        <f t="shared" si="15"/>
        <v>0</v>
      </c>
      <c r="W94" s="2478">
        <f t="shared" si="16"/>
        <v>0</v>
      </c>
      <c r="X94" s="2718">
        <f t="shared" si="20"/>
        <v>0</v>
      </c>
      <c r="Y94" s="2718">
        <f t="shared" si="21"/>
        <v>0</v>
      </c>
    </row>
    <row r="95" spans="1:25">
      <c r="A95" s="2473" t="str">
        <f t="shared" si="17"/>
        <v/>
      </c>
      <c r="B95" s="2737"/>
      <c r="C95" s="2737"/>
      <c r="D95" s="2737"/>
      <c r="E95" s="2738"/>
      <c r="F95" s="2738"/>
      <c r="G95" s="2738"/>
      <c r="H95" s="2739"/>
      <c r="I95" s="2740"/>
      <c r="J95" s="2740"/>
      <c r="K95" s="2740"/>
      <c r="L95" s="2740"/>
      <c r="M95" s="2738"/>
      <c r="N95" s="2738"/>
      <c r="O95" s="2474">
        <f t="shared" si="11"/>
        <v>0</v>
      </c>
      <c r="P95" s="2474">
        <f t="shared" si="12"/>
        <v>0</v>
      </c>
      <c r="Q95" s="2475">
        <f t="shared" si="18"/>
        <v>0</v>
      </c>
      <c r="R95" s="2475">
        <f t="shared" si="19"/>
        <v>0</v>
      </c>
      <c r="S95" s="2476">
        <f t="shared" si="13"/>
        <v>0</v>
      </c>
      <c r="T95" s="2476">
        <f t="shared" si="14"/>
        <v>0</v>
      </c>
      <c r="U95" s="2477">
        <f>IF(OR(E95="QS",B95=""),0,
IF(C95="F",VLOOKUP($T95,'表30-5-2-5-3'!$B:$AF,MATCH($D95&amp;"a",'表30-5-2-5-3'!$4:$4,0)-1,FALSE)
-IF($S95-1&lt;=0,0,VLOOKUP($S95-1,'表30-5-2-5-3'!$B:$AF,MATCH($D95&amp;"a",'表30-5-2-5-3'!$4:$4,0)-1,FALSE))
-VLOOKUP($T95,'表30-5-2-5-3'!$B:$AF,MATCH($D95,'表30-5-2-5-3'!$4:$4,0)-1,FALSE)*(T95/100-N95/H95)*100
-VLOOKUP($S95,'表30-5-2-5-3'!$B:$AF,MATCH($D95,'表30-5-2-5-3'!$4:$4,0)-1,FALSE)*(1-(S95/100-M95/H95)*100),
IF(C95="E1",VLOOKUP($T95,'表30-5-2-5-4'!$B$4:$AF$104,MATCH($D95&amp;"a",'表30-5-2-5-4'!$4:$4,0)-1,FALSE)
-IF($S95-1&lt;=0,0,VLOOKUP($S95-1,'表30-5-2-5-4'!$B$4:$AF$104,MATCH($D95&amp;"a",'表30-5-2-5-4'!$4:$4,0)-1,FALSE))
-VLOOKUP($T95,'表30-5-2-5-4'!$B$4:$AF$104,MATCH($D95,'表30-5-2-5-4'!$4:$4,0)-1,FALSE)*(T95/100-N95/H95)*100
-VLOOKUP($S95,'表30-5-2-5-4'!$B$4:$AF$104,MATCH($D95,'表30-5-2-5-4'!$4:$4,0)-1,FALSE)*(1-(S95/100-M95/H95)*100),
IF(C95="E2",VLOOKUP($T95,'表30-5-2-5-4'!$B$114:$AF$214,MATCH($D95&amp;"a",'表30-5-2-5-4'!$4:$4,0)-1,FALSE)
-IF($S95-1&lt;=0,0,VLOOKUP($S95-1,'表30-5-2-5-4'!$B$114:$AF$214,MATCH($D95&amp;"a",'表30-5-2-5-4'!$4:$4,0)-1,FALSE))
-VLOOKUP($T95,'表30-5-2-5-4'!$B$114:$AF$214,MATCH($D95,'表30-5-2-5-4'!$4:$4,0)-1,FALSE)*(T95/100-N95/H95)*100
-VLOOKUP($S95,'表30-5-2-5-4'!$B$114:$AF$214,MATCH($D95,'表30-5-2-5-4'!$4:$4,0)-1,FALSE)*(1-(S95/100-M95/H95)*100),0))))</f>
        <v>0</v>
      </c>
      <c r="V95" s="2478">
        <f t="shared" si="15"/>
        <v>0</v>
      </c>
      <c r="W95" s="2478">
        <f t="shared" si="16"/>
        <v>0</v>
      </c>
      <c r="X95" s="2718">
        <f t="shared" si="20"/>
        <v>0</v>
      </c>
      <c r="Y95" s="2718">
        <f t="shared" si="21"/>
        <v>0</v>
      </c>
    </row>
    <row r="96" spans="1:25">
      <c r="A96" s="2473" t="str">
        <f t="shared" si="17"/>
        <v/>
      </c>
      <c r="B96" s="2737"/>
      <c r="C96" s="2737"/>
      <c r="D96" s="2737"/>
      <c r="E96" s="2738"/>
      <c r="F96" s="2738"/>
      <c r="G96" s="2738"/>
      <c r="H96" s="2739"/>
      <c r="I96" s="2740"/>
      <c r="J96" s="2740"/>
      <c r="K96" s="2740"/>
      <c r="L96" s="2740"/>
      <c r="M96" s="2738"/>
      <c r="N96" s="2738"/>
      <c r="O96" s="2474">
        <f t="shared" si="11"/>
        <v>0</v>
      </c>
      <c r="P96" s="2474">
        <f t="shared" si="12"/>
        <v>0</v>
      </c>
      <c r="Q96" s="2475">
        <f t="shared" si="18"/>
        <v>0</v>
      </c>
      <c r="R96" s="2475">
        <f t="shared" si="19"/>
        <v>0</v>
      </c>
      <c r="S96" s="2476">
        <f t="shared" si="13"/>
        <v>0</v>
      </c>
      <c r="T96" s="2476">
        <f t="shared" si="14"/>
        <v>0</v>
      </c>
      <c r="U96" s="2477">
        <f>IF(OR(E96="QS",B96=""),0,
IF(C96="F",VLOOKUP($T96,'表30-5-2-5-3'!$B:$AF,MATCH($D96&amp;"a",'表30-5-2-5-3'!$4:$4,0)-1,FALSE)
-IF($S96-1&lt;=0,0,VLOOKUP($S96-1,'表30-5-2-5-3'!$B:$AF,MATCH($D96&amp;"a",'表30-5-2-5-3'!$4:$4,0)-1,FALSE))
-VLOOKUP($T96,'表30-5-2-5-3'!$B:$AF,MATCH($D96,'表30-5-2-5-3'!$4:$4,0)-1,FALSE)*(T96/100-N96/H96)*100
-VLOOKUP($S96,'表30-5-2-5-3'!$B:$AF,MATCH($D96,'表30-5-2-5-3'!$4:$4,0)-1,FALSE)*(1-(S96/100-M96/H96)*100),
IF(C96="E1",VLOOKUP($T96,'表30-5-2-5-4'!$B$4:$AF$104,MATCH($D96&amp;"a",'表30-5-2-5-4'!$4:$4,0)-1,FALSE)
-IF($S96-1&lt;=0,0,VLOOKUP($S96-1,'表30-5-2-5-4'!$B$4:$AF$104,MATCH($D96&amp;"a",'表30-5-2-5-4'!$4:$4,0)-1,FALSE))
-VLOOKUP($T96,'表30-5-2-5-4'!$B$4:$AF$104,MATCH($D96,'表30-5-2-5-4'!$4:$4,0)-1,FALSE)*(T96/100-N96/H96)*100
-VLOOKUP($S96,'表30-5-2-5-4'!$B$4:$AF$104,MATCH($D96,'表30-5-2-5-4'!$4:$4,0)-1,FALSE)*(1-(S96/100-M96/H96)*100),
IF(C96="E2",VLOOKUP($T96,'表30-5-2-5-4'!$B$114:$AF$214,MATCH($D96&amp;"a",'表30-5-2-5-4'!$4:$4,0)-1,FALSE)
-IF($S96-1&lt;=0,0,VLOOKUP($S96-1,'表30-5-2-5-4'!$B$114:$AF$214,MATCH($D96&amp;"a",'表30-5-2-5-4'!$4:$4,0)-1,FALSE))
-VLOOKUP($T96,'表30-5-2-5-4'!$B$114:$AF$214,MATCH($D96,'表30-5-2-5-4'!$4:$4,0)-1,FALSE)*(T96/100-N96/H96)*100
-VLOOKUP($S96,'表30-5-2-5-4'!$B$114:$AF$214,MATCH($D96,'表30-5-2-5-4'!$4:$4,0)-1,FALSE)*(1-(S96/100-M96/H96)*100),0))))</f>
        <v>0</v>
      </c>
      <c r="V96" s="2478">
        <f t="shared" si="15"/>
        <v>0</v>
      </c>
      <c r="W96" s="2478">
        <f t="shared" si="16"/>
        <v>0</v>
      </c>
      <c r="X96" s="2718">
        <f t="shared" si="20"/>
        <v>0</v>
      </c>
      <c r="Y96" s="2718">
        <f t="shared" si="21"/>
        <v>0</v>
      </c>
    </row>
    <row r="97" spans="1:25">
      <c r="A97" s="2473" t="str">
        <f t="shared" si="17"/>
        <v/>
      </c>
      <c r="B97" s="2737"/>
      <c r="C97" s="2737"/>
      <c r="D97" s="2737"/>
      <c r="E97" s="2738"/>
      <c r="F97" s="2738"/>
      <c r="G97" s="2738"/>
      <c r="H97" s="2739"/>
      <c r="I97" s="2740"/>
      <c r="J97" s="2740"/>
      <c r="K97" s="2740"/>
      <c r="L97" s="2740"/>
      <c r="M97" s="2738"/>
      <c r="N97" s="2738"/>
      <c r="O97" s="2474">
        <f t="shared" si="11"/>
        <v>0</v>
      </c>
      <c r="P97" s="2474">
        <f t="shared" si="12"/>
        <v>0</v>
      </c>
      <c r="Q97" s="2475">
        <f t="shared" si="18"/>
        <v>0</v>
      </c>
      <c r="R97" s="2475">
        <f t="shared" si="19"/>
        <v>0</v>
      </c>
      <c r="S97" s="2476">
        <f t="shared" si="13"/>
        <v>0</v>
      </c>
      <c r="T97" s="2476">
        <f t="shared" si="14"/>
        <v>0</v>
      </c>
      <c r="U97" s="2477">
        <f>IF(OR(E97="QS",B97=""),0,
IF(C97="F",VLOOKUP($T97,'表30-5-2-5-3'!$B:$AF,MATCH($D97&amp;"a",'表30-5-2-5-3'!$4:$4,0)-1,FALSE)
-IF($S97-1&lt;=0,0,VLOOKUP($S97-1,'表30-5-2-5-3'!$B:$AF,MATCH($D97&amp;"a",'表30-5-2-5-3'!$4:$4,0)-1,FALSE))
-VLOOKUP($T97,'表30-5-2-5-3'!$B:$AF,MATCH($D97,'表30-5-2-5-3'!$4:$4,0)-1,FALSE)*(T97/100-N97/H97)*100
-VLOOKUP($S97,'表30-5-2-5-3'!$B:$AF,MATCH($D97,'表30-5-2-5-3'!$4:$4,0)-1,FALSE)*(1-(S97/100-M97/H97)*100),
IF(C97="E1",VLOOKUP($T97,'表30-5-2-5-4'!$B$4:$AF$104,MATCH($D97&amp;"a",'表30-5-2-5-4'!$4:$4,0)-1,FALSE)
-IF($S97-1&lt;=0,0,VLOOKUP($S97-1,'表30-5-2-5-4'!$B$4:$AF$104,MATCH($D97&amp;"a",'表30-5-2-5-4'!$4:$4,0)-1,FALSE))
-VLOOKUP($T97,'表30-5-2-5-4'!$B$4:$AF$104,MATCH($D97,'表30-5-2-5-4'!$4:$4,0)-1,FALSE)*(T97/100-N97/H97)*100
-VLOOKUP($S97,'表30-5-2-5-4'!$B$4:$AF$104,MATCH($D97,'表30-5-2-5-4'!$4:$4,0)-1,FALSE)*(1-(S97/100-M97/H97)*100),
IF(C97="E2",VLOOKUP($T97,'表30-5-2-5-4'!$B$114:$AF$214,MATCH($D97&amp;"a",'表30-5-2-5-4'!$4:$4,0)-1,FALSE)
-IF($S97-1&lt;=0,0,VLOOKUP($S97-1,'表30-5-2-5-4'!$B$114:$AF$214,MATCH($D97&amp;"a",'表30-5-2-5-4'!$4:$4,0)-1,FALSE))
-VLOOKUP($T97,'表30-5-2-5-4'!$B$114:$AF$214,MATCH($D97,'表30-5-2-5-4'!$4:$4,0)-1,FALSE)*(T97/100-N97/H97)*100
-VLOOKUP($S97,'表30-5-2-5-4'!$B$114:$AF$214,MATCH($D97,'表30-5-2-5-4'!$4:$4,0)-1,FALSE)*(1-(S97/100-M97/H97)*100),0))))</f>
        <v>0</v>
      </c>
      <c r="V97" s="2478">
        <f t="shared" si="15"/>
        <v>0</v>
      </c>
      <c r="W97" s="2478">
        <f t="shared" si="16"/>
        <v>0</v>
      </c>
      <c r="X97" s="2718">
        <f t="shared" si="20"/>
        <v>0</v>
      </c>
      <c r="Y97" s="2718">
        <f t="shared" si="21"/>
        <v>0</v>
      </c>
    </row>
    <row r="98" spans="1:25">
      <c r="A98" s="2473" t="str">
        <f t="shared" si="17"/>
        <v/>
      </c>
      <c r="B98" s="2737"/>
      <c r="C98" s="2737"/>
      <c r="D98" s="2737"/>
      <c r="E98" s="2738"/>
      <c r="F98" s="2738"/>
      <c r="G98" s="2738"/>
      <c r="H98" s="2739"/>
      <c r="I98" s="2740"/>
      <c r="J98" s="2740"/>
      <c r="K98" s="2740"/>
      <c r="L98" s="2740"/>
      <c r="M98" s="2738"/>
      <c r="N98" s="2738"/>
      <c r="O98" s="2474">
        <f t="shared" si="11"/>
        <v>0</v>
      </c>
      <c r="P98" s="2474">
        <f t="shared" si="12"/>
        <v>0</v>
      </c>
      <c r="Q98" s="2475">
        <f t="shared" si="18"/>
        <v>0</v>
      </c>
      <c r="R98" s="2475">
        <f t="shared" si="19"/>
        <v>0</v>
      </c>
      <c r="S98" s="2476">
        <f t="shared" si="13"/>
        <v>0</v>
      </c>
      <c r="T98" s="2476">
        <f t="shared" si="14"/>
        <v>0</v>
      </c>
      <c r="U98" s="2477">
        <f>IF(OR(E98="QS",B98=""),0,
IF(C98="F",VLOOKUP($T98,'表30-5-2-5-3'!$B:$AF,MATCH($D98&amp;"a",'表30-5-2-5-3'!$4:$4,0)-1,FALSE)
-IF($S98-1&lt;=0,0,VLOOKUP($S98-1,'表30-5-2-5-3'!$B:$AF,MATCH($D98&amp;"a",'表30-5-2-5-3'!$4:$4,0)-1,FALSE))
-VLOOKUP($T98,'表30-5-2-5-3'!$B:$AF,MATCH($D98,'表30-5-2-5-3'!$4:$4,0)-1,FALSE)*(T98/100-N98/H98)*100
-VLOOKUP($S98,'表30-5-2-5-3'!$B:$AF,MATCH($D98,'表30-5-2-5-3'!$4:$4,0)-1,FALSE)*(1-(S98/100-M98/H98)*100),
IF(C98="E1",VLOOKUP($T98,'表30-5-2-5-4'!$B$4:$AF$104,MATCH($D98&amp;"a",'表30-5-2-5-4'!$4:$4,0)-1,FALSE)
-IF($S98-1&lt;=0,0,VLOOKUP($S98-1,'表30-5-2-5-4'!$B$4:$AF$104,MATCH($D98&amp;"a",'表30-5-2-5-4'!$4:$4,0)-1,FALSE))
-VLOOKUP($T98,'表30-5-2-5-4'!$B$4:$AF$104,MATCH($D98,'表30-5-2-5-4'!$4:$4,0)-1,FALSE)*(T98/100-N98/H98)*100
-VLOOKUP($S98,'表30-5-2-5-4'!$B$4:$AF$104,MATCH($D98,'表30-5-2-5-4'!$4:$4,0)-1,FALSE)*(1-(S98/100-M98/H98)*100),
IF(C98="E2",VLOOKUP($T98,'表30-5-2-5-4'!$B$114:$AF$214,MATCH($D98&amp;"a",'表30-5-2-5-4'!$4:$4,0)-1,FALSE)
-IF($S98-1&lt;=0,0,VLOOKUP($S98-1,'表30-5-2-5-4'!$B$114:$AF$214,MATCH($D98&amp;"a",'表30-5-2-5-4'!$4:$4,0)-1,FALSE))
-VLOOKUP($T98,'表30-5-2-5-4'!$B$114:$AF$214,MATCH($D98,'表30-5-2-5-4'!$4:$4,0)-1,FALSE)*(T98/100-N98/H98)*100
-VLOOKUP($S98,'表30-5-2-5-4'!$B$114:$AF$214,MATCH($D98,'表30-5-2-5-4'!$4:$4,0)-1,FALSE)*(1-(S98/100-M98/H98)*100),0))))</f>
        <v>0</v>
      </c>
      <c r="V98" s="2478">
        <f t="shared" si="15"/>
        <v>0</v>
      </c>
      <c r="W98" s="2478">
        <f t="shared" si="16"/>
        <v>0</v>
      </c>
      <c r="X98" s="2718">
        <f t="shared" si="20"/>
        <v>0</v>
      </c>
      <c r="Y98" s="2718">
        <f t="shared" si="21"/>
        <v>0</v>
      </c>
    </row>
    <row r="99" spans="1:25">
      <c r="A99" s="2473" t="str">
        <f t="shared" si="17"/>
        <v/>
      </c>
      <c r="B99" s="2737"/>
      <c r="C99" s="2737"/>
      <c r="D99" s="2737"/>
      <c r="E99" s="2738"/>
      <c r="F99" s="2738"/>
      <c r="G99" s="2738"/>
      <c r="H99" s="2739"/>
      <c r="I99" s="2740"/>
      <c r="J99" s="2740"/>
      <c r="K99" s="2740"/>
      <c r="L99" s="2740"/>
      <c r="M99" s="2738"/>
      <c r="N99" s="2738"/>
      <c r="O99" s="2474">
        <f t="shared" si="11"/>
        <v>0</v>
      </c>
      <c r="P99" s="2474">
        <f t="shared" si="12"/>
        <v>0</v>
      </c>
      <c r="Q99" s="2475">
        <f t="shared" si="18"/>
        <v>0</v>
      </c>
      <c r="R99" s="2475">
        <f t="shared" si="19"/>
        <v>0</v>
      </c>
      <c r="S99" s="2476">
        <f t="shared" si="13"/>
        <v>0</v>
      </c>
      <c r="T99" s="2476">
        <f t="shared" si="14"/>
        <v>0</v>
      </c>
      <c r="U99" s="2477">
        <f>IF(OR(E99="QS",B99=""),0,
IF(C99="F",VLOOKUP($T99,'表30-5-2-5-3'!$B:$AF,MATCH($D99&amp;"a",'表30-5-2-5-3'!$4:$4,0)-1,FALSE)
-IF($S99-1&lt;=0,0,VLOOKUP($S99-1,'表30-5-2-5-3'!$B:$AF,MATCH($D99&amp;"a",'表30-5-2-5-3'!$4:$4,0)-1,FALSE))
-VLOOKUP($T99,'表30-5-2-5-3'!$B:$AF,MATCH($D99,'表30-5-2-5-3'!$4:$4,0)-1,FALSE)*(T99/100-N99/H99)*100
-VLOOKUP($S99,'表30-5-2-5-3'!$B:$AF,MATCH($D99,'表30-5-2-5-3'!$4:$4,0)-1,FALSE)*(1-(S99/100-M99/H99)*100),
IF(C99="E1",VLOOKUP($T99,'表30-5-2-5-4'!$B$4:$AF$104,MATCH($D99&amp;"a",'表30-5-2-5-4'!$4:$4,0)-1,FALSE)
-IF($S99-1&lt;=0,0,VLOOKUP($S99-1,'表30-5-2-5-4'!$B$4:$AF$104,MATCH($D99&amp;"a",'表30-5-2-5-4'!$4:$4,0)-1,FALSE))
-VLOOKUP($T99,'表30-5-2-5-4'!$B$4:$AF$104,MATCH($D99,'表30-5-2-5-4'!$4:$4,0)-1,FALSE)*(T99/100-N99/H99)*100
-VLOOKUP($S99,'表30-5-2-5-4'!$B$4:$AF$104,MATCH($D99,'表30-5-2-5-4'!$4:$4,0)-1,FALSE)*(1-(S99/100-M99/H99)*100),
IF(C99="E2",VLOOKUP($T99,'表30-5-2-5-4'!$B$114:$AF$214,MATCH($D99&amp;"a",'表30-5-2-5-4'!$4:$4,0)-1,FALSE)
-IF($S99-1&lt;=0,0,VLOOKUP($S99-1,'表30-5-2-5-4'!$B$114:$AF$214,MATCH($D99&amp;"a",'表30-5-2-5-4'!$4:$4,0)-1,FALSE))
-VLOOKUP($T99,'表30-5-2-5-4'!$B$114:$AF$214,MATCH($D99,'表30-5-2-5-4'!$4:$4,0)-1,FALSE)*(T99/100-N99/H99)*100
-VLOOKUP($S99,'表30-5-2-5-4'!$B$114:$AF$214,MATCH($D99,'表30-5-2-5-4'!$4:$4,0)-1,FALSE)*(1-(S99/100-M99/H99)*100),0))))</f>
        <v>0</v>
      </c>
      <c r="V99" s="2478">
        <f t="shared" si="15"/>
        <v>0</v>
      </c>
      <c r="W99" s="2478">
        <f t="shared" si="16"/>
        <v>0</v>
      </c>
      <c r="X99" s="2718">
        <f t="shared" si="20"/>
        <v>0</v>
      </c>
      <c r="Y99" s="2718">
        <f t="shared" si="21"/>
        <v>0</v>
      </c>
    </row>
    <row r="100" spans="1:25">
      <c r="A100" s="2473" t="str">
        <f t="shared" si="17"/>
        <v/>
      </c>
      <c r="B100" s="2737"/>
      <c r="C100" s="2737"/>
      <c r="D100" s="2737"/>
      <c r="E100" s="2738"/>
      <c r="F100" s="2738"/>
      <c r="G100" s="2738"/>
      <c r="H100" s="2739"/>
      <c r="I100" s="2740"/>
      <c r="J100" s="2740"/>
      <c r="K100" s="2740"/>
      <c r="L100" s="2740"/>
      <c r="M100" s="2738"/>
      <c r="N100" s="2738"/>
      <c r="O100" s="2474">
        <f t="shared" si="11"/>
        <v>0</v>
      </c>
      <c r="P100" s="2474">
        <f t="shared" si="12"/>
        <v>0</v>
      </c>
      <c r="Q100" s="2475">
        <f t="shared" si="18"/>
        <v>0</v>
      </c>
      <c r="R100" s="2475">
        <f t="shared" si="19"/>
        <v>0</v>
      </c>
      <c r="S100" s="2476">
        <f t="shared" si="13"/>
        <v>0</v>
      </c>
      <c r="T100" s="2476">
        <f t="shared" si="14"/>
        <v>0</v>
      </c>
      <c r="U100" s="2477">
        <f>IF(OR(E100="QS",B100=""),0,
IF(C100="F",VLOOKUP($T100,'表30-5-2-5-3'!$B:$AF,MATCH($D100&amp;"a",'表30-5-2-5-3'!$4:$4,0)-1,FALSE)
-IF($S100-1&lt;=0,0,VLOOKUP($S100-1,'表30-5-2-5-3'!$B:$AF,MATCH($D100&amp;"a",'表30-5-2-5-3'!$4:$4,0)-1,FALSE))
-VLOOKUP($T100,'表30-5-2-5-3'!$B:$AF,MATCH($D100,'表30-5-2-5-3'!$4:$4,0)-1,FALSE)*(T100/100-N100/H100)*100
-VLOOKUP($S100,'表30-5-2-5-3'!$B:$AF,MATCH($D100,'表30-5-2-5-3'!$4:$4,0)-1,FALSE)*(1-(S100/100-M100/H100)*100),
IF(C100="E1",VLOOKUP($T100,'表30-5-2-5-4'!$B$4:$AF$104,MATCH($D100&amp;"a",'表30-5-2-5-4'!$4:$4,0)-1,FALSE)
-IF($S100-1&lt;=0,0,VLOOKUP($S100-1,'表30-5-2-5-4'!$B$4:$AF$104,MATCH($D100&amp;"a",'表30-5-2-5-4'!$4:$4,0)-1,FALSE))
-VLOOKUP($T100,'表30-5-2-5-4'!$B$4:$AF$104,MATCH($D100,'表30-5-2-5-4'!$4:$4,0)-1,FALSE)*(T100/100-N100/H100)*100
-VLOOKUP($S100,'表30-5-2-5-4'!$B$4:$AF$104,MATCH($D100,'表30-5-2-5-4'!$4:$4,0)-1,FALSE)*(1-(S100/100-M100/H100)*100),
IF(C100="E2",VLOOKUP($T100,'表30-5-2-5-4'!$B$114:$AF$214,MATCH($D100&amp;"a",'表30-5-2-5-4'!$4:$4,0)-1,FALSE)
-IF($S100-1&lt;=0,0,VLOOKUP($S100-1,'表30-5-2-5-4'!$B$114:$AF$214,MATCH($D100&amp;"a",'表30-5-2-5-4'!$4:$4,0)-1,FALSE))
-VLOOKUP($T100,'表30-5-2-5-4'!$B$114:$AF$214,MATCH($D100,'表30-5-2-5-4'!$4:$4,0)-1,FALSE)*(T100/100-N100/H100)*100
-VLOOKUP($S100,'表30-5-2-5-4'!$B$114:$AF$214,MATCH($D100,'表30-5-2-5-4'!$4:$4,0)-1,FALSE)*(1-(S100/100-M100/H100)*100),0))))</f>
        <v>0</v>
      </c>
      <c r="V100" s="2478">
        <f t="shared" si="15"/>
        <v>0</v>
      </c>
      <c r="W100" s="2478">
        <f t="shared" si="16"/>
        <v>0</v>
      </c>
      <c r="X100" s="2718">
        <f t="shared" si="20"/>
        <v>0</v>
      </c>
      <c r="Y100" s="2718">
        <f t="shared" si="21"/>
        <v>0</v>
      </c>
    </row>
    <row r="101" spans="1:25">
      <c r="A101" s="2473" t="str">
        <f t="shared" si="17"/>
        <v/>
      </c>
      <c r="B101" s="2737"/>
      <c r="C101" s="2737"/>
      <c r="D101" s="2737"/>
      <c r="E101" s="2738"/>
      <c r="F101" s="2738"/>
      <c r="G101" s="2738"/>
      <c r="H101" s="2739"/>
      <c r="I101" s="2740"/>
      <c r="J101" s="2740"/>
      <c r="K101" s="2740"/>
      <c r="L101" s="2740"/>
      <c r="M101" s="2738"/>
      <c r="N101" s="2738"/>
      <c r="O101" s="2474">
        <f t="shared" si="11"/>
        <v>0</v>
      </c>
      <c r="P101" s="2474">
        <f t="shared" si="12"/>
        <v>0</v>
      </c>
      <c r="Q101" s="2475">
        <f t="shared" si="18"/>
        <v>0</v>
      </c>
      <c r="R101" s="2475">
        <f t="shared" si="19"/>
        <v>0</v>
      </c>
      <c r="S101" s="2476">
        <f t="shared" si="13"/>
        <v>0</v>
      </c>
      <c r="T101" s="2476">
        <f t="shared" si="14"/>
        <v>0</v>
      </c>
      <c r="U101" s="2477">
        <f>IF(OR(E101="QS",B101=""),0,
IF(C101="F",VLOOKUP($T101,'表30-5-2-5-3'!$B:$AF,MATCH($D101&amp;"a",'表30-5-2-5-3'!$4:$4,0)-1,FALSE)
-IF($S101-1&lt;=0,0,VLOOKUP($S101-1,'表30-5-2-5-3'!$B:$AF,MATCH($D101&amp;"a",'表30-5-2-5-3'!$4:$4,0)-1,FALSE))
-VLOOKUP($T101,'表30-5-2-5-3'!$B:$AF,MATCH($D101,'表30-5-2-5-3'!$4:$4,0)-1,FALSE)*(T101/100-N101/H101)*100
-VLOOKUP($S101,'表30-5-2-5-3'!$B:$AF,MATCH($D101,'表30-5-2-5-3'!$4:$4,0)-1,FALSE)*(1-(S101/100-M101/H101)*100),
IF(C101="E1",VLOOKUP($T101,'表30-5-2-5-4'!$B$4:$AF$104,MATCH($D101&amp;"a",'表30-5-2-5-4'!$4:$4,0)-1,FALSE)
-IF($S101-1&lt;=0,0,VLOOKUP($S101-1,'表30-5-2-5-4'!$B$4:$AF$104,MATCH($D101&amp;"a",'表30-5-2-5-4'!$4:$4,0)-1,FALSE))
-VLOOKUP($T101,'表30-5-2-5-4'!$B$4:$AF$104,MATCH($D101,'表30-5-2-5-4'!$4:$4,0)-1,FALSE)*(T101/100-N101/H101)*100
-VLOOKUP($S101,'表30-5-2-5-4'!$B$4:$AF$104,MATCH($D101,'表30-5-2-5-4'!$4:$4,0)-1,FALSE)*(1-(S101/100-M101/H101)*100),
IF(C101="E2",VLOOKUP($T101,'表30-5-2-5-4'!$B$114:$AF$214,MATCH($D101&amp;"a",'表30-5-2-5-4'!$4:$4,0)-1,FALSE)
-IF($S101-1&lt;=0,0,VLOOKUP($S101-1,'表30-5-2-5-4'!$B$114:$AF$214,MATCH($D101&amp;"a",'表30-5-2-5-4'!$4:$4,0)-1,FALSE))
-VLOOKUP($T101,'表30-5-2-5-4'!$B$114:$AF$214,MATCH($D101,'表30-5-2-5-4'!$4:$4,0)-1,FALSE)*(T101/100-N101/H101)*100
-VLOOKUP($S101,'表30-5-2-5-4'!$B$114:$AF$214,MATCH($D101,'表30-5-2-5-4'!$4:$4,0)-1,FALSE)*(1-(S101/100-M101/H101)*100),0))))</f>
        <v>0</v>
      </c>
      <c r="V101" s="2478">
        <f t="shared" si="15"/>
        <v>0</v>
      </c>
      <c r="W101" s="2478">
        <f t="shared" si="16"/>
        <v>0</v>
      </c>
      <c r="X101" s="2718">
        <f t="shared" si="20"/>
        <v>0</v>
      </c>
      <c r="Y101" s="2718">
        <f t="shared" si="21"/>
        <v>0</v>
      </c>
    </row>
    <row r="102" spans="1:25">
      <c r="A102" s="2473" t="str">
        <f t="shared" si="17"/>
        <v/>
      </c>
      <c r="B102" s="2737"/>
      <c r="C102" s="2737"/>
      <c r="D102" s="2737"/>
      <c r="E102" s="2738"/>
      <c r="F102" s="2738"/>
      <c r="G102" s="2738"/>
      <c r="H102" s="2739"/>
      <c r="I102" s="2740"/>
      <c r="J102" s="2740"/>
      <c r="K102" s="2740"/>
      <c r="L102" s="2740"/>
      <c r="M102" s="2738"/>
      <c r="N102" s="2738"/>
      <c r="O102" s="2474">
        <f t="shared" si="11"/>
        <v>0</v>
      </c>
      <c r="P102" s="2474">
        <f t="shared" si="12"/>
        <v>0</v>
      </c>
      <c r="Q102" s="2475">
        <f t="shared" si="18"/>
        <v>0</v>
      </c>
      <c r="R102" s="2475">
        <f t="shared" si="19"/>
        <v>0</v>
      </c>
      <c r="S102" s="2476">
        <f t="shared" si="13"/>
        <v>0</v>
      </c>
      <c r="T102" s="2476">
        <f t="shared" si="14"/>
        <v>0</v>
      </c>
      <c r="U102" s="2477">
        <f>IF(OR(E102="QS",B102=""),0,
IF(C102="F",VLOOKUP($T102,'表30-5-2-5-3'!$B:$AF,MATCH($D102&amp;"a",'表30-5-2-5-3'!$4:$4,0)-1,FALSE)
-IF($S102-1&lt;=0,0,VLOOKUP($S102-1,'表30-5-2-5-3'!$B:$AF,MATCH($D102&amp;"a",'表30-5-2-5-3'!$4:$4,0)-1,FALSE))
-VLOOKUP($T102,'表30-5-2-5-3'!$B:$AF,MATCH($D102,'表30-5-2-5-3'!$4:$4,0)-1,FALSE)*(T102/100-N102/H102)*100
-VLOOKUP($S102,'表30-5-2-5-3'!$B:$AF,MATCH($D102,'表30-5-2-5-3'!$4:$4,0)-1,FALSE)*(1-(S102/100-M102/H102)*100),
IF(C102="E1",VLOOKUP($T102,'表30-5-2-5-4'!$B$4:$AF$104,MATCH($D102&amp;"a",'表30-5-2-5-4'!$4:$4,0)-1,FALSE)
-IF($S102-1&lt;=0,0,VLOOKUP($S102-1,'表30-5-2-5-4'!$B$4:$AF$104,MATCH($D102&amp;"a",'表30-5-2-5-4'!$4:$4,0)-1,FALSE))
-VLOOKUP($T102,'表30-5-2-5-4'!$B$4:$AF$104,MATCH($D102,'表30-5-2-5-4'!$4:$4,0)-1,FALSE)*(T102/100-N102/H102)*100
-VLOOKUP($S102,'表30-5-2-5-4'!$B$4:$AF$104,MATCH($D102,'表30-5-2-5-4'!$4:$4,0)-1,FALSE)*(1-(S102/100-M102/H102)*100),
IF(C102="E2",VLOOKUP($T102,'表30-5-2-5-4'!$B$114:$AF$214,MATCH($D102&amp;"a",'表30-5-2-5-4'!$4:$4,0)-1,FALSE)
-IF($S102-1&lt;=0,0,VLOOKUP($S102-1,'表30-5-2-5-4'!$B$114:$AF$214,MATCH($D102&amp;"a",'表30-5-2-5-4'!$4:$4,0)-1,FALSE))
-VLOOKUP($T102,'表30-5-2-5-4'!$B$114:$AF$214,MATCH($D102,'表30-5-2-5-4'!$4:$4,0)-1,FALSE)*(T102/100-N102/H102)*100
-VLOOKUP($S102,'表30-5-2-5-4'!$B$114:$AF$214,MATCH($D102,'表30-5-2-5-4'!$4:$4,0)-1,FALSE)*(1-(S102/100-M102/H102)*100),0))))</f>
        <v>0</v>
      </c>
      <c r="V102" s="2478">
        <f t="shared" si="15"/>
        <v>0</v>
      </c>
      <c r="W102" s="2478">
        <f t="shared" si="16"/>
        <v>0</v>
      </c>
      <c r="X102" s="2718">
        <f t="shared" si="20"/>
        <v>0</v>
      </c>
      <c r="Y102" s="2718">
        <f t="shared" si="21"/>
        <v>0</v>
      </c>
    </row>
    <row r="103" spans="1:25">
      <c r="A103" s="2473" t="str">
        <f t="shared" si="17"/>
        <v/>
      </c>
      <c r="B103" s="2737"/>
      <c r="C103" s="2737"/>
      <c r="D103" s="2737"/>
      <c r="E103" s="2738"/>
      <c r="F103" s="2738"/>
      <c r="G103" s="2738"/>
      <c r="H103" s="2739"/>
      <c r="I103" s="2740"/>
      <c r="J103" s="2740"/>
      <c r="K103" s="2740"/>
      <c r="L103" s="2740"/>
      <c r="M103" s="2738"/>
      <c r="N103" s="2738"/>
      <c r="O103" s="2474">
        <f t="shared" si="11"/>
        <v>0</v>
      </c>
      <c r="P103" s="2474">
        <f t="shared" si="12"/>
        <v>0</v>
      </c>
      <c r="Q103" s="2475">
        <f t="shared" si="18"/>
        <v>0</v>
      </c>
      <c r="R103" s="2475">
        <f t="shared" si="19"/>
        <v>0</v>
      </c>
      <c r="S103" s="2476">
        <f t="shared" si="13"/>
        <v>0</v>
      </c>
      <c r="T103" s="2476">
        <f t="shared" si="14"/>
        <v>0</v>
      </c>
      <c r="U103" s="2477">
        <f>IF(OR(E103="QS",B103=""),0,
IF(C103="F",VLOOKUP($T103,'表30-5-2-5-3'!$B:$AF,MATCH($D103&amp;"a",'表30-5-2-5-3'!$4:$4,0)-1,FALSE)
-IF($S103-1&lt;=0,0,VLOOKUP($S103-1,'表30-5-2-5-3'!$B:$AF,MATCH($D103&amp;"a",'表30-5-2-5-3'!$4:$4,0)-1,FALSE))
-VLOOKUP($T103,'表30-5-2-5-3'!$B:$AF,MATCH($D103,'表30-5-2-5-3'!$4:$4,0)-1,FALSE)*(T103/100-N103/H103)*100
-VLOOKUP($S103,'表30-5-2-5-3'!$B:$AF,MATCH($D103,'表30-5-2-5-3'!$4:$4,0)-1,FALSE)*(1-(S103/100-M103/H103)*100),
IF(C103="E1",VLOOKUP($T103,'表30-5-2-5-4'!$B$4:$AF$104,MATCH($D103&amp;"a",'表30-5-2-5-4'!$4:$4,0)-1,FALSE)
-IF($S103-1&lt;=0,0,VLOOKUP($S103-1,'表30-5-2-5-4'!$B$4:$AF$104,MATCH($D103&amp;"a",'表30-5-2-5-4'!$4:$4,0)-1,FALSE))
-VLOOKUP($T103,'表30-5-2-5-4'!$B$4:$AF$104,MATCH($D103,'表30-5-2-5-4'!$4:$4,0)-1,FALSE)*(T103/100-N103/H103)*100
-VLOOKUP($S103,'表30-5-2-5-4'!$B$4:$AF$104,MATCH($D103,'表30-5-2-5-4'!$4:$4,0)-1,FALSE)*(1-(S103/100-M103/H103)*100),
IF(C103="E2",VLOOKUP($T103,'表30-5-2-5-4'!$B$114:$AF$214,MATCH($D103&amp;"a",'表30-5-2-5-4'!$4:$4,0)-1,FALSE)
-IF($S103-1&lt;=0,0,VLOOKUP($S103-1,'表30-5-2-5-4'!$B$114:$AF$214,MATCH($D103&amp;"a",'表30-5-2-5-4'!$4:$4,0)-1,FALSE))
-VLOOKUP($T103,'表30-5-2-5-4'!$B$114:$AF$214,MATCH($D103,'表30-5-2-5-4'!$4:$4,0)-1,FALSE)*(T103/100-N103/H103)*100
-VLOOKUP($S103,'表30-5-2-5-4'!$B$114:$AF$214,MATCH($D103,'表30-5-2-5-4'!$4:$4,0)-1,FALSE)*(1-(S103/100-M103/H103)*100),0))))</f>
        <v>0</v>
      </c>
      <c r="V103" s="2478">
        <f t="shared" si="15"/>
        <v>0</v>
      </c>
      <c r="W103" s="2478">
        <f t="shared" si="16"/>
        <v>0</v>
      </c>
      <c r="X103" s="2718">
        <f t="shared" si="20"/>
        <v>0</v>
      </c>
      <c r="Y103" s="2718">
        <f t="shared" si="21"/>
        <v>0</v>
      </c>
    </row>
    <row r="104" spans="1:25">
      <c r="A104" s="2473" t="str">
        <f t="shared" si="17"/>
        <v/>
      </c>
      <c r="B104" s="2737"/>
      <c r="C104" s="2737"/>
      <c r="D104" s="2737"/>
      <c r="E104" s="2738"/>
      <c r="F104" s="2738"/>
      <c r="G104" s="2738"/>
      <c r="H104" s="2739"/>
      <c r="I104" s="2740"/>
      <c r="J104" s="2740"/>
      <c r="K104" s="2740"/>
      <c r="L104" s="2740"/>
      <c r="M104" s="2738"/>
      <c r="N104" s="2738"/>
      <c r="O104" s="2474">
        <f t="shared" si="11"/>
        <v>0</v>
      </c>
      <c r="P104" s="2474">
        <f t="shared" si="12"/>
        <v>0</v>
      </c>
      <c r="Q104" s="2475">
        <f t="shared" si="18"/>
        <v>0</v>
      </c>
      <c r="R104" s="2475">
        <f t="shared" si="19"/>
        <v>0</v>
      </c>
      <c r="S104" s="2476">
        <f t="shared" si="13"/>
        <v>0</v>
      </c>
      <c r="T104" s="2476">
        <f t="shared" si="14"/>
        <v>0</v>
      </c>
      <c r="U104" s="2477">
        <f>IF(OR(E104="QS",B104=""),0,
IF(C104="F",VLOOKUP($T104,'表30-5-2-5-3'!$B:$AF,MATCH($D104&amp;"a",'表30-5-2-5-3'!$4:$4,0)-1,FALSE)
-IF($S104-1&lt;=0,0,VLOOKUP($S104-1,'表30-5-2-5-3'!$B:$AF,MATCH($D104&amp;"a",'表30-5-2-5-3'!$4:$4,0)-1,FALSE))
-VLOOKUP($T104,'表30-5-2-5-3'!$B:$AF,MATCH($D104,'表30-5-2-5-3'!$4:$4,0)-1,FALSE)*(T104/100-N104/H104)*100
-VLOOKUP($S104,'表30-5-2-5-3'!$B:$AF,MATCH($D104,'表30-5-2-5-3'!$4:$4,0)-1,FALSE)*(1-(S104/100-M104/H104)*100),
IF(C104="E1",VLOOKUP($T104,'表30-5-2-5-4'!$B$4:$AF$104,MATCH($D104&amp;"a",'表30-5-2-5-4'!$4:$4,0)-1,FALSE)
-IF($S104-1&lt;=0,0,VLOOKUP($S104-1,'表30-5-2-5-4'!$B$4:$AF$104,MATCH($D104&amp;"a",'表30-5-2-5-4'!$4:$4,0)-1,FALSE))
-VLOOKUP($T104,'表30-5-2-5-4'!$B$4:$AF$104,MATCH($D104,'表30-5-2-5-4'!$4:$4,0)-1,FALSE)*(T104/100-N104/H104)*100
-VLOOKUP($S104,'表30-5-2-5-4'!$B$4:$AF$104,MATCH($D104,'表30-5-2-5-4'!$4:$4,0)-1,FALSE)*(1-(S104/100-M104/H104)*100),
IF(C104="E2",VLOOKUP($T104,'表30-5-2-5-4'!$B$114:$AF$214,MATCH($D104&amp;"a",'表30-5-2-5-4'!$4:$4,0)-1,FALSE)
-IF($S104-1&lt;=0,0,VLOOKUP($S104-1,'表30-5-2-5-4'!$B$114:$AF$214,MATCH($D104&amp;"a",'表30-5-2-5-4'!$4:$4,0)-1,FALSE))
-VLOOKUP($T104,'表30-5-2-5-4'!$B$114:$AF$214,MATCH($D104,'表30-5-2-5-4'!$4:$4,0)-1,FALSE)*(T104/100-N104/H104)*100
-VLOOKUP($S104,'表30-5-2-5-4'!$B$114:$AF$214,MATCH($D104,'表30-5-2-5-4'!$4:$4,0)-1,FALSE)*(1-(S104/100-M104/H104)*100),0))))</f>
        <v>0</v>
      </c>
      <c r="V104" s="2478">
        <f t="shared" si="15"/>
        <v>0</v>
      </c>
      <c r="W104" s="2478">
        <f t="shared" si="16"/>
        <v>0</v>
      </c>
      <c r="X104" s="2718">
        <f t="shared" si="20"/>
        <v>0</v>
      </c>
      <c r="Y104" s="2718">
        <f t="shared" si="21"/>
        <v>0</v>
      </c>
    </row>
    <row r="105" spans="1:25">
      <c r="A105" s="2473" t="str">
        <f t="shared" si="17"/>
        <v/>
      </c>
      <c r="B105" s="2737"/>
      <c r="C105" s="2737"/>
      <c r="D105" s="2737"/>
      <c r="E105" s="2738"/>
      <c r="F105" s="2738"/>
      <c r="G105" s="2738"/>
      <c r="H105" s="2739"/>
      <c r="I105" s="2740"/>
      <c r="J105" s="2740"/>
      <c r="K105" s="2740"/>
      <c r="L105" s="2740"/>
      <c r="M105" s="2738"/>
      <c r="N105" s="2738"/>
      <c r="O105" s="2474">
        <f t="shared" si="11"/>
        <v>0</v>
      </c>
      <c r="P105" s="2474">
        <f t="shared" si="12"/>
        <v>0</v>
      </c>
      <c r="Q105" s="2475">
        <f t="shared" si="18"/>
        <v>0</v>
      </c>
      <c r="R105" s="2475">
        <f t="shared" si="19"/>
        <v>0</v>
      </c>
      <c r="S105" s="2476">
        <f t="shared" si="13"/>
        <v>0</v>
      </c>
      <c r="T105" s="2476">
        <f t="shared" si="14"/>
        <v>0</v>
      </c>
      <c r="U105" s="2477">
        <f>IF(OR(E105="QS",B105=""),0,
IF(C105="F",VLOOKUP($T105,'表30-5-2-5-3'!$B:$AF,MATCH($D105&amp;"a",'表30-5-2-5-3'!$4:$4,0)-1,FALSE)
-IF($S105-1&lt;=0,0,VLOOKUP($S105-1,'表30-5-2-5-3'!$B:$AF,MATCH($D105&amp;"a",'表30-5-2-5-3'!$4:$4,0)-1,FALSE))
-VLOOKUP($T105,'表30-5-2-5-3'!$B:$AF,MATCH($D105,'表30-5-2-5-3'!$4:$4,0)-1,FALSE)*(T105/100-N105/H105)*100
-VLOOKUP($S105,'表30-5-2-5-3'!$B:$AF,MATCH($D105,'表30-5-2-5-3'!$4:$4,0)-1,FALSE)*(1-(S105/100-M105/H105)*100),
IF(C105="E1",VLOOKUP($T105,'表30-5-2-5-4'!$B$4:$AF$104,MATCH($D105&amp;"a",'表30-5-2-5-4'!$4:$4,0)-1,FALSE)
-IF($S105-1&lt;=0,0,VLOOKUP($S105-1,'表30-5-2-5-4'!$B$4:$AF$104,MATCH($D105&amp;"a",'表30-5-2-5-4'!$4:$4,0)-1,FALSE))
-VLOOKUP($T105,'表30-5-2-5-4'!$B$4:$AF$104,MATCH($D105,'表30-5-2-5-4'!$4:$4,0)-1,FALSE)*(T105/100-N105/H105)*100
-VLOOKUP($S105,'表30-5-2-5-4'!$B$4:$AF$104,MATCH($D105,'表30-5-2-5-4'!$4:$4,0)-1,FALSE)*(1-(S105/100-M105/H105)*100),
IF(C105="E2",VLOOKUP($T105,'表30-5-2-5-4'!$B$114:$AF$214,MATCH($D105&amp;"a",'表30-5-2-5-4'!$4:$4,0)-1,FALSE)
-IF($S105-1&lt;=0,0,VLOOKUP($S105-1,'表30-5-2-5-4'!$B$114:$AF$214,MATCH($D105&amp;"a",'表30-5-2-5-4'!$4:$4,0)-1,FALSE))
-VLOOKUP($T105,'表30-5-2-5-4'!$B$114:$AF$214,MATCH($D105,'表30-5-2-5-4'!$4:$4,0)-1,FALSE)*(T105/100-N105/H105)*100
-VLOOKUP($S105,'表30-5-2-5-4'!$B$114:$AF$214,MATCH($D105,'表30-5-2-5-4'!$4:$4,0)-1,FALSE)*(1-(S105/100-M105/H105)*100),0))))</f>
        <v>0</v>
      </c>
      <c r="V105" s="2478">
        <f t="shared" si="15"/>
        <v>0</v>
      </c>
      <c r="W105" s="2478">
        <f t="shared" si="16"/>
        <v>0</v>
      </c>
      <c r="X105" s="2718">
        <f t="shared" si="20"/>
        <v>0</v>
      </c>
      <c r="Y105" s="2718">
        <f t="shared" si="21"/>
        <v>0</v>
      </c>
    </row>
    <row r="106" spans="1:25">
      <c r="A106" s="2473" t="str">
        <f t="shared" si="17"/>
        <v/>
      </c>
      <c r="B106" s="2737"/>
      <c r="C106" s="2737"/>
      <c r="D106" s="2737"/>
      <c r="E106" s="2738"/>
      <c r="F106" s="2738"/>
      <c r="G106" s="2738"/>
      <c r="H106" s="2739"/>
      <c r="I106" s="2740"/>
      <c r="J106" s="2740"/>
      <c r="K106" s="2740"/>
      <c r="L106" s="2740"/>
      <c r="M106" s="2738"/>
      <c r="N106" s="2738"/>
      <c r="O106" s="2474">
        <f t="shared" si="11"/>
        <v>0</v>
      </c>
      <c r="P106" s="2474">
        <f t="shared" si="12"/>
        <v>0</v>
      </c>
      <c r="Q106" s="2475">
        <f t="shared" si="18"/>
        <v>0</v>
      </c>
      <c r="R106" s="2475">
        <f t="shared" si="19"/>
        <v>0</v>
      </c>
      <c r="S106" s="2476">
        <f t="shared" si="13"/>
        <v>0</v>
      </c>
      <c r="T106" s="2476">
        <f t="shared" si="14"/>
        <v>0</v>
      </c>
      <c r="U106" s="2477">
        <f>IF(OR(E106="QS",B106=""),0,
IF(C106="F",VLOOKUP($T106,'表30-5-2-5-3'!$B:$AF,MATCH($D106&amp;"a",'表30-5-2-5-3'!$4:$4,0)-1,FALSE)
-IF($S106-1&lt;=0,0,VLOOKUP($S106-1,'表30-5-2-5-3'!$B:$AF,MATCH($D106&amp;"a",'表30-5-2-5-3'!$4:$4,0)-1,FALSE))
-VLOOKUP($T106,'表30-5-2-5-3'!$B:$AF,MATCH($D106,'表30-5-2-5-3'!$4:$4,0)-1,FALSE)*(T106/100-N106/H106)*100
-VLOOKUP($S106,'表30-5-2-5-3'!$B:$AF,MATCH($D106,'表30-5-2-5-3'!$4:$4,0)-1,FALSE)*(1-(S106/100-M106/H106)*100),
IF(C106="E1",VLOOKUP($T106,'表30-5-2-5-4'!$B$4:$AF$104,MATCH($D106&amp;"a",'表30-5-2-5-4'!$4:$4,0)-1,FALSE)
-IF($S106-1&lt;=0,0,VLOOKUP($S106-1,'表30-5-2-5-4'!$B$4:$AF$104,MATCH($D106&amp;"a",'表30-5-2-5-4'!$4:$4,0)-1,FALSE))
-VLOOKUP($T106,'表30-5-2-5-4'!$B$4:$AF$104,MATCH($D106,'表30-5-2-5-4'!$4:$4,0)-1,FALSE)*(T106/100-N106/H106)*100
-VLOOKUP($S106,'表30-5-2-5-4'!$B$4:$AF$104,MATCH($D106,'表30-5-2-5-4'!$4:$4,0)-1,FALSE)*(1-(S106/100-M106/H106)*100),
IF(C106="E2",VLOOKUP($T106,'表30-5-2-5-4'!$B$114:$AF$214,MATCH($D106&amp;"a",'表30-5-2-5-4'!$4:$4,0)-1,FALSE)
-IF($S106-1&lt;=0,0,VLOOKUP($S106-1,'表30-5-2-5-4'!$B$114:$AF$214,MATCH($D106&amp;"a",'表30-5-2-5-4'!$4:$4,0)-1,FALSE))
-VLOOKUP($T106,'表30-5-2-5-4'!$B$114:$AF$214,MATCH($D106,'表30-5-2-5-4'!$4:$4,0)-1,FALSE)*(T106/100-N106/H106)*100
-VLOOKUP($S106,'表30-5-2-5-4'!$B$114:$AF$214,MATCH($D106,'表30-5-2-5-4'!$4:$4,0)-1,FALSE)*(1-(S106/100-M106/H106)*100),0))))</f>
        <v>0</v>
      </c>
      <c r="V106" s="2478">
        <f t="shared" si="15"/>
        <v>0</v>
      </c>
      <c r="W106" s="2478">
        <f t="shared" si="16"/>
        <v>0</v>
      </c>
      <c r="X106" s="2718">
        <f t="shared" si="20"/>
        <v>0</v>
      </c>
      <c r="Y106" s="2718">
        <f t="shared" si="21"/>
        <v>0</v>
      </c>
    </row>
    <row r="107" spans="1:25">
      <c r="A107" s="2473" t="str">
        <f t="shared" si="17"/>
        <v/>
      </c>
      <c r="B107" s="2737"/>
      <c r="C107" s="2737"/>
      <c r="D107" s="2737"/>
      <c r="E107" s="2738"/>
      <c r="F107" s="2738"/>
      <c r="G107" s="2738"/>
      <c r="H107" s="2739"/>
      <c r="I107" s="2740"/>
      <c r="J107" s="2740"/>
      <c r="K107" s="2740"/>
      <c r="L107" s="2740"/>
      <c r="M107" s="2738"/>
      <c r="N107" s="2738"/>
      <c r="O107" s="2474">
        <f t="shared" si="11"/>
        <v>0</v>
      </c>
      <c r="P107" s="2474">
        <f t="shared" si="12"/>
        <v>0</v>
      </c>
      <c r="Q107" s="2475">
        <f t="shared" si="18"/>
        <v>0</v>
      </c>
      <c r="R107" s="2475">
        <f t="shared" si="19"/>
        <v>0</v>
      </c>
      <c r="S107" s="2476">
        <f t="shared" si="13"/>
        <v>0</v>
      </c>
      <c r="T107" s="2476">
        <f t="shared" si="14"/>
        <v>0</v>
      </c>
      <c r="U107" s="2477">
        <f>IF(OR(E107="QS",B107=""),0,
IF(C107="F",VLOOKUP($T107,'表30-5-2-5-3'!$B:$AF,MATCH($D107&amp;"a",'表30-5-2-5-3'!$4:$4,0)-1,FALSE)
-IF($S107-1&lt;=0,0,VLOOKUP($S107-1,'表30-5-2-5-3'!$B:$AF,MATCH($D107&amp;"a",'表30-5-2-5-3'!$4:$4,0)-1,FALSE))
-VLOOKUP($T107,'表30-5-2-5-3'!$B:$AF,MATCH($D107,'表30-5-2-5-3'!$4:$4,0)-1,FALSE)*(T107/100-N107/H107)*100
-VLOOKUP($S107,'表30-5-2-5-3'!$B:$AF,MATCH($D107,'表30-5-2-5-3'!$4:$4,0)-1,FALSE)*(1-(S107/100-M107/H107)*100),
IF(C107="E1",VLOOKUP($T107,'表30-5-2-5-4'!$B$4:$AF$104,MATCH($D107&amp;"a",'表30-5-2-5-4'!$4:$4,0)-1,FALSE)
-IF($S107-1&lt;=0,0,VLOOKUP($S107-1,'表30-5-2-5-4'!$B$4:$AF$104,MATCH($D107&amp;"a",'表30-5-2-5-4'!$4:$4,0)-1,FALSE))
-VLOOKUP($T107,'表30-5-2-5-4'!$B$4:$AF$104,MATCH($D107,'表30-5-2-5-4'!$4:$4,0)-1,FALSE)*(T107/100-N107/H107)*100
-VLOOKUP($S107,'表30-5-2-5-4'!$B$4:$AF$104,MATCH($D107,'表30-5-2-5-4'!$4:$4,0)-1,FALSE)*(1-(S107/100-M107/H107)*100),
IF(C107="E2",VLOOKUP($T107,'表30-5-2-5-4'!$B$114:$AF$214,MATCH($D107&amp;"a",'表30-5-2-5-4'!$4:$4,0)-1,FALSE)
-IF($S107-1&lt;=0,0,VLOOKUP($S107-1,'表30-5-2-5-4'!$B$114:$AF$214,MATCH($D107&amp;"a",'表30-5-2-5-4'!$4:$4,0)-1,FALSE))
-VLOOKUP($T107,'表30-5-2-5-4'!$B$114:$AF$214,MATCH($D107,'表30-5-2-5-4'!$4:$4,0)-1,FALSE)*(T107/100-N107/H107)*100
-VLOOKUP($S107,'表30-5-2-5-4'!$B$114:$AF$214,MATCH($D107,'表30-5-2-5-4'!$4:$4,0)-1,FALSE)*(1-(S107/100-M107/H107)*100),0))))</f>
        <v>0</v>
      </c>
      <c r="V107" s="2478">
        <f t="shared" si="15"/>
        <v>0</v>
      </c>
      <c r="W107" s="2478">
        <f t="shared" si="16"/>
        <v>0</v>
      </c>
      <c r="X107" s="2718">
        <f t="shared" si="20"/>
        <v>0</v>
      </c>
      <c r="Y107" s="2718">
        <f t="shared" si="21"/>
        <v>0</v>
      </c>
    </row>
    <row r="108" spans="1:25">
      <c r="A108" s="2473" t="str">
        <f t="shared" si="17"/>
        <v/>
      </c>
      <c r="B108" s="2737"/>
      <c r="C108" s="2737"/>
      <c r="D108" s="2737"/>
      <c r="E108" s="2738"/>
      <c r="F108" s="2738"/>
      <c r="G108" s="2738"/>
      <c r="H108" s="2739"/>
      <c r="I108" s="2740"/>
      <c r="J108" s="2740"/>
      <c r="K108" s="2740"/>
      <c r="L108" s="2740"/>
      <c r="M108" s="2738"/>
      <c r="N108" s="2738"/>
      <c r="O108" s="2474">
        <f t="shared" si="11"/>
        <v>0</v>
      </c>
      <c r="P108" s="2474">
        <f t="shared" si="12"/>
        <v>0</v>
      </c>
      <c r="Q108" s="2475">
        <f t="shared" si="18"/>
        <v>0</v>
      </c>
      <c r="R108" s="2475">
        <f t="shared" si="19"/>
        <v>0</v>
      </c>
      <c r="S108" s="2476">
        <f t="shared" si="13"/>
        <v>0</v>
      </c>
      <c r="T108" s="2476">
        <f t="shared" si="14"/>
        <v>0</v>
      </c>
      <c r="U108" s="2477">
        <f>IF(OR(E108="QS",B108=""),0,
IF(C108="F",VLOOKUP($T108,'表30-5-2-5-3'!$B:$AF,MATCH($D108&amp;"a",'表30-5-2-5-3'!$4:$4,0)-1,FALSE)
-IF($S108-1&lt;=0,0,VLOOKUP($S108-1,'表30-5-2-5-3'!$B:$AF,MATCH($D108&amp;"a",'表30-5-2-5-3'!$4:$4,0)-1,FALSE))
-VLOOKUP($T108,'表30-5-2-5-3'!$B:$AF,MATCH($D108,'表30-5-2-5-3'!$4:$4,0)-1,FALSE)*(T108/100-N108/H108)*100
-VLOOKUP($S108,'表30-5-2-5-3'!$B:$AF,MATCH($D108,'表30-5-2-5-3'!$4:$4,0)-1,FALSE)*(1-(S108/100-M108/H108)*100),
IF(C108="E1",VLOOKUP($T108,'表30-5-2-5-4'!$B$4:$AF$104,MATCH($D108&amp;"a",'表30-5-2-5-4'!$4:$4,0)-1,FALSE)
-IF($S108-1&lt;=0,0,VLOOKUP($S108-1,'表30-5-2-5-4'!$B$4:$AF$104,MATCH($D108&amp;"a",'表30-5-2-5-4'!$4:$4,0)-1,FALSE))
-VLOOKUP($T108,'表30-5-2-5-4'!$B$4:$AF$104,MATCH($D108,'表30-5-2-5-4'!$4:$4,0)-1,FALSE)*(T108/100-N108/H108)*100
-VLOOKUP($S108,'表30-5-2-5-4'!$B$4:$AF$104,MATCH($D108,'表30-5-2-5-4'!$4:$4,0)-1,FALSE)*(1-(S108/100-M108/H108)*100),
IF(C108="E2",VLOOKUP($T108,'表30-5-2-5-4'!$B$114:$AF$214,MATCH($D108&amp;"a",'表30-5-2-5-4'!$4:$4,0)-1,FALSE)
-IF($S108-1&lt;=0,0,VLOOKUP($S108-1,'表30-5-2-5-4'!$B$114:$AF$214,MATCH($D108&amp;"a",'表30-5-2-5-4'!$4:$4,0)-1,FALSE))
-VLOOKUP($T108,'表30-5-2-5-4'!$B$114:$AF$214,MATCH($D108,'表30-5-2-5-4'!$4:$4,0)-1,FALSE)*(T108/100-N108/H108)*100
-VLOOKUP($S108,'表30-5-2-5-4'!$B$114:$AF$214,MATCH($D108,'表30-5-2-5-4'!$4:$4,0)-1,FALSE)*(1-(S108/100-M108/H108)*100),0))))</f>
        <v>0</v>
      </c>
      <c r="V108" s="2478">
        <f t="shared" si="15"/>
        <v>0</v>
      </c>
      <c r="W108" s="2478">
        <f t="shared" si="16"/>
        <v>0</v>
      </c>
      <c r="X108" s="2718">
        <f t="shared" si="20"/>
        <v>0</v>
      </c>
      <c r="Y108" s="2718">
        <f t="shared" si="21"/>
        <v>0</v>
      </c>
    </row>
    <row r="109" spans="1:25">
      <c r="A109" s="2473" t="str">
        <f t="shared" si="17"/>
        <v/>
      </c>
      <c r="B109" s="2737"/>
      <c r="C109" s="2737"/>
      <c r="D109" s="2737"/>
      <c r="E109" s="2738"/>
      <c r="F109" s="2738"/>
      <c r="G109" s="2738"/>
      <c r="H109" s="2739"/>
      <c r="I109" s="2740"/>
      <c r="J109" s="2740"/>
      <c r="K109" s="2740"/>
      <c r="L109" s="2740"/>
      <c r="M109" s="2738"/>
      <c r="N109" s="2738"/>
      <c r="O109" s="2474">
        <f t="shared" si="11"/>
        <v>0</v>
      </c>
      <c r="P109" s="2474">
        <f t="shared" si="12"/>
        <v>0</v>
      </c>
      <c r="Q109" s="2475">
        <f t="shared" si="18"/>
        <v>0</v>
      </c>
      <c r="R109" s="2475">
        <f t="shared" si="19"/>
        <v>0</v>
      </c>
      <c r="S109" s="2476">
        <f t="shared" si="13"/>
        <v>0</v>
      </c>
      <c r="T109" s="2476">
        <f t="shared" si="14"/>
        <v>0</v>
      </c>
      <c r="U109" s="2477">
        <f>IF(OR(E109="QS",B109=""),0,
IF(C109="F",VLOOKUP($T109,'表30-5-2-5-3'!$B:$AF,MATCH($D109&amp;"a",'表30-5-2-5-3'!$4:$4,0)-1,FALSE)
-IF($S109-1&lt;=0,0,VLOOKUP($S109-1,'表30-5-2-5-3'!$B:$AF,MATCH($D109&amp;"a",'表30-5-2-5-3'!$4:$4,0)-1,FALSE))
-VLOOKUP($T109,'表30-5-2-5-3'!$B:$AF,MATCH($D109,'表30-5-2-5-3'!$4:$4,0)-1,FALSE)*(T109/100-N109/H109)*100
-VLOOKUP($S109,'表30-5-2-5-3'!$B:$AF,MATCH($D109,'表30-5-2-5-3'!$4:$4,0)-1,FALSE)*(1-(S109/100-M109/H109)*100),
IF(C109="E1",VLOOKUP($T109,'表30-5-2-5-4'!$B$4:$AF$104,MATCH($D109&amp;"a",'表30-5-2-5-4'!$4:$4,0)-1,FALSE)
-IF($S109-1&lt;=0,0,VLOOKUP($S109-1,'表30-5-2-5-4'!$B$4:$AF$104,MATCH($D109&amp;"a",'表30-5-2-5-4'!$4:$4,0)-1,FALSE))
-VLOOKUP($T109,'表30-5-2-5-4'!$B$4:$AF$104,MATCH($D109,'表30-5-2-5-4'!$4:$4,0)-1,FALSE)*(T109/100-N109/H109)*100
-VLOOKUP($S109,'表30-5-2-5-4'!$B$4:$AF$104,MATCH($D109,'表30-5-2-5-4'!$4:$4,0)-1,FALSE)*(1-(S109/100-M109/H109)*100),
IF(C109="E2",VLOOKUP($T109,'表30-5-2-5-4'!$B$114:$AF$214,MATCH($D109&amp;"a",'表30-5-2-5-4'!$4:$4,0)-1,FALSE)
-IF($S109-1&lt;=0,0,VLOOKUP($S109-1,'表30-5-2-5-4'!$B$114:$AF$214,MATCH($D109&amp;"a",'表30-5-2-5-4'!$4:$4,0)-1,FALSE))
-VLOOKUP($T109,'表30-5-2-5-4'!$B$114:$AF$214,MATCH($D109,'表30-5-2-5-4'!$4:$4,0)-1,FALSE)*(T109/100-N109/H109)*100
-VLOOKUP($S109,'表30-5-2-5-4'!$B$114:$AF$214,MATCH($D109,'表30-5-2-5-4'!$4:$4,0)-1,FALSE)*(1-(S109/100-M109/H109)*100),0))))</f>
        <v>0</v>
      </c>
      <c r="V109" s="2478">
        <f t="shared" si="15"/>
        <v>0</v>
      </c>
      <c r="W109" s="2478">
        <f t="shared" si="16"/>
        <v>0</v>
      </c>
      <c r="X109" s="2718">
        <f t="shared" si="20"/>
        <v>0</v>
      </c>
      <c r="Y109" s="2718">
        <f t="shared" si="21"/>
        <v>0</v>
      </c>
    </row>
    <row r="110" spans="1:25">
      <c r="A110" s="2473" t="str">
        <f t="shared" si="17"/>
        <v/>
      </c>
      <c r="B110" s="2737"/>
      <c r="C110" s="2737"/>
      <c r="D110" s="2737"/>
      <c r="E110" s="2738"/>
      <c r="F110" s="2738"/>
      <c r="G110" s="2738"/>
      <c r="H110" s="2739"/>
      <c r="I110" s="2740"/>
      <c r="J110" s="2740"/>
      <c r="K110" s="2740"/>
      <c r="L110" s="2740"/>
      <c r="M110" s="2738"/>
      <c r="N110" s="2738"/>
      <c r="O110" s="2474">
        <f t="shared" si="11"/>
        <v>0</v>
      </c>
      <c r="P110" s="2474">
        <f t="shared" si="12"/>
        <v>0</v>
      </c>
      <c r="Q110" s="2475">
        <f t="shared" si="18"/>
        <v>0</v>
      </c>
      <c r="R110" s="2475">
        <f t="shared" si="19"/>
        <v>0</v>
      </c>
      <c r="S110" s="2476">
        <f t="shared" si="13"/>
        <v>0</v>
      </c>
      <c r="T110" s="2476">
        <f t="shared" si="14"/>
        <v>0</v>
      </c>
      <c r="U110" s="2477">
        <f>IF(OR(E110="QS",B110=""),0,
IF(C110="F",VLOOKUP($T110,'表30-5-2-5-3'!$B:$AF,MATCH($D110&amp;"a",'表30-5-2-5-3'!$4:$4,0)-1,FALSE)
-IF($S110-1&lt;=0,0,VLOOKUP($S110-1,'表30-5-2-5-3'!$B:$AF,MATCH($D110&amp;"a",'表30-5-2-5-3'!$4:$4,0)-1,FALSE))
-VLOOKUP($T110,'表30-5-2-5-3'!$B:$AF,MATCH($D110,'表30-5-2-5-3'!$4:$4,0)-1,FALSE)*(T110/100-N110/H110)*100
-VLOOKUP($S110,'表30-5-2-5-3'!$B:$AF,MATCH($D110,'表30-5-2-5-3'!$4:$4,0)-1,FALSE)*(1-(S110/100-M110/H110)*100),
IF(C110="E1",VLOOKUP($T110,'表30-5-2-5-4'!$B$4:$AF$104,MATCH($D110&amp;"a",'表30-5-2-5-4'!$4:$4,0)-1,FALSE)
-IF($S110-1&lt;=0,0,VLOOKUP($S110-1,'表30-5-2-5-4'!$B$4:$AF$104,MATCH($D110&amp;"a",'表30-5-2-5-4'!$4:$4,0)-1,FALSE))
-VLOOKUP($T110,'表30-5-2-5-4'!$B$4:$AF$104,MATCH($D110,'表30-5-2-5-4'!$4:$4,0)-1,FALSE)*(T110/100-N110/H110)*100
-VLOOKUP($S110,'表30-5-2-5-4'!$B$4:$AF$104,MATCH($D110,'表30-5-2-5-4'!$4:$4,0)-1,FALSE)*(1-(S110/100-M110/H110)*100),
IF(C110="E2",VLOOKUP($T110,'表30-5-2-5-4'!$B$114:$AF$214,MATCH($D110&amp;"a",'表30-5-2-5-4'!$4:$4,0)-1,FALSE)
-IF($S110-1&lt;=0,0,VLOOKUP($S110-1,'表30-5-2-5-4'!$B$114:$AF$214,MATCH($D110&amp;"a",'表30-5-2-5-4'!$4:$4,0)-1,FALSE))
-VLOOKUP($T110,'表30-5-2-5-4'!$B$114:$AF$214,MATCH($D110,'表30-5-2-5-4'!$4:$4,0)-1,FALSE)*(T110/100-N110/H110)*100
-VLOOKUP($S110,'表30-5-2-5-4'!$B$114:$AF$214,MATCH($D110,'表30-5-2-5-4'!$4:$4,0)-1,FALSE)*(1-(S110/100-M110/H110)*100),0))))</f>
        <v>0</v>
      </c>
      <c r="V110" s="2478">
        <f t="shared" si="15"/>
        <v>0</v>
      </c>
      <c r="W110" s="2478">
        <f t="shared" si="16"/>
        <v>0</v>
      </c>
      <c r="X110" s="2718">
        <f t="shared" si="20"/>
        <v>0</v>
      </c>
      <c r="Y110" s="2718">
        <f t="shared" si="21"/>
        <v>0</v>
      </c>
    </row>
    <row r="111" spans="1:25">
      <c r="A111" s="2473" t="str">
        <f t="shared" si="17"/>
        <v/>
      </c>
      <c r="B111" s="2737"/>
      <c r="C111" s="2737"/>
      <c r="D111" s="2737"/>
      <c r="E111" s="2738"/>
      <c r="F111" s="2738"/>
      <c r="G111" s="2738"/>
      <c r="H111" s="2739"/>
      <c r="I111" s="2740"/>
      <c r="J111" s="2740"/>
      <c r="K111" s="2740"/>
      <c r="L111" s="2740"/>
      <c r="M111" s="2738"/>
      <c r="N111" s="2738"/>
      <c r="O111" s="2474">
        <f t="shared" si="11"/>
        <v>0</v>
      </c>
      <c r="P111" s="2474">
        <f t="shared" si="12"/>
        <v>0</v>
      </c>
      <c r="Q111" s="2475">
        <f t="shared" si="18"/>
        <v>0</v>
      </c>
      <c r="R111" s="2475">
        <f t="shared" si="19"/>
        <v>0</v>
      </c>
      <c r="S111" s="2476">
        <f t="shared" si="13"/>
        <v>0</v>
      </c>
      <c r="T111" s="2476">
        <f t="shared" si="14"/>
        <v>0</v>
      </c>
      <c r="U111" s="2477">
        <f>IF(OR(E111="QS",B111=""),0,
IF(C111="F",VLOOKUP($T111,'表30-5-2-5-3'!$B:$AF,MATCH($D111&amp;"a",'表30-5-2-5-3'!$4:$4,0)-1,FALSE)
-IF($S111-1&lt;=0,0,VLOOKUP($S111-1,'表30-5-2-5-3'!$B:$AF,MATCH($D111&amp;"a",'表30-5-2-5-3'!$4:$4,0)-1,FALSE))
-VLOOKUP($T111,'表30-5-2-5-3'!$B:$AF,MATCH($D111,'表30-5-2-5-3'!$4:$4,0)-1,FALSE)*(T111/100-N111/H111)*100
-VLOOKUP($S111,'表30-5-2-5-3'!$B:$AF,MATCH($D111,'表30-5-2-5-3'!$4:$4,0)-1,FALSE)*(1-(S111/100-M111/H111)*100),
IF(C111="E1",VLOOKUP($T111,'表30-5-2-5-4'!$B$4:$AF$104,MATCH($D111&amp;"a",'表30-5-2-5-4'!$4:$4,0)-1,FALSE)
-IF($S111-1&lt;=0,0,VLOOKUP($S111-1,'表30-5-2-5-4'!$B$4:$AF$104,MATCH($D111&amp;"a",'表30-5-2-5-4'!$4:$4,0)-1,FALSE))
-VLOOKUP($T111,'表30-5-2-5-4'!$B$4:$AF$104,MATCH($D111,'表30-5-2-5-4'!$4:$4,0)-1,FALSE)*(T111/100-N111/H111)*100
-VLOOKUP($S111,'表30-5-2-5-4'!$B$4:$AF$104,MATCH($D111,'表30-5-2-5-4'!$4:$4,0)-1,FALSE)*(1-(S111/100-M111/H111)*100),
IF(C111="E2",VLOOKUP($T111,'表30-5-2-5-4'!$B$114:$AF$214,MATCH($D111&amp;"a",'表30-5-2-5-4'!$4:$4,0)-1,FALSE)
-IF($S111-1&lt;=0,0,VLOOKUP($S111-1,'表30-5-2-5-4'!$B$114:$AF$214,MATCH($D111&amp;"a",'表30-5-2-5-4'!$4:$4,0)-1,FALSE))
-VLOOKUP($T111,'表30-5-2-5-4'!$B$114:$AF$214,MATCH($D111,'表30-5-2-5-4'!$4:$4,0)-1,FALSE)*(T111/100-N111/H111)*100
-VLOOKUP($S111,'表30-5-2-5-4'!$B$114:$AF$214,MATCH($D111,'表30-5-2-5-4'!$4:$4,0)-1,FALSE)*(1-(S111/100-M111/H111)*100),0))))</f>
        <v>0</v>
      </c>
      <c r="V111" s="2478">
        <f t="shared" si="15"/>
        <v>0</v>
      </c>
      <c r="W111" s="2478">
        <f t="shared" si="16"/>
        <v>0</v>
      </c>
      <c r="X111" s="2718">
        <f t="shared" si="20"/>
        <v>0</v>
      </c>
      <c r="Y111" s="2718">
        <f t="shared" si="21"/>
        <v>0</v>
      </c>
    </row>
    <row r="112" spans="1:25">
      <c r="A112" s="2473" t="str">
        <f t="shared" si="17"/>
        <v/>
      </c>
      <c r="B112" s="2737"/>
      <c r="C112" s="2737"/>
      <c r="D112" s="2737"/>
      <c r="E112" s="2738"/>
      <c r="F112" s="2738"/>
      <c r="G112" s="2738"/>
      <c r="H112" s="2739"/>
      <c r="I112" s="2740"/>
      <c r="J112" s="2740"/>
      <c r="K112" s="2740"/>
      <c r="L112" s="2740"/>
      <c r="M112" s="2738"/>
      <c r="N112" s="2738"/>
      <c r="O112" s="2474">
        <f t="shared" si="11"/>
        <v>0</v>
      </c>
      <c r="P112" s="2474">
        <f t="shared" si="12"/>
        <v>0</v>
      </c>
      <c r="Q112" s="2475">
        <f t="shared" si="18"/>
        <v>0</v>
      </c>
      <c r="R112" s="2475">
        <f t="shared" si="19"/>
        <v>0</v>
      </c>
      <c r="S112" s="2476">
        <f t="shared" si="13"/>
        <v>0</v>
      </c>
      <c r="T112" s="2476">
        <f t="shared" si="14"/>
        <v>0</v>
      </c>
      <c r="U112" s="2477">
        <f>IF(OR(E112="QS",B112=""),0,
IF(C112="F",VLOOKUP($T112,'表30-5-2-5-3'!$B:$AF,MATCH($D112&amp;"a",'表30-5-2-5-3'!$4:$4,0)-1,FALSE)
-IF($S112-1&lt;=0,0,VLOOKUP($S112-1,'表30-5-2-5-3'!$B:$AF,MATCH($D112&amp;"a",'表30-5-2-5-3'!$4:$4,0)-1,FALSE))
-VLOOKUP($T112,'表30-5-2-5-3'!$B:$AF,MATCH($D112,'表30-5-2-5-3'!$4:$4,0)-1,FALSE)*(T112/100-N112/H112)*100
-VLOOKUP($S112,'表30-5-2-5-3'!$B:$AF,MATCH($D112,'表30-5-2-5-3'!$4:$4,0)-1,FALSE)*(1-(S112/100-M112/H112)*100),
IF(C112="E1",VLOOKUP($T112,'表30-5-2-5-4'!$B$4:$AF$104,MATCH($D112&amp;"a",'表30-5-2-5-4'!$4:$4,0)-1,FALSE)
-IF($S112-1&lt;=0,0,VLOOKUP($S112-1,'表30-5-2-5-4'!$B$4:$AF$104,MATCH($D112&amp;"a",'表30-5-2-5-4'!$4:$4,0)-1,FALSE))
-VLOOKUP($T112,'表30-5-2-5-4'!$B$4:$AF$104,MATCH($D112,'表30-5-2-5-4'!$4:$4,0)-1,FALSE)*(T112/100-N112/H112)*100
-VLOOKUP($S112,'表30-5-2-5-4'!$B$4:$AF$104,MATCH($D112,'表30-5-2-5-4'!$4:$4,0)-1,FALSE)*(1-(S112/100-M112/H112)*100),
IF(C112="E2",VLOOKUP($T112,'表30-5-2-5-4'!$B$114:$AF$214,MATCH($D112&amp;"a",'表30-5-2-5-4'!$4:$4,0)-1,FALSE)
-IF($S112-1&lt;=0,0,VLOOKUP($S112-1,'表30-5-2-5-4'!$B$114:$AF$214,MATCH($D112&amp;"a",'表30-5-2-5-4'!$4:$4,0)-1,FALSE))
-VLOOKUP($T112,'表30-5-2-5-4'!$B$114:$AF$214,MATCH($D112,'表30-5-2-5-4'!$4:$4,0)-1,FALSE)*(T112/100-N112/H112)*100
-VLOOKUP($S112,'表30-5-2-5-4'!$B$114:$AF$214,MATCH($D112,'表30-5-2-5-4'!$4:$4,0)-1,FALSE)*(1-(S112/100-M112/H112)*100),0))))</f>
        <v>0</v>
      </c>
      <c r="V112" s="2478">
        <f t="shared" si="15"/>
        <v>0</v>
      </c>
      <c r="W112" s="2478">
        <f t="shared" si="16"/>
        <v>0</v>
      </c>
      <c r="X112" s="2718">
        <f t="shared" si="20"/>
        <v>0</v>
      </c>
      <c r="Y112" s="2718">
        <f t="shared" si="21"/>
        <v>0</v>
      </c>
    </row>
    <row r="113" spans="1:25">
      <c r="A113" s="2473" t="str">
        <f t="shared" si="17"/>
        <v/>
      </c>
      <c r="B113" s="2737"/>
      <c r="C113" s="2737"/>
      <c r="D113" s="2737"/>
      <c r="E113" s="2738"/>
      <c r="F113" s="2738"/>
      <c r="G113" s="2738"/>
      <c r="H113" s="2739"/>
      <c r="I113" s="2740"/>
      <c r="J113" s="2740"/>
      <c r="K113" s="2740"/>
      <c r="L113" s="2740"/>
      <c r="M113" s="2738"/>
      <c r="N113" s="2738"/>
      <c r="O113" s="2474">
        <f t="shared" si="11"/>
        <v>0</v>
      </c>
      <c r="P113" s="2474">
        <f t="shared" si="12"/>
        <v>0</v>
      </c>
      <c r="Q113" s="2475">
        <f t="shared" si="18"/>
        <v>0</v>
      </c>
      <c r="R113" s="2475">
        <f t="shared" si="19"/>
        <v>0</v>
      </c>
      <c r="S113" s="2476">
        <f t="shared" si="13"/>
        <v>0</v>
      </c>
      <c r="T113" s="2476">
        <f t="shared" si="14"/>
        <v>0</v>
      </c>
      <c r="U113" s="2477">
        <f>IF(OR(E113="QS",B113=""),0,
IF(C113="F",VLOOKUP($T113,'表30-5-2-5-3'!$B:$AF,MATCH($D113&amp;"a",'表30-5-2-5-3'!$4:$4,0)-1,FALSE)
-IF($S113-1&lt;=0,0,VLOOKUP($S113-1,'表30-5-2-5-3'!$B:$AF,MATCH($D113&amp;"a",'表30-5-2-5-3'!$4:$4,0)-1,FALSE))
-VLOOKUP($T113,'表30-5-2-5-3'!$B:$AF,MATCH($D113,'表30-5-2-5-3'!$4:$4,0)-1,FALSE)*(T113/100-N113/H113)*100
-VLOOKUP($S113,'表30-5-2-5-3'!$B:$AF,MATCH($D113,'表30-5-2-5-3'!$4:$4,0)-1,FALSE)*(1-(S113/100-M113/H113)*100),
IF(C113="E1",VLOOKUP($T113,'表30-5-2-5-4'!$B$4:$AF$104,MATCH($D113&amp;"a",'表30-5-2-5-4'!$4:$4,0)-1,FALSE)
-IF($S113-1&lt;=0,0,VLOOKUP($S113-1,'表30-5-2-5-4'!$B$4:$AF$104,MATCH($D113&amp;"a",'表30-5-2-5-4'!$4:$4,0)-1,FALSE))
-VLOOKUP($T113,'表30-5-2-5-4'!$B$4:$AF$104,MATCH($D113,'表30-5-2-5-4'!$4:$4,0)-1,FALSE)*(T113/100-N113/H113)*100
-VLOOKUP($S113,'表30-5-2-5-4'!$B$4:$AF$104,MATCH($D113,'表30-5-2-5-4'!$4:$4,0)-1,FALSE)*(1-(S113/100-M113/H113)*100),
IF(C113="E2",VLOOKUP($T113,'表30-5-2-5-4'!$B$114:$AF$214,MATCH($D113&amp;"a",'表30-5-2-5-4'!$4:$4,0)-1,FALSE)
-IF($S113-1&lt;=0,0,VLOOKUP($S113-1,'表30-5-2-5-4'!$B$114:$AF$214,MATCH($D113&amp;"a",'表30-5-2-5-4'!$4:$4,0)-1,FALSE))
-VLOOKUP($T113,'表30-5-2-5-4'!$B$114:$AF$214,MATCH($D113,'表30-5-2-5-4'!$4:$4,0)-1,FALSE)*(T113/100-N113/H113)*100
-VLOOKUP($S113,'表30-5-2-5-4'!$B$114:$AF$214,MATCH($D113,'表30-5-2-5-4'!$4:$4,0)-1,FALSE)*(1-(S113/100-M113/H113)*100),0))))</f>
        <v>0</v>
      </c>
      <c r="V113" s="2478">
        <f t="shared" si="15"/>
        <v>0</v>
      </c>
      <c r="W113" s="2478">
        <f t="shared" si="16"/>
        <v>0</v>
      </c>
      <c r="X113" s="2718">
        <f t="shared" si="20"/>
        <v>0</v>
      </c>
      <c r="Y113" s="2718">
        <f t="shared" si="21"/>
        <v>0</v>
      </c>
    </row>
    <row r="114" spans="1:25">
      <c r="A114" s="2473" t="str">
        <f t="shared" si="17"/>
        <v/>
      </c>
      <c r="B114" s="2737"/>
      <c r="C114" s="2737"/>
      <c r="D114" s="2737"/>
      <c r="E114" s="2738"/>
      <c r="F114" s="2738"/>
      <c r="G114" s="2738"/>
      <c r="H114" s="2739"/>
      <c r="I114" s="2740"/>
      <c r="J114" s="2740"/>
      <c r="K114" s="2740"/>
      <c r="L114" s="2740"/>
      <c r="M114" s="2738"/>
      <c r="N114" s="2738"/>
      <c r="O114" s="2474">
        <f t="shared" si="11"/>
        <v>0</v>
      </c>
      <c r="P114" s="2474">
        <f t="shared" si="12"/>
        <v>0</v>
      </c>
      <c r="Q114" s="2475">
        <f t="shared" si="18"/>
        <v>0</v>
      </c>
      <c r="R114" s="2475">
        <f t="shared" si="19"/>
        <v>0</v>
      </c>
      <c r="S114" s="2476">
        <f t="shared" si="13"/>
        <v>0</v>
      </c>
      <c r="T114" s="2476">
        <f t="shared" si="14"/>
        <v>0</v>
      </c>
      <c r="U114" s="2477">
        <f>IF(OR(E114="QS",B114=""),0,
IF(C114="F",VLOOKUP($T114,'表30-5-2-5-3'!$B:$AF,MATCH($D114&amp;"a",'表30-5-2-5-3'!$4:$4,0)-1,FALSE)
-IF($S114-1&lt;=0,0,VLOOKUP($S114-1,'表30-5-2-5-3'!$B:$AF,MATCH($D114&amp;"a",'表30-5-2-5-3'!$4:$4,0)-1,FALSE))
-VLOOKUP($T114,'表30-5-2-5-3'!$B:$AF,MATCH($D114,'表30-5-2-5-3'!$4:$4,0)-1,FALSE)*(T114/100-N114/H114)*100
-VLOOKUP($S114,'表30-5-2-5-3'!$B:$AF,MATCH($D114,'表30-5-2-5-3'!$4:$4,0)-1,FALSE)*(1-(S114/100-M114/H114)*100),
IF(C114="E1",VLOOKUP($T114,'表30-5-2-5-4'!$B$4:$AF$104,MATCH($D114&amp;"a",'表30-5-2-5-4'!$4:$4,0)-1,FALSE)
-IF($S114-1&lt;=0,0,VLOOKUP($S114-1,'表30-5-2-5-4'!$B$4:$AF$104,MATCH($D114&amp;"a",'表30-5-2-5-4'!$4:$4,0)-1,FALSE))
-VLOOKUP($T114,'表30-5-2-5-4'!$B$4:$AF$104,MATCH($D114,'表30-5-2-5-4'!$4:$4,0)-1,FALSE)*(T114/100-N114/H114)*100
-VLOOKUP($S114,'表30-5-2-5-4'!$B$4:$AF$104,MATCH($D114,'表30-5-2-5-4'!$4:$4,0)-1,FALSE)*(1-(S114/100-M114/H114)*100),
IF(C114="E2",VLOOKUP($T114,'表30-5-2-5-4'!$B$114:$AF$214,MATCH($D114&amp;"a",'表30-5-2-5-4'!$4:$4,0)-1,FALSE)
-IF($S114-1&lt;=0,0,VLOOKUP($S114-1,'表30-5-2-5-4'!$B$114:$AF$214,MATCH($D114&amp;"a",'表30-5-2-5-4'!$4:$4,0)-1,FALSE))
-VLOOKUP($T114,'表30-5-2-5-4'!$B$114:$AF$214,MATCH($D114,'表30-5-2-5-4'!$4:$4,0)-1,FALSE)*(T114/100-N114/H114)*100
-VLOOKUP($S114,'表30-5-2-5-4'!$B$114:$AF$214,MATCH($D114,'表30-5-2-5-4'!$4:$4,0)-1,FALSE)*(1-(S114/100-M114/H114)*100),0))))</f>
        <v>0</v>
      </c>
      <c r="V114" s="2478">
        <f t="shared" si="15"/>
        <v>0</v>
      </c>
      <c r="W114" s="2478">
        <f t="shared" si="16"/>
        <v>0</v>
      </c>
      <c r="X114" s="2718">
        <f t="shared" si="20"/>
        <v>0</v>
      </c>
      <c r="Y114" s="2718">
        <f t="shared" si="21"/>
        <v>0</v>
      </c>
    </row>
    <row r="115" spans="1:25">
      <c r="A115" s="2473" t="str">
        <f t="shared" si="17"/>
        <v/>
      </c>
      <c r="B115" s="2737"/>
      <c r="C115" s="2737"/>
      <c r="D115" s="2737"/>
      <c r="E115" s="2738"/>
      <c r="F115" s="2738"/>
      <c r="G115" s="2738"/>
      <c r="H115" s="2739"/>
      <c r="I115" s="2740"/>
      <c r="J115" s="2740"/>
      <c r="K115" s="2740"/>
      <c r="L115" s="2740"/>
      <c r="M115" s="2738"/>
      <c r="N115" s="2738"/>
      <c r="O115" s="2474">
        <f t="shared" si="11"/>
        <v>0</v>
      </c>
      <c r="P115" s="2474">
        <f t="shared" si="12"/>
        <v>0</v>
      </c>
      <c r="Q115" s="2475">
        <f t="shared" si="18"/>
        <v>0</v>
      </c>
      <c r="R115" s="2475">
        <f t="shared" si="19"/>
        <v>0</v>
      </c>
      <c r="S115" s="2476">
        <f t="shared" si="13"/>
        <v>0</v>
      </c>
      <c r="T115" s="2476">
        <f t="shared" si="14"/>
        <v>0</v>
      </c>
      <c r="U115" s="2477">
        <f>IF(OR(E115="QS",B115=""),0,
IF(C115="F",VLOOKUP($T115,'表30-5-2-5-3'!$B:$AF,MATCH($D115&amp;"a",'表30-5-2-5-3'!$4:$4,0)-1,FALSE)
-IF($S115-1&lt;=0,0,VLOOKUP($S115-1,'表30-5-2-5-3'!$B:$AF,MATCH($D115&amp;"a",'表30-5-2-5-3'!$4:$4,0)-1,FALSE))
-VLOOKUP($T115,'表30-5-2-5-3'!$B:$AF,MATCH($D115,'表30-5-2-5-3'!$4:$4,0)-1,FALSE)*(T115/100-N115/H115)*100
-VLOOKUP($S115,'表30-5-2-5-3'!$B:$AF,MATCH($D115,'表30-5-2-5-3'!$4:$4,0)-1,FALSE)*(1-(S115/100-M115/H115)*100),
IF(C115="E1",VLOOKUP($T115,'表30-5-2-5-4'!$B$4:$AF$104,MATCH($D115&amp;"a",'表30-5-2-5-4'!$4:$4,0)-1,FALSE)
-IF($S115-1&lt;=0,0,VLOOKUP($S115-1,'表30-5-2-5-4'!$B$4:$AF$104,MATCH($D115&amp;"a",'表30-5-2-5-4'!$4:$4,0)-1,FALSE))
-VLOOKUP($T115,'表30-5-2-5-4'!$B$4:$AF$104,MATCH($D115,'表30-5-2-5-4'!$4:$4,0)-1,FALSE)*(T115/100-N115/H115)*100
-VLOOKUP($S115,'表30-5-2-5-4'!$B$4:$AF$104,MATCH($D115,'表30-5-2-5-4'!$4:$4,0)-1,FALSE)*(1-(S115/100-M115/H115)*100),
IF(C115="E2",VLOOKUP($T115,'表30-5-2-5-4'!$B$114:$AF$214,MATCH($D115&amp;"a",'表30-5-2-5-4'!$4:$4,0)-1,FALSE)
-IF($S115-1&lt;=0,0,VLOOKUP($S115-1,'表30-5-2-5-4'!$B$114:$AF$214,MATCH($D115&amp;"a",'表30-5-2-5-4'!$4:$4,0)-1,FALSE))
-VLOOKUP($T115,'表30-5-2-5-4'!$B$114:$AF$214,MATCH($D115,'表30-5-2-5-4'!$4:$4,0)-1,FALSE)*(T115/100-N115/H115)*100
-VLOOKUP($S115,'表30-5-2-5-4'!$B$114:$AF$214,MATCH($D115,'表30-5-2-5-4'!$4:$4,0)-1,FALSE)*(1-(S115/100-M115/H115)*100),0))))</f>
        <v>0</v>
      </c>
      <c r="V115" s="2478">
        <f t="shared" si="15"/>
        <v>0</v>
      </c>
      <c r="W115" s="2478">
        <f t="shared" si="16"/>
        <v>0</v>
      </c>
      <c r="X115" s="2718">
        <f t="shared" si="20"/>
        <v>0</v>
      </c>
      <c r="Y115" s="2718">
        <f t="shared" si="21"/>
        <v>0</v>
      </c>
    </row>
    <row r="116" spans="1:25">
      <c r="A116" s="2473" t="str">
        <f t="shared" si="17"/>
        <v/>
      </c>
      <c r="B116" s="2737"/>
      <c r="C116" s="2737"/>
      <c r="D116" s="2737"/>
      <c r="E116" s="2738"/>
      <c r="F116" s="2738"/>
      <c r="G116" s="2738"/>
      <c r="H116" s="2739"/>
      <c r="I116" s="2740"/>
      <c r="J116" s="2740"/>
      <c r="K116" s="2740"/>
      <c r="L116" s="2740"/>
      <c r="M116" s="2738"/>
      <c r="N116" s="2738"/>
      <c r="O116" s="2474">
        <f t="shared" si="11"/>
        <v>0</v>
      </c>
      <c r="P116" s="2474">
        <f t="shared" si="12"/>
        <v>0</v>
      </c>
      <c r="Q116" s="2475">
        <f t="shared" si="18"/>
        <v>0</v>
      </c>
      <c r="R116" s="2475">
        <f t="shared" si="19"/>
        <v>0</v>
      </c>
      <c r="S116" s="2476">
        <f t="shared" si="13"/>
        <v>0</v>
      </c>
      <c r="T116" s="2476">
        <f t="shared" si="14"/>
        <v>0</v>
      </c>
      <c r="U116" s="2477">
        <f>IF(OR(E116="QS",B116=""),0,
IF(C116="F",VLOOKUP($T116,'表30-5-2-5-3'!$B:$AF,MATCH($D116&amp;"a",'表30-5-2-5-3'!$4:$4,0)-1,FALSE)
-IF($S116-1&lt;=0,0,VLOOKUP($S116-1,'表30-5-2-5-3'!$B:$AF,MATCH($D116&amp;"a",'表30-5-2-5-3'!$4:$4,0)-1,FALSE))
-VLOOKUP($T116,'表30-5-2-5-3'!$B:$AF,MATCH($D116,'表30-5-2-5-3'!$4:$4,0)-1,FALSE)*(T116/100-N116/H116)*100
-VLOOKUP($S116,'表30-5-2-5-3'!$B:$AF,MATCH($D116,'表30-5-2-5-3'!$4:$4,0)-1,FALSE)*(1-(S116/100-M116/H116)*100),
IF(C116="E1",VLOOKUP($T116,'表30-5-2-5-4'!$B$4:$AF$104,MATCH($D116&amp;"a",'表30-5-2-5-4'!$4:$4,0)-1,FALSE)
-IF($S116-1&lt;=0,0,VLOOKUP($S116-1,'表30-5-2-5-4'!$B$4:$AF$104,MATCH($D116&amp;"a",'表30-5-2-5-4'!$4:$4,0)-1,FALSE))
-VLOOKUP($T116,'表30-5-2-5-4'!$B$4:$AF$104,MATCH($D116,'表30-5-2-5-4'!$4:$4,0)-1,FALSE)*(T116/100-N116/H116)*100
-VLOOKUP($S116,'表30-5-2-5-4'!$B$4:$AF$104,MATCH($D116,'表30-5-2-5-4'!$4:$4,0)-1,FALSE)*(1-(S116/100-M116/H116)*100),
IF(C116="E2",VLOOKUP($T116,'表30-5-2-5-4'!$B$114:$AF$214,MATCH($D116&amp;"a",'表30-5-2-5-4'!$4:$4,0)-1,FALSE)
-IF($S116-1&lt;=0,0,VLOOKUP($S116-1,'表30-5-2-5-4'!$B$114:$AF$214,MATCH($D116&amp;"a",'表30-5-2-5-4'!$4:$4,0)-1,FALSE))
-VLOOKUP($T116,'表30-5-2-5-4'!$B$114:$AF$214,MATCH($D116,'表30-5-2-5-4'!$4:$4,0)-1,FALSE)*(T116/100-N116/H116)*100
-VLOOKUP($S116,'表30-5-2-5-4'!$B$114:$AF$214,MATCH($D116,'表30-5-2-5-4'!$4:$4,0)-1,FALSE)*(1-(S116/100-M116/H116)*100),0))))</f>
        <v>0</v>
      </c>
      <c r="V116" s="2478">
        <f t="shared" si="15"/>
        <v>0</v>
      </c>
      <c r="W116" s="2478">
        <f t="shared" si="16"/>
        <v>0</v>
      </c>
      <c r="X116" s="2718">
        <f t="shared" si="20"/>
        <v>0</v>
      </c>
      <c r="Y116" s="2718">
        <f t="shared" si="21"/>
        <v>0</v>
      </c>
    </row>
    <row r="117" spans="1:25">
      <c r="A117" s="2473" t="str">
        <f t="shared" si="17"/>
        <v/>
      </c>
      <c r="B117" s="2737"/>
      <c r="C117" s="2737"/>
      <c r="D117" s="2737"/>
      <c r="E117" s="2738"/>
      <c r="F117" s="2738"/>
      <c r="G117" s="2738"/>
      <c r="H117" s="2739"/>
      <c r="I117" s="2740"/>
      <c r="J117" s="2740"/>
      <c r="K117" s="2740"/>
      <c r="L117" s="2740"/>
      <c r="M117" s="2738"/>
      <c r="N117" s="2738"/>
      <c r="O117" s="2474">
        <f t="shared" si="11"/>
        <v>0</v>
      </c>
      <c r="P117" s="2474">
        <f t="shared" si="12"/>
        <v>0</v>
      </c>
      <c r="Q117" s="2475">
        <f t="shared" si="18"/>
        <v>0</v>
      </c>
      <c r="R117" s="2475">
        <f t="shared" si="19"/>
        <v>0</v>
      </c>
      <c r="S117" s="2476">
        <f t="shared" si="13"/>
        <v>0</v>
      </c>
      <c r="T117" s="2476">
        <f t="shared" si="14"/>
        <v>0</v>
      </c>
      <c r="U117" s="2477">
        <f>IF(OR(E117="QS",B117=""),0,
IF(C117="F",VLOOKUP($T117,'表30-5-2-5-3'!$B:$AF,MATCH($D117&amp;"a",'表30-5-2-5-3'!$4:$4,0)-1,FALSE)
-IF($S117-1&lt;=0,0,VLOOKUP($S117-1,'表30-5-2-5-3'!$B:$AF,MATCH($D117&amp;"a",'表30-5-2-5-3'!$4:$4,0)-1,FALSE))
-VLOOKUP($T117,'表30-5-2-5-3'!$B:$AF,MATCH($D117,'表30-5-2-5-3'!$4:$4,0)-1,FALSE)*(T117/100-N117/H117)*100
-VLOOKUP($S117,'表30-5-2-5-3'!$B:$AF,MATCH($D117,'表30-5-2-5-3'!$4:$4,0)-1,FALSE)*(1-(S117/100-M117/H117)*100),
IF(C117="E1",VLOOKUP($T117,'表30-5-2-5-4'!$B$4:$AF$104,MATCH($D117&amp;"a",'表30-5-2-5-4'!$4:$4,0)-1,FALSE)
-IF($S117-1&lt;=0,0,VLOOKUP($S117-1,'表30-5-2-5-4'!$B$4:$AF$104,MATCH($D117&amp;"a",'表30-5-2-5-4'!$4:$4,0)-1,FALSE))
-VLOOKUP($T117,'表30-5-2-5-4'!$B$4:$AF$104,MATCH($D117,'表30-5-2-5-4'!$4:$4,0)-1,FALSE)*(T117/100-N117/H117)*100
-VLOOKUP($S117,'表30-5-2-5-4'!$B$4:$AF$104,MATCH($D117,'表30-5-2-5-4'!$4:$4,0)-1,FALSE)*(1-(S117/100-M117/H117)*100),
IF(C117="E2",VLOOKUP($T117,'表30-5-2-5-4'!$B$114:$AF$214,MATCH($D117&amp;"a",'表30-5-2-5-4'!$4:$4,0)-1,FALSE)
-IF($S117-1&lt;=0,0,VLOOKUP($S117-1,'表30-5-2-5-4'!$B$114:$AF$214,MATCH($D117&amp;"a",'表30-5-2-5-4'!$4:$4,0)-1,FALSE))
-VLOOKUP($T117,'表30-5-2-5-4'!$B$114:$AF$214,MATCH($D117,'表30-5-2-5-4'!$4:$4,0)-1,FALSE)*(T117/100-N117/H117)*100
-VLOOKUP($S117,'表30-5-2-5-4'!$B$114:$AF$214,MATCH($D117,'表30-5-2-5-4'!$4:$4,0)-1,FALSE)*(1-(S117/100-M117/H117)*100),0))))</f>
        <v>0</v>
      </c>
      <c r="V117" s="2478">
        <f t="shared" si="15"/>
        <v>0</v>
      </c>
      <c r="W117" s="2478">
        <f t="shared" si="16"/>
        <v>0</v>
      </c>
      <c r="X117" s="2718">
        <f t="shared" si="20"/>
        <v>0</v>
      </c>
      <c r="Y117" s="2718">
        <f t="shared" si="21"/>
        <v>0</v>
      </c>
    </row>
    <row r="118" spans="1:25">
      <c r="A118" s="2473" t="str">
        <f t="shared" si="17"/>
        <v/>
      </c>
      <c r="B118" s="2737"/>
      <c r="C118" s="2737"/>
      <c r="D118" s="2737"/>
      <c r="E118" s="2738"/>
      <c r="F118" s="2738"/>
      <c r="G118" s="2738"/>
      <c r="H118" s="2739"/>
      <c r="I118" s="2740"/>
      <c r="J118" s="2740"/>
      <c r="K118" s="2740"/>
      <c r="L118" s="2740"/>
      <c r="M118" s="2738"/>
      <c r="N118" s="2738"/>
      <c r="O118" s="2474">
        <f t="shared" si="11"/>
        <v>0</v>
      </c>
      <c r="P118" s="2474">
        <f t="shared" si="12"/>
        <v>0</v>
      </c>
      <c r="Q118" s="2475">
        <f t="shared" si="18"/>
        <v>0</v>
      </c>
      <c r="R118" s="2475">
        <f t="shared" si="19"/>
        <v>0</v>
      </c>
      <c r="S118" s="2476">
        <f t="shared" si="13"/>
        <v>0</v>
      </c>
      <c r="T118" s="2476">
        <f t="shared" si="14"/>
        <v>0</v>
      </c>
      <c r="U118" s="2477">
        <f>IF(OR(E118="QS",B118=""),0,
IF(C118="F",VLOOKUP($T118,'表30-5-2-5-3'!$B:$AF,MATCH($D118&amp;"a",'表30-5-2-5-3'!$4:$4,0)-1,FALSE)
-IF($S118-1&lt;=0,0,VLOOKUP($S118-1,'表30-5-2-5-3'!$B:$AF,MATCH($D118&amp;"a",'表30-5-2-5-3'!$4:$4,0)-1,FALSE))
-VLOOKUP($T118,'表30-5-2-5-3'!$B:$AF,MATCH($D118,'表30-5-2-5-3'!$4:$4,0)-1,FALSE)*(T118/100-N118/H118)*100
-VLOOKUP($S118,'表30-5-2-5-3'!$B:$AF,MATCH($D118,'表30-5-2-5-3'!$4:$4,0)-1,FALSE)*(1-(S118/100-M118/H118)*100),
IF(C118="E1",VLOOKUP($T118,'表30-5-2-5-4'!$B$4:$AF$104,MATCH($D118&amp;"a",'表30-5-2-5-4'!$4:$4,0)-1,FALSE)
-IF($S118-1&lt;=0,0,VLOOKUP($S118-1,'表30-5-2-5-4'!$B$4:$AF$104,MATCH($D118&amp;"a",'表30-5-2-5-4'!$4:$4,0)-1,FALSE))
-VLOOKUP($T118,'表30-5-2-5-4'!$B$4:$AF$104,MATCH($D118,'表30-5-2-5-4'!$4:$4,0)-1,FALSE)*(T118/100-N118/H118)*100
-VLOOKUP($S118,'表30-5-2-5-4'!$B$4:$AF$104,MATCH($D118,'表30-5-2-5-4'!$4:$4,0)-1,FALSE)*(1-(S118/100-M118/H118)*100),
IF(C118="E2",VLOOKUP($T118,'表30-5-2-5-4'!$B$114:$AF$214,MATCH($D118&amp;"a",'表30-5-2-5-4'!$4:$4,0)-1,FALSE)
-IF($S118-1&lt;=0,0,VLOOKUP($S118-1,'表30-5-2-5-4'!$B$114:$AF$214,MATCH($D118&amp;"a",'表30-5-2-5-4'!$4:$4,0)-1,FALSE))
-VLOOKUP($T118,'表30-5-2-5-4'!$B$114:$AF$214,MATCH($D118,'表30-5-2-5-4'!$4:$4,0)-1,FALSE)*(T118/100-N118/H118)*100
-VLOOKUP($S118,'表30-5-2-5-4'!$B$114:$AF$214,MATCH($D118,'表30-5-2-5-4'!$4:$4,0)-1,FALSE)*(1-(S118/100-M118/H118)*100),0))))</f>
        <v>0</v>
      </c>
      <c r="V118" s="2478">
        <f t="shared" si="15"/>
        <v>0</v>
      </c>
      <c r="W118" s="2478">
        <f t="shared" si="16"/>
        <v>0</v>
      </c>
      <c r="X118" s="2718">
        <f t="shared" si="20"/>
        <v>0</v>
      </c>
      <c r="Y118" s="2718">
        <f t="shared" si="21"/>
        <v>0</v>
      </c>
    </row>
    <row r="119" spans="1:25">
      <c r="A119" s="2473" t="str">
        <f t="shared" si="17"/>
        <v/>
      </c>
      <c r="B119" s="2737"/>
      <c r="C119" s="2737"/>
      <c r="D119" s="2737"/>
      <c r="E119" s="2738"/>
      <c r="F119" s="2738"/>
      <c r="G119" s="2738"/>
      <c r="H119" s="2739"/>
      <c r="I119" s="2740"/>
      <c r="J119" s="2740"/>
      <c r="K119" s="2740"/>
      <c r="L119" s="2740"/>
      <c r="M119" s="2738"/>
      <c r="N119" s="2738"/>
      <c r="O119" s="2474">
        <f t="shared" si="11"/>
        <v>0</v>
      </c>
      <c r="P119" s="2474">
        <f t="shared" si="12"/>
        <v>0</v>
      </c>
      <c r="Q119" s="2475">
        <f t="shared" si="18"/>
        <v>0</v>
      </c>
      <c r="R119" s="2475">
        <f t="shared" si="19"/>
        <v>0</v>
      </c>
      <c r="S119" s="2476">
        <f t="shared" si="13"/>
        <v>0</v>
      </c>
      <c r="T119" s="2476">
        <f t="shared" si="14"/>
        <v>0</v>
      </c>
      <c r="U119" s="2477">
        <f>IF(OR(E119="QS",B119=""),0,
IF(C119="F",VLOOKUP($T119,'表30-5-2-5-3'!$B:$AF,MATCH($D119&amp;"a",'表30-5-2-5-3'!$4:$4,0)-1,FALSE)
-IF($S119-1&lt;=0,0,VLOOKUP($S119-1,'表30-5-2-5-3'!$B:$AF,MATCH($D119&amp;"a",'表30-5-2-5-3'!$4:$4,0)-1,FALSE))
-VLOOKUP($T119,'表30-5-2-5-3'!$B:$AF,MATCH($D119,'表30-5-2-5-3'!$4:$4,0)-1,FALSE)*(T119/100-N119/H119)*100
-VLOOKUP($S119,'表30-5-2-5-3'!$B:$AF,MATCH($D119,'表30-5-2-5-3'!$4:$4,0)-1,FALSE)*(1-(S119/100-M119/H119)*100),
IF(C119="E1",VLOOKUP($T119,'表30-5-2-5-4'!$B$4:$AF$104,MATCH($D119&amp;"a",'表30-5-2-5-4'!$4:$4,0)-1,FALSE)
-IF($S119-1&lt;=0,0,VLOOKUP($S119-1,'表30-5-2-5-4'!$B$4:$AF$104,MATCH($D119&amp;"a",'表30-5-2-5-4'!$4:$4,0)-1,FALSE))
-VLOOKUP($T119,'表30-5-2-5-4'!$B$4:$AF$104,MATCH($D119,'表30-5-2-5-4'!$4:$4,0)-1,FALSE)*(T119/100-N119/H119)*100
-VLOOKUP($S119,'表30-5-2-5-4'!$B$4:$AF$104,MATCH($D119,'表30-5-2-5-4'!$4:$4,0)-1,FALSE)*(1-(S119/100-M119/H119)*100),
IF(C119="E2",VLOOKUP($T119,'表30-5-2-5-4'!$B$114:$AF$214,MATCH($D119&amp;"a",'表30-5-2-5-4'!$4:$4,0)-1,FALSE)
-IF($S119-1&lt;=0,0,VLOOKUP($S119-1,'表30-5-2-5-4'!$B$114:$AF$214,MATCH($D119&amp;"a",'表30-5-2-5-4'!$4:$4,0)-1,FALSE))
-VLOOKUP($T119,'表30-5-2-5-4'!$B$114:$AF$214,MATCH($D119,'表30-5-2-5-4'!$4:$4,0)-1,FALSE)*(T119/100-N119/H119)*100
-VLOOKUP($S119,'表30-5-2-5-4'!$B$114:$AF$214,MATCH($D119,'表30-5-2-5-4'!$4:$4,0)-1,FALSE)*(1-(S119/100-M119/H119)*100),0))))</f>
        <v>0</v>
      </c>
      <c r="V119" s="2478">
        <f t="shared" si="15"/>
        <v>0</v>
      </c>
      <c r="W119" s="2478">
        <f t="shared" si="16"/>
        <v>0</v>
      </c>
      <c r="X119" s="2718">
        <f t="shared" si="20"/>
        <v>0</v>
      </c>
      <c r="Y119" s="2718">
        <f t="shared" si="21"/>
        <v>0</v>
      </c>
    </row>
    <row r="120" spans="1:25">
      <c r="A120" s="2473" t="str">
        <f t="shared" si="17"/>
        <v/>
      </c>
      <c r="B120" s="2737"/>
      <c r="C120" s="2737"/>
      <c r="D120" s="2737"/>
      <c r="E120" s="2738"/>
      <c r="F120" s="2738"/>
      <c r="G120" s="2738"/>
      <c r="H120" s="2739"/>
      <c r="I120" s="2740"/>
      <c r="J120" s="2740"/>
      <c r="K120" s="2740"/>
      <c r="L120" s="2740"/>
      <c r="M120" s="2738"/>
      <c r="N120" s="2738"/>
      <c r="O120" s="2474">
        <f t="shared" si="11"/>
        <v>0</v>
      </c>
      <c r="P120" s="2474">
        <f t="shared" si="12"/>
        <v>0</v>
      </c>
      <c r="Q120" s="2475">
        <f t="shared" si="18"/>
        <v>0</v>
      </c>
      <c r="R120" s="2475">
        <f t="shared" si="19"/>
        <v>0</v>
      </c>
      <c r="S120" s="2476">
        <f t="shared" si="13"/>
        <v>0</v>
      </c>
      <c r="T120" s="2476">
        <f t="shared" si="14"/>
        <v>0</v>
      </c>
      <c r="U120" s="2477">
        <f>IF(OR(E120="QS",B120=""),0,
IF(C120="F",VLOOKUP($T120,'表30-5-2-5-3'!$B:$AF,MATCH($D120&amp;"a",'表30-5-2-5-3'!$4:$4,0)-1,FALSE)
-IF($S120-1&lt;=0,0,VLOOKUP($S120-1,'表30-5-2-5-3'!$B:$AF,MATCH($D120&amp;"a",'表30-5-2-5-3'!$4:$4,0)-1,FALSE))
-VLOOKUP($T120,'表30-5-2-5-3'!$B:$AF,MATCH($D120,'表30-5-2-5-3'!$4:$4,0)-1,FALSE)*(T120/100-N120/H120)*100
-VLOOKUP($S120,'表30-5-2-5-3'!$B:$AF,MATCH($D120,'表30-5-2-5-3'!$4:$4,0)-1,FALSE)*(1-(S120/100-M120/H120)*100),
IF(C120="E1",VLOOKUP($T120,'表30-5-2-5-4'!$B$4:$AF$104,MATCH($D120&amp;"a",'表30-5-2-5-4'!$4:$4,0)-1,FALSE)
-IF($S120-1&lt;=0,0,VLOOKUP($S120-1,'表30-5-2-5-4'!$B$4:$AF$104,MATCH($D120&amp;"a",'表30-5-2-5-4'!$4:$4,0)-1,FALSE))
-VLOOKUP($T120,'表30-5-2-5-4'!$B$4:$AF$104,MATCH($D120,'表30-5-2-5-4'!$4:$4,0)-1,FALSE)*(T120/100-N120/H120)*100
-VLOOKUP($S120,'表30-5-2-5-4'!$B$4:$AF$104,MATCH($D120,'表30-5-2-5-4'!$4:$4,0)-1,FALSE)*(1-(S120/100-M120/H120)*100),
IF(C120="E2",VLOOKUP($T120,'表30-5-2-5-4'!$B$114:$AF$214,MATCH($D120&amp;"a",'表30-5-2-5-4'!$4:$4,0)-1,FALSE)
-IF($S120-1&lt;=0,0,VLOOKUP($S120-1,'表30-5-2-5-4'!$B$114:$AF$214,MATCH($D120&amp;"a",'表30-5-2-5-4'!$4:$4,0)-1,FALSE))
-VLOOKUP($T120,'表30-5-2-5-4'!$B$114:$AF$214,MATCH($D120,'表30-5-2-5-4'!$4:$4,0)-1,FALSE)*(T120/100-N120/H120)*100
-VLOOKUP($S120,'表30-5-2-5-4'!$B$114:$AF$214,MATCH($D120,'表30-5-2-5-4'!$4:$4,0)-1,FALSE)*(1-(S120/100-M120/H120)*100),0))))</f>
        <v>0</v>
      </c>
      <c r="V120" s="2478">
        <f t="shared" si="15"/>
        <v>0</v>
      </c>
      <c r="W120" s="2478">
        <f t="shared" si="16"/>
        <v>0</v>
      </c>
      <c r="X120" s="2718">
        <f t="shared" si="20"/>
        <v>0</v>
      </c>
      <c r="Y120" s="2718">
        <f t="shared" si="21"/>
        <v>0</v>
      </c>
    </row>
    <row r="121" spans="1:25">
      <c r="A121" s="2473" t="str">
        <f t="shared" si="17"/>
        <v/>
      </c>
      <c r="B121" s="2737"/>
      <c r="C121" s="2737"/>
      <c r="D121" s="2737"/>
      <c r="E121" s="2738"/>
      <c r="F121" s="2738"/>
      <c r="G121" s="2738"/>
      <c r="H121" s="2739"/>
      <c r="I121" s="2740"/>
      <c r="J121" s="2740"/>
      <c r="K121" s="2740"/>
      <c r="L121" s="2740"/>
      <c r="M121" s="2738"/>
      <c r="N121" s="2738"/>
      <c r="O121" s="2474">
        <f t="shared" si="11"/>
        <v>0</v>
      </c>
      <c r="P121" s="2474">
        <f t="shared" si="12"/>
        <v>0</v>
      </c>
      <c r="Q121" s="2475">
        <f t="shared" si="18"/>
        <v>0</v>
      </c>
      <c r="R121" s="2475">
        <f t="shared" si="19"/>
        <v>0</v>
      </c>
      <c r="S121" s="2476">
        <f t="shared" si="13"/>
        <v>0</v>
      </c>
      <c r="T121" s="2476">
        <f t="shared" si="14"/>
        <v>0</v>
      </c>
      <c r="U121" s="2477">
        <f>IF(OR(E121="QS",B121=""),0,
IF(C121="F",VLOOKUP($T121,'表30-5-2-5-3'!$B:$AF,MATCH($D121&amp;"a",'表30-5-2-5-3'!$4:$4,0)-1,FALSE)
-IF($S121-1&lt;=0,0,VLOOKUP($S121-1,'表30-5-2-5-3'!$B:$AF,MATCH($D121&amp;"a",'表30-5-2-5-3'!$4:$4,0)-1,FALSE))
-VLOOKUP($T121,'表30-5-2-5-3'!$B:$AF,MATCH($D121,'表30-5-2-5-3'!$4:$4,0)-1,FALSE)*(T121/100-N121/H121)*100
-VLOOKUP($S121,'表30-5-2-5-3'!$B:$AF,MATCH($D121,'表30-5-2-5-3'!$4:$4,0)-1,FALSE)*(1-(S121/100-M121/H121)*100),
IF(C121="E1",VLOOKUP($T121,'表30-5-2-5-4'!$B$4:$AF$104,MATCH($D121&amp;"a",'表30-5-2-5-4'!$4:$4,0)-1,FALSE)
-IF($S121-1&lt;=0,0,VLOOKUP($S121-1,'表30-5-2-5-4'!$B$4:$AF$104,MATCH($D121&amp;"a",'表30-5-2-5-4'!$4:$4,0)-1,FALSE))
-VLOOKUP($T121,'表30-5-2-5-4'!$B$4:$AF$104,MATCH($D121,'表30-5-2-5-4'!$4:$4,0)-1,FALSE)*(T121/100-N121/H121)*100
-VLOOKUP($S121,'表30-5-2-5-4'!$B$4:$AF$104,MATCH($D121,'表30-5-2-5-4'!$4:$4,0)-1,FALSE)*(1-(S121/100-M121/H121)*100),
IF(C121="E2",VLOOKUP($T121,'表30-5-2-5-4'!$B$114:$AF$214,MATCH($D121&amp;"a",'表30-5-2-5-4'!$4:$4,0)-1,FALSE)
-IF($S121-1&lt;=0,0,VLOOKUP($S121-1,'表30-5-2-5-4'!$B$114:$AF$214,MATCH($D121&amp;"a",'表30-5-2-5-4'!$4:$4,0)-1,FALSE))
-VLOOKUP($T121,'表30-5-2-5-4'!$B$114:$AF$214,MATCH($D121,'表30-5-2-5-4'!$4:$4,0)-1,FALSE)*(T121/100-N121/H121)*100
-VLOOKUP($S121,'表30-5-2-5-4'!$B$114:$AF$214,MATCH($D121,'表30-5-2-5-4'!$4:$4,0)-1,FALSE)*(1-(S121/100-M121/H121)*100),0))))</f>
        <v>0</v>
      </c>
      <c r="V121" s="2478">
        <f t="shared" si="15"/>
        <v>0</v>
      </c>
      <c r="W121" s="2478">
        <f t="shared" si="16"/>
        <v>0</v>
      </c>
      <c r="X121" s="2718">
        <f t="shared" si="20"/>
        <v>0</v>
      </c>
      <c r="Y121" s="2718">
        <f t="shared" si="21"/>
        <v>0</v>
      </c>
    </row>
    <row r="122" spans="1:25">
      <c r="A122" s="2473" t="str">
        <f t="shared" si="17"/>
        <v/>
      </c>
      <c r="B122" s="2737"/>
      <c r="C122" s="2737"/>
      <c r="D122" s="2737"/>
      <c r="E122" s="2738"/>
      <c r="F122" s="2738"/>
      <c r="G122" s="2738"/>
      <c r="H122" s="2739"/>
      <c r="I122" s="2740"/>
      <c r="J122" s="2740"/>
      <c r="K122" s="2740"/>
      <c r="L122" s="2740"/>
      <c r="M122" s="2738"/>
      <c r="N122" s="2738"/>
      <c r="O122" s="2474">
        <f t="shared" si="11"/>
        <v>0</v>
      </c>
      <c r="P122" s="2474">
        <f t="shared" si="12"/>
        <v>0</v>
      </c>
      <c r="Q122" s="2475">
        <f t="shared" si="18"/>
        <v>0</v>
      </c>
      <c r="R122" s="2475">
        <f t="shared" si="19"/>
        <v>0</v>
      </c>
      <c r="S122" s="2476">
        <f t="shared" si="13"/>
        <v>0</v>
      </c>
      <c r="T122" s="2476">
        <f t="shared" si="14"/>
        <v>0</v>
      </c>
      <c r="U122" s="2477">
        <f>IF(OR(E122="QS",B122=""),0,
IF(C122="F",VLOOKUP($T122,'表30-5-2-5-3'!$B:$AF,MATCH($D122&amp;"a",'表30-5-2-5-3'!$4:$4,0)-1,FALSE)
-IF($S122-1&lt;=0,0,VLOOKUP($S122-1,'表30-5-2-5-3'!$B:$AF,MATCH($D122&amp;"a",'表30-5-2-5-3'!$4:$4,0)-1,FALSE))
-VLOOKUP($T122,'表30-5-2-5-3'!$B:$AF,MATCH($D122,'表30-5-2-5-3'!$4:$4,0)-1,FALSE)*(T122/100-N122/H122)*100
-VLOOKUP($S122,'表30-5-2-5-3'!$B:$AF,MATCH($D122,'表30-5-2-5-3'!$4:$4,0)-1,FALSE)*(1-(S122/100-M122/H122)*100),
IF(C122="E1",VLOOKUP($T122,'表30-5-2-5-4'!$B$4:$AF$104,MATCH($D122&amp;"a",'表30-5-2-5-4'!$4:$4,0)-1,FALSE)
-IF($S122-1&lt;=0,0,VLOOKUP($S122-1,'表30-5-2-5-4'!$B$4:$AF$104,MATCH($D122&amp;"a",'表30-5-2-5-4'!$4:$4,0)-1,FALSE))
-VLOOKUP($T122,'表30-5-2-5-4'!$B$4:$AF$104,MATCH($D122,'表30-5-2-5-4'!$4:$4,0)-1,FALSE)*(T122/100-N122/H122)*100
-VLOOKUP($S122,'表30-5-2-5-4'!$B$4:$AF$104,MATCH($D122,'表30-5-2-5-4'!$4:$4,0)-1,FALSE)*(1-(S122/100-M122/H122)*100),
IF(C122="E2",VLOOKUP($T122,'表30-5-2-5-4'!$B$114:$AF$214,MATCH($D122&amp;"a",'表30-5-2-5-4'!$4:$4,0)-1,FALSE)
-IF($S122-1&lt;=0,0,VLOOKUP($S122-1,'表30-5-2-5-4'!$B$114:$AF$214,MATCH($D122&amp;"a",'表30-5-2-5-4'!$4:$4,0)-1,FALSE))
-VLOOKUP($T122,'表30-5-2-5-4'!$B$114:$AF$214,MATCH($D122,'表30-5-2-5-4'!$4:$4,0)-1,FALSE)*(T122/100-N122/H122)*100
-VLOOKUP($S122,'表30-5-2-5-4'!$B$114:$AF$214,MATCH($D122,'表30-5-2-5-4'!$4:$4,0)-1,FALSE)*(1-(S122/100-M122/H122)*100),0))))</f>
        <v>0</v>
      </c>
      <c r="V122" s="2478">
        <f t="shared" si="15"/>
        <v>0</v>
      </c>
      <c r="W122" s="2478">
        <f t="shared" si="16"/>
        <v>0</v>
      </c>
      <c r="X122" s="2718">
        <f t="shared" si="20"/>
        <v>0</v>
      </c>
      <c r="Y122" s="2718">
        <f t="shared" si="21"/>
        <v>0</v>
      </c>
    </row>
    <row r="123" spans="1:25">
      <c r="A123" s="2473" t="str">
        <f t="shared" si="17"/>
        <v/>
      </c>
      <c r="B123" s="2737"/>
      <c r="C123" s="2737"/>
      <c r="D123" s="2737"/>
      <c r="E123" s="2738"/>
      <c r="F123" s="2738"/>
      <c r="G123" s="2738"/>
      <c r="H123" s="2739"/>
      <c r="I123" s="2740"/>
      <c r="J123" s="2740"/>
      <c r="K123" s="2740"/>
      <c r="L123" s="2740"/>
      <c r="M123" s="2738"/>
      <c r="N123" s="2738"/>
      <c r="O123" s="2474">
        <f t="shared" si="11"/>
        <v>0</v>
      </c>
      <c r="P123" s="2474">
        <f t="shared" si="12"/>
        <v>0</v>
      </c>
      <c r="Q123" s="2475">
        <f t="shared" si="18"/>
        <v>0</v>
      </c>
      <c r="R123" s="2475">
        <f t="shared" si="19"/>
        <v>0</v>
      </c>
      <c r="S123" s="2476">
        <f t="shared" si="13"/>
        <v>0</v>
      </c>
      <c r="T123" s="2476">
        <f t="shared" si="14"/>
        <v>0</v>
      </c>
      <c r="U123" s="2477">
        <f>IF(OR(E123="QS",B123=""),0,
IF(C123="F",VLOOKUP($T123,'表30-5-2-5-3'!$B:$AF,MATCH($D123&amp;"a",'表30-5-2-5-3'!$4:$4,0)-1,FALSE)
-IF($S123-1&lt;=0,0,VLOOKUP($S123-1,'表30-5-2-5-3'!$B:$AF,MATCH($D123&amp;"a",'表30-5-2-5-3'!$4:$4,0)-1,FALSE))
-VLOOKUP($T123,'表30-5-2-5-3'!$B:$AF,MATCH($D123,'表30-5-2-5-3'!$4:$4,0)-1,FALSE)*(T123/100-N123/H123)*100
-VLOOKUP($S123,'表30-5-2-5-3'!$B:$AF,MATCH($D123,'表30-5-2-5-3'!$4:$4,0)-1,FALSE)*(1-(S123/100-M123/H123)*100),
IF(C123="E1",VLOOKUP($T123,'表30-5-2-5-4'!$B$4:$AF$104,MATCH($D123&amp;"a",'表30-5-2-5-4'!$4:$4,0)-1,FALSE)
-IF($S123-1&lt;=0,0,VLOOKUP($S123-1,'表30-5-2-5-4'!$B$4:$AF$104,MATCH($D123&amp;"a",'表30-5-2-5-4'!$4:$4,0)-1,FALSE))
-VLOOKUP($T123,'表30-5-2-5-4'!$B$4:$AF$104,MATCH($D123,'表30-5-2-5-4'!$4:$4,0)-1,FALSE)*(T123/100-N123/H123)*100
-VLOOKUP($S123,'表30-5-2-5-4'!$B$4:$AF$104,MATCH($D123,'表30-5-2-5-4'!$4:$4,0)-1,FALSE)*(1-(S123/100-M123/H123)*100),
IF(C123="E2",VLOOKUP($T123,'表30-5-2-5-4'!$B$114:$AF$214,MATCH($D123&amp;"a",'表30-5-2-5-4'!$4:$4,0)-1,FALSE)
-IF($S123-1&lt;=0,0,VLOOKUP($S123-1,'表30-5-2-5-4'!$B$114:$AF$214,MATCH($D123&amp;"a",'表30-5-2-5-4'!$4:$4,0)-1,FALSE))
-VLOOKUP($T123,'表30-5-2-5-4'!$B$114:$AF$214,MATCH($D123,'表30-5-2-5-4'!$4:$4,0)-1,FALSE)*(T123/100-N123/H123)*100
-VLOOKUP($S123,'表30-5-2-5-4'!$B$114:$AF$214,MATCH($D123,'表30-5-2-5-4'!$4:$4,0)-1,FALSE)*(1-(S123/100-M123/H123)*100),0))))</f>
        <v>0</v>
      </c>
      <c r="V123" s="2478">
        <f t="shared" si="15"/>
        <v>0</v>
      </c>
      <c r="W123" s="2478">
        <f t="shared" si="16"/>
        <v>0</v>
      </c>
      <c r="X123" s="2718">
        <f t="shared" si="20"/>
        <v>0</v>
      </c>
      <c r="Y123" s="2718">
        <f t="shared" si="21"/>
        <v>0</v>
      </c>
    </row>
    <row r="124" spans="1:25">
      <c r="A124" s="2473" t="str">
        <f t="shared" si="17"/>
        <v/>
      </c>
      <c r="B124" s="2737"/>
      <c r="C124" s="2737"/>
      <c r="D124" s="2737"/>
      <c r="E124" s="2738"/>
      <c r="F124" s="2738"/>
      <c r="G124" s="2738"/>
      <c r="H124" s="2739"/>
      <c r="I124" s="2740"/>
      <c r="J124" s="2740"/>
      <c r="K124" s="2740"/>
      <c r="L124" s="2740"/>
      <c r="M124" s="2738"/>
      <c r="N124" s="2738"/>
      <c r="O124" s="2474">
        <f t="shared" si="11"/>
        <v>0</v>
      </c>
      <c r="P124" s="2474">
        <f t="shared" si="12"/>
        <v>0</v>
      </c>
      <c r="Q124" s="2475">
        <f t="shared" si="18"/>
        <v>0</v>
      </c>
      <c r="R124" s="2475">
        <f t="shared" si="19"/>
        <v>0</v>
      </c>
      <c r="S124" s="2476">
        <f t="shared" si="13"/>
        <v>0</v>
      </c>
      <c r="T124" s="2476">
        <f t="shared" si="14"/>
        <v>0</v>
      </c>
      <c r="U124" s="2477">
        <f>IF(OR(E124="QS",B124=""),0,
IF(C124="F",VLOOKUP($T124,'表30-5-2-5-3'!$B:$AF,MATCH($D124&amp;"a",'表30-5-2-5-3'!$4:$4,0)-1,FALSE)
-IF($S124-1&lt;=0,0,VLOOKUP($S124-1,'表30-5-2-5-3'!$B:$AF,MATCH($D124&amp;"a",'表30-5-2-5-3'!$4:$4,0)-1,FALSE))
-VLOOKUP($T124,'表30-5-2-5-3'!$B:$AF,MATCH($D124,'表30-5-2-5-3'!$4:$4,0)-1,FALSE)*(T124/100-N124/H124)*100
-VLOOKUP($S124,'表30-5-2-5-3'!$B:$AF,MATCH($D124,'表30-5-2-5-3'!$4:$4,0)-1,FALSE)*(1-(S124/100-M124/H124)*100),
IF(C124="E1",VLOOKUP($T124,'表30-5-2-5-4'!$B$4:$AF$104,MATCH($D124&amp;"a",'表30-5-2-5-4'!$4:$4,0)-1,FALSE)
-IF($S124-1&lt;=0,0,VLOOKUP($S124-1,'表30-5-2-5-4'!$B$4:$AF$104,MATCH($D124&amp;"a",'表30-5-2-5-4'!$4:$4,0)-1,FALSE))
-VLOOKUP($T124,'表30-5-2-5-4'!$B$4:$AF$104,MATCH($D124,'表30-5-2-5-4'!$4:$4,0)-1,FALSE)*(T124/100-N124/H124)*100
-VLOOKUP($S124,'表30-5-2-5-4'!$B$4:$AF$104,MATCH($D124,'表30-5-2-5-4'!$4:$4,0)-1,FALSE)*(1-(S124/100-M124/H124)*100),
IF(C124="E2",VLOOKUP($T124,'表30-5-2-5-4'!$B$114:$AF$214,MATCH($D124&amp;"a",'表30-5-2-5-4'!$4:$4,0)-1,FALSE)
-IF($S124-1&lt;=0,0,VLOOKUP($S124-1,'表30-5-2-5-4'!$B$114:$AF$214,MATCH($D124&amp;"a",'表30-5-2-5-4'!$4:$4,0)-1,FALSE))
-VLOOKUP($T124,'表30-5-2-5-4'!$B$114:$AF$214,MATCH($D124,'表30-5-2-5-4'!$4:$4,0)-1,FALSE)*(T124/100-N124/H124)*100
-VLOOKUP($S124,'表30-5-2-5-4'!$B$114:$AF$214,MATCH($D124,'表30-5-2-5-4'!$4:$4,0)-1,FALSE)*(1-(S124/100-M124/H124)*100),0))))</f>
        <v>0</v>
      </c>
      <c r="V124" s="2478">
        <f t="shared" si="15"/>
        <v>0</v>
      </c>
      <c r="W124" s="2478">
        <f t="shared" si="16"/>
        <v>0</v>
      </c>
      <c r="X124" s="2718">
        <f t="shared" si="20"/>
        <v>0</v>
      </c>
      <c r="Y124" s="2718">
        <f t="shared" si="21"/>
        <v>0</v>
      </c>
    </row>
    <row r="125" spans="1:25">
      <c r="A125" s="2473" t="str">
        <f t="shared" si="17"/>
        <v/>
      </c>
      <c r="B125" s="2737"/>
      <c r="C125" s="2737"/>
      <c r="D125" s="2737"/>
      <c r="E125" s="2738"/>
      <c r="F125" s="2738"/>
      <c r="G125" s="2738"/>
      <c r="H125" s="2739"/>
      <c r="I125" s="2740"/>
      <c r="J125" s="2740"/>
      <c r="K125" s="2740"/>
      <c r="L125" s="2740"/>
      <c r="M125" s="2738"/>
      <c r="N125" s="2738"/>
      <c r="O125" s="2474">
        <f t="shared" si="11"/>
        <v>0</v>
      </c>
      <c r="P125" s="2474">
        <f t="shared" si="12"/>
        <v>0</v>
      </c>
      <c r="Q125" s="2475">
        <f t="shared" si="18"/>
        <v>0</v>
      </c>
      <c r="R125" s="2475">
        <f t="shared" si="19"/>
        <v>0</v>
      </c>
      <c r="S125" s="2476">
        <f t="shared" si="13"/>
        <v>0</v>
      </c>
      <c r="T125" s="2476">
        <f t="shared" si="14"/>
        <v>0</v>
      </c>
      <c r="U125" s="2477">
        <f>IF(OR(E125="QS",B125=""),0,
IF(C125="F",VLOOKUP($T125,'表30-5-2-5-3'!$B:$AF,MATCH($D125&amp;"a",'表30-5-2-5-3'!$4:$4,0)-1,FALSE)
-IF($S125-1&lt;=0,0,VLOOKUP($S125-1,'表30-5-2-5-3'!$B:$AF,MATCH($D125&amp;"a",'表30-5-2-5-3'!$4:$4,0)-1,FALSE))
-VLOOKUP($T125,'表30-5-2-5-3'!$B:$AF,MATCH($D125,'表30-5-2-5-3'!$4:$4,0)-1,FALSE)*(T125/100-N125/H125)*100
-VLOOKUP($S125,'表30-5-2-5-3'!$B:$AF,MATCH($D125,'表30-5-2-5-3'!$4:$4,0)-1,FALSE)*(1-(S125/100-M125/H125)*100),
IF(C125="E1",VLOOKUP($T125,'表30-5-2-5-4'!$B$4:$AF$104,MATCH($D125&amp;"a",'表30-5-2-5-4'!$4:$4,0)-1,FALSE)
-IF($S125-1&lt;=0,0,VLOOKUP($S125-1,'表30-5-2-5-4'!$B$4:$AF$104,MATCH($D125&amp;"a",'表30-5-2-5-4'!$4:$4,0)-1,FALSE))
-VLOOKUP($T125,'表30-5-2-5-4'!$B$4:$AF$104,MATCH($D125,'表30-5-2-5-4'!$4:$4,0)-1,FALSE)*(T125/100-N125/H125)*100
-VLOOKUP($S125,'表30-5-2-5-4'!$B$4:$AF$104,MATCH($D125,'表30-5-2-5-4'!$4:$4,0)-1,FALSE)*(1-(S125/100-M125/H125)*100),
IF(C125="E2",VLOOKUP($T125,'表30-5-2-5-4'!$B$114:$AF$214,MATCH($D125&amp;"a",'表30-5-2-5-4'!$4:$4,0)-1,FALSE)
-IF($S125-1&lt;=0,0,VLOOKUP($S125-1,'表30-5-2-5-4'!$B$114:$AF$214,MATCH($D125&amp;"a",'表30-5-2-5-4'!$4:$4,0)-1,FALSE))
-VLOOKUP($T125,'表30-5-2-5-4'!$B$114:$AF$214,MATCH($D125,'表30-5-2-5-4'!$4:$4,0)-1,FALSE)*(T125/100-N125/H125)*100
-VLOOKUP($S125,'表30-5-2-5-4'!$B$114:$AF$214,MATCH($D125,'表30-5-2-5-4'!$4:$4,0)-1,FALSE)*(1-(S125/100-M125/H125)*100),0))))</f>
        <v>0</v>
      </c>
      <c r="V125" s="2478">
        <f t="shared" si="15"/>
        <v>0</v>
      </c>
      <c r="W125" s="2478">
        <f t="shared" si="16"/>
        <v>0</v>
      </c>
      <c r="X125" s="2718">
        <f t="shared" si="20"/>
        <v>0</v>
      </c>
      <c r="Y125" s="2718">
        <f t="shared" si="21"/>
        <v>0</v>
      </c>
    </row>
    <row r="126" spans="1:25">
      <c r="A126" s="2473" t="str">
        <f t="shared" si="17"/>
        <v/>
      </c>
      <c r="B126" s="2737"/>
      <c r="C126" s="2737"/>
      <c r="D126" s="2737"/>
      <c r="E126" s="2738"/>
      <c r="F126" s="2738"/>
      <c r="G126" s="2738"/>
      <c r="H126" s="2739"/>
      <c r="I126" s="2740"/>
      <c r="J126" s="2740"/>
      <c r="K126" s="2740"/>
      <c r="L126" s="2740"/>
      <c r="M126" s="2738"/>
      <c r="N126" s="2738"/>
      <c r="O126" s="2474">
        <f t="shared" si="11"/>
        <v>0</v>
      </c>
      <c r="P126" s="2474">
        <f t="shared" si="12"/>
        <v>0</v>
      </c>
      <c r="Q126" s="2475">
        <f t="shared" si="18"/>
        <v>0</v>
      </c>
      <c r="R126" s="2475">
        <f t="shared" si="19"/>
        <v>0</v>
      </c>
      <c r="S126" s="2476">
        <f t="shared" si="13"/>
        <v>0</v>
      </c>
      <c r="T126" s="2476">
        <f t="shared" si="14"/>
        <v>0</v>
      </c>
      <c r="U126" s="2477">
        <f>IF(OR(E126="QS",B126=""),0,
IF(C126="F",VLOOKUP($T126,'表30-5-2-5-3'!$B:$AF,MATCH($D126&amp;"a",'表30-5-2-5-3'!$4:$4,0)-1,FALSE)
-IF($S126-1&lt;=0,0,VLOOKUP($S126-1,'表30-5-2-5-3'!$B:$AF,MATCH($D126&amp;"a",'表30-5-2-5-3'!$4:$4,0)-1,FALSE))
-VLOOKUP($T126,'表30-5-2-5-3'!$B:$AF,MATCH($D126,'表30-5-2-5-3'!$4:$4,0)-1,FALSE)*(T126/100-N126/H126)*100
-VLOOKUP($S126,'表30-5-2-5-3'!$B:$AF,MATCH($D126,'表30-5-2-5-3'!$4:$4,0)-1,FALSE)*(1-(S126/100-M126/H126)*100),
IF(C126="E1",VLOOKUP($T126,'表30-5-2-5-4'!$B$4:$AF$104,MATCH($D126&amp;"a",'表30-5-2-5-4'!$4:$4,0)-1,FALSE)
-IF($S126-1&lt;=0,0,VLOOKUP($S126-1,'表30-5-2-5-4'!$B$4:$AF$104,MATCH($D126&amp;"a",'表30-5-2-5-4'!$4:$4,0)-1,FALSE))
-VLOOKUP($T126,'表30-5-2-5-4'!$B$4:$AF$104,MATCH($D126,'表30-5-2-5-4'!$4:$4,0)-1,FALSE)*(T126/100-N126/H126)*100
-VLOOKUP($S126,'表30-5-2-5-4'!$B$4:$AF$104,MATCH($D126,'表30-5-2-5-4'!$4:$4,0)-1,FALSE)*(1-(S126/100-M126/H126)*100),
IF(C126="E2",VLOOKUP($T126,'表30-5-2-5-4'!$B$114:$AF$214,MATCH($D126&amp;"a",'表30-5-2-5-4'!$4:$4,0)-1,FALSE)
-IF($S126-1&lt;=0,0,VLOOKUP($S126-1,'表30-5-2-5-4'!$B$114:$AF$214,MATCH($D126&amp;"a",'表30-5-2-5-4'!$4:$4,0)-1,FALSE))
-VLOOKUP($T126,'表30-5-2-5-4'!$B$114:$AF$214,MATCH($D126,'表30-5-2-5-4'!$4:$4,0)-1,FALSE)*(T126/100-N126/H126)*100
-VLOOKUP($S126,'表30-5-2-5-4'!$B$114:$AF$214,MATCH($D126,'表30-5-2-5-4'!$4:$4,0)-1,FALSE)*(1-(S126/100-M126/H126)*100),0))))</f>
        <v>0</v>
      </c>
      <c r="V126" s="2478">
        <f t="shared" si="15"/>
        <v>0</v>
      </c>
      <c r="W126" s="2478">
        <f t="shared" si="16"/>
        <v>0</v>
      </c>
      <c r="X126" s="2718">
        <f t="shared" si="20"/>
        <v>0</v>
      </c>
      <c r="Y126" s="2718">
        <f t="shared" si="21"/>
        <v>0</v>
      </c>
    </row>
    <row r="127" spans="1:25">
      <c r="A127" s="2473" t="str">
        <f t="shared" si="17"/>
        <v/>
      </c>
      <c r="B127" s="2737"/>
      <c r="C127" s="2737"/>
      <c r="D127" s="2737"/>
      <c r="E127" s="2738"/>
      <c r="F127" s="2738"/>
      <c r="G127" s="2738"/>
      <c r="H127" s="2739"/>
      <c r="I127" s="2740"/>
      <c r="J127" s="2740"/>
      <c r="K127" s="2740"/>
      <c r="L127" s="2740"/>
      <c r="M127" s="2738"/>
      <c r="N127" s="2738"/>
      <c r="O127" s="2474">
        <f t="shared" si="11"/>
        <v>0</v>
      </c>
      <c r="P127" s="2474">
        <f t="shared" si="12"/>
        <v>0</v>
      </c>
      <c r="Q127" s="2475">
        <f t="shared" si="18"/>
        <v>0</v>
      </c>
      <c r="R127" s="2475">
        <f t="shared" si="19"/>
        <v>0</v>
      </c>
      <c r="S127" s="2476">
        <f t="shared" si="13"/>
        <v>0</v>
      </c>
      <c r="T127" s="2476">
        <f t="shared" si="14"/>
        <v>0</v>
      </c>
      <c r="U127" s="2477">
        <f>IF(OR(E127="QS",B127=""),0,
IF(C127="F",VLOOKUP($T127,'表30-5-2-5-3'!$B:$AF,MATCH($D127&amp;"a",'表30-5-2-5-3'!$4:$4,0)-1,FALSE)
-IF($S127-1&lt;=0,0,VLOOKUP($S127-1,'表30-5-2-5-3'!$B:$AF,MATCH($D127&amp;"a",'表30-5-2-5-3'!$4:$4,0)-1,FALSE))
-VLOOKUP($T127,'表30-5-2-5-3'!$B:$AF,MATCH($D127,'表30-5-2-5-3'!$4:$4,0)-1,FALSE)*(T127/100-N127/H127)*100
-VLOOKUP($S127,'表30-5-2-5-3'!$B:$AF,MATCH($D127,'表30-5-2-5-3'!$4:$4,0)-1,FALSE)*(1-(S127/100-M127/H127)*100),
IF(C127="E1",VLOOKUP($T127,'表30-5-2-5-4'!$B$4:$AF$104,MATCH($D127&amp;"a",'表30-5-2-5-4'!$4:$4,0)-1,FALSE)
-IF($S127-1&lt;=0,0,VLOOKUP($S127-1,'表30-5-2-5-4'!$B$4:$AF$104,MATCH($D127&amp;"a",'表30-5-2-5-4'!$4:$4,0)-1,FALSE))
-VLOOKUP($T127,'表30-5-2-5-4'!$B$4:$AF$104,MATCH($D127,'表30-5-2-5-4'!$4:$4,0)-1,FALSE)*(T127/100-N127/H127)*100
-VLOOKUP($S127,'表30-5-2-5-4'!$B$4:$AF$104,MATCH($D127,'表30-5-2-5-4'!$4:$4,0)-1,FALSE)*(1-(S127/100-M127/H127)*100),
IF(C127="E2",VLOOKUP($T127,'表30-5-2-5-4'!$B$114:$AF$214,MATCH($D127&amp;"a",'表30-5-2-5-4'!$4:$4,0)-1,FALSE)
-IF($S127-1&lt;=0,0,VLOOKUP($S127-1,'表30-5-2-5-4'!$B$114:$AF$214,MATCH($D127&amp;"a",'表30-5-2-5-4'!$4:$4,0)-1,FALSE))
-VLOOKUP($T127,'表30-5-2-5-4'!$B$114:$AF$214,MATCH($D127,'表30-5-2-5-4'!$4:$4,0)-1,FALSE)*(T127/100-N127/H127)*100
-VLOOKUP($S127,'表30-5-2-5-4'!$B$114:$AF$214,MATCH($D127,'表30-5-2-5-4'!$4:$4,0)-1,FALSE)*(1-(S127/100-M127/H127)*100),0))))</f>
        <v>0</v>
      </c>
      <c r="V127" s="2478">
        <f t="shared" si="15"/>
        <v>0</v>
      </c>
      <c r="W127" s="2478">
        <f t="shared" si="16"/>
        <v>0</v>
      </c>
      <c r="X127" s="2718">
        <f t="shared" si="20"/>
        <v>0</v>
      </c>
      <c r="Y127" s="2718">
        <f t="shared" si="21"/>
        <v>0</v>
      </c>
    </row>
    <row r="128" spans="1:25">
      <c r="A128" s="2473" t="str">
        <f t="shared" si="17"/>
        <v/>
      </c>
      <c r="B128" s="2737"/>
      <c r="C128" s="2737"/>
      <c r="D128" s="2737"/>
      <c r="E128" s="2738"/>
      <c r="F128" s="2738"/>
      <c r="G128" s="2738"/>
      <c r="H128" s="2739"/>
      <c r="I128" s="2740"/>
      <c r="J128" s="2740"/>
      <c r="K128" s="2740"/>
      <c r="L128" s="2740"/>
      <c r="M128" s="2738"/>
      <c r="N128" s="2738"/>
      <c r="O128" s="2474">
        <f t="shared" si="11"/>
        <v>0</v>
      </c>
      <c r="P128" s="2474">
        <f t="shared" si="12"/>
        <v>0</v>
      </c>
      <c r="Q128" s="2475">
        <f t="shared" si="18"/>
        <v>0</v>
      </c>
      <c r="R128" s="2475">
        <f t="shared" si="19"/>
        <v>0</v>
      </c>
      <c r="S128" s="2476">
        <f t="shared" si="13"/>
        <v>0</v>
      </c>
      <c r="T128" s="2476">
        <f t="shared" si="14"/>
        <v>0</v>
      </c>
      <c r="U128" s="2477">
        <f>IF(OR(E128="QS",B128=""),0,
IF(C128="F",VLOOKUP($T128,'表30-5-2-5-3'!$B:$AF,MATCH($D128&amp;"a",'表30-5-2-5-3'!$4:$4,0)-1,FALSE)
-IF($S128-1&lt;=0,0,VLOOKUP($S128-1,'表30-5-2-5-3'!$B:$AF,MATCH($D128&amp;"a",'表30-5-2-5-3'!$4:$4,0)-1,FALSE))
-VLOOKUP($T128,'表30-5-2-5-3'!$B:$AF,MATCH($D128,'表30-5-2-5-3'!$4:$4,0)-1,FALSE)*(T128/100-N128/H128)*100
-VLOOKUP($S128,'表30-5-2-5-3'!$B:$AF,MATCH($D128,'表30-5-2-5-3'!$4:$4,0)-1,FALSE)*(1-(S128/100-M128/H128)*100),
IF(C128="E1",VLOOKUP($T128,'表30-5-2-5-4'!$B$4:$AF$104,MATCH($D128&amp;"a",'表30-5-2-5-4'!$4:$4,0)-1,FALSE)
-IF($S128-1&lt;=0,0,VLOOKUP($S128-1,'表30-5-2-5-4'!$B$4:$AF$104,MATCH($D128&amp;"a",'表30-5-2-5-4'!$4:$4,0)-1,FALSE))
-VLOOKUP($T128,'表30-5-2-5-4'!$B$4:$AF$104,MATCH($D128,'表30-5-2-5-4'!$4:$4,0)-1,FALSE)*(T128/100-N128/H128)*100
-VLOOKUP($S128,'表30-5-2-5-4'!$B$4:$AF$104,MATCH($D128,'表30-5-2-5-4'!$4:$4,0)-1,FALSE)*(1-(S128/100-M128/H128)*100),
IF(C128="E2",VLOOKUP($T128,'表30-5-2-5-4'!$B$114:$AF$214,MATCH($D128&amp;"a",'表30-5-2-5-4'!$4:$4,0)-1,FALSE)
-IF($S128-1&lt;=0,0,VLOOKUP($S128-1,'表30-5-2-5-4'!$B$114:$AF$214,MATCH($D128&amp;"a",'表30-5-2-5-4'!$4:$4,0)-1,FALSE))
-VLOOKUP($T128,'表30-5-2-5-4'!$B$114:$AF$214,MATCH($D128,'表30-5-2-5-4'!$4:$4,0)-1,FALSE)*(T128/100-N128/H128)*100
-VLOOKUP($S128,'表30-5-2-5-4'!$B$114:$AF$214,MATCH($D128,'表30-5-2-5-4'!$4:$4,0)-1,FALSE)*(1-(S128/100-M128/H128)*100),0))))</f>
        <v>0</v>
      </c>
      <c r="V128" s="2478">
        <f t="shared" si="15"/>
        <v>0</v>
      </c>
      <c r="W128" s="2478">
        <f t="shared" si="16"/>
        <v>0</v>
      </c>
      <c r="X128" s="2718">
        <f t="shared" si="20"/>
        <v>0</v>
      </c>
      <c r="Y128" s="2718">
        <f t="shared" si="21"/>
        <v>0</v>
      </c>
    </row>
    <row r="129" spans="1:25">
      <c r="A129" s="2473" t="str">
        <f t="shared" si="17"/>
        <v/>
      </c>
      <c r="B129" s="2737"/>
      <c r="C129" s="2737"/>
      <c r="D129" s="2737"/>
      <c r="E129" s="2738"/>
      <c r="F129" s="2738"/>
      <c r="G129" s="2738"/>
      <c r="H129" s="2739"/>
      <c r="I129" s="2740"/>
      <c r="J129" s="2740"/>
      <c r="K129" s="2740"/>
      <c r="L129" s="2740"/>
      <c r="M129" s="2738"/>
      <c r="N129" s="2738"/>
      <c r="O129" s="2474">
        <f t="shared" si="11"/>
        <v>0</v>
      </c>
      <c r="P129" s="2474">
        <f t="shared" si="12"/>
        <v>0</v>
      </c>
      <c r="Q129" s="2475">
        <f t="shared" si="18"/>
        <v>0</v>
      </c>
      <c r="R129" s="2475">
        <f t="shared" si="19"/>
        <v>0</v>
      </c>
      <c r="S129" s="2476">
        <f t="shared" si="13"/>
        <v>0</v>
      </c>
      <c r="T129" s="2476">
        <f t="shared" si="14"/>
        <v>0</v>
      </c>
      <c r="U129" s="2477">
        <f>IF(OR(E129="QS",B129=""),0,
IF(C129="F",VLOOKUP($T129,'表30-5-2-5-3'!$B:$AF,MATCH($D129&amp;"a",'表30-5-2-5-3'!$4:$4,0)-1,FALSE)
-IF($S129-1&lt;=0,0,VLOOKUP($S129-1,'表30-5-2-5-3'!$B:$AF,MATCH($D129&amp;"a",'表30-5-2-5-3'!$4:$4,0)-1,FALSE))
-VLOOKUP($T129,'表30-5-2-5-3'!$B:$AF,MATCH($D129,'表30-5-2-5-3'!$4:$4,0)-1,FALSE)*(T129/100-N129/H129)*100
-VLOOKUP($S129,'表30-5-2-5-3'!$B:$AF,MATCH($D129,'表30-5-2-5-3'!$4:$4,0)-1,FALSE)*(1-(S129/100-M129/H129)*100),
IF(C129="E1",VLOOKUP($T129,'表30-5-2-5-4'!$B$4:$AF$104,MATCH($D129&amp;"a",'表30-5-2-5-4'!$4:$4,0)-1,FALSE)
-IF($S129-1&lt;=0,0,VLOOKUP($S129-1,'表30-5-2-5-4'!$B$4:$AF$104,MATCH($D129&amp;"a",'表30-5-2-5-4'!$4:$4,0)-1,FALSE))
-VLOOKUP($T129,'表30-5-2-5-4'!$B$4:$AF$104,MATCH($D129,'表30-5-2-5-4'!$4:$4,0)-1,FALSE)*(T129/100-N129/H129)*100
-VLOOKUP($S129,'表30-5-2-5-4'!$B$4:$AF$104,MATCH($D129,'表30-5-2-5-4'!$4:$4,0)-1,FALSE)*(1-(S129/100-M129/H129)*100),
IF(C129="E2",VLOOKUP($T129,'表30-5-2-5-4'!$B$114:$AF$214,MATCH($D129&amp;"a",'表30-5-2-5-4'!$4:$4,0)-1,FALSE)
-IF($S129-1&lt;=0,0,VLOOKUP($S129-1,'表30-5-2-5-4'!$B$114:$AF$214,MATCH($D129&amp;"a",'表30-5-2-5-4'!$4:$4,0)-1,FALSE))
-VLOOKUP($T129,'表30-5-2-5-4'!$B$114:$AF$214,MATCH($D129,'表30-5-2-5-4'!$4:$4,0)-1,FALSE)*(T129/100-N129/H129)*100
-VLOOKUP($S129,'表30-5-2-5-4'!$B$114:$AF$214,MATCH($D129,'表30-5-2-5-4'!$4:$4,0)-1,FALSE)*(1-(S129/100-M129/H129)*100),0))))</f>
        <v>0</v>
      </c>
      <c r="V129" s="2478">
        <f t="shared" si="15"/>
        <v>0</v>
      </c>
      <c r="W129" s="2478">
        <f t="shared" si="16"/>
        <v>0</v>
      </c>
      <c r="X129" s="2718">
        <f t="shared" si="20"/>
        <v>0</v>
      </c>
      <c r="Y129" s="2718">
        <f t="shared" si="21"/>
        <v>0</v>
      </c>
    </row>
    <row r="130" spans="1:25">
      <c r="A130" s="2473" t="str">
        <f t="shared" si="17"/>
        <v/>
      </c>
      <c r="B130" s="2737"/>
      <c r="C130" s="2737"/>
      <c r="D130" s="2737"/>
      <c r="E130" s="2738"/>
      <c r="F130" s="2738"/>
      <c r="G130" s="2738"/>
      <c r="H130" s="2739"/>
      <c r="I130" s="2740"/>
      <c r="J130" s="2740"/>
      <c r="K130" s="2740"/>
      <c r="L130" s="2740"/>
      <c r="M130" s="2738"/>
      <c r="N130" s="2738"/>
      <c r="O130" s="2474">
        <f t="shared" si="11"/>
        <v>0</v>
      </c>
      <c r="P130" s="2474">
        <f t="shared" si="12"/>
        <v>0</v>
      </c>
      <c r="Q130" s="2475">
        <f t="shared" si="18"/>
        <v>0</v>
      </c>
      <c r="R130" s="2475">
        <f t="shared" si="19"/>
        <v>0</v>
      </c>
      <c r="S130" s="2476">
        <f t="shared" si="13"/>
        <v>0</v>
      </c>
      <c r="T130" s="2476">
        <f t="shared" si="14"/>
        <v>0</v>
      </c>
      <c r="U130" s="2477">
        <f>IF(OR(E130="QS",B130=""),0,
IF(C130="F",VLOOKUP($T130,'表30-5-2-5-3'!$B:$AF,MATCH($D130&amp;"a",'表30-5-2-5-3'!$4:$4,0)-1,FALSE)
-IF($S130-1&lt;=0,0,VLOOKUP($S130-1,'表30-5-2-5-3'!$B:$AF,MATCH($D130&amp;"a",'表30-5-2-5-3'!$4:$4,0)-1,FALSE))
-VLOOKUP($T130,'表30-5-2-5-3'!$B:$AF,MATCH($D130,'表30-5-2-5-3'!$4:$4,0)-1,FALSE)*(T130/100-N130/H130)*100
-VLOOKUP($S130,'表30-5-2-5-3'!$B:$AF,MATCH($D130,'表30-5-2-5-3'!$4:$4,0)-1,FALSE)*(1-(S130/100-M130/H130)*100),
IF(C130="E1",VLOOKUP($T130,'表30-5-2-5-4'!$B$4:$AF$104,MATCH($D130&amp;"a",'表30-5-2-5-4'!$4:$4,0)-1,FALSE)
-IF($S130-1&lt;=0,0,VLOOKUP($S130-1,'表30-5-2-5-4'!$B$4:$AF$104,MATCH($D130&amp;"a",'表30-5-2-5-4'!$4:$4,0)-1,FALSE))
-VLOOKUP($T130,'表30-5-2-5-4'!$B$4:$AF$104,MATCH($D130,'表30-5-2-5-4'!$4:$4,0)-1,FALSE)*(T130/100-N130/H130)*100
-VLOOKUP($S130,'表30-5-2-5-4'!$B$4:$AF$104,MATCH($D130,'表30-5-2-5-4'!$4:$4,0)-1,FALSE)*(1-(S130/100-M130/H130)*100),
IF(C130="E2",VLOOKUP($T130,'表30-5-2-5-4'!$B$114:$AF$214,MATCH($D130&amp;"a",'表30-5-2-5-4'!$4:$4,0)-1,FALSE)
-IF($S130-1&lt;=0,0,VLOOKUP($S130-1,'表30-5-2-5-4'!$B$114:$AF$214,MATCH($D130&amp;"a",'表30-5-2-5-4'!$4:$4,0)-1,FALSE))
-VLOOKUP($T130,'表30-5-2-5-4'!$B$114:$AF$214,MATCH($D130,'表30-5-2-5-4'!$4:$4,0)-1,FALSE)*(T130/100-N130/H130)*100
-VLOOKUP($S130,'表30-5-2-5-4'!$B$114:$AF$214,MATCH($D130,'表30-5-2-5-4'!$4:$4,0)-1,FALSE)*(1-(S130/100-M130/H130)*100),0))))</f>
        <v>0</v>
      </c>
      <c r="V130" s="2478">
        <f t="shared" si="15"/>
        <v>0</v>
      </c>
      <c r="W130" s="2478">
        <f t="shared" si="16"/>
        <v>0</v>
      </c>
      <c r="X130" s="2718">
        <f t="shared" si="20"/>
        <v>0</v>
      </c>
      <c r="Y130" s="2718">
        <f t="shared" si="21"/>
        <v>0</v>
      </c>
    </row>
    <row r="131" spans="1:25">
      <c r="A131" s="2473" t="str">
        <f t="shared" si="17"/>
        <v/>
      </c>
      <c r="B131" s="2737"/>
      <c r="C131" s="2737"/>
      <c r="D131" s="2737"/>
      <c r="E131" s="2738"/>
      <c r="F131" s="2738"/>
      <c r="G131" s="2738"/>
      <c r="H131" s="2739"/>
      <c r="I131" s="2740"/>
      <c r="J131" s="2740"/>
      <c r="K131" s="2740"/>
      <c r="L131" s="2740"/>
      <c r="M131" s="2738"/>
      <c r="N131" s="2738"/>
      <c r="O131" s="2474">
        <f t="shared" si="11"/>
        <v>0</v>
      </c>
      <c r="P131" s="2474">
        <f t="shared" si="12"/>
        <v>0</v>
      </c>
      <c r="Q131" s="2475">
        <f t="shared" si="18"/>
        <v>0</v>
      </c>
      <c r="R131" s="2475">
        <f t="shared" si="19"/>
        <v>0</v>
      </c>
      <c r="S131" s="2476">
        <f t="shared" si="13"/>
        <v>0</v>
      </c>
      <c r="T131" s="2476">
        <f t="shared" si="14"/>
        <v>0</v>
      </c>
      <c r="U131" s="2477">
        <f>IF(OR(E131="QS",B131=""),0,
IF(C131="F",VLOOKUP($T131,'表30-5-2-5-3'!$B:$AF,MATCH($D131&amp;"a",'表30-5-2-5-3'!$4:$4,0)-1,FALSE)
-IF($S131-1&lt;=0,0,VLOOKUP($S131-1,'表30-5-2-5-3'!$B:$AF,MATCH($D131&amp;"a",'表30-5-2-5-3'!$4:$4,0)-1,FALSE))
-VLOOKUP($T131,'表30-5-2-5-3'!$B:$AF,MATCH($D131,'表30-5-2-5-3'!$4:$4,0)-1,FALSE)*(T131/100-N131/H131)*100
-VLOOKUP($S131,'表30-5-2-5-3'!$B:$AF,MATCH($D131,'表30-5-2-5-3'!$4:$4,0)-1,FALSE)*(1-(S131/100-M131/H131)*100),
IF(C131="E1",VLOOKUP($T131,'表30-5-2-5-4'!$B$4:$AF$104,MATCH($D131&amp;"a",'表30-5-2-5-4'!$4:$4,0)-1,FALSE)
-IF($S131-1&lt;=0,0,VLOOKUP($S131-1,'表30-5-2-5-4'!$B$4:$AF$104,MATCH($D131&amp;"a",'表30-5-2-5-4'!$4:$4,0)-1,FALSE))
-VLOOKUP($T131,'表30-5-2-5-4'!$B$4:$AF$104,MATCH($D131,'表30-5-2-5-4'!$4:$4,0)-1,FALSE)*(T131/100-N131/H131)*100
-VLOOKUP($S131,'表30-5-2-5-4'!$B$4:$AF$104,MATCH($D131,'表30-5-2-5-4'!$4:$4,0)-1,FALSE)*(1-(S131/100-M131/H131)*100),
IF(C131="E2",VLOOKUP($T131,'表30-5-2-5-4'!$B$114:$AF$214,MATCH($D131&amp;"a",'表30-5-2-5-4'!$4:$4,0)-1,FALSE)
-IF($S131-1&lt;=0,0,VLOOKUP($S131-1,'表30-5-2-5-4'!$B$114:$AF$214,MATCH($D131&amp;"a",'表30-5-2-5-4'!$4:$4,0)-1,FALSE))
-VLOOKUP($T131,'表30-5-2-5-4'!$B$114:$AF$214,MATCH($D131,'表30-5-2-5-4'!$4:$4,0)-1,FALSE)*(T131/100-N131/H131)*100
-VLOOKUP($S131,'表30-5-2-5-4'!$B$114:$AF$214,MATCH($D131,'表30-5-2-5-4'!$4:$4,0)-1,FALSE)*(1-(S131/100-M131/H131)*100),0))))</f>
        <v>0</v>
      </c>
      <c r="V131" s="2478">
        <f t="shared" si="15"/>
        <v>0</v>
      </c>
      <c r="W131" s="2478">
        <f t="shared" si="16"/>
        <v>0</v>
      </c>
      <c r="X131" s="2718">
        <f t="shared" si="20"/>
        <v>0</v>
      </c>
      <c r="Y131" s="2718">
        <f t="shared" si="21"/>
        <v>0</v>
      </c>
    </row>
    <row r="132" spans="1:25">
      <c r="A132" s="2473" t="str">
        <f t="shared" si="17"/>
        <v/>
      </c>
      <c r="B132" s="2737"/>
      <c r="C132" s="2737"/>
      <c r="D132" s="2737"/>
      <c r="E132" s="2738"/>
      <c r="F132" s="2738"/>
      <c r="G132" s="2738"/>
      <c r="H132" s="2739"/>
      <c r="I132" s="2740"/>
      <c r="J132" s="2740"/>
      <c r="K132" s="2740"/>
      <c r="L132" s="2740"/>
      <c r="M132" s="2738"/>
      <c r="N132" s="2738"/>
      <c r="O132" s="2474">
        <f t="shared" si="11"/>
        <v>0</v>
      </c>
      <c r="P132" s="2474">
        <f t="shared" si="12"/>
        <v>0</v>
      </c>
      <c r="Q132" s="2475">
        <f t="shared" si="18"/>
        <v>0</v>
      </c>
      <c r="R132" s="2475">
        <f t="shared" si="19"/>
        <v>0</v>
      </c>
      <c r="S132" s="2476">
        <f t="shared" si="13"/>
        <v>0</v>
      </c>
      <c r="T132" s="2476">
        <f t="shared" si="14"/>
        <v>0</v>
      </c>
      <c r="U132" s="2477">
        <f>IF(OR(E132="QS",B132=""),0,
IF(C132="F",VLOOKUP($T132,'表30-5-2-5-3'!$B:$AF,MATCH($D132&amp;"a",'表30-5-2-5-3'!$4:$4,0)-1,FALSE)
-IF($S132-1&lt;=0,0,VLOOKUP($S132-1,'表30-5-2-5-3'!$B:$AF,MATCH($D132&amp;"a",'表30-5-2-5-3'!$4:$4,0)-1,FALSE))
-VLOOKUP($T132,'表30-5-2-5-3'!$B:$AF,MATCH($D132,'表30-5-2-5-3'!$4:$4,0)-1,FALSE)*(T132/100-N132/H132)*100
-VLOOKUP($S132,'表30-5-2-5-3'!$B:$AF,MATCH($D132,'表30-5-2-5-3'!$4:$4,0)-1,FALSE)*(1-(S132/100-M132/H132)*100),
IF(C132="E1",VLOOKUP($T132,'表30-5-2-5-4'!$B$4:$AF$104,MATCH($D132&amp;"a",'表30-5-2-5-4'!$4:$4,0)-1,FALSE)
-IF($S132-1&lt;=0,0,VLOOKUP($S132-1,'表30-5-2-5-4'!$B$4:$AF$104,MATCH($D132&amp;"a",'表30-5-2-5-4'!$4:$4,0)-1,FALSE))
-VLOOKUP($T132,'表30-5-2-5-4'!$B$4:$AF$104,MATCH($D132,'表30-5-2-5-4'!$4:$4,0)-1,FALSE)*(T132/100-N132/H132)*100
-VLOOKUP($S132,'表30-5-2-5-4'!$B$4:$AF$104,MATCH($D132,'表30-5-2-5-4'!$4:$4,0)-1,FALSE)*(1-(S132/100-M132/H132)*100),
IF(C132="E2",VLOOKUP($T132,'表30-5-2-5-4'!$B$114:$AF$214,MATCH($D132&amp;"a",'表30-5-2-5-4'!$4:$4,0)-1,FALSE)
-IF($S132-1&lt;=0,0,VLOOKUP($S132-1,'表30-5-2-5-4'!$B$114:$AF$214,MATCH($D132&amp;"a",'表30-5-2-5-4'!$4:$4,0)-1,FALSE))
-VLOOKUP($T132,'表30-5-2-5-4'!$B$114:$AF$214,MATCH($D132,'表30-5-2-5-4'!$4:$4,0)-1,FALSE)*(T132/100-N132/H132)*100
-VLOOKUP($S132,'表30-5-2-5-4'!$B$114:$AF$214,MATCH($D132,'表30-5-2-5-4'!$4:$4,0)-1,FALSE)*(1-(S132/100-M132/H132)*100),0))))</f>
        <v>0</v>
      </c>
      <c r="V132" s="2478">
        <f t="shared" si="15"/>
        <v>0</v>
      </c>
      <c r="W132" s="2478">
        <f t="shared" si="16"/>
        <v>0</v>
      </c>
      <c r="X132" s="2718">
        <f t="shared" si="20"/>
        <v>0</v>
      </c>
      <c r="Y132" s="2718">
        <f t="shared" si="21"/>
        <v>0</v>
      </c>
    </row>
    <row r="133" spans="1:25">
      <c r="A133" s="2473" t="str">
        <f t="shared" si="17"/>
        <v/>
      </c>
      <c r="B133" s="2737"/>
      <c r="C133" s="2737"/>
      <c r="D133" s="2737"/>
      <c r="E133" s="2738"/>
      <c r="F133" s="2738"/>
      <c r="G133" s="2738"/>
      <c r="H133" s="2739"/>
      <c r="I133" s="2740"/>
      <c r="J133" s="2740"/>
      <c r="K133" s="2740"/>
      <c r="L133" s="2740"/>
      <c r="M133" s="2738"/>
      <c r="N133" s="2738"/>
      <c r="O133" s="2474">
        <f t="shared" si="11"/>
        <v>0</v>
      </c>
      <c r="P133" s="2474">
        <f t="shared" si="12"/>
        <v>0</v>
      </c>
      <c r="Q133" s="2475">
        <f t="shared" si="18"/>
        <v>0</v>
      </c>
      <c r="R133" s="2475">
        <f t="shared" si="19"/>
        <v>0</v>
      </c>
      <c r="S133" s="2476">
        <f t="shared" si="13"/>
        <v>0</v>
      </c>
      <c r="T133" s="2476">
        <f t="shared" si="14"/>
        <v>0</v>
      </c>
      <c r="U133" s="2477">
        <f>IF(OR(E133="QS",B133=""),0,
IF(C133="F",VLOOKUP($T133,'表30-5-2-5-3'!$B:$AF,MATCH($D133&amp;"a",'表30-5-2-5-3'!$4:$4,0)-1,FALSE)
-IF($S133-1&lt;=0,0,VLOOKUP($S133-1,'表30-5-2-5-3'!$B:$AF,MATCH($D133&amp;"a",'表30-5-2-5-3'!$4:$4,0)-1,FALSE))
-VLOOKUP($T133,'表30-5-2-5-3'!$B:$AF,MATCH($D133,'表30-5-2-5-3'!$4:$4,0)-1,FALSE)*(T133/100-N133/H133)*100
-VLOOKUP($S133,'表30-5-2-5-3'!$B:$AF,MATCH($D133,'表30-5-2-5-3'!$4:$4,0)-1,FALSE)*(1-(S133/100-M133/H133)*100),
IF(C133="E1",VLOOKUP($T133,'表30-5-2-5-4'!$B$4:$AF$104,MATCH($D133&amp;"a",'表30-5-2-5-4'!$4:$4,0)-1,FALSE)
-IF($S133-1&lt;=0,0,VLOOKUP($S133-1,'表30-5-2-5-4'!$B$4:$AF$104,MATCH($D133&amp;"a",'表30-5-2-5-4'!$4:$4,0)-1,FALSE))
-VLOOKUP($T133,'表30-5-2-5-4'!$B$4:$AF$104,MATCH($D133,'表30-5-2-5-4'!$4:$4,0)-1,FALSE)*(T133/100-N133/H133)*100
-VLOOKUP($S133,'表30-5-2-5-4'!$B$4:$AF$104,MATCH($D133,'表30-5-2-5-4'!$4:$4,0)-1,FALSE)*(1-(S133/100-M133/H133)*100),
IF(C133="E2",VLOOKUP($T133,'表30-5-2-5-4'!$B$114:$AF$214,MATCH($D133&amp;"a",'表30-5-2-5-4'!$4:$4,0)-1,FALSE)
-IF($S133-1&lt;=0,0,VLOOKUP($S133-1,'表30-5-2-5-4'!$B$114:$AF$214,MATCH($D133&amp;"a",'表30-5-2-5-4'!$4:$4,0)-1,FALSE))
-VLOOKUP($T133,'表30-5-2-5-4'!$B$114:$AF$214,MATCH($D133,'表30-5-2-5-4'!$4:$4,0)-1,FALSE)*(T133/100-N133/H133)*100
-VLOOKUP($S133,'表30-5-2-5-4'!$B$114:$AF$214,MATCH($D133,'表30-5-2-5-4'!$4:$4,0)-1,FALSE)*(1-(S133/100-M133/H133)*100),0))))</f>
        <v>0</v>
      </c>
      <c r="V133" s="2478">
        <f t="shared" si="15"/>
        <v>0</v>
      </c>
      <c r="W133" s="2478">
        <f t="shared" si="16"/>
        <v>0</v>
      </c>
      <c r="X133" s="2718">
        <f t="shared" si="20"/>
        <v>0</v>
      </c>
      <c r="Y133" s="2718">
        <f t="shared" si="21"/>
        <v>0</v>
      </c>
    </row>
    <row r="134" spans="1:25">
      <c r="A134" s="2473" t="str">
        <f t="shared" si="17"/>
        <v/>
      </c>
      <c r="B134" s="2737"/>
      <c r="C134" s="2737"/>
      <c r="D134" s="2737"/>
      <c r="E134" s="2738"/>
      <c r="F134" s="2738"/>
      <c r="G134" s="2738"/>
      <c r="H134" s="2739"/>
      <c r="I134" s="2740"/>
      <c r="J134" s="2740"/>
      <c r="K134" s="2740"/>
      <c r="L134" s="2740"/>
      <c r="M134" s="2738"/>
      <c r="N134" s="2738"/>
      <c r="O134" s="2474">
        <f t="shared" ref="O134:O197" si="22">IF(E134="QS",G134*I134,0)</f>
        <v>0</v>
      </c>
      <c r="P134" s="2474">
        <f t="shared" ref="P134:P197" si="23">IF(E134="QS",G134*J134,0)</f>
        <v>0</v>
      </c>
      <c r="Q134" s="2475">
        <f t="shared" si="18"/>
        <v>0</v>
      </c>
      <c r="R134" s="2475">
        <f t="shared" si="19"/>
        <v>0</v>
      </c>
      <c r="S134" s="2476">
        <f t="shared" ref="S134:S197" si="24">IF(OR(E134="QS",B134=""),0,CEILING((M134+1)/H134*100,1))</f>
        <v>0</v>
      </c>
      <c r="T134" s="2476">
        <f t="shared" ref="T134:T197" si="25">IF(OR(E134="QS",B134=""),0,CEILING(N134/H134*100,1))</f>
        <v>0</v>
      </c>
      <c r="U134" s="2477">
        <f>IF(OR(E134="QS",B134=""),0,
IF(C134="F",VLOOKUP($T134,'表30-5-2-5-3'!$B:$AF,MATCH($D134&amp;"a",'表30-5-2-5-3'!$4:$4,0)-1,FALSE)
-IF($S134-1&lt;=0,0,VLOOKUP($S134-1,'表30-5-2-5-3'!$B:$AF,MATCH($D134&amp;"a",'表30-5-2-5-3'!$4:$4,0)-1,FALSE))
-VLOOKUP($T134,'表30-5-2-5-3'!$B:$AF,MATCH($D134,'表30-5-2-5-3'!$4:$4,0)-1,FALSE)*(T134/100-N134/H134)*100
-VLOOKUP($S134,'表30-5-2-5-3'!$B:$AF,MATCH($D134,'表30-5-2-5-3'!$4:$4,0)-1,FALSE)*(1-(S134/100-M134/H134)*100),
IF(C134="E1",VLOOKUP($T134,'表30-5-2-5-4'!$B$4:$AF$104,MATCH($D134&amp;"a",'表30-5-2-5-4'!$4:$4,0)-1,FALSE)
-IF($S134-1&lt;=0,0,VLOOKUP($S134-1,'表30-5-2-5-4'!$B$4:$AF$104,MATCH($D134&amp;"a",'表30-5-2-5-4'!$4:$4,0)-1,FALSE))
-VLOOKUP($T134,'表30-5-2-5-4'!$B$4:$AF$104,MATCH($D134,'表30-5-2-5-4'!$4:$4,0)-1,FALSE)*(T134/100-N134/H134)*100
-VLOOKUP($S134,'表30-5-2-5-4'!$B$4:$AF$104,MATCH($D134,'表30-5-2-5-4'!$4:$4,0)-1,FALSE)*(1-(S134/100-M134/H134)*100),
IF(C134="E2",VLOOKUP($T134,'表30-5-2-5-4'!$B$114:$AF$214,MATCH($D134&amp;"a",'表30-5-2-5-4'!$4:$4,0)-1,FALSE)
-IF($S134-1&lt;=0,0,VLOOKUP($S134-1,'表30-5-2-5-4'!$B$114:$AF$214,MATCH($D134&amp;"a",'表30-5-2-5-4'!$4:$4,0)-1,FALSE))
-VLOOKUP($T134,'表30-5-2-5-4'!$B$114:$AF$214,MATCH($D134,'表30-5-2-5-4'!$4:$4,0)-1,FALSE)*(T134/100-N134/H134)*100
-VLOOKUP($S134,'表30-5-2-5-4'!$B$114:$AF$214,MATCH($D134,'表30-5-2-5-4'!$4:$4,0)-1,FALSE)*(1-(S134/100-M134/H134)*100),0))))</f>
        <v>0</v>
      </c>
      <c r="V134" s="2478">
        <f t="shared" ref="V134:V197" si="26">H134*U134*Q134</f>
        <v>0</v>
      </c>
      <c r="W134" s="2478">
        <f t="shared" ref="W134:W197" si="27">H134*U134*R134</f>
        <v>0</v>
      </c>
      <c r="X134" s="2718">
        <f t="shared" si="20"/>
        <v>0</v>
      </c>
      <c r="Y134" s="2718">
        <f t="shared" si="21"/>
        <v>0</v>
      </c>
    </row>
    <row r="135" spans="1:25">
      <c r="A135" s="2473" t="str">
        <f t="shared" ref="A135:A198" si="28">C135&amp;D135&amp;LEFT(E135,1)</f>
        <v/>
      </c>
      <c r="B135" s="2737"/>
      <c r="C135" s="2737"/>
      <c r="D135" s="2737"/>
      <c r="E135" s="2738"/>
      <c r="F135" s="2738"/>
      <c r="G135" s="2738"/>
      <c r="H135" s="2739"/>
      <c r="I135" s="2740"/>
      <c r="J135" s="2740"/>
      <c r="K135" s="2740"/>
      <c r="L135" s="2740"/>
      <c r="M135" s="2738"/>
      <c r="N135" s="2738"/>
      <c r="O135" s="2474">
        <f t="shared" si="22"/>
        <v>0</v>
      </c>
      <c r="P135" s="2474">
        <f t="shared" si="23"/>
        <v>0</v>
      </c>
      <c r="Q135" s="2475">
        <f t="shared" ref="Q135:Q198" si="29">IF(OR(E135="QS",E135=""),0,(N135-M135)/H135*K135)</f>
        <v>0</v>
      </c>
      <c r="R135" s="2475">
        <f t="shared" ref="R135:R198" si="30">IF(OR(E135="QS",E135=""),0,(N135-M135)/H135*L135)</f>
        <v>0</v>
      </c>
      <c r="S135" s="2476">
        <f t="shared" si="24"/>
        <v>0</v>
      </c>
      <c r="T135" s="2476">
        <f t="shared" si="25"/>
        <v>0</v>
      </c>
      <c r="U135" s="2477">
        <f>IF(OR(E135="QS",B135=""),0,
IF(C135="F",VLOOKUP($T135,'表30-5-2-5-3'!$B:$AF,MATCH($D135&amp;"a",'表30-5-2-5-3'!$4:$4,0)-1,FALSE)
-IF($S135-1&lt;=0,0,VLOOKUP($S135-1,'表30-5-2-5-3'!$B:$AF,MATCH($D135&amp;"a",'表30-5-2-5-3'!$4:$4,0)-1,FALSE))
-VLOOKUP($T135,'表30-5-2-5-3'!$B:$AF,MATCH($D135,'表30-5-2-5-3'!$4:$4,0)-1,FALSE)*(T135/100-N135/H135)*100
-VLOOKUP($S135,'表30-5-2-5-3'!$B:$AF,MATCH($D135,'表30-5-2-5-3'!$4:$4,0)-1,FALSE)*(1-(S135/100-M135/H135)*100),
IF(C135="E1",VLOOKUP($T135,'表30-5-2-5-4'!$B$4:$AF$104,MATCH($D135&amp;"a",'表30-5-2-5-4'!$4:$4,0)-1,FALSE)
-IF($S135-1&lt;=0,0,VLOOKUP($S135-1,'表30-5-2-5-4'!$B$4:$AF$104,MATCH($D135&amp;"a",'表30-5-2-5-4'!$4:$4,0)-1,FALSE))
-VLOOKUP($T135,'表30-5-2-5-4'!$B$4:$AF$104,MATCH($D135,'表30-5-2-5-4'!$4:$4,0)-1,FALSE)*(T135/100-N135/H135)*100
-VLOOKUP($S135,'表30-5-2-5-4'!$B$4:$AF$104,MATCH($D135,'表30-5-2-5-4'!$4:$4,0)-1,FALSE)*(1-(S135/100-M135/H135)*100),
IF(C135="E2",VLOOKUP($T135,'表30-5-2-5-4'!$B$114:$AF$214,MATCH($D135&amp;"a",'表30-5-2-5-4'!$4:$4,0)-1,FALSE)
-IF($S135-1&lt;=0,0,VLOOKUP($S135-1,'表30-5-2-5-4'!$B$114:$AF$214,MATCH($D135&amp;"a",'表30-5-2-5-4'!$4:$4,0)-1,FALSE))
-VLOOKUP($T135,'表30-5-2-5-4'!$B$114:$AF$214,MATCH($D135,'表30-5-2-5-4'!$4:$4,0)-1,FALSE)*(T135/100-N135/H135)*100
-VLOOKUP($S135,'表30-5-2-5-4'!$B$114:$AF$214,MATCH($D135,'表30-5-2-5-4'!$4:$4,0)-1,FALSE)*(1-(S135/100-M135/H135)*100),0))))</f>
        <v>0</v>
      </c>
      <c r="V135" s="2478">
        <f t="shared" si="26"/>
        <v>0</v>
      </c>
      <c r="W135" s="2478">
        <f t="shared" si="27"/>
        <v>0</v>
      </c>
      <c r="X135" s="2718">
        <f t="shared" ref="X135:X198" si="31">U135*F135</f>
        <v>0</v>
      </c>
      <c r="Y135" s="2718">
        <f t="shared" ref="Y135:Y198" si="32">IFERROR(U135*F135*(L135/K135),0)</f>
        <v>0</v>
      </c>
    </row>
    <row r="136" spans="1:25">
      <c r="A136" s="2473" t="str">
        <f t="shared" si="28"/>
        <v/>
      </c>
      <c r="B136" s="2737"/>
      <c r="C136" s="2737"/>
      <c r="D136" s="2737"/>
      <c r="E136" s="2738"/>
      <c r="F136" s="2738"/>
      <c r="G136" s="2738"/>
      <c r="H136" s="2739"/>
      <c r="I136" s="2740"/>
      <c r="J136" s="2740"/>
      <c r="K136" s="2740"/>
      <c r="L136" s="2740"/>
      <c r="M136" s="2738"/>
      <c r="N136" s="2738"/>
      <c r="O136" s="2474">
        <f t="shared" si="22"/>
        <v>0</v>
      </c>
      <c r="P136" s="2474">
        <f t="shared" si="23"/>
        <v>0</v>
      </c>
      <c r="Q136" s="2475">
        <f t="shared" si="29"/>
        <v>0</v>
      </c>
      <c r="R136" s="2475">
        <f t="shared" si="30"/>
        <v>0</v>
      </c>
      <c r="S136" s="2476">
        <f t="shared" si="24"/>
        <v>0</v>
      </c>
      <c r="T136" s="2476">
        <f t="shared" si="25"/>
        <v>0</v>
      </c>
      <c r="U136" s="2477">
        <f>IF(OR(E136="QS",B136=""),0,
IF(C136="F",VLOOKUP($T136,'表30-5-2-5-3'!$B:$AF,MATCH($D136&amp;"a",'表30-5-2-5-3'!$4:$4,0)-1,FALSE)
-IF($S136-1&lt;=0,0,VLOOKUP($S136-1,'表30-5-2-5-3'!$B:$AF,MATCH($D136&amp;"a",'表30-5-2-5-3'!$4:$4,0)-1,FALSE))
-VLOOKUP($T136,'表30-5-2-5-3'!$B:$AF,MATCH($D136,'表30-5-2-5-3'!$4:$4,0)-1,FALSE)*(T136/100-N136/H136)*100
-VLOOKUP($S136,'表30-5-2-5-3'!$B:$AF,MATCH($D136,'表30-5-2-5-3'!$4:$4,0)-1,FALSE)*(1-(S136/100-M136/H136)*100),
IF(C136="E1",VLOOKUP($T136,'表30-5-2-5-4'!$B$4:$AF$104,MATCH($D136&amp;"a",'表30-5-2-5-4'!$4:$4,0)-1,FALSE)
-IF($S136-1&lt;=0,0,VLOOKUP($S136-1,'表30-5-2-5-4'!$B$4:$AF$104,MATCH($D136&amp;"a",'表30-5-2-5-4'!$4:$4,0)-1,FALSE))
-VLOOKUP($T136,'表30-5-2-5-4'!$B$4:$AF$104,MATCH($D136,'表30-5-2-5-4'!$4:$4,0)-1,FALSE)*(T136/100-N136/H136)*100
-VLOOKUP($S136,'表30-5-2-5-4'!$B$4:$AF$104,MATCH($D136,'表30-5-2-5-4'!$4:$4,0)-1,FALSE)*(1-(S136/100-M136/H136)*100),
IF(C136="E2",VLOOKUP($T136,'表30-5-2-5-4'!$B$114:$AF$214,MATCH($D136&amp;"a",'表30-5-2-5-4'!$4:$4,0)-1,FALSE)
-IF($S136-1&lt;=0,0,VLOOKUP($S136-1,'表30-5-2-5-4'!$B$114:$AF$214,MATCH($D136&amp;"a",'表30-5-2-5-4'!$4:$4,0)-1,FALSE))
-VLOOKUP($T136,'表30-5-2-5-4'!$B$114:$AF$214,MATCH($D136,'表30-5-2-5-4'!$4:$4,0)-1,FALSE)*(T136/100-N136/H136)*100
-VLOOKUP($S136,'表30-5-2-5-4'!$B$114:$AF$214,MATCH($D136,'表30-5-2-5-4'!$4:$4,0)-1,FALSE)*(1-(S136/100-M136/H136)*100),0))))</f>
        <v>0</v>
      </c>
      <c r="V136" s="2478">
        <f t="shared" si="26"/>
        <v>0</v>
      </c>
      <c r="W136" s="2478">
        <f t="shared" si="27"/>
        <v>0</v>
      </c>
      <c r="X136" s="2718">
        <f t="shared" si="31"/>
        <v>0</v>
      </c>
      <c r="Y136" s="2718">
        <f t="shared" si="32"/>
        <v>0</v>
      </c>
    </row>
    <row r="137" spans="1:25">
      <c r="A137" s="2473" t="str">
        <f t="shared" si="28"/>
        <v/>
      </c>
      <c r="B137" s="2737"/>
      <c r="C137" s="2737"/>
      <c r="D137" s="2737"/>
      <c r="E137" s="2738"/>
      <c r="F137" s="2738"/>
      <c r="G137" s="2738"/>
      <c r="H137" s="2739"/>
      <c r="I137" s="2740"/>
      <c r="J137" s="2740"/>
      <c r="K137" s="2740"/>
      <c r="L137" s="2740"/>
      <c r="M137" s="2738"/>
      <c r="N137" s="2738"/>
      <c r="O137" s="2474">
        <f t="shared" si="22"/>
        <v>0</v>
      </c>
      <c r="P137" s="2474">
        <f t="shared" si="23"/>
        <v>0</v>
      </c>
      <c r="Q137" s="2475">
        <f t="shared" si="29"/>
        <v>0</v>
      </c>
      <c r="R137" s="2475">
        <f t="shared" si="30"/>
        <v>0</v>
      </c>
      <c r="S137" s="2476">
        <f t="shared" si="24"/>
        <v>0</v>
      </c>
      <c r="T137" s="2476">
        <f t="shared" si="25"/>
        <v>0</v>
      </c>
      <c r="U137" s="2477">
        <f>IF(OR(E137="QS",B137=""),0,
IF(C137="F",VLOOKUP($T137,'表30-5-2-5-3'!$B:$AF,MATCH($D137&amp;"a",'表30-5-2-5-3'!$4:$4,0)-1,FALSE)
-IF($S137-1&lt;=0,0,VLOOKUP($S137-1,'表30-5-2-5-3'!$B:$AF,MATCH($D137&amp;"a",'表30-5-2-5-3'!$4:$4,0)-1,FALSE))
-VLOOKUP($T137,'表30-5-2-5-3'!$B:$AF,MATCH($D137,'表30-5-2-5-3'!$4:$4,0)-1,FALSE)*(T137/100-N137/H137)*100
-VLOOKUP($S137,'表30-5-2-5-3'!$B:$AF,MATCH($D137,'表30-5-2-5-3'!$4:$4,0)-1,FALSE)*(1-(S137/100-M137/H137)*100),
IF(C137="E1",VLOOKUP($T137,'表30-5-2-5-4'!$B$4:$AF$104,MATCH($D137&amp;"a",'表30-5-2-5-4'!$4:$4,0)-1,FALSE)
-IF($S137-1&lt;=0,0,VLOOKUP($S137-1,'表30-5-2-5-4'!$B$4:$AF$104,MATCH($D137&amp;"a",'表30-5-2-5-4'!$4:$4,0)-1,FALSE))
-VLOOKUP($T137,'表30-5-2-5-4'!$B$4:$AF$104,MATCH($D137,'表30-5-2-5-4'!$4:$4,0)-1,FALSE)*(T137/100-N137/H137)*100
-VLOOKUP($S137,'表30-5-2-5-4'!$B$4:$AF$104,MATCH($D137,'表30-5-2-5-4'!$4:$4,0)-1,FALSE)*(1-(S137/100-M137/H137)*100),
IF(C137="E2",VLOOKUP($T137,'表30-5-2-5-4'!$B$114:$AF$214,MATCH($D137&amp;"a",'表30-5-2-5-4'!$4:$4,0)-1,FALSE)
-IF($S137-1&lt;=0,0,VLOOKUP($S137-1,'表30-5-2-5-4'!$B$114:$AF$214,MATCH($D137&amp;"a",'表30-5-2-5-4'!$4:$4,0)-1,FALSE))
-VLOOKUP($T137,'表30-5-2-5-4'!$B$114:$AF$214,MATCH($D137,'表30-5-2-5-4'!$4:$4,0)-1,FALSE)*(T137/100-N137/H137)*100
-VLOOKUP($S137,'表30-5-2-5-4'!$B$114:$AF$214,MATCH($D137,'表30-5-2-5-4'!$4:$4,0)-1,FALSE)*(1-(S137/100-M137/H137)*100),0))))</f>
        <v>0</v>
      </c>
      <c r="V137" s="2478">
        <f t="shared" si="26"/>
        <v>0</v>
      </c>
      <c r="W137" s="2478">
        <f t="shared" si="27"/>
        <v>0</v>
      </c>
      <c r="X137" s="2718">
        <f t="shared" si="31"/>
        <v>0</v>
      </c>
      <c r="Y137" s="2718">
        <f t="shared" si="32"/>
        <v>0</v>
      </c>
    </row>
    <row r="138" spans="1:25">
      <c r="A138" s="2473" t="str">
        <f t="shared" si="28"/>
        <v/>
      </c>
      <c r="B138" s="2737"/>
      <c r="C138" s="2737"/>
      <c r="D138" s="2737"/>
      <c r="E138" s="2738"/>
      <c r="F138" s="2738"/>
      <c r="G138" s="2738"/>
      <c r="H138" s="2739"/>
      <c r="I138" s="2740"/>
      <c r="J138" s="2740"/>
      <c r="K138" s="2740"/>
      <c r="L138" s="2740"/>
      <c r="M138" s="2738"/>
      <c r="N138" s="2738"/>
      <c r="O138" s="2474">
        <f t="shared" si="22"/>
        <v>0</v>
      </c>
      <c r="P138" s="2474">
        <f t="shared" si="23"/>
        <v>0</v>
      </c>
      <c r="Q138" s="2475">
        <f t="shared" si="29"/>
        <v>0</v>
      </c>
      <c r="R138" s="2475">
        <f t="shared" si="30"/>
        <v>0</v>
      </c>
      <c r="S138" s="2476">
        <f t="shared" si="24"/>
        <v>0</v>
      </c>
      <c r="T138" s="2476">
        <f t="shared" si="25"/>
        <v>0</v>
      </c>
      <c r="U138" s="2477">
        <f>IF(OR(E138="QS",B138=""),0,
IF(C138="F",VLOOKUP($T138,'表30-5-2-5-3'!$B:$AF,MATCH($D138&amp;"a",'表30-5-2-5-3'!$4:$4,0)-1,FALSE)
-IF($S138-1&lt;=0,0,VLOOKUP($S138-1,'表30-5-2-5-3'!$B:$AF,MATCH($D138&amp;"a",'表30-5-2-5-3'!$4:$4,0)-1,FALSE))
-VLOOKUP($T138,'表30-5-2-5-3'!$B:$AF,MATCH($D138,'表30-5-2-5-3'!$4:$4,0)-1,FALSE)*(T138/100-N138/H138)*100
-VLOOKUP($S138,'表30-5-2-5-3'!$B:$AF,MATCH($D138,'表30-5-2-5-3'!$4:$4,0)-1,FALSE)*(1-(S138/100-M138/H138)*100),
IF(C138="E1",VLOOKUP($T138,'表30-5-2-5-4'!$B$4:$AF$104,MATCH($D138&amp;"a",'表30-5-2-5-4'!$4:$4,0)-1,FALSE)
-IF($S138-1&lt;=0,0,VLOOKUP($S138-1,'表30-5-2-5-4'!$B$4:$AF$104,MATCH($D138&amp;"a",'表30-5-2-5-4'!$4:$4,0)-1,FALSE))
-VLOOKUP($T138,'表30-5-2-5-4'!$B$4:$AF$104,MATCH($D138,'表30-5-2-5-4'!$4:$4,0)-1,FALSE)*(T138/100-N138/H138)*100
-VLOOKUP($S138,'表30-5-2-5-4'!$B$4:$AF$104,MATCH($D138,'表30-5-2-5-4'!$4:$4,0)-1,FALSE)*(1-(S138/100-M138/H138)*100),
IF(C138="E2",VLOOKUP($T138,'表30-5-2-5-4'!$B$114:$AF$214,MATCH($D138&amp;"a",'表30-5-2-5-4'!$4:$4,0)-1,FALSE)
-IF($S138-1&lt;=0,0,VLOOKUP($S138-1,'表30-5-2-5-4'!$B$114:$AF$214,MATCH($D138&amp;"a",'表30-5-2-5-4'!$4:$4,0)-1,FALSE))
-VLOOKUP($T138,'表30-5-2-5-4'!$B$114:$AF$214,MATCH($D138,'表30-5-2-5-4'!$4:$4,0)-1,FALSE)*(T138/100-N138/H138)*100
-VLOOKUP($S138,'表30-5-2-5-4'!$B$114:$AF$214,MATCH($D138,'表30-5-2-5-4'!$4:$4,0)-1,FALSE)*(1-(S138/100-M138/H138)*100),0))))</f>
        <v>0</v>
      </c>
      <c r="V138" s="2478">
        <f t="shared" si="26"/>
        <v>0</v>
      </c>
      <c r="W138" s="2478">
        <f t="shared" si="27"/>
        <v>0</v>
      </c>
      <c r="X138" s="2718">
        <f t="shared" si="31"/>
        <v>0</v>
      </c>
      <c r="Y138" s="2718">
        <f t="shared" si="32"/>
        <v>0</v>
      </c>
    </row>
    <row r="139" spans="1:25">
      <c r="A139" s="2473" t="str">
        <f t="shared" si="28"/>
        <v/>
      </c>
      <c r="B139" s="2737"/>
      <c r="C139" s="2737"/>
      <c r="D139" s="2737"/>
      <c r="E139" s="2738"/>
      <c r="F139" s="2738"/>
      <c r="G139" s="2738"/>
      <c r="H139" s="2739"/>
      <c r="I139" s="2740"/>
      <c r="J139" s="2740"/>
      <c r="K139" s="2740"/>
      <c r="L139" s="2740"/>
      <c r="M139" s="2738"/>
      <c r="N139" s="2738"/>
      <c r="O139" s="2474">
        <f t="shared" si="22"/>
        <v>0</v>
      </c>
      <c r="P139" s="2474">
        <f t="shared" si="23"/>
        <v>0</v>
      </c>
      <c r="Q139" s="2475">
        <f t="shared" si="29"/>
        <v>0</v>
      </c>
      <c r="R139" s="2475">
        <f t="shared" si="30"/>
        <v>0</v>
      </c>
      <c r="S139" s="2476">
        <f t="shared" si="24"/>
        <v>0</v>
      </c>
      <c r="T139" s="2476">
        <f t="shared" si="25"/>
        <v>0</v>
      </c>
      <c r="U139" s="2477">
        <f>IF(OR(E139="QS",B139=""),0,
IF(C139="F",VLOOKUP($T139,'表30-5-2-5-3'!$B:$AF,MATCH($D139&amp;"a",'表30-5-2-5-3'!$4:$4,0)-1,FALSE)
-IF($S139-1&lt;=0,0,VLOOKUP($S139-1,'表30-5-2-5-3'!$B:$AF,MATCH($D139&amp;"a",'表30-5-2-5-3'!$4:$4,0)-1,FALSE))
-VLOOKUP($T139,'表30-5-2-5-3'!$B:$AF,MATCH($D139,'表30-5-2-5-3'!$4:$4,0)-1,FALSE)*(T139/100-N139/H139)*100
-VLOOKUP($S139,'表30-5-2-5-3'!$B:$AF,MATCH($D139,'表30-5-2-5-3'!$4:$4,0)-1,FALSE)*(1-(S139/100-M139/H139)*100),
IF(C139="E1",VLOOKUP($T139,'表30-5-2-5-4'!$B$4:$AF$104,MATCH($D139&amp;"a",'表30-5-2-5-4'!$4:$4,0)-1,FALSE)
-IF($S139-1&lt;=0,0,VLOOKUP($S139-1,'表30-5-2-5-4'!$B$4:$AF$104,MATCH($D139&amp;"a",'表30-5-2-5-4'!$4:$4,0)-1,FALSE))
-VLOOKUP($T139,'表30-5-2-5-4'!$B$4:$AF$104,MATCH($D139,'表30-5-2-5-4'!$4:$4,0)-1,FALSE)*(T139/100-N139/H139)*100
-VLOOKUP($S139,'表30-5-2-5-4'!$B$4:$AF$104,MATCH($D139,'表30-5-2-5-4'!$4:$4,0)-1,FALSE)*(1-(S139/100-M139/H139)*100),
IF(C139="E2",VLOOKUP($T139,'表30-5-2-5-4'!$B$114:$AF$214,MATCH($D139&amp;"a",'表30-5-2-5-4'!$4:$4,0)-1,FALSE)
-IF($S139-1&lt;=0,0,VLOOKUP($S139-1,'表30-5-2-5-4'!$B$114:$AF$214,MATCH($D139&amp;"a",'表30-5-2-5-4'!$4:$4,0)-1,FALSE))
-VLOOKUP($T139,'表30-5-2-5-4'!$B$114:$AF$214,MATCH($D139,'表30-5-2-5-4'!$4:$4,0)-1,FALSE)*(T139/100-N139/H139)*100
-VLOOKUP($S139,'表30-5-2-5-4'!$B$114:$AF$214,MATCH($D139,'表30-5-2-5-4'!$4:$4,0)-1,FALSE)*(1-(S139/100-M139/H139)*100),0))))</f>
        <v>0</v>
      </c>
      <c r="V139" s="2478">
        <f t="shared" si="26"/>
        <v>0</v>
      </c>
      <c r="W139" s="2478">
        <f t="shared" si="27"/>
        <v>0</v>
      </c>
      <c r="X139" s="2718">
        <f t="shared" si="31"/>
        <v>0</v>
      </c>
      <c r="Y139" s="2718">
        <f t="shared" si="32"/>
        <v>0</v>
      </c>
    </row>
    <row r="140" spans="1:25">
      <c r="A140" s="2473" t="str">
        <f t="shared" si="28"/>
        <v/>
      </c>
      <c r="B140" s="2737"/>
      <c r="C140" s="2737"/>
      <c r="D140" s="2737"/>
      <c r="E140" s="2738"/>
      <c r="F140" s="2738"/>
      <c r="G140" s="2738"/>
      <c r="H140" s="2739"/>
      <c r="I140" s="2740"/>
      <c r="J140" s="2740"/>
      <c r="K140" s="2740"/>
      <c r="L140" s="2740"/>
      <c r="M140" s="2738"/>
      <c r="N140" s="2738"/>
      <c r="O140" s="2474">
        <f t="shared" si="22"/>
        <v>0</v>
      </c>
      <c r="P140" s="2474">
        <f t="shared" si="23"/>
        <v>0</v>
      </c>
      <c r="Q140" s="2475">
        <f t="shared" si="29"/>
        <v>0</v>
      </c>
      <c r="R140" s="2475">
        <f t="shared" si="30"/>
        <v>0</v>
      </c>
      <c r="S140" s="2476">
        <f t="shared" si="24"/>
        <v>0</v>
      </c>
      <c r="T140" s="2476">
        <f t="shared" si="25"/>
        <v>0</v>
      </c>
      <c r="U140" s="2477">
        <f>IF(OR(E140="QS",B140=""),0,
IF(C140="F",VLOOKUP($T140,'表30-5-2-5-3'!$B:$AF,MATCH($D140&amp;"a",'表30-5-2-5-3'!$4:$4,0)-1,FALSE)
-IF($S140-1&lt;=0,0,VLOOKUP($S140-1,'表30-5-2-5-3'!$B:$AF,MATCH($D140&amp;"a",'表30-5-2-5-3'!$4:$4,0)-1,FALSE))
-VLOOKUP($T140,'表30-5-2-5-3'!$B:$AF,MATCH($D140,'表30-5-2-5-3'!$4:$4,0)-1,FALSE)*(T140/100-N140/H140)*100
-VLOOKUP($S140,'表30-5-2-5-3'!$B:$AF,MATCH($D140,'表30-5-2-5-3'!$4:$4,0)-1,FALSE)*(1-(S140/100-M140/H140)*100),
IF(C140="E1",VLOOKUP($T140,'表30-5-2-5-4'!$B$4:$AF$104,MATCH($D140&amp;"a",'表30-5-2-5-4'!$4:$4,0)-1,FALSE)
-IF($S140-1&lt;=0,0,VLOOKUP($S140-1,'表30-5-2-5-4'!$B$4:$AF$104,MATCH($D140&amp;"a",'表30-5-2-5-4'!$4:$4,0)-1,FALSE))
-VLOOKUP($T140,'表30-5-2-5-4'!$B$4:$AF$104,MATCH($D140,'表30-5-2-5-4'!$4:$4,0)-1,FALSE)*(T140/100-N140/H140)*100
-VLOOKUP($S140,'表30-5-2-5-4'!$B$4:$AF$104,MATCH($D140,'表30-5-2-5-4'!$4:$4,0)-1,FALSE)*(1-(S140/100-M140/H140)*100),
IF(C140="E2",VLOOKUP($T140,'表30-5-2-5-4'!$B$114:$AF$214,MATCH($D140&amp;"a",'表30-5-2-5-4'!$4:$4,0)-1,FALSE)
-IF($S140-1&lt;=0,0,VLOOKUP($S140-1,'表30-5-2-5-4'!$B$114:$AF$214,MATCH($D140&amp;"a",'表30-5-2-5-4'!$4:$4,0)-1,FALSE))
-VLOOKUP($T140,'表30-5-2-5-4'!$B$114:$AF$214,MATCH($D140,'表30-5-2-5-4'!$4:$4,0)-1,FALSE)*(T140/100-N140/H140)*100
-VLOOKUP($S140,'表30-5-2-5-4'!$B$114:$AF$214,MATCH($D140,'表30-5-2-5-4'!$4:$4,0)-1,FALSE)*(1-(S140/100-M140/H140)*100),0))))</f>
        <v>0</v>
      </c>
      <c r="V140" s="2478">
        <f t="shared" si="26"/>
        <v>0</v>
      </c>
      <c r="W140" s="2478">
        <f t="shared" si="27"/>
        <v>0</v>
      </c>
      <c r="X140" s="2718">
        <f t="shared" si="31"/>
        <v>0</v>
      </c>
      <c r="Y140" s="2718">
        <f t="shared" si="32"/>
        <v>0</v>
      </c>
    </row>
    <row r="141" spans="1:25">
      <c r="A141" s="2473" t="str">
        <f t="shared" si="28"/>
        <v/>
      </c>
      <c r="B141" s="2737"/>
      <c r="C141" s="2737"/>
      <c r="D141" s="2737"/>
      <c r="E141" s="2738"/>
      <c r="F141" s="2738"/>
      <c r="G141" s="2738"/>
      <c r="H141" s="2739"/>
      <c r="I141" s="2740"/>
      <c r="J141" s="2740"/>
      <c r="K141" s="2740"/>
      <c r="L141" s="2740"/>
      <c r="M141" s="2738"/>
      <c r="N141" s="2738"/>
      <c r="O141" s="2474">
        <f t="shared" si="22"/>
        <v>0</v>
      </c>
      <c r="P141" s="2474">
        <f t="shared" si="23"/>
        <v>0</v>
      </c>
      <c r="Q141" s="2475">
        <f t="shared" si="29"/>
        <v>0</v>
      </c>
      <c r="R141" s="2475">
        <f t="shared" si="30"/>
        <v>0</v>
      </c>
      <c r="S141" s="2476">
        <f t="shared" si="24"/>
        <v>0</v>
      </c>
      <c r="T141" s="2476">
        <f t="shared" si="25"/>
        <v>0</v>
      </c>
      <c r="U141" s="2477">
        <f>IF(OR(E141="QS",B141=""),0,
IF(C141="F",VLOOKUP($T141,'表30-5-2-5-3'!$B:$AF,MATCH($D141&amp;"a",'表30-5-2-5-3'!$4:$4,0)-1,FALSE)
-IF($S141-1&lt;=0,0,VLOOKUP($S141-1,'表30-5-2-5-3'!$B:$AF,MATCH($D141&amp;"a",'表30-5-2-5-3'!$4:$4,0)-1,FALSE))
-VLOOKUP($T141,'表30-5-2-5-3'!$B:$AF,MATCH($D141,'表30-5-2-5-3'!$4:$4,0)-1,FALSE)*(T141/100-N141/H141)*100
-VLOOKUP($S141,'表30-5-2-5-3'!$B:$AF,MATCH($D141,'表30-5-2-5-3'!$4:$4,0)-1,FALSE)*(1-(S141/100-M141/H141)*100),
IF(C141="E1",VLOOKUP($T141,'表30-5-2-5-4'!$B$4:$AF$104,MATCH($D141&amp;"a",'表30-5-2-5-4'!$4:$4,0)-1,FALSE)
-IF($S141-1&lt;=0,0,VLOOKUP($S141-1,'表30-5-2-5-4'!$B$4:$AF$104,MATCH($D141&amp;"a",'表30-5-2-5-4'!$4:$4,0)-1,FALSE))
-VLOOKUP($T141,'表30-5-2-5-4'!$B$4:$AF$104,MATCH($D141,'表30-5-2-5-4'!$4:$4,0)-1,FALSE)*(T141/100-N141/H141)*100
-VLOOKUP($S141,'表30-5-2-5-4'!$B$4:$AF$104,MATCH($D141,'表30-5-2-5-4'!$4:$4,0)-1,FALSE)*(1-(S141/100-M141/H141)*100),
IF(C141="E2",VLOOKUP($T141,'表30-5-2-5-4'!$B$114:$AF$214,MATCH($D141&amp;"a",'表30-5-2-5-4'!$4:$4,0)-1,FALSE)
-IF($S141-1&lt;=0,0,VLOOKUP($S141-1,'表30-5-2-5-4'!$B$114:$AF$214,MATCH($D141&amp;"a",'表30-5-2-5-4'!$4:$4,0)-1,FALSE))
-VLOOKUP($T141,'表30-5-2-5-4'!$B$114:$AF$214,MATCH($D141,'表30-5-2-5-4'!$4:$4,0)-1,FALSE)*(T141/100-N141/H141)*100
-VLOOKUP($S141,'表30-5-2-5-4'!$B$114:$AF$214,MATCH($D141,'表30-5-2-5-4'!$4:$4,0)-1,FALSE)*(1-(S141/100-M141/H141)*100),0))))</f>
        <v>0</v>
      </c>
      <c r="V141" s="2478">
        <f t="shared" si="26"/>
        <v>0</v>
      </c>
      <c r="W141" s="2478">
        <f t="shared" si="27"/>
        <v>0</v>
      </c>
      <c r="X141" s="2718">
        <f t="shared" si="31"/>
        <v>0</v>
      </c>
      <c r="Y141" s="2718">
        <f t="shared" si="32"/>
        <v>0</v>
      </c>
    </row>
    <row r="142" spans="1:25">
      <c r="A142" s="2473" t="str">
        <f t="shared" si="28"/>
        <v/>
      </c>
      <c r="B142" s="2737"/>
      <c r="C142" s="2737"/>
      <c r="D142" s="2737"/>
      <c r="E142" s="2738"/>
      <c r="F142" s="2738"/>
      <c r="G142" s="2738"/>
      <c r="H142" s="2739"/>
      <c r="I142" s="2740"/>
      <c r="J142" s="2740"/>
      <c r="K142" s="2740"/>
      <c r="L142" s="2740"/>
      <c r="M142" s="2738"/>
      <c r="N142" s="2738"/>
      <c r="O142" s="2474">
        <f t="shared" si="22"/>
        <v>0</v>
      </c>
      <c r="P142" s="2474">
        <f t="shared" si="23"/>
        <v>0</v>
      </c>
      <c r="Q142" s="2475">
        <f t="shared" si="29"/>
        <v>0</v>
      </c>
      <c r="R142" s="2475">
        <f t="shared" si="30"/>
        <v>0</v>
      </c>
      <c r="S142" s="2476">
        <f t="shared" si="24"/>
        <v>0</v>
      </c>
      <c r="T142" s="2476">
        <f t="shared" si="25"/>
        <v>0</v>
      </c>
      <c r="U142" s="2477">
        <f>IF(OR(E142="QS",B142=""),0,
IF(C142="F",VLOOKUP($T142,'表30-5-2-5-3'!$B:$AF,MATCH($D142&amp;"a",'表30-5-2-5-3'!$4:$4,0)-1,FALSE)
-IF($S142-1&lt;=0,0,VLOOKUP($S142-1,'表30-5-2-5-3'!$B:$AF,MATCH($D142&amp;"a",'表30-5-2-5-3'!$4:$4,0)-1,FALSE))
-VLOOKUP($T142,'表30-5-2-5-3'!$B:$AF,MATCH($D142,'表30-5-2-5-3'!$4:$4,0)-1,FALSE)*(T142/100-N142/H142)*100
-VLOOKUP($S142,'表30-5-2-5-3'!$B:$AF,MATCH($D142,'表30-5-2-5-3'!$4:$4,0)-1,FALSE)*(1-(S142/100-M142/H142)*100),
IF(C142="E1",VLOOKUP($T142,'表30-5-2-5-4'!$B$4:$AF$104,MATCH($D142&amp;"a",'表30-5-2-5-4'!$4:$4,0)-1,FALSE)
-IF($S142-1&lt;=0,0,VLOOKUP($S142-1,'表30-5-2-5-4'!$B$4:$AF$104,MATCH($D142&amp;"a",'表30-5-2-5-4'!$4:$4,0)-1,FALSE))
-VLOOKUP($T142,'表30-5-2-5-4'!$B$4:$AF$104,MATCH($D142,'表30-5-2-5-4'!$4:$4,0)-1,FALSE)*(T142/100-N142/H142)*100
-VLOOKUP($S142,'表30-5-2-5-4'!$B$4:$AF$104,MATCH($D142,'表30-5-2-5-4'!$4:$4,0)-1,FALSE)*(1-(S142/100-M142/H142)*100),
IF(C142="E2",VLOOKUP($T142,'表30-5-2-5-4'!$B$114:$AF$214,MATCH($D142&amp;"a",'表30-5-2-5-4'!$4:$4,0)-1,FALSE)
-IF($S142-1&lt;=0,0,VLOOKUP($S142-1,'表30-5-2-5-4'!$B$114:$AF$214,MATCH($D142&amp;"a",'表30-5-2-5-4'!$4:$4,0)-1,FALSE))
-VLOOKUP($T142,'表30-5-2-5-4'!$B$114:$AF$214,MATCH($D142,'表30-5-2-5-4'!$4:$4,0)-1,FALSE)*(T142/100-N142/H142)*100
-VLOOKUP($S142,'表30-5-2-5-4'!$B$114:$AF$214,MATCH($D142,'表30-5-2-5-4'!$4:$4,0)-1,FALSE)*(1-(S142/100-M142/H142)*100),0))))</f>
        <v>0</v>
      </c>
      <c r="V142" s="2478">
        <f t="shared" si="26"/>
        <v>0</v>
      </c>
      <c r="W142" s="2478">
        <f t="shared" si="27"/>
        <v>0</v>
      </c>
      <c r="X142" s="2718">
        <f t="shared" si="31"/>
        <v>0</v>
      </c>
      <c r="Y142" s="2718">
        <f t="shared" si="32"/>
        <v>0</v>
      </c>
    </row>
    <row r="143" spans="1:25">
      <c r="A143" s="2473" t="str">
        <f t="shared" si="28"/>
        <v/>
      </c>
      <c r="B143" s="2737"/>
      <c r="C143" s="2737"/>
      <c r="D143" s="2737"/>
      <c r="E143" s="2738"/>
      <c r="F143" s="2738"/>
      <c r="G143" s="2738"/>
      <c r="H143" s="2739"/>
      <c r="I143" s="2740"/>
      <c r="J143" s="2740"/>
      <c r="K143" s="2740"/>
      <c r="L143" s="2740"/>
      <c r="M143" s="2738"/>
      <c r="N143" s="2738"/>
      <c r="O143" s="2474">
        <f t="shared" si="22"/>
        <v>0</v>
      </c>
      <c r="P143" s="2474">
        <f t="shared" si="23"/>
        <v>0</v>
      </c>
      <c r="Q143" s="2475">
        <f t="shared" si="29"/>
        <v>0</v>
      </c>
      <c r="R143" s="2475">
        <f t="shared" si="30"/>
        <v>0</v>
      </c>
      <c r="S143" s="2476">
        <f t="shared" si="24"/>
        <v>0</v>
      </c>
      <c r="T143" s="2476">
        <f t="shared" si="25"/>
        <v>0</v>
      </c>
      <c r="U143" s="2477">
        <f>IF(OR(E143="QS",B143=""),0,
IF(C143="F",VLOOKUP($T143,'表30-5-2-5-3'!$B:$AF,MATCH($D143&amp;"a",'表30-5-2-5-3'!$4:$4,0)-1,FALSE)
-IF($S143-1&lt;=0,0,VLOOKUP($S143-1,'表30-5-2-5-3'!$B:$AF,MATCH($D143&amp;"a",'表30-5-2-5-3'!$4:$4,0)-1,FALSE))
-VLOOKUP($T143,'表30-5-2-5-3'!$B:$AF,MATCH($D143,'表30-5-2-5-3'!$4:$4,0)-1,FALSE)*(T143/100-N143/H143)*100
-VLOOKUP($S143,'表30-5-2-5-3'!$B:$AF,MATCH($D143,'表30-5-2-5-3'!$4:$4,0)-1,FALSE)*(1-(S143/100-M143/H143)*100),
IF(C143="E1",VLOOKUP($T143,'表30-5-2-5-4'!$B$4:$AF$104,MATCH($D143&amp;"a",'表30-5-2-5-4'!$4:$4,0)-1,FALSE)
-IF($S143-1&lt;=0,0,VLOOKUP($S143-1,'表30-5-2-5-4'!$B$4:$AF$104,MATCH($D143&amp;"a",'表30-5-2-5-4'!$4:$4,0)-1,FALSE))
-VLOOKUP($T143,'表30-5-2-5-4'!$B$4:$AF$104,MATCH($D143,'表30-5-2-5-4'!$4:$4,0)-1,FALSE)*(T143/100-N143/H143)*100
-VLOOKUP($S143,'表30-5-2-5-4'!$B$4:$AF$104,MATCH($D143,'表30-5-2-5-4'!$4:$4,0)-1,FALSE)*(1-(S143/100-M143/H143)*100),
IF(C143="E2",VLOOKUP($T143,'表30-5-2-5-4'!$B$114:$AF$214,MATCH($D143&amp;"a",'表30-5-2-5-4'!$4:$4,0)-1,FALSE)
-IF($S143-1&lt;=0,0,VLOOKUP($S143-1,'表30-5-2-5-4'!$B$114:$AF$214,MATCH($D143&amp;"a",'表30-5-2-5-4'!$4:$4,0)-1,FALSE))
-VLOOKUP($T143,'表30-5-2-5-4'!$B$114:$AF$214,MATCH($D143,'表30-5-2-5-4'!$4:$4,0)-1,FALSE)*(T143/100-N143/H143)*100
-VLOOKUP($S143,'表30-5-2-5-4'!$B$114:$AF$214,MATCH($D143,'表30-5-2-5-4'!$4:$4,0)-1,FALSE)*(1-(S143/100-M143/H143)*100),0))))</f>
        <v>0</v>
      </c>
      <c r="V143" s="2478">
        <f t="shared" si="26"/>
        <v>0</v>
      </c>
      <c r="W143" s="2478">
        <f t="shared" si="27"/>
        <v>0</v>
      </c>
      <c r="X143" s="2718">
        <f t="shared" si="31"/>
        <v>0</v>
      </c>
      <c r="Y143" s="2718">
        <f t="shared" si="32"/>
        <v>0</v>
      </c>
    </row>
    <row r="144" spans="1:25">
      <c r="A144" s="2473" t="str">
        <f t="shared" si="28"/>
        <v/>
      </c>
      <c r="B144" s="2737"/>
      <c r="C144" s="2737"/>
      <c r="D144" s="2737"/>
      <c r="E144" s="2738"/>
      <c r="F144" s="2738"/>
      <c r="G144" s="2738"/>
      <c r="H144" s="2739"/>
      <c r="I144" s="2740"/>
      <c r="J144" s="2740"/>
      <c r="K144" s="2740"/>
      <c r="L144" s="2740"/>
      <c r="M144" s="2738"/>
      <c r="N144" s="2738"/>
      <c r="O144" s="2474">
        <f t="shared" si="22"/>
        <v>0</v>
      </c>
      <c r="P144" s="2474">
        <f t="shared" si="23"/>
        <v>0</v>
      </c>
      <c r="Q144" s="2475">
        <f t="shared" si="29"/>
        <v>0</v>
      </c>
      <c r="R144" s="2475">
        <f t="shared" si="30"/>
        <v>0</v>
      </c>
      <c r="S144" s="2476">
        <f t="shared" si="24"/>
        <v>0</v>
      </c>
      <c r="T144" s="2476">
        <f t="shared" si="25"/>
        <v>0</v>
      </c>
      <c r="U144" s="2477">
        <f>IF(OR(E144="QS",B144=""),0,
IF(C144="F",VLOOKUP($T144,'表30-5-2-5-3'!$B:$AF,MATCH($D144&amp;"a",'表30-5-2-5-3'!$4:$4,0)-1,FALSE)
-IF($S144-1&lt;=0,0,VLOOKUP($S144-1,'表30-5-2-5-3'!$B:$AF,MATCH($D144&amp;"a",'表30-5-2-5-3'!$4:$4,0)-1,FALSE))
-VLOOKUP($T144,'表30-5-2-5-3'!$B:$AF,MATCH($D144,'表30-5-2-5-3'!$4:$4,0)-1,FALSE)*(T144/100-N144/H144)*100
-VLOOKUP($S144,'表30-5-2-5-3'!$B:$AF,MATCH($D144,'表30-5-2-5-3'!$4:$4,0)-1,FALSE)*(1-(S144/100-M144/H144)*100),
IF(C144="E1",VLOOKUP($T144,'表30-5-2-5-4'!$B$4:$AF$104,MATCH($D144&amp;"a",'表30-5-2-5-4'!$4:$4,0)-1,FALSE)
-IF($S144-1&lt;=0,0,VLOOKUP($S144-1,'表30-5-2-5-4'!$B$4:$AF$104,MATCH($D144&amp;"a",'表30-5-2-5-4'!$4:$4,0)-1,FALSE))
-VLOOKUP($T144,'表30-5-2-5-4'!$B$4:$AF$104,MATCH($D144,'表30-5-2-5-4'!$4:$4,0)-1,FALSE)*(T144/100-N144/H144)*100
-VLOOKUP($S144,'表30-5-2-5-4'!$B$4:$AF$104,MATCH($D144,'表30-5-2-5-4'!$4:$4,0)-1,FALSE)*(1-(S144/100-M144/H144)*100),
IF(C144="E2",VLOOKUP($T144,'表30-5-2-5-4'!$B$114:$AF$214,MATCH($D144&amp;"a",'表30-5-2-5-4'!$4:$4,0)-1,FALSE)
-IF($S144-1&lt;=0,0,VLOOKUP($S144-1,'表30-5-2-5-4'!$B$114:$AF$214,MATCH($D144&amp;"a",'表30-5-2-5-4'!$4:$4,0)-1,FALSE))
-VLOOKUP($T144,'表30-5-2-5-4'!$B$114:$AF$214,MATCH($D144,'表30-5-2-5-4'!$4:$4,0)-1,FALSE)*(T144/100-N144/H144)*100
-VLOOKUP($S144,'表30-5-2-5-4'!$B$114:$AF$214,MATCH($D144,'表30-5-2-5-4'!$4:$4,0)-1,FALSE)*(1-(S144/100-M144/H144)*100),0))))</f>
        <v>0</v>
      </c>
      <c r="V144" s="2478">
        <f t="shared" si="26"/>
        <v>0</v>
      </c>
      <c r="W144" s="2478">
        <f t="shared" si="27"/>
        <v>0</v>
      </c>
      <c r="X144" s="2718">
        <f t="shared" si="31"/>
        <v>0</v>
      </c>
      <c r="Y144" s="2718">
        <f t="shared" si="32"/>
        <v>0</v>
      </c>
    </row>
    <row r="145" spans="1:25">
      <c r="A145" s="2473" t="str">
        <f t="shared" si="28"/>
        <v/>
      </c>
      <c r="B145" s="2737"/>
      <c r="C145" s="2737"/>
      <c r="D145" s="2737"/>
      <c r="E145" s="2738"/>
      <c r="F145" s="2738"/>
      <c r="G145" s="2738"/>
      <c r="H145" s="2739"/>
      <c r="I145" s="2740"/>
      <c r="J145" s="2740"/>
      <c r="K145" s="2740"/>
      <c r="L145" s="2740"/>
      <c r="M145" s="2738"/>
      <c r="N145" s="2738"/>
      <c r="O145" s="2474">
        <f t="shared" si="22"/>
        <v>0</v>
      </c>
      <c r="P145" s="2474">
        <f t="shared" si="23"/>
        <v>0</v>
      </c>
      <c r="Q145" s="2475">
        <f t="shared" si="29"/>
        <v>0</v>
      </c>
      <c r="R145" s="2475">
        <f t="shared" si="30"/>
        <v>0</v>
      </c>
      <c r="S145" s="2476">
        <f t="shared" si="24"/>
        <v>0</v>
      </c>
      <c r="T145" s="2476">
        <f t="shared" si="25"/>
        <v>0</v>
      </c>
      <c r="U145" s="2477">
        <f>IF(OR(E145="QS",B145=""),0,
IF(C145="F",VLOOKUP($T145,'表30-5-2-5-3'!$B:$AF,MATCH($D145&amp;"a",'表30-5-2-5-3'!$4:$4,0)-1,FALSE)
-IF($S145-1&lt;=0,0,VLOOKUP($S145-1,'表30-5-2-5-3'!$B:$AF,MATCH($D145&amp;"a",'表30-5-2-5-3'!$4:$4,0)-1,FALSE))
-VLOOKUP($T145,'表30-5-2-5-3'!$B:$AF,MATCH($D145,'表30-5-2-5-3'!$4:$4,0)-1,FALSE)*(T145/100-N145/H145)*100
-VLOOKUP($S145,'表30-5-2-5-3'!$B:$AF,MATCH($D145,'表30-5-2-5-3'!$4:$4,0)-1,FALSE)*(1-(S145/100-M145/H145)*100),
IF(C145="E1",VLOOKUP($T145,'表30-5-2-5-4'!$B$4:$AF$104,MATCH($D145&amp;"a",'表30-5-2-5-4'!$4:$4,0)-1,FALSE)
-IF($S145-1&lt;=0,0,VLOOKUP($S145-1,'表30-5-2-5-4'!$B$4:$AF$104,MATCH($D145&amp;"a",'表30-5-2-5-4'!$4:$4,0)-1,FALSE))
-VLOOKUP($T145,'表30-5-2-5-4'!$B$4:$AF$104,MATCH($D145,'表30-5-2-5-4'!$4:$4,0)-1,FALSE)*(T145/100-N145/H145)*100
-VLOOKUP($S145,'表30-5-2-5-4'!$B$4:$AF$104,MATCH($D145,'表30-5-2-5-4'!$4:$4,0)-1,FALSE)*(1-(S145/100-M145/H145)*100),
IF(C145="E2",VLOOKUP($T145,'表30-5-2-5-4'!$B$114:$AF$214,MATCH($D145&amp;"a",'表30-5-2-5-4'!$4:$4,0)-1,FALSE)
-IF($S145-1&lt;=0,0,VLOOKUP($S145-1,'表30-5-2-5-4'!$B$114:$AF$214,MATCH($D145&amp;"a",'表30-5-2-5-4'!$4:$4,0)-1,FALSE))
-VLOOKUP($T145,'表30-5-2-5-4'!$B$114:$AF$214,MATCH($D145,'表30-5-2-5-4'!$4:$4,0)-1,FALSE)*(T145/100-N145/H145)*100
-VLOOKUP($S145,'表30-5-2-5-4'!$B$114:$AF$214,MATCH($D145,'表30-5-2-5-4'!$4:$4,0)-1,FALSE)*(1-(S145/100-M145/H145)*100),0))))</f>
        <v>0</v>
      </c>
      <c r="V145" s="2478">
        <f t="shared" si="26"/>
        <v>0</v>
      </c>
      <c r="W145" s="2478">
        <f t="shared" si="27"/>
        <v>0</v>
      </c>
      <c r="X145" s="2718">
        <f t="shared" si="31"/>
        <v>0</v>
      </c>
      <c r="Y145" s="2718">
        <f t="shared" si="32"/>
        <v>0</v>
      </c>
    </row>
    <row r="146" spans="1:25">
      <c r="A146" s="2473" t="str">
        <f t="shared" si="28"/>
        <v/>
      </c>
      <c r="B146" s="2737"/>
      <c r="C146" s="2737"/>
      <c r="D146" s="2737"/>
      <c r="E146" s="2738"/>
      <c r="F146" s="2738"/>
      <c r="G146" s="2738"/>
      <c r="H146" s="2739"/>
      <c r="I146" s="2740"/>
      <c r="J146" s="2740"/>
      <c r="K146" s="2740"/>
      <c r="L146" s="2740"/>
      <c r="M146" s="2738"/>
      <c r="N146" s="2738"/>
      <c r="O146" s="2474">
        <f t="shared" si="22"/>
        <v>0</v>
      </c>
      <c r="P146" s="2474">
        <f t="shared" si="23"/>
        <v>0</v>
      </c>
      <c r="Q146" s="2475">
        <f t="shared" si="29"/>
        <v>0</v>
      </c>
      <c r="R146" s="2475">
        <f t="shared" si="30"/>
        <v>0</v>
      </c>
      <c r="S146" s="2476">
        <f t="shared" si="24"/>
        <v>0</v>
      </c>
      <c r="T146" s="2476">
        <f t="shared" si="25"/>
        <v>0</v>
      </c>
      <c r="U146" s="2477">
        <f>IF(OR(E146="QS",B146=""),0,
IF(C146="F",VLOOKUP($T146,'表30-5-2-5-3'!$B:$AF,MATCH($D146&amp;"a",'表30-5-2-5-3'!$4:$4,0)-1,FALSE)
-IF($S146-1&lt;=0,0,VLOOKUP($S146-1,'表30-5-2-5-3'!$B:$AF,MATCH($D146&amp;"a",'表30-5-2-5-3'!$4:$4,0)-1,FALSE))
-VLOOKUP($T146,'表30-5-2-5-3'!$B:$AF,MATCH($D146,'表30-5-2-5-3'!$4:$4,0)-1,FALSE)*(T146/100-N146/H146)*100
-VLOOKUP($S146,'表30-5-2-5-3'!$B:$AF,MATCH($D146,'表30-5-2-5-3'!$4:$4,0)-1,FALSE)*(1-(S146/100-M146/H146)*100),
IF(C146="E1",VLOOKUP($T146,'表30-5-2-5-4'!$B$4:$AF$104,MATCH($D146&amp;"a",'表30-5-2-5-4'!$4:$4,0)-1,FALSE)
-IF($S146-1&lt;=0,0,VLOOKUP($S146-1,'表30-5-2-5-4'!$B$4:$AF$104,MATCH($D146&amp;"a",'表30-5-2-5-4'!$4:$4,0)-1,FALSE))
-VLOOKUP($T146,'表30-5-2-5-4'!$B$4:$AF$104,MATCH($D146,'表30-5-2-5-4'!$4:$4,0)-1,FALSE)*(T146/100-N146/H146)*100
-VLOOKUP($S146,'表30-5-2-5-4'!$B$4:$AF$104,MATCH($D146,'表30-5-2-5-4'!$4:$4,0)-1,FALSE)*(1-(S146/100-M146/H146)*100),
IF(C146="E2",VLOOKUP($T146,'表30-5-2-5-4'!$B$114:$AF$214,MATCH($D146&amp;"a",'表30-5-2-5-4'!$4:$4,0)-1,FALSE)
-IF($S146-1&lt;=0,0,VLOOKUP($S146-1,'表30-5-2-5-4'!$B$114:$AF$214,MATCH($D146&amp;"a",'表30-5-2-5-4'!$4:$4,0)-1,FALSE))
-VLOOKUP($T146,'表30-5-2-5-4'!$B$114:$AF$214,MATCH($D146,'表30-5-2-5-4'!$4:$4,0)-1,FALSE)*(T146/100-N146/H146)*100
-VLOOKUP($S146,'表30-5-2-5-4'!$B$114:$AF$214,MATCH($D146,'表30-5-2-5-4'!$4:$4,0)-1,FALSE)*(1-(S146/100-M146/H146)*100),0))))</f>
        <v>0</v>
      </c>
      <c r="V146" s="2478">
        <f t="shared" si="26"/>
        <v>0</v>
      </c>
      <c r="W146" s="2478">
        <f t="shared" si="27"/>
        <v>0</v>
      </c>
      <c r="X146" s="2718">
        <f t="shared" si="31"/>
        <v>0</v>
      </c>
      <c r="Y146" s="2718">
        <f t="shared" si="32"/>
        <v>0</v>
      </c>
    </row>
    <row r="147" spans="1:25">
      <c r="A147" s="2473" t="str">
        <f t="shared" si="28"/>
        <v/>
      </c>
      <c r="B147" s="2737"/>
      <c r="C147" s="2737"/>
      <c r="D147" s="2737"/>
      <c r="E147" s="2738"/>
      <c r="F147" s="2738"/>
      <c r="G147" s="2738"/>
      <c r="H147" s="2739"/>
      <c r="I147" s="2740"/>
      <c r="J147" s="2740"/>
      <c r="K147" s="2740"/>
      <c r="L147" s="2740"/>
      <c r="M147" s="2738"/>
      <c r="N147" s="2738"/>
      <c r="O147" s="2474">
        <f t="shared" si="22"/>
        <v>0</v>
      </c>
      <c r="P147" s="2474">
        <f t="shared" si="23"/>
        <v>0</v>
      </c>
      <c r="Q147" s="2475">
        <f t="shared" si="29"/>
        <v>0</v>
      </c>
      <c r="R147" s="2475">
        <f t="shared" si="30"/>
        <v>0</v>
      </c>
      <c r="S147" s="2476">
        <f t="shared" si="24"/>
        <v>0</v>
      </c>
      <c r="T147" s="2476">
        <f t="shared" si="25"/>
        <v>0</v>
      </c>
      <c r="U147" s="2477">
        <f>IF(OR(E147="QS",B147=""),0,
IF(C147="F",VLOOKUP($T147,'表30-5-2-5-3'!$B:$AF,MATCH($D147&amp;"a",'表30-5-2-5-3'!$4:$4,0)-1,FALSE)
-IF($S147-1&lt;=0,0,VLOOKUP($S147-1,'表30-5-2-5-3'!$B:$AF,MATCH($D147&amp;"a",'表30-5-2-5-3'!$4:$4,0)-1,FALSE))
-VLOOKUP($T147,'表30-5-2-5-3'!$B:$AF,MATCH($D147,'表30-5-2-5-3'!$4:$4,0)-1,FALSE)*(T147/100-N147/H147)*100
-VLOOKUP($S147,'表30-5-2-5-3'!$B:$AF,MATCH($D147,'表30-5-2-5-3'!$4:$4,0)-1,FALSE)*(1-(S147/100-M147/H147)*100),
IF(C147="E1",VLOOKUP($T147,'表30-5-2-5-4'!$B$4:$AF$104,MATCH($D147&amp;"a",'表30-5-2-5-4'!$4:$4,0)-1,FALSE)
-IF($S147-1&lt;=0,0,VLOOKUP($S147-1,'表30-5-2-5-4'!$B$4:$AF$104,MATCH($D147&amp;"a",'表30-5-2-5-4'!$4:$4,0)-1,FALSE))
-VLOOKUP($T147,'表30-5-2-5-4'!$B$4:$AF$104,MATCH($D147,'表30-5-2-5-4'!$4:$4,0)-1,FALSE)*(T147/100-N147/H147)*100
-VLOOKUP($S147,'表30-5-2-5-4'!$B$4:$AF$104,MATCH($D147,'表30-5-2-5-4'!$4:$4,0)-1,FALSE)*(1-(S147/100-M147/H147)*100),
IF(C147="E2",VLOOKUP($T147,'表30-5-2-5-4'!$B$114:$AF$214,MATCH($D147&amp;"a",'表30-5-2-5-4'!$4:$4,0)-1,FALSE)
-IF($S147-1&lt;=0,0,VLOOKUP($S147-1,'表30-5-2-5-4'!$B$114:$AF$214,MATCH($D147&amp;"a",'表30-5-2-5-4'!$4:$4,0)-1,FALSE))
-VLOOKUP($T147,'表30-5-2-5-4'!$B$114:$AF$214,MATCH($D147,'表30-5-2-5-4'!$4:$4,0)-1,FALSE)*(T147/100-N147/H147)*100
-VLOOKUP($S147,'表30-5-2-5-4'!$B$114:$AF$214,MATCH($D147,'表30-5-2-5-4'!$4:$4,0)-1,FALSE)*(1-(S147/100-M147/H147)*100),0))))</f>
        <v>0</v>
      </c>
      <c r="V147" s="2478">
        <f t="shared" si="26"/>
        <v>0</v>
      </c>
      <c r="W147" s="2478">
        <f t="shared" si="27"/>
        <v>0</v>
      </c>
      <c r="X147" s="2718">
        <f t="shared" si="31"/>
        <v>0</v>
      </c>
      <c r="Y147" s="2718">
        <f t="shared" si="32"/>
        <v>0</v>
      </c>
    </row>
    <row r="148" spans="1:25">
      <c r="A148" s="2473" t="str">
        <f t="shared" si="28"/>
        <v/>
      </c>
      <c r="B148" s="2737"/>
      <c r="C148" s="2737"/>
      <c r="D148" s="2737"/>
      <c r="E148" s="2738"/>
      <c r="F148" s="2738"/>
      <c r="G148" s="2738"/>
      <c r="H148" s="2739"/>
      <c r="I148" s="2740"/>
      <c r="J148" s="2740"/>
      <c r="K148" s="2740"/>
      <c r="L148" s="2740"/>
      <c r="M148" s="2738"/>
      <c r="N148" s="2738"/>
      <c r="O148" s="2474">
        <f t="shared" si="22"/>
        <v>0</v>
      </c>
      <c r="P148" s="2474">
        <f t="shared" si="23"/>
        <v>0</v>
      </c>
      <c r="Q148" s="2475">
        <f t="shared" si="29"/>
        <v>0</v>
      </c>
      <c r="R148" s="2475">
        <f t="shared" si="30"/>
        <v>0</v>
      </c>
      <c r="S148" s="2476">
        <f t="shared" si="24"/>
        <v>0</v>
      </c>
      <c r="T148" s="2476">
        <f t="shared" si="25"/>
        <v>0</v>
      </c>
      <c r="U148" s="2477">
        <f>IF(OR(E148="QS",B148=""),0,
IF(C148="F",VLOOKUP($T148,'表30-5-2-5-3'!$B:$AF,MATCH($D148&amp;"a",'表30-5-2-5-3'!$4:$4,0)-1,FALSE)
-IF($S148-1&lt;=0,0,VLOOKUP($S148-1,'表30-5-2-5-3'!$B:$AF,MATCH($D148&amp;"a",'表30-5-2-5-3'!$4:$4,0)-1,FALSE))
-VLOOKUP($T148,'表30-5-2-5-3'!$B:$AF,MATCH($D148,'表30-5-2-5-3'!$4:$4,0)-1,FALSE)*(T148/100-N148/H148)*100
-VLOOKUP($S148,'表30-5-2-5-3'!$B:$AF,MATCH($D148,'表30-5-2-5-3'!$4:$4,0)-1,FALSE)*(1-(S148/100-M148/H148)*100),
IF(C148="E1",VLOOKUP($T148,'表30-5-2-5-4'!$B$4:$AF$104,MATCH($D148&amp;"a",'表30-5-2-5-4'!$4:$4,0)-1,FALSE)
-IF($S148-1&lt;=0,0,VLOOKUP($S148-1,'表30-5-2-5-4'!$B$4:$AF$104,MATCH($D148&amp;"a",'表30-5-2-5-4'!$4:$4,0)-1,FALSE))
-VLOOKUP($T148,'表30-5-2-5-4'!$B$4:$AF$104,MATCH($D148,'表30-5-2-5-4'!$4:$4,0)-1,FALSE)*(T148/100-N148/H148)*100
-VLOOKUP($S148,'表30-5-2-5-4'!$B$4:$AF$104,MATCH($D148,'表30-5-2-5-4'!$4:$4,0)-1,FALSE)*(1-(S148/100-M148/H148)*100),
IF(C148="E2",VLOOKUP($T148,'表30-5-2-5-4'!$B$114:$AF$214,MATCH($D148&amp;"a",'表30-5-2-5-4'!$4:$4,0)-1,FALSE)
-IF($S148-1&lt;=0,0,VLOOKUP($S148-1,'表30-5-2-5-4'!$B$114:$AF$214,MATCH($D148&amp;"a",'表30-5-2-5-4'!$4:$4,0)-1,FALSE))
-VLOOKUP($T148,'表30-5-2-5-4'!$B$114:$AF$214,MATCH($D148,'表30-5-2-5-4'!$4:$4,0)-1,FALSE)*(T148/100-N148/H148)*100
-VLOOKUP($S148,'表30-5-2-5-4'!$B$114:$AF$214,MATCH($D148,'表30-5-2-5-4'!$4:$4,0)-1,FALSE)*(1-(S148/100-M148/H148)*100),0))))</f>
        <v>0</v>
      </c>
      <c r="V148" s="2478">
        <f t="shared" si="26"/>
        <v>0</v>
      </c>
      <c r="W148" s="2478">
        <f t="shared" si="27"/>
        <v>0</v>
      </c>
      <c r="X148" s="2718">
        <f t="shared" si="31"/>
        <v>0</v>
      </c>
      <c r="Y148" s="2718">
        <f t="shared" si="32"/>
        <v>0</v>
      </c>
    </row>
    <row r="149" spans="1:25">
      <c r="A149" s="2473" t="str">
        <f t="shared" si="28"/>
        <v/>
      </c>
      <c r="B149" s="2737"/>
      <c r="C149" s="2737"/>
      <c r="D149" s="2737"/>
      <c r="E149" s="2738"/>
      <c r="F149" s="2738"/>
      <c r="G149" s="2738"/>
      <c r="H149" s="2739"/>
      <c r="I149" s="2740"/>
      <c r="J149" s="2740"/>
      <c r="K149" s="2740"/>
      <c r="L149" s="2740"/>
      <c r="M149" s="2738"/>
      <c r="N149" s="2738"/>
      <c r="O149" s="2474">
        <f t="shared" si="22"/>
        <v>0</v>
      </c>
      <c r="P149" s="2474">
        <f t="shared" si="23"/>
        <v>0</v>
      </c>
      <c r="Q149" s="2475">
        <f t="shared" si="29"/>
        <v>0</v>
      </c>
      <c r="R149" s="2475">
        <f t="shared" si="30"/>
        <v>0</v>
      </c>
      <c r="S149" s="2476">
        <f t="shared" si="24"/>
        <v>0</v>
      </c>
      <c r="T149" s="2476">
        <f t="shared" si="25"/>
        <v>0</v>
      </c>
      <c r="U149" s="2477">
        <f>IF(OR(E149="QS",B149=""),0,
IF(C149="F",VLOOKUP($T149,'表30-5-2-5-3'!$B:$AF,MATCH($D149&amp;"a",'表30-5-2-5-3'!$4:$4,0)-1,FALSE)
-IF($S149-1&lt;=0,0,VLOOKUP($S149-1,'表30-5-2-5-3'!$B:$AF,MATCH($D149&amp;"a",'表30-5-2-5-3'!$4:$4,0)-1,FALSE))
-VLOOKUP($T149,'表30-5-2-5-3'!$B:$AF,MATCH($D149,'表30-5-2-5-3'!$4:$4,0)-1,FALSE)*(T149/100-N149/H149)*100
-VLOOKUP($S149,'表30-5-2-5-3'!$B:$AF,MATCH($D149,'表30-5-2-5-3'!$4:$4,0)-1,FALSE)*(1-(S149/100-M149/H149)*100),
IF(C149="E1",VLOOKUP($T149,'表30-5-2-5-4'!$B$4:$AF$104,MATCH($D149&amp;"a",'表30-5-2-5-4'!$4:$4,0)-1,FALSE)
-IF($S149-1&lt;=0,0,VLOOKUP($S149-1,'表30-5-2-5-4'!$B$4:$AF$104,MATCH($D149&amp;"a",'表30-5-2-5-4'!$4:$4,0)-1,FALSE))
-VLOOKUP($T149,'表30-5-2-5-4'!$B$4:$AF$104,MATCH($D149,'表30-5-2-5-4'!$4:$4,0)-1,FALSE)*(T149/100-N149/H149)*100
-VLOOKUP($S149,'表30-5-2-5-4'!$B$4:$AF$104,MATCH($D149,'表30-5-2-5-4'!$4:$4,0)-1,FALSE)*(1-(S149/100-M149/H149)*100),
IF(C149="E2",VLOOKUP($T149,'表30-5-2-5-4'!$B$114:$AF$214,MATCH($D149&amp;"a",'表30-5-2-5-4'!$4:$4,0)-1,FALSE)
-IF($S149-1&lt;=0,0,VLOOKUP($S149-1,'表30-5-2-5-4'!$B$114:$AF$214,MATCH($D149&amp;"a",'表30-5-2-5-4'!$4:$4,0)-1,FALSE))
-VLOOKUP($T149,'表30-5-2-5-4'!$B$114:$AF$214,MATCH($D149,'表30-5-2-5-4'!$4:$4,0)-1,FALSE)*(T149/100-N149/H149)*100
-VLOOKUP($S149,'表30-5-2-5-4'!$B$114:$AF$214,MATCH($D149,'表30-5-2-5-4'!$4:$4,0)-1,FALSE)*(1-(S149/100-M149/H149)*100),0))))</f>
        <v>0</v>
      </c>
      <c r="V149" s="2478">
        <f t="shared" si="26"/>
        <v>0</v>
      </c>
      <c r="W149" s="2478">
        <f t="shared" si="27"/>
        <v>0</v>
      </c>
      <c r="X149" s="2718">
        <f t="shared" si="31"/>
        <v>0</v>
      </c>
      <c r="Y149" s="2718">
        <f t="shared" si="32"/>
        <v>0</v>
      </c>
    </row>
    <row r="150" spans="1:25">
      <c r="A150" s="2473" t="str">
        <f t="shared" si="28"/>
        <v/>
      </c>
      <c r="B150" s="2737"/>
      <c r="C150" s="2737"/>
      <c r="D150" s="2737"/>
      <c r="E150" s="2738"/>
      <c r="F150" s="2738"/>
      <c r="G150" s="2738"/>
      <c r="H150" s="2739"/>
      <c r="I150" s="2740"/>
      <c r="J150" s="2740"/>
      <c r="K150" s="2740"/>
      <c r="L150" s="2740"/>
      <c r="M150" s="2738"/>
      <c r="N150" s="2738"/>
      <c r="O150" s="2474">
        <f t="shared" si="22"/>
        <v>0</v>
      </c>
      <c r="P150" s="2474">
        <f t="shared" si="23"/>
        <v>0</v>
      </c>
      <c r="Q150" s="2475">
        <f t="shared" si="29"/>
        <v>0</v>
      </c>
      <c r="R150" s="2475">
        <f t="shared" si="30"/>
        <v>0</v>
      </c>
      <c r="S150" s="2476">
        <f t="shared" si="24"/>
        <v>0</v>
      </c>
      <c r="T150" s="2476">
        <f t="shared" si="25"/>
        <v>0</v>
      </c>
      <c r="U150" s="2477">
        <f>IF(OR(E150="QS",B150=""),0,
IF(C150="F",VLOOKUP($T150,'表30-5-2-5-3'!$B:$AF,MATCH($D150&amp;"a",'表30-5-2-5-3'!$4:$4,0)-1,FALSE)
-IF($S150-1&lt;=0,0,VLOOKUP($S150-1,'表30-5-2-5-3'!$B:$AF,MATCH($D150&amp;"a",'表30-5-2-5-3'!$4:$4,0)-1,FALSE))
-VLOOKUP($T150,'表30-5-2-5-3'!$B:$AF,MATCH($D150,'表30-5-2-5-3'!$4:$4,0)-1,FALSE)*(T150/100-N150/H150)*100
-VLOOKUP($S150,'表30-5-2-5-3'!$B:$AF,MATCH($D150,'表30-5-2-5-3'!$4:$4,0)-1,FALSE)*(1-(S150/100-M150/H150)*100),
IF(C150="E1",VLOOKUP($T150,'表30-5-2-5-4'!$B$4:$AF$104,MATCH($D150&amp;"a",'表30-5-2-5-4'!$4:$4,0)-1,FALSE)
-IF($S150-1&lt;=0,0,VLOOKUP($S150-1,'表30-5-2-5-4'!$B$4:$AF$104,MATCH($D150&amp;"a",'表30-5-2-5-4'!$4:$4,0)-1,FALSE))
-VLOOKUP($T150,'表30-5-2-5-4'!$B$4:$AF$104,MATCH($D150,'表30-5-2-5-4'!$4:$4,0)-1,FALSE)*(T150/100-N150/H150)*100
-VLOOKUP($S150,'表30-5-2-5-4'!$B$4:$AF$104,MATCH($D150,'表30-5-2-5-4'!$4:$4,0)-1,FALSE)*(1-(S150/100-M150/H150)*100),
IF(C150="E2",VLOOKUP($T150,'表30-5-2-5-4'!$B$114:$AF$214,MATCH($D150&amp;"a",'表30-5-2-5-4'!$4:$4,0)-1,FALSE)
-IF($S150-1&lt;=0,0,VLOOKUP($S150-1,'表30-5-2-5-4'!$B$114:$AF$214,MATCH($D150&amp;"a",'表30-5-2-5-4'!$4:$4,0)-1,FALSE))
-VLOOKUP($T150,'表30-5-2-5-4'!$B$114:$AF$214,MATCH($D150,'表30-5-2-5-4'!$4:$4,0)-1,FALSE)*(T150/100-N150/H150)*100
-VLOOKUP($S150,'表30-5-2-5-4'!$B$114:$AF$214,MATCH($D150,'表30-5-2-5-4'!$4:$4,0)-1,FALSE)*(1-(S150/100-M150/H150)*100),0))))</f>
        <v>0</v>
      </c>
      <c r="V150" s="2478">
        <f t="shared" si="26"/>
        <v>0</v>
      </c>
      <c r="W150" s="2478">
        <f t="shared" si="27"/>
        <v>0</v>
      </c>
      <c r="X150" s="2718">
        <f t="shared" si="31"/>
        <v>0</v>
      </c>
      <c r="Y150" s="2718">
        <f t="shared" si="32"/>
        <v>0</v>
      </c>
    </row>
    <row r="151" spans="1:25">
      <c r="A151" s="2473" t="str">
        <f t="shared" si="28"/>
        <v/>
      </c>
      <c r="B151" s="2737"/>
      <c r="C151" s="2737"/>
      <c r="D151" s="2737"/>
      <c r="E151" s="2738"/>
      <c r="F151" s="2738"/>
      <c r="G151" s="2738"/>
      <c r="H151" s="2739"/>
      <c r="I151" s="2740"/>
      <c r="J151" s="2740"/>
      <c r="K151" s="2740"/>
      <c r="L151" s="2740"/>
      <c r="M151" s="2738"/>
      <c r="N151" s="2738"/>
      <c r="O151" s="2474">
        <f t="shared" si="22"/>
        <v>0</v>
      </c>
      <c r="P151" s="2474">
        <f t="shared" si="23"/>
        <v>0</v>
      </c>
      <c r="Q151" s="2475">
        <f t="shared" si="29"/>
        <v>0</v>
      </c>
      <c r="R151" s="2475">
        <f t="shared" si="30"/>
        <v>0</v>
      </c>
      <c r="S151" s="2476">
        <f t="shared" si="24"/>
        <v>0</v>
      </c>
      <c r="T151" s="2476">
        <f t="shared" si="25"/>
        <v>0</v>
      </c>
      <c r="U151" s="2477">
        <f>IF(OR(E151="QS",B151=""),0,
IF(C151="F",VLOOKUP($T151,'表30-5-2-5-3'!$B:$AF,MATCH($D151&amp;"a",'表30-5-2-5-3'!$4:$4,0)-1,FALSE)
-IF($S151-1&lt;=0,0,VLOOKUP($S151-1,'表30-5-2-5-3'!$B:$AF,MATCH($D151&amp;"a",'表30-5-2-5-3'!$4:$4,0)-1,FALSE))
-VLOOKUP($T151,'表30-5-2-5-3'!$B:$AF,MATCH($D151,'表30-5-2-5-3'!$4:$4,0)-1,FALSE)*(T151/100-N151/H151)*100
-VLOOKUP($S151,'表30-5-2-5-3'!$B:$AF,MATCH($D151,'表30-5-2-5-3'!$4:$4,0)-1,FALSE)*(1-(S151/100-M151/H151)*100),
IF(C151="E1",VLOOKUP($T151,'表30-5-2-5-4'!$B$4:$AF$104,MATCH($D151&amp;"a",'表30-5-2-5-4'!$4:$4,0)-1,FALSE)
-IF($S151-1&lt;=0,0,VLOOKUP($S151-1,'表30-5-2-5-4'!$B$4:$AF$104,MATCH($D151&amp;"a",'表30-5-2-5-4'!$4:$4,0)-1,FALSE))
-VLOOKUP($T151,'表30-5-2-5-4'!$B$4:$AF$104,MATCH($D151,'表30-5-2-5-4'!$4:$4,0)-1,FALSE)*(T151/100-N151/H151)*100
-VLOOKUP($S151,'表30-5-2-5-4'!$B$4:$AF$104,MATCH($D151,'表30-5-2-5-4'!$4:$4,0)-1,FALSE)*(1-(S151/100-M151/H151)*100),
IF(C151="E2",VLOOKUP($T151,'表30-5-2-5-4'!$B$114:$AF$214,MATCH($D151&amp;"a",'表30-5-2-5-4'!$4:$4,0)-1,FALSE)
-IF($S151-1&lt;=0,0,VLOOKUP($S151-1,'表30-5-2-5-4'!$B$114:$AF$214,MATCH($D151&amp;"a",'表30-5-2-5-4'!$4:$4,0)-1,FALSE))
-VLOOKUP($T151,'表30-5-2-5-4'!$B$114:$AF$214,MATCH($D151,'表30-5-2-5-4'!$4:$4,0)-1,FALSE)*(T151/100-N151/H151)*100
-VLOOKUP($S151,'表30-5-2-5-4'!$B$114:$AF$214,MATCH($D151,'表30-5-2-5-4'!$4:$4,0)-1,FALSE)*(1-(S151/100-M151/H151)*100),0))))</f>
        <v>0</v>
      </c>
      <c r="V151" s="2478">
        <f t="shared" si="26"/>
        <v>0</v>
      </c>
      <c r="W151" s="2478">
        <f t="shared" si="27"/>
        <v>0</v>
      </c>
      <c r="X151" s="2718">
        <f t="shared" si="31"/>
        <v>0</v>
      </c>
      <c r="Y151" s="2718">
        <f t="shared" si="32"/>
        <v>0</v>
      </c>
    </row>
    <row r="152" spans="1:25">
      <c r="A152" s="2473" t="str">
        <f t="shared" si="28"/>
        <v/>
      </c>
      <c r="B152" s="2737"/>
      <c r="C152" s="2737"/>
      <c r="D152" s="2737"/>
      <c r="E152" s="2738"/>
      <c r="F152" s="2738"/>
      <c r="G152" s="2738"/>
      <c r="H152" s="2739"/>
      <c r="I152" s="2740"/>
      <c r="J152" s="2740"/>
      <c r="K152" s="2740"/>
      <c r="L152" s="2740"/>
      <c r="M152" s="2738"/>
      <c r="N152" s="2738"/>
      <c r="O152" s="2474">
        <f t="shared" si="22"/>
        <v>0</v>
      </c>
      <c r="P152" s="2474">
        <f t="shared" si="23"/>
        <v>0</v>
      </c>
      <c r="Q152" s="2475">
        <f t="shared" si="29"/>
        <v>0</v>
      </c>
      <c r="R152" s="2475">
        <f t="shared" si="30"/>
        <v>0</v>
      </c>
      <c r="S152" s="2476">
        <f t="shared" si="24"/>
        <v>0</v>
      </c>
      <c r="T152" s="2476">
        <f t="shared" si="25"/>
        <v>0</v>
      </c>
      <c r="U152" s="2477">
        <f>IF(OR(E152="QS",B152=""),0,
IF(C152="F",VLOOKUP($T152,'表30-5-2-5-3'!$B:$AF,MATCH($D152&amp;"a",'表30-5-2-5-3'!$4:$4,0)-1,FALSE)
-IF($S152-1&lt;=0,0,VLOOKUP($S152-1,'表30-5-2-5-3'!$B:$AF,MATCH($D152&amp;"a",'表30-5-2-5-3'!$4:$4,0)-1,FALSE))
-VLOOKUP($T152,'表30-5-2-5-3'!$B:$AF,MATCH($D152,'表30-5-2-5-3'!$4:$4,0)-1,FALSE)*(T152/100-N152/H152)*100
-VLOOKUP($S152,'表30-5-2-5-3'!$B:$AF,MATCH($D152,'表30-5-2-5-3'!$4:$4,0)-1,FALSE)*(1-(S152/100-M152/H152)*100),
IF(C152="E1",VLOOKUP($T152,'表30-5-2-5-4'!$B$4:$AF$104,MATCH($D152&amp;"a",'表30-5-2-5-4'!$4:$4,0)-1,FALSE)
-IF($S152-1&lt;=0,0,VLOOKUP($S152-1,'表30-5-2-5-4'!$B$4:$AF$104,MATCH($D152&amp;"a",'表30-5-2-5-4'!$4:$4,0)-1,FALSE))
-VLOOKUP($T152,'表30-5-2-5-4'!$B$4:$AF$104,MATCH($D152,'表30-5-2-5-4'!$4:$4,0)-1,FALSE)*(T152/100-N152/H152)*100
-VLOOKUP($S152,'表30-5-2-5-4'!$B$4:$AF$104,MATCH($D152,'表30-5-2-5-4'!$4:$4,0)-1,FALSE)*(1-(S152/100-M152/H152)*100),
IF(C152="E2",VLOOKUP($T152,'表30-5-2-5-4'!$B$114:$AF$214,MATCH($D152&amp;"a",'表30-5-2-5-4'!$4:$4,0)-1,FALSE)
-IF($S152-1&lt;=0,0,VLOOKUP($S152-1,'表30-5-2-5-4'!$B$114:$AF$214,MATCH($D152&amp;"a",'表30-5-2-5-4'!$4:$4,0)-1,FALSE))
-VLOOKUP($T152,'表30-5-2-5-4'!$B$114:$AF$214,MATCH($D152,'表30-5-2-5-4'!$4:$4,0)-1,FALSE)*(T152/100-N152/H152)*100
-VLOOKUP($S152,'表30-5-2-5-4'!$B$114:$AF$214,MATCH($D152,'表30-5-2-5-4'!$4:$4,0)-1,FALSE)*(1-(S152/100-M152/H152)*100),0))))</f>
        <v>0</v>
      </c>
      <c r="V152" s="2478">
        <f t="shared" si="26"/>
        <v>0</v>
      </c>
      <c r="W152" s="2478">
        <f t="shared" si="27"/>
        <v>0</v>
      </c>
      <c r="X152" s="2718">
        <f t="shared" si="31"/>
        <v>0</v>
      </c>
      <c r="Y152" s="2718">
        <f t="shared" si="32"/>
        <v>0</v>
      </c>
    </row>
    <row r="153" spans="1:25">
      <c r="A153" s="2473" t="str">
        <f t="shared" si="28"/>
        <v/>
      </c>
      <c r="B153" s="2737"/>
      <c r="C153" s="2737"/>
      <c r="D153" s="2737"/>
      <c r="E153" s="2738"/>
      <c r="F153" s="2738"/>
      <c r="G153" s="2738"/>
      <c r="H153" s="2739"/>
      <c r="I153" s="2740"/>
      <c r="J153" s="2740"/>
      <c r="K153" s="2740"/>
      <c r="L153" s="2740"/>
      <c r="M153" s="2738"/>
      <c r="N153" s="2738"/>
      <c r="O153" s="2474">
        <f t="shared" si="22"/>
        <v>0</v>
      </c>
      <c r="P153" s="2474">
        <f t="shared" si="23"/>
        <v>0</v>
      </c>
      <c r="Q153" s="2475">
        <f t="shared" si="29"/>
        <v>0</v>
      </c>
      <c r="R153" s="2475">
        <f t="shared" si="30"/>
        <v>0</v>
      </c>
      <c r="S153" s="2476">
        <f t="shared" si="24"/>
        <v>0</v>
      </c>
      <c r="T153" s="2476">
        <f t="shared" si="25"/>
        <v>0</v>
      </c>
      <c r="U153" s="2477">
        <f>IF(OR(E153="QS",B153=""),0,
IF(C153="F",VLOOKUP($T153,'表30-5-2-5-3'!$B:$AF,MATCH($D153&amp;"a",'表30-5-2-5-3'!$4:$4,0)-1,FALSE)
-IF($S153-1&lt;=0,0,VLOOKUP($S153-1,'表30-5-2-5-3'!$B:$AF,MATCH($D153&amp;"a",'表30-5-2-5-3'!$4:$4,0)-1,FALSE))
-VLOOKUP($T153,'表30-5-2-5-3'!$B:$AF,MATCH($D153,'表30-5-2-5-3'!$4:$4,0)-1,FALSE)*(T153/100-N153/H153)*100
-VLOOKUP($S153,'表30-5-2-5-3'!$B:$AF,MATCH($D153,'表30-5-2-5-3'!$4:$4,0)-1,FALSE)*(1-(S153/100-M153/H153)*100),
IF(C153="E1",VLOOKUP($T153,'表30-5-2-5-4'!$B$4:$AF$104,MATCH($D153&amp;"a",'表30-5-2-5-4'!$4:$4,0)-1,FALSE)
-IF($S153-1&lt;=0,0,VLOOKUP($S153-1,'表30-5-2-5-4'!$B$4:$AF$104,MATCH($D153&amp;"a",'表30-5-2-5-4'!$4:$4,0)-1,FALSE))
-VLOOKUP($T153,'表30-5-2-5-4'!$B$4:$AF$104,MATCH($D153,'表30-5-2-5-4'!$4:$4,0)-1,FALSE)*(T153/100-N153/H153)*100
-VLOOKUP($S153,'表30-5-2-5-4'!$B$4:$AF$104,MATCH($D153,'表30-5-2-5-4'!$4:$4,0)-1,FALSE)*(1-(S153/100-M153/H153)*100),
IF(C153="E2",VLOOKUP($T153,'表30-5-2-5-4'!$B$114:$AF$214,MATCH($D153&amp;"a",'表30-5-2-5-4'!$4:$4,0)-1,FALSE)
-IF($S153-1&lt;=0,0,VLOOKUP($S153-1,'表30-5-2-5-4'!$B$114:$AF$214,MATCH($D153&amp;"a",'表30-5-2-5-4'!$4:$4,0)-1,FALSE))
-VLOOKUP($T153,'表30-5-2-5-4'!$B$114:$AF$214,MATCH($D153,'表30-5-2-5-4'!$4:$4,0)-1,FALSE)*(T153/100-N153/H153)*100
-VLOOKUP($S153,'表30-5-2-5-4'!$B$114:$AF$214,MATCH($D153,'表30-5-2-5-4'!$4:$4,0)-1,FALSE)*(1-(S153/100-M153/H153)*100),0))))</f>
        <v>0</v>
      </c>
      <c r="V153" s="2478">
        <f t="shared" si="26"/>
        <v>0</v>
      </c>
      <c r="W153" s="2478">
        <f t="shared" si="27"/>
        <v>0</v>
      </c>
      <c r="X153" s="2718">
        <f t="shared" si="31"/>
        <v>0</v>
      </c>
      <c r="Y153" s="2718">
        <f t="shared" si="32"/>
        <v>0</v>
      </c>
    </row>
    <row r="154" spans="1:25">
      <c r="A154" s="2473" t="str">
        <f t="shared" si="28"/>
        <v/>
      </c>
      <c r="B154" s="2737"/>
      <c r="C154" s="2737"/>
      <c r="D154" s="2737"/>
      <c r="E154" s="2738"/>
      <c r="F154" s="2738"/>
      <c r="G154" s="2738"/>
      <c r="H154" s="2739"/>
      <c r="I154" s="2740"/>
      <c r="J154" s="2740"/>
      <c r="K154" s="2740"/>
      <c r="L154" s="2740"/>
      <c r="M154" s="2738"/>
      <c r="N154" s="2738"/>
      <c r="O154" s="2474">
        <f t="shared" si="22"/>
        <v>0</v>
      </c>
      <c r="P154" s="2474">
        <f t="shared" si="23"/>
        <v>0</v>
      </c>
      <c r="Q154" s="2475">
        <f t="shared" si="29"/>
        <v>0</v>
      </c>
      <c r="R154" s="2475">
        <f t="shared" si="30"/>
        <v>0</v>
      </c>
      <c r="S154" s="2476">
        <f t="shared" si="24"/>
        <v>0</v>
      </c>
      <c r="T154" s="2476">
        <f t="shared" si="25"/>
        <v>0</v>
      </c>
      <c r="U154" s="2477">
        <f>IF(OR(E154="QS",B154=""),0,
IF(C154="F",VLOOKUP($T154,'表30-5-2-5-3'!$B:$AF,MATCH($D154&amp;"a",'表30-5-2-5-3'!$4:$4,0)-1,FALSE)
-IF($S154-1&lt;=0,0,VLOOKUP($S154-1,'表30-5-2-5-3'!$B:$AF,MATCH($D154&amp;"a",'表30-5-2-5-3'!$4:$4,0)-1,FALSE))
-VLOOKUP($T154,'表30-5-2-5-3'!$B:$AF,MATCH($D154,'表30-5-2-5-3'!$4:$4,0)-1,FALSE)*(T154/100-N154/H154)*100
-VLOOKUP($S154,'表30-5-2-5-3'!$B:$AF,MATCH($D154,'表30-5-2-5-3'!$4:$4,0)-1,FALSE)*(1-(S154/100-M154/H154)*100),
IF(C154="E1",VLOOKUP($T154,'表30-5-2-5-4'!$B$4:$AF$104,MATCH($D154&amp;"a",'表30-5-2-5-4'!$4:$4,0)-1,FALSE)
-IF($S154-1&lt;=0,0,VLOOKUP($S154-1,'表30-5-2-5-4'!$B$4:$AF$104,MATCH($D154&amp;"a",'表30-5-2-5-4'!$4:$4,0)-1,FALSE))
-VLOOKUP($T154,'表30-5-2-5-4'!$B$4:$AF$104,MATCH($D154,'表30-5-2-5-4'!$4:$4,0)-1,FALSE)*(T154/100-N154/H154)*100
-VLOOKUP($S154,'表30-5-2-5-4'!$B$4:$AF$104,MATCH($D154,'表30-5-2-5-4'!$4:$4,0)-1,FALSE)*(1-(S154/100-M154/H154)*100),
IF(C154="E2",VLOOKUP($T154,'表30-5-2-5-4'!$B$114:$AF$214,MATCH($D154&amp;"a",'表30-5-2-5-4'!$4:$4,0)-1,FALSE)
-IF($S154-1&lt;=0,0,VLOOKUP($S154-1,'表30-5-2-5-4'!$B$114:$AF$214,MATCH($D154&amp;"a",'表30-5-2-5-4'!$4:$4,0)-1,FALSE))
-VLOOKUP($T154,'表30-5-2-5-4'!$B$114:$AF$214,MATCH($D154,'表30-5-2-5-4'!$4:$4,0)-1,FALSE)*(T154/100-N154/H154)*100
-VLOOKUP($S154,'表30-5-2-5-4'!$B$114:$AF$214,MATCH($D154,'表30-5-2-5-4'!$4:$4,0)-1,FALSE)*(1-(S154/100-M154/H154)*100),0))))</f>
        <v>0</v>
      </c>
      <c r="V154" s="2478">
        <f t="shared" si="26"/>
        <v>0</v>
      </c>
      <c r="W154" s="2478">
        <f t="shared" si="27"/>
        <v>0</v>
      </c>
      <c r="X154" s="2718">
        <f t="shared" si="31"/>
        <v>0</v>
      </c>
      <c r="Y154" s="2718">
        <f t="shared" si="32"/>
        <v>0</v>
      </c>
    </row>
    <row r="155" spans="1:25">
      <c r="A155" s="2473" t="str">
        <f t="shared" si="28"/>
        <v/>
      </c>
      <c r="B155" s="2737"/>
      <c r="C155" s="2737"/>
      <c r="D155" s="2737"/>
      <c r="E155" s="2738"/>
      <c r="F155" s="2738"/>
      <c r="G155" s="2738"/>
      <c r="H155" s="2739"/>
      <c r="I155" s="2740"/>
      <c r="J155" s="2740"/>
      <c r="K155" s="2740"/>
      <c r="L155" s="2740"/>
      <c r="M155" s="2738"/>
      <c r="N155" s="2738"/>
      <c r="O155" s="2474">
        <f t="shared" si="22"/>
        <v>0</v>
      </c>
      <c r="P155" s="2474">
        <f t="shared" si="23"/>
        <v>0</v>
      </c>
      <c r="Q155" s="2475">
        <f t="shared" si="29"/>
        <v>0</v>
      </c>
      <c r="R155" s="2475">
        <f t="shared" si="30"/>
        <v>0</v>
      </c>
      <c r="S155" s="2476">
        <f t="shared" si="24"/>
        <v>0</v>
      </c>
      <c r="T155" s="2476">
        <f t="shared" si="25"/>
        <v>0</v>
      </c>
      <c r="U155" s="2477">
        <f>IF(OR(E155="QS",B155=""),0,
IF(C155="F",VLOOKUP($T155,'表30-5-2-5-3'!$B:$AF,MATCH($D155&amp;"a",'表30-5-2-5-3'!$4:$4,0)-1,FALSE)
-IF($S155-1&lt;=0,0,VLOOKUP($S155-1,'表30-5-2-5-3'!$B:$AF,MATCH($D155&amp;"a",'表30-5-2-5-3'!$4:$4,0)-1,FALSE))
-VLOOKUP($T155,'表30-5-2-5-3'!$B:$AF,MATCH($D155,'表30-5-2-5-3'!$4:$4,0)-1,FALSE)*(T155/100-N155/H155)*100
-VLOOKUP($S155,'表30-5-2-5-3'!$B:$AF,MATCH($D155,'表30-5-2-5-3'!$4:$4,0)-1,FALSE)*(1-(S155/100-M155/H155)*100),
IF(C155="E1",VLOOKUP($T155,'表30-5-2-5-4'!$B$4:$AF$104,MATCH($D155&amp;"a",'表30-5-2-5-4'!$4:$4,0)-1,FALSE)
-IF($S155-1&lt;=0,0,VLOOKUP($S155-1,'表30-5-2-5-4'!$B$4:$AF$104,MATCH($D155&amp;"a",'表30-5-2-5-4'!$4:$4,0)-1,FALSE))
-VLOOKUP($T155,'表30-5-2-5-4'!$B$4:$AF$104,MATCH($D155,'表30-5-2-5-4'!$4:$4,0)-1,FALSE)*(T155/100-N155/H155)*100
-VLOOKUP($S155,'表30-5-2-5-4'!$B$4:$AF$104,MATCH($D155,'表30-5-2-5-4'!$4:$4,0)-1,FALSE)*(1-(S155/100-M155/H155)*100),
IF(C155="E2",VLOOKUP($T155,'表30-5-2-5-4'!$B$114:$AF$214,MATCH($D155&amp;"a",'表30-5-2-5-4'!$4:$4,0)-1,FALSE)
-IF($S155-1&lt;=0,0,VLOOKUP($S155-1,'表30-5-2-5-4'!$B$114:$AF$214,MATCH($D155&amp;"a",'表30-5-2-5-4'!$4:$4,0)-1,FALSE))
-VLOOKUP($T155,'表30-5-2-5-4'!$B$114:$AF$214,MATCH($D155,'表30-5-2-5-4'!$4:$4,0)-1,FALSE)*(T155/100-N155/H155)*100
-VLOOKUP($S155,'表30-5-2-5-4'!$B$114:$AF$214,MATCH($D155,'表30-5-2-5-4'!$4:$4,0)-1,FALSE)*(1-(S155/100-M155/H155)*100),0))))</f>
        <v>0</v>
      </c>
      <c r="V155" s="2478">
        <f t="shared" si="26"/>
        <v>0</v>
      </c>
      <c r="W155" s="2478">
        <f t="shared" si="27"/>
        <v>0</v>
      </c>
      <c r="X155" s="2718">
        <f t="shared" si="31"/>
        <v>0</v>
      </c>
      <c r="Y155" s="2718">
        <f t="shared" si="32"/>
        <v>0</v>
      </c>
    </row>
    <row r="156" spans="1:25">
      <c r="A156" s="2473" t="str">
        <f t="shared" si="28"/>
        <v/>
      </c>
      <c r="B156" s="2737"/>
      <c r="C156" s="2737"/>
      <c r="D156" s="2737"/>
      <c r="E156" s="2738"/>
      <c r="F156" s="2738"/>
      <c r="G156" s="2738"/>
      <c r="H156" s="2739"/>
      <c r="I156" s="2740"/>
      <c r="J156" s="2740"/>
      <c r="K156" s="2740"/>
      <c r="L156" s="2740"/>
      <c r="M156" s="2738"/>
      <c r="N156" s="2738"/>
      <c r="O156" s="2474">
        <f t="shared" si="22"/>
        <v>0</v>
      </c>
      <c r="P156" s="2474">
        <f t="shared" si="23"/>
        <v>0</v>
      </c>
      <c r="Q156" s="2475">
        <f t="shared" si="29"/>
        <v>0</v>
      </c>
      <c r="R156" s="2475">
        <f t="shared" si="30"/>
        <v>0</v>
      </c>
      <c r="S156" s="2476">
        <f t="shared" si="24"/>
        <v>0</v>
      </c>
      <c r="T156" s="2476">
        <f t="shared" si="25"/>
        <v>0</v>
      </c>
      <c r="U156" s="2477">
        <f>IF(OR(E156="QS",B156=""),0,
IF(C156="F",VLOOKUP($T156,'表30-5-2-5-3'!$B:$AF,MATCH($D156&amp;"a",'表30-5-2-5-3'!$4:$4,0)-1,FALSE)
-IF($S156-1&lt;=0,0,VLOOKUP($S156-1,'表30-5-2-5-3'!$B:$AF,MATCH($D156&amp;"a",'表30-5-2-5-3'!$4:$4,0)-1,FALSE))
-VLOOKUP($T156,'表30-5-2-5-3'!$B:$AF,MATCH($D156,'表30-5-2-5-3'!$4:$4,0)-1,FALSE)*(T156/100-N156/H156)*100
-VLOOKUP($S156,'表30-5-2-5-3'!$B:$AF,MATCH($D156,'表30-5-2-5-3'!$4:$4,0)-1,FALSE)*(1-(S156/100-M156/H156)*100),
IF(C156="E1",VLOOKUP($T156,'表30-5-2-5-4'!$B$4:$AF$104,MATCH($D156&amp;"a",'表30-5-2-5-4'!$4:$4,0)-1,FALSE)
-IF($S156-1&lt;=0,0,VLOOKUP($S156-1,'表30-5-2-5-4'!$B$4:$AF$104,MATCH($D156&amp;"a",'表30-5-2-5-4'!$4:$4,0)-1,FALSE))
-VLOOKUP($T156,'表30-5-2-5-4'!$B$4:$AF$104,MATCH($D156,'表30-5-2-5-4'!$4:$4,0)-1,FALSE)*(T156/100-N156/H156)*100
-VLOOKUP($S156,'表30-5-2-5-4'!$B$4:$AF$104,MATCH($D156,'表30-5-2-5-4'!$4:$4,0)-1,FALSE)*(1-(S156/100-M156/H156)*100),
IF(C156="E2",VLOOKUP($T156,'表30-5-2-5-4'!$B$114:$AF$214,MATCH($D156&amp;"a",'表30-5-2-5-4'!$4:$4,0)-1,FALSE)
-IF($S156-1&lt;=0,0,VLOOKUP($S156-1,'表30-5-2-5-4'!$B$114:$AF$214,MATCH($D156&amp;"a",'表30-5-2-5-4'!$4:$4,0)-1,FALSE))
-VLOOKUP($T156,'表30-5-2-5-4'!$B$114:$AF$214,MATCH($D156,'表30-5-2-5-4'!$4:$4,0)-1,FALSE)*(T156/100-N156/H156)*100
-VLOOKUP($S156,'表30-5-2-5-4'!$B$114:$AF$214,MATCH($D156,'表30-5-2-5-4'!$4:$4,0)-1,FALSE)*(1-(S156/100-M156/H156)*100),0))))</f>
        <v>0</v>
      </c>
      <c r="V156" s="2478">
        <f t="shared" si="26"/>
        <v>0</v>
      </c>
      <c r="W156" s="2478">
        <f t="shared" si="27"/>
        <v>0</v>
      </c>
      <c r="X156" s="2718">
        <f t="shared" si="31"/>
        <v>0</v>
      </c>
      <c r="Y156" s="2718">
        <f t="shared" si="32"/>
        <v>0</v>
      </c>
    </row>
    <row r="157" spans="1:25">
      <c r="A157" s="2473" t="str">
        <f t="shared" si="28"/>
        <v/>
      </c>
      <c r="B157" s="2737"/>
      <c r="C157" s="2737"/>
      <c r="D157" s="2737"/>
      <c r="E157" s="2738"/>
      <c r="F157" s="2738"/>
      <c r="G157" s="2738"/>
      <c r="H157" s="2739"/>
      <c r="I157" s="2740"/>
      <c r="J157" s="2740"/>
      <c r="K157" s="2740"/>
      <c r="L157" s="2740"/>
      <c r="M157" s="2738"/>
      <c r="N157" s="2738"/>
      <c r="O157" s="2474">
        <f t="shared" si="22"/>
        <v>0</v>
      </c>
      <c r="P157" s="2474">
        <f t="shared" si="23"/>
        <v>0</v>
      </c>
      <c r="Q157" s="2475">
        <f t="shared" si="29"/>
        <v>0</v>
      </c>
      <c r="R157" s="2475">
        <f t="shared" si="30"/>
        <v>0</v>
      </c>
      <c r="S157" s="2476">
        <f t="shared" si="24"/>
        <v>0</v>
      </c>
      <c r="T157" s="2476">
        <f t="shared" si="25"/>
        <v>0</v>
      </c>
      <c r="U157" s="2477">
        <f>IF(OR(E157="QS",B157=""),0,
IF(C157="F",VLOOKUP($T157,'表30-5-2-5-3'!$B:$AF,MATCH($D157&amp;"a",'表30-5-2-5-3'!$4:$4,0)-1,FALSE)
-IF($S157-1&lt;=0,0,VLOOKUP($S157-1,'表30-5-2-5-3'!$B:$AF,MATCH($D157&amp;"a",'表30-5-2-5-3'!$4:$4,0)-1,FALSE))
-VLOOKUP($T157,'表30-5-2-5-3'!$B:$AF,MATCH($D157,'表30-5-2-5-3'!$4:$4,0)-1,FALSE)*(T157/100-N157/H157)*100
-VLOOKUP($S157,'表30-5-2-5-3'!$B:$AF,MATCH($D157,'表30-5-2-5-3'!$4:$4,0)-1,FALSE)*(1-(S157/100-M157/H157)*100),
IF(C157="E1",VLOOKUP($T157,'表30-5-2-5-4'!$B$4:$AF$104,MATCH($D157&amp;"a",'表30-5-2-5-4'!$4:$4,0)-1,FALSE)
-IF($S157-1&lt;=0,0,VLOOKUP($S157-1,'表30-5-2-5-4'!$B$4:$AF$104,MATCH($D157&amp;"a",'表30-5-2-5-4'!$4:$4,0)-1,FALSE))
-VLOOKUP($T157,'表30-5-2-5-4'!$B$4:$AF$104,MATCH($D157,'表30-5-2-5-4'!$4:$4,0)-1,FALSE)*(T157/100-N157/H157)*100
-VLOOKUP($S157,'表30-5-2-5-4'!$B$4:$AF$104,MATCH($D157,'表30-5-2-5-4'!$4:$4,0)-1,FALSE)*(1-(S157/100-M157/H157)*100),
IF(C157="E2",VLOOKUP($T157,'表30-5-2-5-4'!$B$114:$AF$214,MATCH($D157&amp;"a",'表30-5-2-5-4'!$4:$4,0)-1,FALSE)
-IF($S157-1&lt;=0,0,VLOOKUP($S157-1,'表30-5-2-5-4'!$B$114:$AF$214,MATCH($D157&amp;"a",'表30-5-2-5-4'!$4:$4,0)-1,FALSE))
-VLOOKUP($T157,'表30-5-2-5-4'!$B$114:$AF$214,MATCH($D157,'表30-5-2-5-4'!$4:$4,0)-1,FALSE)*(T157/100-N157/H157)*100
-VLOOKUP($S157,'表30-5-2-5-4'!$B$114:$AF$214,MATCH($D157,'表30-5-2-5-4'!$4:$4,0)-1,FALSE)*(1-(S157/100-M157/H157)*100),0))))</f>
        <v>0</v>
      </c>
      <c r="V157" s="2478">
        <f t="shared" si="26"/>
        <v>0</v>
      </c>
      <c r="W157" s="2478">
        <f t="shared" si="27"/>
        <v>0</v>
      </c>
      <c r="X157" s="2718">
        <f t="shared" si="31"/>
        <v>0</v>
      </c>
      <c r="Y157" s="2718">
        <f t="shared" si="32"/>
        <v>0</v>
      </c>
    </row>
    <row r="158" spans="1:25">
      <c r="A158" s="2473" t="str">
        <f t="shared" si="28"/>
        <v/>
      </c>
      <c r="B158" s="2737"/>
      <c r="C158" s="2737"/>
      <c r="D158" s="2737"/>
      <c r="E158" s="2738"/>
      <c r="F158" s="2738"/>
      <c r="G158" s="2738"/>
      <c r="H158" s="2739"/>
      <c r="I158" s="2740"/>
      <c r="J158" s="2740"/>
      <c r="K158" s="2740"/>
      <c r="L158" s="2740"/>
      <c r="M158" s="2738"/>
      <c r="N158" s="2738"/>
      <c r="O158" s="2474">
        <f t="shared" si="22"/>
        <v>0</v>
      </c>
      <c r="P158" s="2474">
        <f t="shared" si="23"/>
        <v>0</v>
      </c>
      <c r="Q158" s="2475">
        <f t="shared" si="29"/>
        <v>0</v>
      </c>
      <c r="R158" s="2475">
        <f t="shared" si="30"/>
        <v>0</v>
      </c>
      <c r="S158" s="2476">
        <f t="shared" si="24"/>
        <v>0</v>
      </c>
      <c r="T158" s="2476">
        <f t="shared" si="25"/>
        <v>0</v>
      </c>
      <c r="U158" s="2477">
        <f>IF(OR(E158="QS",B158=""),0,
IF(C158="F",VLOOKUP($T158,'表30-5-2-5-3'!$B:$AF,MATCH($D158&amp;"a",'表30-5-2-5-3'!$4:$4,0)-1,FALSE)
-IF($S158-1&lt;=0,0,VLOOKUP($S158-1,'表30-5-2-5-3'!$B:$AF,MATCH($D158&amp;"a",'表30-5-2-5-3'!$4:$4,0)-1,FALSE))
-VLOOKUP($T158,'表30-5-2-5-3'!$B:$AF,MATCH($D158,'表30-5-2-5-3'!$4:$4,0)-1,FALSE)*(T158/100-N158/H158)*100
-VLOOKUP($S158,'表30-5-2-5-3'!$B:$AF,MATCH($D158,'表30-5-2-5-3'!$4:$4,0)-1,FALSE)*(1-(S158/100-M158/H158)*100),
IF(C158="E1",VLOOKUP($T158,'表30-5-2-5-4'!$B$4:$AF$104,MATCH($D158&amp;"a",'表30-5-2-5-4'!$4:$4,0)-1,FALSE)
-IF($S158-1&lt;=0,0,VLOOKUP($S158-1,'表30-5-2-5-4'!$B$4:$AF$104,MATCH($D158&amp;"a",'表30-5-2-5-4'!$4:$4,0)-1,FALSE))
-VLOOKUP($T158,'表30-5-2-5-4'!$B$4:$AF$104,MATCH($D158,'表30-5-2-5-4'!$4:$4,0)-1,FALSE)*(T158/100-N158/H158)*100
-VLOOKUP($S158,'表30-5-2-5-4'!$B$4:$AF$104,MATCH($D158,'表30-5-2-5-4'!$4:$4,0)-1,FALSE)*(1-(S158/100-M158/H158)*100),
IF(C158="E2",VLOOKUP($T158,'表30-5-2-5-4'!$B$114:$AF$214,MATCH($D158&amp;"a",'表30-5-2-5-4'!$4:$4,0)-1,FALSE)
-IF($S158-1&lt;=0,0,VLOOKUP($S158-1,'表30-5-2-5-4'!$B$114:$AF$214,MATCH($D158&amp;"a",'表30-5-2-5-4'!$4:$4,0)-1,FALSE))
-VLOOKUP($T158,'表30-5-2-5-4'!$B$114:$AF$214,MATCH($D158,'表30-5-2-5-4'!$4:$4,0)-1,FALSE)*(T158/100-N158/H158)*100
-VLOOKUP($S158,'表30-5-2-5-4'!$B$114:$AF$214,MATCH($D158,'表30-5-2-5-4'!$4:$4,0)-1,FALSE)*(1-(S158/100-M158/H158)*100),0))))</f>
        <v>0</v>
      </c>
      <c r="V158" s="2478">
        <f t="shared" si="26"/>
        <v>0</v>
      </c>
      <c r="W158" s="2478">
        <f t="shared" si="27"/>
        <v>0</v>
      </c>
      <c r="X158" s="2718">
        <f t="shared" si="31"/>
        <v>0</v>
      </c>
      <c r="Y158" s="2718">
        <f t="shared" si="32"/>
        <v>0</v>
      </c>
    </row>
    <row r="159" spans="1:25">
      <c r="A159" s="2473" t="str">
        <f t="shared" si="28"/>
        <v/>
      </c>
      <c r="B159" s="2737"/>
      <c r="C159" s="2737"/>
      <c r="D159" s="2737"/>
      <c r="E159" s="2738"/>
      <c r="F159" s="2738"/>
      <c r="G159" s="2738"/>
      <c r="H159" s="2739"/>
      <c r="I159" s="2740"/>
      <c r="J159" s="2740"/>
      <c r="K159" s="2740"/>
      <c r="L159" s="2740"/>
      <c r="M159" s="2738"/>
      <c r="N159" s="2738"/>
      <c r="O159" s="2474">
        <f t="shared" si="22"/>
        <v>0</v>
      </c>
      <c r="P159" s="2474">
        <f t="shared" si="23"/>
        <v>0</v>
      </c>
      <c r="Q159" s="2475">
        <f t="shared" si="29"/>
        <v>0</v>
      </c>
      <c r="R159" s="2475">
        <f t="shared" si="30"/>
        <v>0</v>
      </c>
      <c r="S159" s="2476">
        <f t="shared" si="24"/>
        <v>0</v>
      </c>
      <c r="T159" s="2476">
        <f t="shared" si="25"/>
        <v>0</v>
      </c>
      <c r="U159" s="2477">
        <f>IF(OR(E159="QS",B159=""),0,
IF(C159="F",VLOOKUP($T159,'表30-5-2-5-3'!$B:$AF,MATCH($D159&amp;"a",'表30-5-2-5-3'!$4:$4,0)-1,FALSE)
-IF($S159-1&lt;=0,0,VLOOKUP($S159-1,'表30-5-2-5-3'!$B:$AF,MATCH($D159&amp;"a",'表30-5-2-5-3'!$4:$4,0)-1,FALSE))
-VLOOKUP($T159,'表30-5-2-5-3'!$B:$AF,MATCH($D159,'表30-5-2-5-3'!$4:$4,0)-1,FALSE)*(T159/100-N159/H159)*100
-VLOOKUP($S159,'表30-5-2-5-3'!$B:$AF,MATCH($D159,'表30-5-2-5-3'!$4:$4,0)-1,FALSE)*(1-(S159/100-M159/H159)*100),
IF(C159="E1",VLOOKUP($T159,'表30-5-2-5-4'!$B$4:$AF$104,MATCH($D159&amp;"a",'表30-5-2-5-4'!$4:$4,0)-1,FALSE)
-IF($S159-1&lt;=0,0,VLOOKUP($S159-1,'表30-5-2-5-4'!$B$4:$AF$104,MATCH($D159&amp;"a",'表30-5-2-5-4'!$4:$4,0)-1,FALSE))
-VLOOKUP($T159,'表30-5-2-5-4'!$B$4:$AF$104,MATCH($D159,'表30-5-2-5-4'!$4:$4,0)-1,FALSE)*(T159/100-N159/H159)*100
-VLOOKUP($S159,'表30-5-2-5-4'!$B$4:$AF$104,MATCH($D159,'表30-5-2-5-4'!$4:$4,0)-1,FALSE)*(1-(S159/100-M159/H159)*100),
IF(C159="E2",VLOOKUP($T159,'表30-5-2-5-4'!$B$114:$AF$214,MATCH($D159&amp;"a",'表30-5-2-5-4'!$4:$4,0)-1,FALSE)
-IF($S159-1&lt;=0,0,VLOOKUP($S159-1,'表30-5-2-5-4'!$B$114:$AF$214,MATCH($D159&amp;"a",'表30-5-2-5-4'!$4:$4,0)-1,FALSE))
-VLOOKUP($T159,'表30-5-2-5-4'!$B$114:$AF$214,MATCH($D159,'表30-5-2-5-4'!$4:$4,0)-1,FALSE)*(T159/100-N159/H159)*100
-VLOOKUP($S159,'表30-5-2-5-4'!$B$114:$AF$214,MATCH($D159,'表30-5-2-5-4'!$4:$4,0)-1,FALSE)*(1-(S159/100-M159/H159)*100),0))))</f>
        <v>0</v>
      </c>
      <c r="V159" s="2478">
        <f t="shared" si="26"/>
        <v>0</v>
      </c>
      <c r="W159" s="2478">
        <f t="shared" si="27"/>
        <v>0</v>
      </c>
      <c r="X159" s="2718">
        <f t="shared" si="31"/>
        <v>0</v>
      </c>
      <c r="Y159" s="2718">
        <f t="shared" si="32"/>
        <v>0</v>
      </c>
    </row>
    <row r="160" spans="1:25">
      <c r="A160" s="2473" t="str">
        <f t="shared" si="28"/>
        <v/>
      </c>
      <c r="B160" s="2737"/>
      <c r="C160" s="2737"/>
      <c r="D160" s="2737"/>
      <c r="E160" s="2738"/>
      <c r="F160" s="2738"/>
      <c r="G160" s="2738"/>
      <c r="H160" s="2739"/>
      <c r="I160" s="2740"/>
      <c r="J160" s="2740"/>
      <c r="K160" s="2740"/>
      <c r="L160" s="2740"/>
      <c r="M160" s="2738"/>
      <c r="N160" s="2738"/>
      <c r="O160" s="2474">
        <f t="shared" si="22"/>
        <v>0</v>
      </c>
      <c r="P160" s="2474">
        <f t="shared" si="23"/>
        <v>0</v>
      </c>
      <c r="Q160" s="2475">
        <f t="shared" si="29"/>
        <v>0</v>
      </c>
      <c r="R160" s="2475">
        <f t="shared" si="30"/>
        <v>0</v>
      </c>
      <c r="S160" s="2476">
        <f t="shared" si="24"/>
        <v>0</v>
      </c>
      <c r="T160" s="2476">
        <f t="shared" si="25"/>
        <v>0</v>
      </c>
      <c r="U160" s="2477">
        <f>IF(OR(E160="QS",B160=""),0,
IF(C160="F",VLOOKUP($T160,'表30-5-2-5-3'!$B:$AF,MATCH($D160&amp;"a",'表30-5-2-5-3'!$4:$4,0)-1,FALSE)
-IF($S160-1&lt;=0,0,VLOOKUP($S160-1,'表30-5-2-5-3'!$B:$AF,MATCH($D160&amp;"a",'表30-5-2-5-3'!$4:$4,0)-1,FALSE))
-VLOOKUP($T160,'表30-5-2-5-3'!$B:$AF,MATCH($D160,'表30-5-2-5-3'!$4:$4,0)-1,FALSE)*(T160/100-N160/H160)*100
-VLOOKUP($S160,'表30-5-2-5-3'!$B:$AF,MATCH($D160,'表30-5-2-5-3'!$4:$4,0)-1,FALSE)*(1-(S160/100-M160/H160)*100),
IF(C160="E1",VLOOKUP($T160,'表30-5-2-5-4'!$B$4:$AF$104,MATCH($D160&amp;"a",'表30-5-2-5-4'!$4:$4,0)-1,FALSE)
-IF($S160-1&lt;=0,0,VLOOKUP($S160-1,'表30-5-2-5-4'!$B$4:$AF$104,MATCH($D160&amp;"a",'表30-5-2-5-4'!$4:$4,0)-1,FALSE))
-VLOOKUP($T160,'表30-5-2-5-4'!$B$4:$AF$104,MATCH($D160,'表30-5-2-5-4'!$4:$4,0)-1,FALSE)*(T160/100-N160/H160)*100
-VLOOKUP($S160,'表30-5-2-5-4'!$B$4:$AF$104,MATCH($D160,'表30-5-2-5-4'!$4:$4,0)-1,FALSE)*(1-(S160/100-M160/H160)*100),
IF(C160="E2",VLOOKUP($T160,'表30-5-2-5-4'!$B$114:$AF$214,MATCH($D160&amp;"a",'表30-5-2-5-4'!$4:$4,0)-1,FALSE)
-IF($S160-1&lt;=0,0,VLOOKUP($S160-1,'表30-5-2-5-4'!$B$114:$AF$214,MATCH($D160&amp;"a",'表30-5-2-5-4'!$4:$4,0)-1,FALSE))
-VLOOKUP($T160,'表30-5-2-5-4'!$B$114:$AF$214,MATCH($D160,'表30-5-2-5-4'!$4:$4,0)-1,FALSE)*(T160/100-N160/H160)*100
-VLOOKUP($S160,'表30-5-2-5-4'!$B$114:$AF$214,MATCH($D160,'表30-5-2-5-4'!$4:$4,0)-1,FALSE)*(1-(S160/100-M160/H160)*100),0))))</f>
        <v>0</v>
      </c>
      <c r="V160" s="2478">
        <f t="shared" si="26"/>
        <v>0</v>
      </c>
      <c r="W160" s="2478">
        <f t="shared" si="27"/>
        <v>0</v>
      </c>
      <c r="X160" s="2718">
        <f t="shared" si="31"/>
        <v>0</v>
      </c>
      <c r="Y160" s="2718">
        <f t="shared" si="32"/>
        <v>0</v>
      </c>
    </row>
    <row r="161" spans="1:25">
      <c r="A161" s="2473" t="str">
        <f t="shared" si="28"/>
        <v/>
      </c>
      <c r="B161" s="2737"/>
      <c r="C161" s="2737"/>
      <c r="D161" s="2737"/>
      <c r="E161" s="2738"/>
      <c r="F161" s="2738"/>
      <c r="G161" s="2738"/>
      <c r="H161" s="2739"/>
      <c r="I161" s="2740"/>
      <c r="J161" s="2740"/>
      <c r="K161" s="2740"/>
      <c r="L161" s="2740"/>
      <c r="M161" s="2738"/>
      <c r="N161" s="2738"/>
      <c r="O161" s="2474">
        <f t="shared" si="22"/>
        <v>0</v>
      </c>
      <c r="P161" s="2474">
        <f t="shared" si="23"/>
        <v>0</v>
      </c>
      <c r="Q161" s="2475">
        <f t="shared" si="29"/>
        <v>0</v>
      </c>
      <c r="R161" s="2475">
        <f t="shared" si="30"/>
        <v>0</v>
      </c>
      <c r="S161" s="2476">
        <f t="shared" si="24"/>
        <v>0</v>
      </c>
      <c r="T161" s="2476">
        <f t="shared" si="25"/>
        <v>0</v>
      </c>
      <c r="U161" s="2477">
        <f>IF(OR(E161="QS",B161=""),0,
IF(C161="F",VLOOKUP($T161,'表30-5-2-5-3'!$B:$AF,MATCH($D161&amp;"a",'表30-5-2-5-3'!$4:$4,0)-1,FALSE)
-IF($S161-1&lt;=0,0,VLOOKUP($S161-1,'表30-5-2-5-3'!$B:$AF,MATCH($D161&amp;"a",'表30-5-2-5-3'!$4:$4,0)-1,FALSE))
-VLOOKUP($T161,'表30-5-2-5-3'!$B:$AF,MATCH($D161,'表30-5-2-5-3'!$4:$4,0)-1,FALSE)*(T161/100-N161/H161)*100
-VLOOKUP($S161,'表30-5-2-5-3'!$B:$AF,MATCH($D161,'表30-5-2-5-3'!$4:$4,0)-1,FALSE)*(1-(S161/100-M161/H161)*100),
IF(C161="E1",VLOOKUP($T161,'表30-5-2-5-4'!$B$4:$AF$104,MATCH($D161&amp;"a",'表30-5-2-5-4'!$4:$4,0)-1,FALSE)
-IF($S161-1&lt;=0,0,VLOOKUP($S161-1,'表30-5-2-5-4'!$B$4:$AF$104,MATCH($D161&amp;"a",'表30-5-2-5-4'!$4:$4,0)-1,FALSE))
-VLOOKUP($T161,'表30-5-2-5-4'!$B$4:$AF$104,MATCH($D161,'表30-5-2-5-4'!$4:$4,0)-1,FALSE)*(T161/100-N161/H161)*100
-VLOOKUP($S161,'表30-5-2-5-4'!$B$4:$AF$104,MATCH($D161,'表30-5-2-5-4'!$4:$4,0)-1,FALSE)*(1-(S161/100-M161/H161)*100),
IF(C161="E2",VLOOKUP($T161,'表30-5-2-5-4'!$B$114:$AF$214,MATCH($D161&amp;"a",'表30-5-2-5-4'!$4:$4,0)-1,FALSE)
-IF($S161-1&lt;=0,0,VLOOKUP($S161-1,'表30-5-2-5-4'!$B$114:$AF$214,MATCH($D161&amp;"a",'表30-5-2-5-4'!$4:$4,0)-1,FALSE))
-VLOOKUP($T161,'表30-5-2-5-4'!$B$114:$AF$214,MATCH($D161,'表30-5-2-5-4'!$4:$4,0)-1,FALSE)*(T161/100-N161/H161)*100
-VLOOKUP($S161,'表30-5-2-5-4'!$B$114:$AF$214,MATCH($D161,'表30-5-2-5-4'!$4:$4,0)-1,FALSE)*(1-(S161/100-M161/H161)*100),0))))</f>
        <v>0</v>
      </c>
      <c r="V161" s="2478">
        <f t="shared" si="26"/>
        <v>0</v>
      </c>
      <c r="W161" s="2478">
        <f t="shared" si="27"/>
        <v>0</v>
      </c>
      <c r="X161" s="2718">
        <f t="shared" si="31"/>
        <v>0</v>
      </c>
      <c r="Y161" s="2718">
        <f t="shared" si="32"/>
        <v>0</v>
      </c>
    </row>
    <row r="162" spans="1:25">
      <c r="A162" s="2473" t="str">
        <f t="shared" si="28"/>
        <v/>
      </c>
      <c r="B162" s="2737"/>
      <c r="C162" s="2737"/>
      <c r="D162" s="2737"/>
      <c r="E162" s="2738"/>
      <c r="F162" s="2738"/>
      <c r="G162" s="2738"/>
      <c r="H162" s="2739"/>
      <c r="I162" s="2740"/>
      <c r="J162" s="2740"/>
      <c r="K162" s="2740"/>
      <c r="L162" s="2740"/>
      <c r="M162" s="2738"/>
      <c r="N162" s="2738"/>
      <c r="O162" s="2474">
        <f t="shared" si="22"/>
        <v>0</v>
      </c>
      <c r="P162" s="2474">
        <f t="shared" si="23"/>
        <v>0</v>
      </c>
      <c r="Q162" s="2475">
        <f t="shared" si="29"/>
        <v>0</v>
      </c>
      <c r="R162" s="2475">
        <f t="shared" si="30"/>
        <v>0</v>
      </c>
      <c r="S162" s="2476">
        <f t="shared" si="24"/>
        <v>0</v>
      </c>
      <c r="T162" s="2476">
        <f t="shared" si="25"/>
        <v>0</v>
      </c>
      <c r="U162" s="2477">
        <f>IF(OR(E162="QS",B162=""),0,
IF(C162="F",VLOOKUP($T162,'表30-5-2-5-3'!$B:$AF,MATCH($D162&amp;"a",'表30-5-2-5-3'!$4:$4,0)-1,FALSE)
-IF($S162-1&lt;=0,0,VLOOKUP($S162-1,'表30-5-2-5-3'!$B:$AF,MATCH($D162&amp;"a",'表30-5-2-5-3'!$4:$4,0)-1,FALSE))
-VLOOKUP($T162,'表30-5-2-5-3'!$B:$AF,MATCH($D162,'表30-5-2-5-3'!$4:$4,0)-1,FALSE)*(T162/100-N162/H162)*100
-VLOOKUP($S162,'表30-5-2-5-3'!$B:$AF,MATCH($D162,'表30-5-2-5-3'!$4:$4,0)-1,FALSE)*(1-(S162/100-M162/H162)*100),
IF(C162="E1",VLOOKUP($T162,'表30-5-2-5-4'!$B$4:$AF$104,MATCH($D162&amp;"a",'表30-5-2-5-4'!$4:$4,0)-1,FALSE)
-IF($S162-1&lt;=0,0,VLOOKUP($S162-1,'表30-5-2-5-4'!$B$4:$AF$104,MATCH($D162&amp;"a",'表30-5-2-5-4'!$4:$4,0)-1,FALSE))
-VLOOKUP($T162,'表30-5-2-5-4'!$B$4:$AF$104,MATCH($D162,'表30-5-2-5-4'!$4:$4,0)-1,FALSE)*(T162/100-N162/H162)*100
-VLOOKUP($S162,'表30-5-2-5-4'!$B$4:$AF$104,MATCH($D162,'表30-5-2-5-4'!$4:$4,0)-1,FALSE)*(1-(S162/100-M162/H162)*100),
IF(C162="E2",VLOOKUP($T162,'表30-5-2-5-4'!$B$114:$AF$214,MATCH($D162&amp;"a",'表30-5-2-5-4'!$4:$4,0)-1,FALSE)
-IF($S162-1&lt;=0,0,VLOOKUP($S162-1,'表30-5-2-5-4'!$B$114:$AF$214,MATCH($D162&amp;"a",'表30-5-2-5-4'!$4:$4,0)-1,FALSE))
-VLOOKUP($T162,'表30-5-2-5-4'!$B$114:$AF$214,MATCH($D162,'表30-5-2-5-4'!$4:$4,0)-1,FALSE)*(T162/100-N162/H162)*100
-VLOOKUP($S162,'表30-5-2-5-4'!$B$114:$AF$214,MATCH($D162,'表30-5-2-5-4'!$4:$4,0)-1,FALSE)*(1-(S162/100-M162/H162)*100),0))))</f>
        <v>0</v>
      </c>
      <c r="V162" s="2478">
        <f t="shared" si="26"/>
        <v>0</v>
      </c>
      <c r="W162" s="2478">
        <f t="shared" si="27"/>
        <v>0</v>
      </c>
      <c r="X162" s="2718">
        <f t="shared" si="31"/>
        <v>0</v>
      </c>
      <c r="Y162" s="2718">
        <f t="shared" si="32"/>
        <v>0</v>
      </c>
    </row>
    <row r="163" spans="1:25">
      <c r="A163" s="2473" t="str">
        <f t="shared" si="28"/>
        <v/>
      </c>
      <c r="B163" s="2737"/>
      <c r="C163" s="2737"/>
      <c r="D163" s="2737"/>
      <c r="E163" s="2738"/>
      <c r="F163" s="2738"/>
      <c r="G163" s="2738"/>
      <c r="H163" s="2739"/>
      <c r="I163" s="2740"/>
      <c r="J163" s="2740"/>
      <c r="K163" s="2740"/>
      <c r="L163" s="2740"/>
      <c r="M163" s="2738"/>
      <c r="N163" s="2738"/>
      <c r="O163" s="2474">
        <f t="shared" si="22"/>
        <v>0</v>
      </c>
      <c r="P163" s="2474">
        <f t="shared" si="23"/>
        <v>0</v>
      </c>
      <c r="Q163" s="2475">
        <f t="shared" si="29"/>
        <v>0</v>
      </c>
      <c r="R163" s="2475">
        <f t="shared" si="30"/>
        <v>0</v>
      </c>
      <c r="S163" s="2476">
        <f t="shared" si="24"/>
        <v>0</v>
      </c>
      <c r="T163" s="2476">
        <f t="shared" si="25"/>
        <v>0</v>
      </c>
      <c r="U163" s="2477">
        <f>IF(OR(E163="QS",B163=""),0,
IF(C163="F",VLOOKUP($T163,'表30-5-2-5-3'!$B:$AF,MATCH($D163&amp;"a",'表30-5-2-5-3'!$4:$4,0)-1,FALSE)
-IF($S163-1&lt;=0,0,VLOOKUP($S163-1,'表30-5-2-5-3'!$B:$AF,MATCH($D163&amp;"a",'表30-5-2-5-3'!$4:$4,0)-1,FALSE))
-VLOOKUP($T163,'表30-5-2-5-3'!$B:$AF,MATCH($D163,'表30-5-2-5-3'!$4:$4,0)-1,FALSE)*(T163/100-N163/H163)*100
-VLOOKUP($S163,'表30-5-2-5-3'!$B:$AF,MATCH($D163,'表30-5-2-5-3'!$4:$4,0)-1,FALSE)*(1-(S163/100-M163/H163)*100),
IF(C163="E1",VLOOKUP($T163,'表30-5-2-5-4'!$B$4:$AF$104,MATCH($D163&amp;"a",'表30-5-2-5-4'!$4:$4,0)-1,FALSE)
-IF($S163-1&lt;=0,0,VLOOKUP($S163-1,'表30-5-2-5-4'!$B$4:$AF$104,MATCH($D163&amp;"a",'表30-5-2-5-4'!$4:$4,0)-1,FALSE))
-VLOOKUP($T163,'表30-5-2-5-4'!$B$4:$AF$104,MATCH($D163,'表30-5-2-5-4'!$4:$4,0)-1,FALSE)*(T163/100-N163/H163)*100
-VLOOKUP($S163,'表30-5-2-5-4'!$B$4:$AF$104,MATCH($D163,'表30-5-2-5-4'!$4:$4,0)-1,FALSE)*(1-(S163/100-M163/H163)*100),
IF(C163="E2",VLOOKUP($T163,'表30-5-2-5-4'!$B$114:$AF$214,MATCH($D163&amp;"a",'表30-5-2-5-4'!$4:$4,0)-1,FALSE)
-IF($S163-1&lt;=0,0,VLOOKUP($S163-1,'表30-5-2-5-4'!$B$114:$AF$214,MATCH($D163&amp;"a",'表30-5-2-5-4'!$4:$4,0)-1,FALSE))
-VLOOKUP($T163,'表30-5-2-5-4'!$B$114:$AF$214,MATCH($D163,'表30-5-2-5-4'!$4:$4,0)-1,FALSE)*(T163/100-N163/H163)*100
-VLOOKUP($S163,'表30-5-2-5-4'!$B$114:$AF$214,MATCH($D163,'表30-5-2-5-4'!$4:$4,0)-1,FALSE)*(1-(S163/100-M163/H163)*100),0))))</f>
        <v>0</v>
      </c>
      <c r="V163" s="2478">
        <f t="shared" si="26"/>
        <v>0</v>
      </c>
      <c r="W163" s="2478">
        <f t="shared" si="27"/>
        <v>0</v>
      </c>
      <c r="X163" s="2718">
        <f t="shared" si="31"/>
        <v>0</v>
      </c>
      <c r="Y163" s="2718">
        <f t="shared" si="32"/>
        <v>0</v>
      </c>
    </row>
    <row r="164" spans="1:25">
      <c r="A164" s="2473" t="str">
        <f t="shared" si="28"/>
        <v/>
      </c>
      <c r="B164" s="2737"/>
      <c r="C164" s="2737"/>
      <c r="D164" s="2737"/>
      <c r="E164" s="2738"/>
      <c r="F164" s="2738"/>
      <c r="G164" s="2738"/>
      <c r="H164" s="2739"/>
      <c r="I164" s="2740"/>
      <c r="J164" s="2740"/>
      <c r="K164" s="2740"/>
      <c r="L164" s="2740"/>
      <c r="M164" s="2738"/>
      <c r="N164" s="2738"/>
      <c r="O164" s="2474">
        <f t="shared" si="22"/>
        <v>0</v>
      </c>
      <c r="P164" s="2474">
        <f t="shared" si="23"/>
        <v>0</v>
      </c>
      <c r="Q164" s="2475">
        <f t="shared" si="29"/>
        <v>0</v>
      </c>
      <c r="R164" s="2475">
        <f t="shared" si="30"/>
        <v>0</v>
      </c>
      <c r="S164" s="2476">
        <f t="shared" si="24"/>
        <v>0</v>
      </c>
      <c r="T164" s="2476">
        <f t="shared" si="25"/>
        <v>0</v>
      </c>
      <c r="U164" s="2477">
        <f>IF(OR(E164="QS",B164=""),0,
IF(C164="F",VLOOKUP($T164,'表30-5-2-5-3'!$B:$AF,MATCH($D164&amp;"a",'表30-5-2-5-3'!$4:$4,0)-1,FALSE)
-IF($S164-1&lt;=0,0,VLOOKUP($S164-1,'表30-5-2-5-3'!$B:$AF,MATCH($D164&amp;"a",'表30-5-2-5-3'!$4:$4,0)-1,FALSE))
-VLOOKUP($T164,'表30-5-2-5-3'!$B:$AF,MATCH($D164,'表30-5-2-5-3'!$4:$4,0)-1,FALSE)*(T164/100-N164/H164)*100
-VLOOKUP($S164,'表30-5-2-5-3'!$B:$AF,MATCH($D164,'表30-5-2-5-3'!$4:$4,0)-1,FALSE)*(1-(S164/100-M164/H164)*100),
IF(C164="E1",VLOOKUP($T164,'表30-5-2-5-4'!$B$4:$AF$104,MATCH($D164&amp;"a",'表30-5-2-5-4'!$4:$4,0)-1,FALSE)
-IF($S164-1&lt;=0,0,VLOOKUP($S164-1,'表30-5-2-5-4'!$B$4:$AF$104,MATCH($D164&amp;"a",'表30-5-2-5-4'!$4:$4,0)-1,FALSE))
-VLOOKUP($T164,'表30-5-2-5-4'!$B$4:$AF$104,MATCH($D164,'表30-5-2-5-4'!$4:$4,0)-1,FALSE)*(T164/100-N164/H164)*100
-VLOOKUP($S164,'表30-5-2-5-4'!$B$4:$AF$104,MATCH($D164,'表30-5-2-5-4'!$4:$4,0)-1,FALSE)*(1-(S164/100-M164/H164)*100),
IF(C164="E2",VLOOKUP($T164,'表30-5-2-5-4'!$B$114:$AF$214,MATCH($D164&amp;"a",'表30-5-2-5-4'!$4:$4,0)-1,FALSE)
-IF($S164-1&lt;=0,0,VLOOKUP($S164-1,'表30-5-2-5-4'!$B$114:$AF$214,MATCH($D164&amp;"a",'表30-5-2-5-4'!$4:$4,0)-1,FALSE))
-VLOOKUP($T164,'表30-5-2-5-4'!$B$114:$AF$214,MATCH($D164,'表30-5-2-5-4'!$4:$4,0)-1,FALSE)*(T164/100-N164/H164)*100
-VLOOKUP($S164,'表30-5-2-5-4'!$B$114:$AF$214,MATCH($D164,'表30-5-2-5-4'!$4:$4,0)-1,FALSE)*(1-(S164/100-M164/H164)*100),0))))</f>
        <v>0</v>
      </c>
      <c r="V164" s="2478">
        <f t="shared" si="26"/>
        <v>0</v>
      </c>
      <c r="W164" s="2478">
        <f t="shared" si="27"/>
        <v>0</v>
      </c>
      <c r="X164" s="2718">
        <f t="shared" si="31"/>
        <v>0</v>
      </c>
      <c r="Y164" s="2718">
        <f t="shared" si="32"/>
        <v>0</v>
      </c>
    </row>
    <row r="165" spans="1:25">
      <c r="A165" s="2473" t="str">
        <f t="shared" si="28"/>
        <v/>
      </c>
      <c r="B165" s="2737"/>
      <c r="C165" s="2737"/>
      <c r="D165" s="2737"/>
      <c r="E165" s="2738"/>
      <c r="F165" s="2738"/>
      <c r="G165" s="2738"/>
      <c r="H165" s="2739"/>
      <c r="I165" s="2740"/>
      <c r="J165" s="2740"/>
      <c r="K165" s="2740"/>
      <c r="L165" s="2740"/>
      <c r="M165" s="2738"/>
      <c r="N165" s="2738"/>
      <c r="O165" s="2474">
        <f t="shared" si="22"/>
        <v>0</v>
      </c>
      <c r="P165" s="2474">
        <f t="shared" si="23"/>
        <v>0</v>
      </c>
      <c r="Q165" s="2475">
        <f t="shared" si="29"/>
        <v>0</v>
      </c>
      <c r="R165" s="2475">
        <f t="shared" si="30"/>
        <v>0</v>
      </c>
      <c r="S165" s="2476">
        <f t="shared" si="24"/>
        <v>0</v>
      </c>
      <c r="T165" s="2476">
        <f t="shared" si="25"/>
        <v>0</v>
      </c>
      <c r="U165" s="2477">
        <f>IF(OR(E165="QS",B165=""),0,
IF(C165="F",VLOOKUP($T165,'表30-5-2-5-3'!$B:$AF,MATCH($D165&amp;"a",'表30-5-2-5-3'!$4:$4,0)-1,FALSE)
-IF($S165-1&lt;=0,0,VLOOKUP($S165-1,'表30-5-2-5-3'!$B:$AF,MATCH($D165&amp;"a",'表30-5-2-5-3'!$4:$4,0)-1,FALSE))
-VLOOKUP($T165,'表30-5-2-5-3'!$B:$AF,MATCH($D165,'表30-5-2-5-3'!$4:$4,0)-1,FALSE)*(T165/100-N165/H165)*100
-VLOOKUP($S165,'表30-5-2-5-3'!$B:$AF,MATCH($D165,'表30-5-2-5-3'!$4:$4,0)-1,FALSE)*(1-(S165/100-M165/H165)*100),
IF(C165="E1",VLOOKUP($T165,'表30-5-2-5-4'!$B$4:$AF$104,MATCH($D165&amp;"a",'表30-5-2-5-4'!$4:$4,0)-1,FALSE)
-IF($S165-1&lt;=0,0,VLOOKUP($S165-1,'表30-5-2-5-4'!$B$4:$AF$104,MATCH($D165&amp;"a",'表30-5-2-5-4'!$4:$4,0)-1,FALSE))
-VLOOKUP($T165,'表30-5-2-5-4'!$B$4:$AF$104,MATCH($D165,'表30-5-2-5-4'!$4:$4,0)-1,FALSE)*(T165/100-N165/H165)*100
-VLOOKUP($S165,'表30-5-2-5-4'!$B$4:$AF$104,MATCH($D165,'表30-5-2-5-4'!$4:$4,0)-1,FALSE)*(1-(S165/100-M165/H165)*100),
IF(C165="E2",VLOOKUP($T165,'表30-5-2-5-4'!$B$114:$AF$214,MATCH($D165&amp;"a",'表30-5-2-5-4'!$4:$4,0)-1,FALSE)
-IF($S165-1&lt;=0,0,VLOOKUP($S165-1,'表30-5-2-5-4'!$B$114:$AF$214,MATCH($D165&amp;"a",'表30-5-2-5-4'!$4:$4,0)-1,FALSE))
-VLOOKUP($T165,'表30-5-2-5-4'!$B$114:$AF$214,MATCH($D165,'表30-5-2-5-4'!$4:$4,0)-1,FALSE)*(T165/100-N165/H165)*100
-VLOOKUP($S165,'表30-5-2-5-4'!$B$114:$AF$214,MATCH($D165,'表30-5-2-5-4'!$4:$4,0)-1,FALSE)*(1-(S165/100-M165/H165)*100),0))))</f>
        <v>0</v>
      </c>
      <c r="V165" s="2478">
        <f t="shared" si="26"/>
        <v>0</v>
      </c>
      <c r="W165" s="2478">
        <f t="shared" si="27"/>
        <v>0</v>
      </c>
      <c r="X165" s="2718">
        <f t="shared" si="31"/>
        <v>0</v>
      </c>
      <c r="Y165" s="2718">
        <f t="shared" si="32"/>
        <v>0</v>
      </c>
    </row>
    <row r="166" spans="1:25">
      <c r="A166" s="2473" t="str">
        <f t="shared" si="28"/>
        <v/>
      </c>
      <c r="B166" s="2737"/>
      <c r="C166" s="2737"/>
      <c r="D166" s="2737"/>
      <c r="E166" s="2738"/>
      <c r="F166" s="2738"/>
      <c r="G166" s="2738"/>
      <c r="H166" s="2739"/>
      <c r="I166" s="2740"/>
      <c r="J166" s="2740"/>
      <c r="K166" s="2740"/>
      <c r="L166" s="2740"/>
      <c r="M166" s="2738"/>
      <c r="N166" s="2738"/>
      <c r="O166" s="2474">
        <f t="shared" si="22"/>
        <v>0</v>
      </c>
      <c r="P166" s="2474">
        <f t="shared" si="23"/>
        <v>0</v>
      </c>
      <c r="Q166" s="2475">
        <f t="shared" si="29"/>
        <v>0</v>
      </c>
      <c r="R166" s="2475">
        <f t="shared" si="30"/>
        <v>0</v>
      </c>
      <c r="S166" s="2476">
        <f t="shared" si="24"/>
        <v>0</v>
      </c>
      <c r="T166" s="2476">
        <f t="shared" si="25"/>
        <v>0</v>
      </c>
      <c r="U166" s="2477">
        <f>IF(OR(E166="QS",B166=""),0,
IF(C166="F",VLOOKUP($T166,'表30-5-2-5-3'!$B:$AF,MATCH($D166&amp;"a",'表30-5-2-5-3'!$4:$4,0)-1,FALSE)
-IF($S166-1&lt;=0,0,VLOOKUP($S166-1,'表30-5-2-5-3'!$B:$AF,MATCH($D166&amp;"a",'表30-5-2-5-3'!$4:$4,0)-1,FALSE))
-VLOOKUP($T166,'表30-5-2-5-3'!$B:$AF,MATCH($D166,'表30-5-2-5-3'!$4:$4,0)-1,FALSE)*(T166/100-N166/H166)*100
-VLOOKUP($S166,'表30-5-2-5-3'!$B:$AF,MATCH($D166,'表30-5-2-5-3'!$4:$4,0)-1,FALSE)*(1-(S166/100-M166/H166)*100),
IF(C166="E1",VLOOKUP($T166,'表30-5-2-5-4'!$B$4:$AF$104,MATCH($D166&amp;"a",'表30-5-2-5-4'!$4:$4,0)-1,FALSE)
-IF($S166-1&lt;=0,0,VLOOKUP($S166-1,'表30-5-2-5-4'!$B$4:$AF$104,MATCH($D166&amp;"a",'表30-5-2-5-4'!$4:$4,0)-1,FALSE))
-VLOOKUP($T166,'表30-5-2-5-4'!$B$4:$AF$104,MATCH($D166,'表30-5-2-5-4'!$4:$4,0)-1,FALSE)*(T166/100-N166/H166)*100
-VLOOKUP($S166,'表30-5-2-5-4'!$B$4:$AF$104,MATCH($D166,'表30-5-2-5-4'!$4:$4,0)-1,FALSE)*(1-(S166/100-M166/H166)*100),
IF(C166="E2",VLOOKUP($T166,'表30-5-2-5-4'!$B$114:$AF$214,MATCH($D166&amp;"a",'表30-5-2-5-4'!$4:$4,0)-1,FALSE)
-IF($S166-1&lt;=0,0,VLOOKUP($S166-1,'表30-5-2-5-4'!$B$114:$AF$214,MATCH($D166&amp;"a",'表30-5-2-5-4'!$4:$4,0)-1,FALSE))
-VLOOKUP($T166,'表30-5-2-5-4'!$B$114:$AF$214,MATCH($D166,'表30-5-2-5-4'!$4:$4,0)-1,FALSE)*(T166/100-N166/H166)*100
-VLOOKUP($S166,'表30-5-2-5-4'!$B$114:$AF$214,MATCH($D166,'表30-5-2-5-4'!$4:$4,0)-1,FALSE)*(1-(S166/100-M166/H166)*100),0))))</f>
        <v>0</v>
      </c>
      <c r="V166" s="2478">
        <f t="shared" si="26"/>
        <v>0</v>
      </c>
      <c r="W166" s="2478">
        <f t="shared" si="27"/>
        <v>0</v>
      </c>
      <c r="X166" s="2718">
        <f t="shared" si="31"/>
        <v>0</v>
      </c>
      <c r="Y166" s="2718">
        <f t="shared" si="32"/>
        <v>0</v>
      </c>
    </row>
    <row r="167" spans="1:25">
      <c r="A167" s="2473" t="str">
        <f t="shared" si="28"/>
        <v/>
      </c>
      <c r="B167" s="2737"/>
      <c r="C167" s="2737"/>
      <c r="D167" s="2737"/>
      <c r="E167" s="2738"/>
      <c r="F167" s="2738"/>
      <c r="G167" s="2738"/>
      <c r="H167" s="2739"/>
      <c r="I167" s="2740"/>
      <c r="J167" s="2740"/>
      <c r="K167" s="2740"/>
      <c r="L167" s="2740"/>
      <c r="M167" s="2738"/>
      <c r="N167" s="2738"/>
      <c r="O167" s="2474">
        <f t="shared" si="22"/>
        <v>0</v>
      </c>
      <c r="P167" s="2474">
        <f t="shared" si="23"/>
        <v>0</v>
      </c>
      <c r="Q167" s="2475">
        <f t="shared" si="29"/>
        <v>0</v>
      </c>
      <c r="R167" s="2475">
        <f t="shared" si="30"/>
        <v>0</v>
      </c>
      <c r="S167" s="2476">
        <f t="shared" si="24"/>
        <v>0</v>
      </c>
      <c r="T167" s="2476">
        <f t="shared" si="25"/>
        <v>0</v>
      </c>
      <c r="U167" s="2477">
        <f>IF(OR(E167="QS",B167=""),0,
IF(C167="F",VLOOKUP($T167,'表30-5-2-5-3'!$B:$AF,MATCH($D167&amp;"a",'表30-5-2-5-3'!$4:$4,0)-1,FALSE)
-IF($S167-1&lt;=0,0,VLOOKUP($S167-1,'表30-5-2-5-3'!$B:$AF,MATCH($D167&amp;"a",'表30-5-2-5-3'!$4:$4,0)-1,FALSE))
-VLOOKUP($T167,'表30-5-2-5-3'!$B:$AF,MATCH($D167,'表30-5-2-5-3'!$4:$4,0)-1,FALSE)*(T167/100-N167/H167)*100
-VLOOKUP($S167,'表30-5-2-5-3'!$B:$AF,MATCH($D167,'表30-5-2-5-3'!$4:$4,0)-1,FALSE)*(1-(S167/100-M167/H167)*100),
IF(C167="E1",VLOOKUP($T167,'表30-5-2-5-4'!$B$4:$AF$104,MATCH($D167&amp;"a",'表30-5-2-5-4'!$4:$4,0)-1,FALSE)
-IF($S167-1&lt;=0,0,VLOOKUP($S167-1,'表30-5-2-5-4'!$B$4:$AF$104,MATCH($D167&amp;"a",'表30-5-2-5-4'!$4:$4,0)-1,FALSE))
-VLOOKUP($T167,'表30-5-2-5-4'!$B$4:$AF$104,MATCH($D167,'表30-5-2-5-4'!$4:$4,0)-1,FALSE)*(T167/100-N167/H167)*100
-VLOOKUP($S167,'表30-5-2-5-4'!$B$4:$AF$104,MATCH($D167,'表30-5-2-5-4'!$4:$4,0)-1,FALSE)*(1-(S167/100-M167/H167)*100),
IF(C167="E2",VLOOKUP($T167,'表30-5-2-5-4'!$B$114:$AF$214,MATCH($D167&amp;"a",'表30-5-2-5-4'!$4:$4,0)-1,FALSE)
-IF($S167-1&lt;=0,0,VLOOKUP($S167-1,'表30-5-2-5-4'!$B$114:$AF$214,MATCH($D167&amp;"a",'表30-5-2-5-4'!$4:$4,0)-1,FALSE))
-VLOOKUP($T167,'表30-5-2-5-4'!$B$114:$AF$214,MATCH($D167,'表30-5-2-5-4'!$4:$4,0)-1,FALSE)*(T167/100-N167/H167)*100
-VLOOKUP($S167,'表30-5-2-5-4'!$B$114:$AF$214,MATCH($D167,'表30-5-2-5-4'!$4:$4,0)-1,FALSE)*(1-(S167/100-M167/H167)*100),0))))</f>
        <v>0</v>
      </c>
      <c r="V167" s="2478">
        <f t="shared" si="26"/>
        <v>0</v>
      </c>
      <c r="W167" s="2478">
        <f t="shared" si="27"/>
        <v>0</v>
      </c>
      <c r="X167" s="2718">
        <f t="shared" si="31"/>
        <v>0</v>
      </c>
      <c r="Y167" s="2718">
        <f t="shared" si="32"/>
        <v>0</v>
      </c>
    </row>
    <row r="168" spans="1:25">
      <c r="A168" s="2473" t="str">
        <f t="shared" si="28"/>
        <v/>
      </c>
      <c r="B168" s="2737"/>
      <c r="C168" s="2737"/>
      <c r="D168" s="2737"/>
      <c r="E168" s="2738"/>
      <c r="F168" s="2738"/>
      <c r="G168" s="2738"/>
      <c r="H168" s="2739"/>
      <c r="I168" s="2740"/>
      <c r="J168" s="2740"/>
      <c r="K168" s="2740"/>
      <c r="L168" s="2740"/>
      <c r="M168" s="2738"/>
      <c r="N168" s="2738"/>
      <c r="O168" s="2474">
        <f t="shared" si="22"/>
        <v>0</v>
      </c>
      <c r="P168" s="2474">
        <f t="shared" si="23"/>
        <v>0</v>
      </c>
      <c r="Q168" s="2475">
        <f t="shared" si="29"/>
        <v>0</v>
      </c>
      <c r="R168" s="2475">
        <f t="shared" si="30"/>
        <v>0</v>
      </c>
      <c r="S168" s="2476">
        <f t="shared" si="24"/>
        <v>0</v>
      </c>
      <c r="T168" s="2476">
        <f t="shared" si="25"/>
        <v>0</v>
      </c>
      <c r="U168" s="2477">
        <f>IF(OR(E168="QS",B168=""),0,
IF(C168="F",VLOOKUP($T168,'表30-5-2-5-3'!$B:$AF,MATCH($D168&amp;"a",'表30-5-2-5-3'!$4:$4,0)-1,FALSE)
-IF($S168-1&lt;=0,0,VLOOKUP($S168-1,'表30-5-2-5-3'!$B:$AF,MATCH($D168&amp;"a",'表30-5-2-5-3'!$4:$4,0)-1,FALSE))
-VLOOKUP($T168,'表30-5-2-5-3'!$B:$AF,MATCH($D168,'表30-5-2-5-3'!$4:$4,0)-1,FALSE)*(T168/100-N168/H168)*100
-VLOOKUP($S168,'表30-5-2-5-3'!$B:$AF,MATCH($D168,'表30-5-2-5-3'!$4:$4,0)-1,FALSE)*(1-(S168/100-M168/H168)*100),
IF(C168="E1",VLOOKUP($T168,'表30-5-2-5-4'!$B$4:$AF$104,MATCH($D168&amp;"a",'表30-5-2-5-4'!$4:$4,0)-1,FALSE)
-IF($S168-1&lt;=0,0,VLOOKUP($S168-1,'表30-5-2-5-4'!$B$4:$AF$104,MATCH($D168&amp;"a",'表30-5-2-5-4'!$4:$4,0)-1,FALSE))
-VLOOKUP($T168,'表30-5-2-5-4'!$B$4:$AF$104,MATCH($D168,'表30-5-2-5-4'!$4:$4,0)-1,FALSE)*(T168/100-N168/H168)*100
-VLOOKUP($S168,'表30-5-2-5-4'!$B$4:$AF$104,MATCH($D168,'表30-5-2-5-4'!$4:$4,0)-1,FALSE)*(1-(S168/100-M168/H168)*100),
IF(C168="E2",VLOOKUP($T168,'表30-5-2-5-4'!$B$114:$AF$214,MATCH($D168&amp;"a",'表30-5-2-5-4'!$4:$4,0)-1,FALSE)
-IF($S168-1&lt;=0,0,VLOOKUP($S168-1,'表30-5-2-5-4'!$B$114:$AF$214,MATCH($D168&amp;"a",'表30-5-2-5-4'!$4:$4,0)-1,FALSE))
-VLOOKUP($T168,'表30-5-2-5-4'!$B$114:$AF$214,MATCH($D168,'表30-5-2-5-4'!$4:$4,0)-1,FALSE)*(T168/100-N168/H168)*100
-VLOOKUP($S168,'表30-5-2-5-4'!$B$114:$AF$214,MATCH($D168,'表30-5-2-5-4'!$4:$4,0)-1,FALSE)*(1-(S168/100-M168/H168)*100),0))))</f>
        <v>0</v>
      </c>
      <c r="V168" s="2478">
        <f t="shared" si="26"/>
        <v>0</v>
      </c>
      <c r="W168" s="2478">
        <f t="shared" si="27"/>
        <v>0</v>
      </c>
      <c r="X168" s="2718">
        <f t="shared" si="31"/>
        <v>0</v>
      </c>
      <c r="Y168" s="2718">
        <f t="shared" si="32"/>
        <v>0</v>
      </c>
    </row>
    <row r="169" spans="1:25">
      <c r="A169" s="2473" t="str">
        <f t="shared" si="28"/>
        <v/>
      </c>
      <c r="B169" s="2737"/>
      <c r="C169" s="2737"/>
      <c r="D169" s="2737"/>
      <c r="E169" s="2738"/>
      <c r="F169" s="2738"/>
      <c r="G169" s="2738"/>
      <c r="H169" s="2739"/>
      <c r="I169" s="2740"/>
      <c r="J169" s="2740"/>
      <c r="K169" s="2740"/>
      <c r="L169" s="2740"/>
      <c r="M169" s="2738"/>
      <c r="N169" s="2738"/>
      <c r="O169" s="2474">
        <f t="shared" si="22"/>
        <v>0</v>
      </c>
      <c r="P169" s="2474">
        <f t="shared" si="23"/>
        <v>0</v>
      </c>
      <c r="Q169" s="2475">
        <f t="shared" si="29"/>
        <v>0</v>
      </c>
      <c r="R169" s="2475">
        <f t="shared" si="30"/>
        <v>0</v>
      </c>
      <c r="S169" s="2476">
        <f t="shared" si="24"/>
        <v>0</v>
      </c>
      <c r="T169" s="2476">
        <f t="shared" si="25"/>
        <v>0</v>
      </c>
      <c r="U169" s="2477">
        <f>IF(OR(E169="QS",B169=""),0,
IF(C169="F",VLOOKUP($T169,'表30-5-2-5-3'!$B:$AF,MATCH($D169&amp;"a",'表30-5-2-5-3'!$4:$4,0)-1,FALSE)
-IF($S169-1&lt;=0,0,VLOOKUP($S169-1,'表30-5-2-5-3'!$B:$AF,MATCH($D169&amp;"a",'表30-5-2-5-3'!$4:$4,0)-1,FALSE))
-VLOOKUP($T169,'表30-5-2-5-3'!$B:$AF,MATCH($D169,'表30-5-2-5-3'!$4:$4,0)-1,FALSE)*(T169/100-N169/H169)*100
-VLOOKUP($S169,'表30-5-2-5-3'!$B:$AF,MATCH($D169,'表30-5-2-5-3'!$4:$4,0)-1,FALSE)*(1-(S169/100-M169/H169)*100),
IF(C169="E1",VLOOKUP($T169,'表30-5-2-5-4'!$B$4:$AF$104,MATCH($D169&amp;"a",'表30-5-2-5-4'!$4:$4,0)-1,FALSE)
-IF($S169-1&lt;=0,0,VLOOKUP($S169-1,'表30-5-2-5-4'!$B$4:$AF$104,MATCH($D169&amp;"a",'表30-5-2-5-4'!$4:$4,0)-1,FALSE))
-VLOOKUP($T169,'表30-5-2-5-4'!$B$4:$AF$104,MATCH($D169,'表30-5-2-5-4'!$4:$4,0)-1,FALSE)*(T169/100-N169/H169)*100
-VLOOKUP($S169,'表30-5-2-5-4'!$B$4:$AF$104,MATCH($D169,'表30-5-2-5-4'!$4:$4,0)-1,FALSE)*(1-(S169/100-M169/H169)*100),
IF(C169="E2",VLOOKUP($T169,'表30-5-2-5-4'!$B$114:$AF$214,MATCH($D169&amp;"a",'表30-5-2-5-4'!$4:$4,0)-1,FALSE)
-IF($S169-1&lt;=0,0,VLOOKUP($S169-1,'表30-5-2-5-4'!$B$114:$AF$214,MATCH($D169&amp;"a",'表30-5-2-5-4'!$4:$4,0)-1,FALSE))
-VLOOKUP($T169,'表30-5-2-5-4'!$B$114:$AF$214,MATCH($D169,'表30-5-2-5-4'!$4:$4,0)-1,FALSE)*(T169/100-N169/H169)*100
-VLOOKUP($S169,'表30-5-2-5-4'!$B$114:$AF$214,MATCH($D169,'表30-5-2-5-4'!$4:$4,0)-1,FALSE)*(1-(S169/100-M169/H169)*100),0))))</f>
        <v>0</v>
      </c>
      <c r="V169" s="2478">
        <f t="shared" si="26"/>
        <v>0</v>
      </c>
      <c r="W169" s="2478">
        <f t="shared" si="27"/>
        <v>0</v>
      </c>
      <c r="X169" s="2718">
        <f t="shared" si="31"/>
        <v>0</v>
      </c>
      <c r="Y169" s="2718">
        <f t="shared" si="32"/>
        <v>0</v>
      </c>
    </row>
    <row r="170" spans="1:25">
      <c r="A170" s="2473" t="str">
        <f t="shared" si="28"/>
        <v/>
      </c>
      <c r="B170" s="2737"/>
      <c r="C170" s="2737"/>
      <c r="D170" s="2737"/>
      <c r="E170" s="2738"/>
      <c r="F170" s="2738"/>
      <c r="G170" s="2738"/>
      <c r="H170" s="2739"/>
      <c r="I170" s="2740"/>
      <c r="J170" s="2740"/>
      <c r="K170" s="2740"/>
      <c r="L170" s="2740"/>
      <c r="M170" s="2738"/>
      <c r="N170" s="2738"/>
      <c r="O170" s="2474">
        <f t="shared" si="22"/>
        <v>0</v>
      </c>
      <c r="P170" s="2474">
        <f t="shared" si="23"/>
        <v>0</v>
      </c>
      <c r="Q170" s="2475">
        <f t="shared" si="29"/>
        <v>0</v>
      </c>
      <c r="R170" s="2475">
        <f t="shared" si="30"/>
        <v>0</v>
      </c>
      <c r="S170" s="2476">
        <f t="shared" si="24"/>
        <v>0</v>
      </c>
      <c r="T170" s="2476">
        <f t="shared" si="25"/>
        <v>0</v>
      </c>
      <c r="U170" s="2477">
        <f>IF(OR(E170="QS",B170=""),0,
IF(C170="F",VLOOKUP($T170,'表30-5-2-5-3'!$B:$AF,MATCH($D170&amp;"a",'表30-5-2-5-3'!$4:$4,0)-1,FALSE)
-IF($S170-1&lt;=0,0,VLOOKUP($S170-1,'表30-5-2-5-3'!$B:$AF,MATCH($D170&amp;"a",'表30-5-2-5-3'!$4:$4,0)-1,FALSE))
-VLOOKUP($T170,'表30-5-2-5-3'!$B:$AF,MATCH($D170,'表30-5-2-5-3'!$4:$4,0)-1,FALSE)*(T170/100-N170/H170)*100
-VLOOKUP($S170,'表30-5-2-5-3'!$B:$AF,MATCH($D170,'表30-5-2-5-3'!$4:$4,0)-1,FALSE)*(1-(S170/100-M170/H170)*100),
IF(C170="E1",VLOOKUP($T170,'表30-5-2-5-4'!$B$4:$AF$104,MATCH($D170&amp;"a",'表30-5-2-5-4'!$4:$4,0)-1,FALSE)
-IF($S170-1&lt;=0,0,VLOOKUP($S170-1,'表30-5-2-5-4'!$B$4:$AF$104,MATCH($D170&amp;"a",'表30-5-2-5-4'!$4:$4,0)-1,FALSE))
-VLOOKUP($T170,'表30-5-2-5-4'!$B$4:$AF$104,MATCH($D170,'表30-5-2-5-4'!$4:$4,0)-1,FALSE)*(T170/100-N170/H170)*100
-VLOOKUP($S170,'表30-5-2-5-4'!$B$4:$AF$104,MATCH($D170,'表30-5-2-5-4'!$4:$4,0)-1,FALSE)*(1-(S170/100-M170/H170)*100),
IF(C170="E2",VLOOKUP($T170,'表30-5-2-5-4'!$B$114:$AF$214,MATCH($D170&amp;"a",'表30-5-2-5-4'!$4:$4,0)-1,FALSE)
-IF($S170-1&lt;=0,0,VLOOKUP($S170-1,'表30-5-2-5-4'!$B$114:$AF$214,MATCH($D170&amp;"a",'表30-5-2-5-4'!$4:$4,0)-1,FALSE))
-VLOOKUP($T170,'表30-5-2-5-4'!$B$114:$AF$214,MATCH($D170,'表30-5-2-5-4'!$4:$4,0)-1,FALSE)*(T170/100-N170/H170)*100
-VLOOKUP($S170,'表30-5-2-5-4'!$B$114:$AF$214,MATCH($D170,'表30-5-2-5-4'!$4:$4,0)-1,FALSE)*(1-(S170/100-M170/H170)*100),0))))</f>
        <v>0</v>
      </c>
      <c r="V170" s="2478">
        <f t="shared" si="26"/>
        <v>0</v>
      </c>
      <c r="W170" s="2478">
        <f t="shared" si="27"/>
        <v>0</v>
      </c>
      <c r="X170" s="2718">
        <f t="shared" si="31"/>
        <v>0</v>
      </c>
      <c r="Y170" s="2718">
        <f t="shared" si="32"/>
        <v>0</v>
      </c>
    </row>
    <row r="171" spans="1:25">
      <c r="A171" s="2473" t="str">
        <f t="shared" si="28"/>
        <v/>
      </c>
      <c r="B171" s="2737"/>
      <c r="C171" s="2737"/>
      <c r="D171" s="2737"/>
      <c r="E171" s="2738"/>
      <c r="F171" s="2738"/>
      <c r="G171" s="2738"/>
      <c r="H171" s="2739"/>
      <c r="I171" s="2740"/>
      <c r="J171" s="2740"/>
      <c r="K171" s="2740"/>
      <c r="L171" s="2740"/>
      <c r="M171" s="2738"/>
      <c r="N171" s="2738"/>
      <c r="O171" s="2474">
        <f t="shared" si="22"/>
        <v>0</v>
      </c>
      <c r="P171" s="2474">
        <f t="shared" si="23"/>
        <v>0</v>
      </c>
      <c r="Q171" s="2475">
        <f t="shared" si="29"/>
        <v>0</v>
      </c>
      <c r="R171" s="2475">
        <f t="shared" si="30"/>
        <v>0</v>
      </c>
      <c r="S171" s="2476">
        <f t="shared" si="24"/>
        <v>0</v>
      </c>
      <c r="T171" s="2476">
        <f t="shared" si="25"/>
        <v>0</v>
      </c>
      <c r="U171" s="2477">
        <f>IF(OR(E171="QS",B171=""),0,
IF(C171="F",VLOOKUP($T171,'表30-5-2-5-3'!$B:$AF,MATCH($D171&amp;"a",'表30-5-2-5-3'!$4:$4,0)-1,FALSE)
-IF($S171-1&lt;=0,0,VLOOKUP($S171-1,'表30-5-2-5-3'!$B:$AF,MATCH($D171&amp;"a",'表30-5-2-5-3'!$4:$4,0)-1,FALSE))
-VLOOKUP($T171,'表30-5-2-5-3'!$B:$AF,MATCH($D171,'表30-5-2-5-3'!$4:$4,0)-1,FALSE)*(T171/100-N171/H171)*100
-VLOOKUP($S171,'表30-5-2-5-3'!$B:$AF,MATCH($D171,'表30-5-2-5-3'!$4:$4,0)-1,FALSE)*(1-(S171/100-M171/H171)*100),
IF(C171="E1",VLOOKUP($T171,'表30-5-2-5-4'!$B$4:$AF$104,MATCH($D171&amp;"a",'表30-5-2-5-4'!$4:$4,0)-1,FALSE)
-IF($S171-1&lt;=0,0,VLOOKUP($S171-1,'表30-5-2-5-4'!$B$4:$AF$104,MATCH($D171&amp;"a",'表30-5-2-5-4'!$4:$4,0)-1,FALSE))
-VLOOKUP($T171,'表30-5-2-5-4'!$B$4:$AF$104,MATCH($D171,'表30-5-2-5-4'!$4:$4,0)-1,FALSE)*(T171/100-N171/H171)*100
-VLOOKUP($S171,'表30-5-2-5-4'!$B$4:$AF$104,MATCH($D171,'表30-5-2-5-4'!$4:$4,0)-1,FALSE)*(1-(S171/100-M171/H171)*100),
IF(C171="E2",VLOOKUP($T171,'表30-5-2-5-4'!$B$114:$AF$214,MATCH($D171&amp;"a",'表30-5-2-5-4'!$4:$4,0)-1,FALSE)
-IF($S171-1&lt;=0,0,VLOOKUP($S171-1,'表30-5-2-5-4'!$B$114:$AF$214,MATCH($D171&amp;"a",'表30-5-2-5-4'!$4:$4,0)-1,FALSE))
-VLOOKUP($T171,'表30-5-2-5-4'!$B$114:$AF$214,MATCH($D171,'表30-5-2-5-4'!$4:$4,0)-1,FALSE)*(T171/100-N171/H171)*100
-VLOOKUP($S171,'表30-5-2-5-4'!$B$114:$AF$214,MATCH($D171,'表30-5-2-5-4'!$4:$4,0)-1,FALSE)*(1-(S171/100-M171/H171)*100),0))))</f>
        <v>0</v>
      </c>
      <c r="V171" s="2478">
        <f t="shared" si="26"/>
        <v>0</v>
      </c>
      <c r="W171" s="2478">
        <f t="shared" si="27"/>
        <v>0</v>
      </c>
      <c r="X171" s="2718">
        <f t="shared" si="31"/>
        <v>0</v>
      </c>
      <c r="Y171" s="2718">
        <f t="shared" si="32"/>
        <v>0</v>
      </c>
    </row>
    <row r="172" spans="1:25">
      <c r="A172" s="2473" t="str">
        <f t="shared" si="28"/>
        <v/>
      </c>
      <c r="B172" s="2737"/>
      <c r="C172" s="2737"/>
      <c r="D172" s="2737"/>
      <c r="E172" s="2738"/>
      <c r="F172" s="2738"/>
      <c r="G172" s="2738"/>
      <c r="H172" s="2739"/>
      <c r="I172" s="2740"/>
      <c r="J172" s="2740"/>
      <c r="K172" s="2740"/>
      <c r="L172" s="2740"/>
      <c r="M172" s="2738"/>
      <c r="N172" s="2738"/>
      <c r="O172" s="2474">
        <f t="shared" si="22"/>
        <v>0</v>
      </c>
      <c r="P172" s="2474">
        <f t="shared" si="23"/>
        <v>0</v>
      </c>
      <c r="Q172" s="2475">
        <f t="shared" si="29"/>
        <v>0</v>
      </c>
      <c r="R172" s="2475">
        <f t="shared" si="30"/>
        <v>0</v>
      </c>
      <c r="S172" s="2476">
        <f t="shared" si="24"/>
        <v>0</v>
      </c>
      <c r="T172" s="2476">
        <f t="shared" si="25"/>
        <v>0</v>
      </c>
      <c r="U172" s="2477">
        <f>IF(OR(E172="QS",B172=""),0,
IF(C172="F",VLOOKUP($T172,'表30-5-2-5-3'!$B:$AF,MATCH($D172&amp;"a",'表30-5-2-5-3'!$4:$4,0)-1,FALSE)
-IF($S172-1&lt;=0,0,VLOOKUP($S172-1,'表30-5-2-5-3'!$B:$AF,MATCH($D172&amp;"a",'表30-5-2-5-3'!$4:$4,0)-1,FALSE))
-VLOOKUP($T172,'表30-5-2-5-3'!$B:$AF,MATCH($D172,'表30-5-2-5-3'!$4:$4,0)-1,FALSE)*(T172/100-N172/H172)*100
-VLOOKUP($S172,'表30-5-2-5-3'!$B:$AF,MATCH($D172,'表30-5-2-5-3'!$4:$4,0)-1,FALSE)*(1-(S172/100-M172/H172)*100),
IF(C172="E1",VLOOKUP($T172,'表30-5-2-5-4'!$B$4:$AF$104,MATCH($D172&amp;"a",'表30-5-2-5-4'!$4:$4,0)-1,FALSE)
-IF($S172-1&lt;=0,0,VLOOKUP($S172-1,'表30-5-2-5-4'!$B$4:$AF$104,MATCH($D172&amp;"a",'表30-5-2-5-4'!$4:$4,0)-1,FALSE))
-VLOOKUP($T172,'表30-5-2-5-4'!$B$4:$AF$104,MATCH($D172,'表30-5-2-5-4'!$4:$4,0)-1,FALSE)*(T172/100-N172/H172)*100
-VLOOKUP($S172,'表30-5-2-5-4'!$B$4:$AF$104,MATCH($D172,'表30-5-2-5-4'!$4:$4,0)-1,FALSE)*(1-(S172/100-M172/H172)*100),
IF(C172="E2",VLOOKUP($T172,'表30-5-2-5-4'!$B$114:$AF$214,MATCH($D172&amp;"a",'表30-5-2-5-4'!$4:$4,0)-1,FALSE)
-IF($S172-1&lt;=0,0,VLOOKUP($S172-1,'表30-5-2-5-4'!$B$114:$AF$214,MATCH($D172&amp;"a",'表30-5-2-5-4'!$4:$4,0)-1,FALSE))
-VLOOKUP($T172,'表30-5-2-5-4'!$B$114:$AF$214,MATCH($D172,'表30-5-2-5-4'!$4:$4,0)-1,FALSE)*(T172/100-N172/H172)*100
-VLOOKUP($S172,'表30-5-2-5-4'!$B$114:$AF$214,MATCH($D172,'表30-5-2-5-4'!$4:$4,0)-1,FALSE)*(1-(S172/100-M172/H172)*100),0))))</f>
        <v>0</v>
      </c>
      <c r="V172" s="2478">
        <f t="shared" si="26"/>
        <v>0</v>
      </c>
      <c r="W172" s="2478">
        <f t="shared" si="27"/>
        <v>0</v>
      </c>
      <c r="X172" s="2718">
        <f t="shared" si="31"/>
        <v>0</v>
      </c>
      <c r="Y172" s="2718">
        <f t="shared" si="32"/>
        <v>0</v>
      </c>
    </row>
    <row r="173" spans="1:25">
      <c r="A173" s="2473" t="str">
        <f t="shared" si="28"/>
        <v/>
      </c>
      <c r="B173" s="2737"/>
      <c r="C173" s="2737"/>
      <c r="D173" s="2737"/>
      <c r="E173" s="2738"/>
      <c r="F173" s="2738"/>
      <c r="G173" s="2738"/>
      <c r="H173" s="2739"/>
      <c r="I173" s="2740"/>
      <c r="J173" s="2740"/>
      <c r="K173" s="2740"/>
      <c r="L173" s="2740"/>
      <c r="M173" s="2738"/>
      <c r="N173" s="2738"/>
      <c r="O173" s="2474">
        <f t="shared" si="22"/>
        <v>0</v>
      </c>
      <c r="P173" s="2474">
        <f t="shared" si="23"/>
        <v>0</v>
      </c>
      <c r="Q173" s="2475">
        <f t="shared" si="29"/>
        <v>0</v>
      </c>
      <c r="R173" s="2475">
        <f t="shared" si="30"/>
        <v>0</v>
      </c>
      <c r="S173" s="2476">
        <f t="shared" si="24"/>
        <v>0</v>
      </c>
      <c r="T173" s="2476">
        <f t="shared" si="25"/>
        <v>0</v>
      </c>
      <c r="U173" s="2477">
        <f>IF(OR(E173="QS",B173=""),0,
IF(C173="F",VLOOKUP($T173,'表30-5-2-5-3'!$B:$AF,MATCH($D173&amp;"a",'表30-5-2-5-3'!$4:$4,0)-1,FALSE)
-IF($S173-1&lt;=0,0,VLOOKUP($S173-1,'表30-5-2-5-3'!$B:$AF,MATCH($D173&amp;"a",'表30-5-2-5-3'!$4:$4,0)-1,FALSE))
-VLOOKUP($T173,'表30-5-2-5-3'!$B:$AF,MATCH($D173,'表30-5-2-5-3'!$4:$4,0)-1,FALSE)*(T173/100-N173/H173)*100
-VLOOKUP($S173,'表30-5-2-5-3'!$B:$AF,MATCH($D173,'表30-5-2-5-3'!$4:$4,0)-1,FALSE)*(1-(S173/100-M173/H173)*100),
IF(C173="E1",VLOOKUP($T173,'表30-5-2-5-4'!$B$4:$AF$104,MATCH($D173&amp;"a",'表30-5-2-5-4'!$4:$4,0)-1,FALSE)
-IF($S173-1&lt;=0,0,VLOOKUP($S173-1,'表30-5-2-5-4'!$B$4:$AF$104,MATCH($D173&amp;"a",'表30-5-2-5-4'!$4:$4,0)-1,FALSE))
-VLOOKUP($T173,'表30-5-2-5-4'!$B$4:$AF$104,MATCH($D173,'表30-5-2-5-4'!$4:$4,0)-1,FALSE)*(T173/100-N173/H173)*100
-VLOOKUP($S173,'表30-5-2-5-4'!$B$4:$AF$104,MATCH($D173,'表30-5-2-5-4'!$4:$4,0)-1,FALSE)*(1-(S173/100-M173/H173)*100),
IF(C173="E2",VLOOKUP($T173,'表30-5-2-5-4'!$B$114:$AF$214,MATCH($D173&amp;"a",'表30-5-2-5-4'!$4:$4,0)-1,FALSE)
-IF($S173-1&lt;=0,0,VLOOKUP($S173-1,'表30-5-2-5-4'!$B$114:$AF$214,MATCH($D173&amp;"a",'表30-5-2-5-4'!$4:$4,0)-1,FALSE))
-VLOOKUP($T173,'表30-5-2-5-4'!$B$114:$AF$214,MATCH($D173,'表30-5-2-5-4'!$4:$4,0)-1,FALSE)*(T173/100-N173/H173)*100
-VLOOKUP($S173,'表30-5-2-5-4'!$B$114:$AF$214,MATCH($D173,'表30-5-2-5-4'!$4:$4,0)-1,FALSE)*(1-(S173/100-M173/H173)*100),0))))</f>
        <v>0</v>
      </c>
      <c r="V173" s="2478">
        <f t="shared" si="26"/>
        <v>0</v>
      </c>
      <c r="W173" s="2478">
        <f t="shared" si="27"/>
        <v>0</v>
      </c>
      <c r="X173" s="2718">
        <f t="shared" si="31"/>
        <v>0</v>
      </c>
      <c r="Y173" s="2718">
        <f t="shared" si="32"/>
        <v>0</v>
      </c>
    </row>
    <row r="174" spans="1:25">
      <c r="A174" s="2473" t="str">
        <f t="shared" si="28"/>
        <v/>
      </c>
      <c r="B174" s="2737"/>
      <c r="C174" s="2737"/>
      <c r="D174" s="2737"/>
      <c r="E174" s="2738"/>
      <c r="F174" s="2738"/>
      <c r="G174" s="2738"/>
      <c r="H174" s="2739"/>
      <c r="I174" s="2740"/>
      <c r="J174" s="2740"/>
      <c r="K174" s="2740"/>
      <c r="L174" s="2740"/>
      <c r="M174" s="2738"/>
      <c r="N174" s="2738"/>
      <c r="O174" s="2474">
        <f t="shared" si="22"/>
        <v>0</v>
      </c>
      <c r="P174" s="2474">
        <f t="shared" si="23"/>
        <v>0</v>
      </c>
      <c r="Q174" s="2475">
        <f t="shared" si="29"/>
        <v>0</v>
      </c>
      <c r="R174" s="2475">
        <f t="shared" si="30"/>
        <v>0</v>
      </c>
      <c r="S174" s="2476">
        <f t="shared" si="24"/>
        <v>0</v>
      </c>
      <c r="T174" s="2476">
        <f t="shared" si="25"/>
        <v>0</v>
      </c>
      <c r="U174" s="2477">
        <f>IF(OR(E174="QS",B174=""),0,
IF(C174="F",VLOOKUP($T174,'表30-5-2-5-3'!$B:$AF,MATCH($D174&amp;"a",'表30-5-2-5-3'!$4:$4,0)-1,FALSE)
-IF($S174-1&lt;=0,0,VLOOKUP($S174-1,'表30-5-2-5-3'!$B:$AF,MATCH($D174&amp;"a",'表30-5-2-5-3'!$4:$4,0)-1,FALSE))
-VLOOKUP($T174,'表30-5-2-5-3'!$B:$AF,MATCH($D174,'表30-5-2-5-3'!$4:$4,0)-1,FALSE)*(T174/100-N174/H174)*100
-VLOOKUP($S174,'表30-5-2-5-3'!$B:$AF,MATCH($D174,'表30-5-2-5-3'!$4:$4,0)-1,FALSE)*(1-(S174/100-M174/H174)*100),
IF(C174="E1",VLOOKUP($T174,'表30-5-2-5-4'!$B$4:$AF$104,MATCH($D174&amp;"a",'表30-5-2-5-4'!$4:$4,0)-1,FALSE)
-IF($S174-1&lt;=0,0,VLOOKUP($S174-1,'表30-5-2-5-4'!$B$4:$AF$104,MATCH($D174&amp;"a",'表30-5-2-5-4'!$4:$4,0)-1,FALSE))
-VLOOKUP($T174,'表30-5-2-5-4'!$B$4:$AF$104,MATCH($D174,'表30-5-2-5-4'!$4:$4,0)-1,FALSE)*(T174/100-N174/H174)*100
-VLOOKUP($S174,'表30-5-2-5-4'!$B$4:$AF$104,MATCH($D174,'表30-5-2-5-4'!$4:$4,0)-1,FALSE)*(1-(S174/100-M174/H174)*100),
IF(C174="E2",VLOOKUP($T174,'表30-5-2-5-4'!$B$114:$AF$214,MATCH($D174&amp;"a",'表30-5-2-5-4'!$4:$4,0)-1,FALSE)
-IF($S174-1&lt;=0,0,VLOOKUP($S174-1,'表30-5-2-5-4'!$B$114:$AF$214,MATCH($D174&amp;"a",'表30-5-2-5-4'!$4:$4,0)-1,FALSE))
-VLOOKUP($T174,'表30-5-2-5-4'!$B$114:$AF$214,MATCH($D174,'表30-5-2-5-4'!$4:$4,0)-1,FALSE)*(T174/100-N174/H174)*100
-VLOOKUP($S174,'表30-5-2-5-4'!$B$114:$AF$214,MATCH($D174,'表30-5-2-5-4'!$4:$4,0)-1,FALSE)*(1-(S174/100-M174/H174)*100),0))))</f>
        <v>0</v>
      </c>
      <c r="V174" s="2478">
        <f t="shared" si="26"/>
        <v>0</v>
      </c>
      <c r="W174" s="2478">
        <f t="shared" si="27"/>
        <v>0</v>
      </c>
      <c r="X174" s="2718">
        <f t="shared" si="31"/>
        <v>0</v>
      </c>
      <c r="Y174" s="2718">
        <f t="shared" si="32"/>
        <v>0</v>
      </c>
    </row>
    <row r="175" spans="1:25">
      <c r="A175" s="2473" t="str">
        <f t="shared" si="28"/>
        <v/>
      </c>
      <c r="B175" s="2737"/>
      <c r="C175" s="2737"/>
      <c r="D175" s="2737"/>
      <c r="E175" s="2738"/>
      <c r="F175" s="2738"/>
      <c r="G175" s="2738"/>
      <c r="H175" s="2739"/>
      <c r="I175" s="2740"/>
      <c r="J175" s="2740"/>
      <c r="K175" s="2740"/>
      <c r="L175" s="2740"/>
      <c r="M175" s="2738"/>
      <c r="N175" s="2738"/>
      <c r="O175" s="2474">
        <f t="shared" si="22"/>
        <v>0</v>
      </c>
      <c r="P175" s="2474">
        <f t="shared" si="23"/>
        <v>0</v>
      </c>
      <c r="Q175" s="2475">
        <f t="shared" si="29"/>
        <v>0</v>
      </c>
      <c r="R175" s="2475">
        <f t="shared" si="30"/>
        <v>0</v>
      </c>
      <c r="S175" s="2476">
        <f t="shared" si="24"/>
        <v>0</v>
      </c>
      <c r="T175" s="2476">
        <f t="shared" si="25"/>
        <v>0</v>
      </c>
      <c r="U175" s="2477">
        <f>IF(OR(E175="QS",B175=""),0,
IF(C175="F",VLOOKUP($T175,'表30-5-2-5-3'!$B:$AF,MATCH($D175&amp;"a",'表30-5-2-5-3'!$4:$4,0)-1,FALSE)
-IF($S175-1&lt;=0,0,VLOOKUP($S175-1,'表30-5-2-5-3'!$B:$AF,MATCH($D175&amp;"a",'表30-5-2-5-3'!$4:$4,0)-1,FALSE))
-VLOOKUP($T175,'表30-5-2-5-3'!$B:$AF,MATCH($D175,'表30-5-2-5-3'!$4:$4,0)-1,FALSE)*(T175/100-N175/H175)*100
-VLOOKUP($S175,'表30-5-2-5-3'!$B:$AF,MATCH($D175,'表30-5-2-5-3'!$4:$4,0)-1,FALSE)*(1-(S175/100-M175/H175)*100),
IF(C175="E1",VLOOKUP($T175,'表30-5-2-5-4'!$B$4:$AF$104,MATCH($D175&amp;"a",'表30-5-2-5-4'!$4:$4,0)-1,FALSE)
-IF($S175-1&lt;=0,0,VLOOKUP($S175-1,'表30-5-2-5-4'!$B$4:$AF$104,MATCH($D175&amp;"a",'表30-5-2-5-4'!$4:$4,0)-1,FALSE))
-VLOOKUP($T175,'表30-5-2-5-4'!$B$4:$AF$104,MATCH($D175,'表30-5-2-5-4'!$4:$4,0)-1,FALSE)*(T175/100-N175/H175)*100
-VLOOKUP($S175,'表30-5-2-5-4'!$B$4:$AF$104,MATCH($D175,'表30-5-2-5-4'!$4:$4,0)-1,FALSE)*(1-(S175/100-M175/H175)*100),
IF(C175="E2",VLOOKUP($T175,'表30-5-2-5-4'!$B$114:$AF$214,MATCH($D175&amp;"a",'表30-5-2-5-4'!$4:$4,0)-1,FALSE)
-IF($S175-1&lt;=0,0,VLOOKUP($S175-1,'表30-5-2-5-4'!$B$114:$AF$214,MATCH($D175&amp;"a",'表30-5-2-5-4'!$4:$4,0)-1,FALSE))
-VLOOKUP($T175,'表30-5-2-5-4'!$B$114:$AF$214,MATCH($D175,'表30-5-2-5-4'!$4:$4,0)-1,FALSE)*(T175/100-N175/H175)*100
-VLOOKUP($S175,'表30-5-2-5-4'!$B$114:$AF$214,MATCH($D175,'表30-5-2-5-4'!$4:$4,0)-1,FALSE)*(1-(S175/100-M175/H175)*100),0))))</f>
        <v>0</v>
      </c>
      <c r="V175" s="2478">
        <f t="shared" si="26"/>
        <v>0</v>
      </c>
      <c r="W175" s="2478">
        <f t="shared" si="27"/>
        <v>0</v>
      </c>
      <c r="X175" s="2718">
        <f t="shared" si="31"/>
        <v>0</v>
      </c>
      <c r="Y175" s="2718">
        <f t="shared" si="32"/>
        <v>0</v>
      </c>
    </row>
    <row r="176" spans="1:25">
      <c r="A176" s="2473" t="str">
        <f t="shared" si="28"/>
        <v/>
      </c>
      <c r="B176" s="2737"/>
      <c r="C176" s="2737"/>
      <c r="D176" s="2737"/>
      <c r="E176" s="2738"/>
      <c r="F176" s="2738"/>
      <c r="G176" s="2738"/>
      <c r="H176" s="2739"/>
      <c r="I176" s="2740"/>
      <c r="J176" s="2740"/>
      <c r="K176" s="2740"/>
      <c r="L176" s="2740"/>
      <c r="M176" s="2738"/>
      <c r="N176" s="2738"/>
      <c r="O176" s="2474">
        <f t="shared" si="22"/>
        <v>0</v>
      </c>
      <c r="P176" s="2474">
        <f t="shared" si="23"/>
        <v>0</v>
      </c>
      <c r="Q176" s="2475">
        <f t="shared" si="29"/>
        <v>0</v>
      </c>
      <c r="R176" s="2475">
        <f t="shared" si="30"/>
        <v>0</v>
      </c>
      <c r="S176" s="2476">
        <f t="shared" si="24"/>
        <v>0</v>
      </c>
      <c r="T176" s="2476">
        <f t="shared" si="25"/>
        <v>0</v>
      </c>
      <c r="U176" s="2477">
        <f>IF(OR(E176="QS",B176=""),0,
IF(C176="F",VLOOKUP($T176,'表30-5-2-5-3'!$B:$AF,MATCH($D176&amp;"a",'表30-5-2-5-3'!$4:$4,0)-1,FALSE)
-IF($S176-1&lt;=0,0,VLOOKUP($S176-1,'表30-5-2-5-3'!$B:$AF,MATCH($D176&amp;"a",'表30-5-2-5-3'!$4:$4,0)-1,FALSE))
-VLOOKUP($T176,'表30-5-2-5-3'!$B:$AF,MATCH($D176,'表30-5-2-5-3'!$4:$4,0)-1,FALSE)*(T176/100-N176/H176)*100
-VLOOKUP($S176,'表30-5-2-5-3'!$B:$AF,MATCH($D176,'表30-5-2-5-3'!$4:$4,0)-1,FALSE)*(1-(S176/100-M176/H176)*100),
IF(C176="E1",VLOOKUP($T176,'表30-5-2-5-4'!$B$4:$AF$104,MATCH($D176&amp;"a",'表30-5-2-5-4'!$4:$4,0)-1,FALSE)
-IF($S176-1&lt;=0,0,VLOOKUP($S176-1,'表30-5-2-5-4'!$B$4:$AF$104,MATCH($D176&amp;"a",'表30-5-2-5-4'!$4:$4,0)-1,FALSE))
-VLOOKUP($T176,'表30-5-2-5-4'!$B$4:$AF$104,MATCH($D176,'表30-5-2-5-4'!$4:$4,0)-1,FALSE)*(T176/100-N176/H176)*100
-VLOOKUP($S176,'表30-5-2-5-4'!$B$4:$AF$104,MATCH($D176,'表30-5-2-5-4'!$4:$4,0)-1,FALSE)*(1-(S176/100-M176/H176)*100),
IF(C176="E2",VLOOKUP($T176,'表30-5-2-5-4'!$B$114:$AF$214,MATCH($D176&amp;"a",'表30-5-2-5-4'!$4:$4,0)-1,FALSE)
-IF($S176-1&lt;=0,0,VLOOKUP($S176-1,'表30-5-2-5-4'!$B$114:$AF$214,MATCH($D176&amp;"a",'表30-5-2-5-4'!$4:$4,0)-1,FALSE))
-VLOOKUP($T176,'表30-5-2-5-4'!$B$114:$AF$214,MATCH($D176,'表30-5-2-5-4'!$4:$4,0)-1,FALSE)*(T176/100-N176/H176)*100
-VLOOKUP($S176,'表30-5-2-5-4'!$B$114:$AF$214,MATCH($D176,'表30-5-2-5-4'!$4:$4,0)-1,FALSE)*(1-(S176/100-M176/H176)*100),0))))</f>
        <v>0</v>
      </c>
      <c r="V176" s="2478">
        <f t="shared" si="26"/>
        <v>0</v>
      </c>
      <c r="W176" s="2478">
        <f t="shared" si="27"/>
        <v>0</v>
      </c>
      <c r="X176" s="2718">
        <f t="shared" si="31"/>
        <v>0</v>
      </c>
      <c r="Y176" s="2718">
        <f t="shared" si="32"/>
        <v>0</v>
      </c>
    </row>
    <row r="177" spans="1:25">
      <c r="A177" s="2473" t="str">
        <f t="shared" si="28"/>
        <v/>
      </c>
      <c r="B177" s="2737"/>
      <c r="C177" s="2737"/>
      <c r="D177" s="2737"/>
      <c r="E177" s="2738"/>
      <c r="F177" s="2738"/>
      <c r="G177" s="2738"/>
      <c r="H177" s="2739"/>
      <c r="I177" s="2740"/>
      <c r="J177" s="2740"/>
      <c r="K177" s="2740"/>
      <c r="L177" s="2740"/>
      <c r="M177" s="2738"/>
      <c r="N177" s="2738"/>
      <c r="O177" s="2474">
        <f t="shared" si="22"/>
        <v>0</v>
      </c>
      <c r="P177" s="2474">
        <f t="shared" si="23"/>
        <v>0</v>
      </c>
      <c r="Q177" s="2475">
        <f t="shared" si="29"/>
        <v>0</v>
      </c>
      <c r="R177" s="2475">
        <f t="shared" si="30"/>
        <v>0</v>
      </c>
      <c r="S177" s="2476">
        <f t="shared" si="24"/>
        <v>0</v>
      </c>
      <c r="T177" s="2476">
        <f t="shared" si="25"/>
        <v>0</v>
      </c>
      <c r="U177" s="2477">
        <f>IF(OR(E177="QS",B177=""),0,
IF(C177="F",VLOOKUP($T177,'表30-5-2-5-3'!$B:$AF,MATCH($D177&amp;"a",'表30-5-2-5-3'!$4:$4,0)-1,FALSE)
-IF($S177-1&lt;=0,0,VLOOKUP($S177-1,'表30-5-2-5-3'!$B:$AF,MATCH($D177&amp;"a",'表30-5-2-5-3'!$4:$4,0)-1,FALSE))
-VLOOKUP($T177,'表30-5-2-5-3'!$B:$AF,MATCH($D177,'表30-5-2-5-3'!$4:$4,0)-1,FALSE)*(T177/100-N177/H177)*100
-VLOOKUP($S177,'表30-5-2-5-3'!$B:$AF,MATCH($D177,'表30-5-2-5-3'!$4:$4,0)-1,FALSE)*(1-(S177/100-M177/H177)*100),
IF(C177="E1",VLOOKUP($T177,'表30-5-2-5-4'!$B$4:$AF$104,MATCH($D177&amp;"a",'表30-5-2-5-4'!$4:$4,0)-1,FALSE)
-IF($S177-1&lt;=0,0,VLOOKUP($S177-1,'表30-5-2-5-4'!$B$4:$AF$104,MATCH($D177&amp;"a",'表30-5-2-5-4'!$4:$4,0)-1,FALSE))
-VLOOKUP($T177,'表30-5-2-5-4'!$B$4:$AF$104,MATCH($D177,'表30-5-2-5-4'!$4:$4,0)-1,FALSE)*(T177/100-N177/H177)*100
-VLOOKUP($S177,'表30-5-2-5-4'!$B$4:$AF$104,MATCH($D177,'表30-5-2-5-4'!$4:$4,0)-1,FALSE)*(1-(S177/100-M177/H177)*100),
IF(C177="E2",VLOOKUP($T177,'表30-5-2-5-4'!$B$114:$AF$214,MATCH($D177&amp;"a",'表30-5-2-5-4'!$4:$4,0)-1,FALSE)
-IF($S177-1&lt;=0,0,VLOOKUP($S177-1,'表30-5-2-5-4'!$B$114:$AF$214,MATCH($D177&amp;"a",'表30-5-2-5-4'!$4:$4,0)-1,FALSE))
-VLOOKUP($T177,'表30-5-2-5-4'!$B$114:$AF$214,MATCH($D177,'表30-5-2-5-4'!$4:$4,0)-1,FALSE)*(T177/100-N177/H177)*100
-VLOOKUP($S177,'表30-5-2-5-4'!$B$114:$AF$214,MATCH($D177,'表30-5-2-5-4'!$4:$4,0)-1,FALSE)*(1-(S177/100-M177/H177)*100),0))))</f>
        <v>0</v>
      </c>
      <c r="V177" s="2478">
        <f t="shared" si="26"/>
        <v>0</v>
      </c>
      <c r="W177" s="2478">
        <f t="shared" si="27"/>
        <v>0</v>
      </c>
      <c r="X177" s="2718">
        <f t="shared" si="31"/>
        <v>0</v>
      </c>
      <c r="Y177" s="2718">
        <f t="shared" si="32"/>
        <v>0</v>
      </c>
    </row>
    <row r="178" spans="1:25">
      <c r="A178" s="2473" t="str">
        <f t="shared" si="28"/>
        <v/>
      </c>
      <c r="B178" s="2737"/>
      <c r="C178" s="2737"/>
      <c r="D178" s="2737"/>
      <c r="E178" s="2738"/>
      <c r="F178" s="2738"/>
      <c r="G178" s="2738"/>
      <c r="H178" s="2739"/>
      <c r="I178" s="2740"/>
      <c r="J178" s="2740"/>
      <c r="K178" s="2740"/>
      <c r="L178" s="2740"/>
      <c r="M178" s="2738"/>
      <c r="N178" s="2738"/>
      <c r="O178" s="2474">
        <f t="shared" si="22"/>
        <v>0</v>
      </c>
      <c r="P178" s="2474">
        <f t="shared" si="23"/>
        <v>0</v>
      </c>
      <c r="Q178" s="2475">
        <f t="shared" si="29"/>
        <v>0</v>
      </c>
      <c r="R178" s="2475">
        <f t="shared" si="30"/>
        <v>0</v>
      </c>
      <c r="S178" s="2476">
        <f t="shared" si="24"/>
        <v>0</v>
      </c>
      <c r="T178" s="2476">
        <f t="shared" si="25"/>
        <v>0</v>
      </c>
      <c r="U178" s="2477">
        <f>IF(OR(E178="QS",B178=""),0,
IF(C178="F",VLOOKUP($T178,'表30-5-2-5-3'!$B:$AF,MATCH($D178&amp;"a",'表30-5-2-5-3'!$4:$4,0)-1,FALSE)
-IF($S178-1&lt;=0,0,VLOOKUP($S178-1,'表30-5-2-5-3'!$B:$AF,MATCH($D178&amp;"a",'表30-5-2-5-3'!$4:$4,0)-1,FALSE))
-VLOOKUP($T178,'表30-5-2-5-3'!$B:$AF,MATCH($D178,'表30-5-2-5-3'!$4:$4,0)-1,FALSE)*(T178/100-N178/H178)*100
-VLOOKUP($S178,'表30-5-2-5-3'!$B:$AF,MATCH($D178,'表30-5-2-5-3'!$4:$4,0)-1,FALSE)*(1-(S178/100-M178/H178)*100),
IF(C178="E1",VLOOKUP($T178,'表30-5-2-5-4'!$B$4:$AF$104,MATCH($D178&amp;"a",'表30-5-2-5-4'!$4:$4,0)-1,FALSE)
-IF($S178-1&lt;=0,0,VLOOKUP($S178-1,'表30-5-2-5-4'!$B$4:$AF$104,MATCH($D178&amp;"a",'表30-5-2-5-4'!$4:$4,0)-1,FALSE))
-VLOOKUP($T178,'表30-5-2-5-4'!$B$4:$AF$104,MATCH($D178,'表30-5-2-5-4'!$4:$4,0)-1,FALSE)*(T178/100-N178/H178)*100
-VLOOKUP($S178,'表30-5-2-5-4'!$B$4:$AF$104,MATCH($D178,'表30-5-2-5-4'!$4:$4,0)-1,FALSE)*(1-(S178/100-M178/H178)*100),
IF(C178="E2",VLOOKUP($T178,'表30-5-2-5-4'!$B$114:$AF$214,MATCH($D178&amp;"a",'表30-5-2-5-4'!$4:$4,0)-1,FALSE)
-IF($S178-1&lt;=0,0,VLOOKUP($S178-1,'表30-5-2-5-4'!$B$114:$AF$214,MATCH($D178&amp;"a",'表30-5-2-5-4'!$4:$4,0)-1,FALSE))
-VLOOKUP($T178,'表30-5-2-5-4'!$B$114:$AF$214,MATCH($D178,'表30-5-2-5-4'!$4:$4,0)-1,FALSE)*(T178/100-N178/H178)*100
-VLOOKUP($S178,'表30-5-2-5-4'!$B$114:$AF$214,MATCH($D178,'表30-5-2-5-4'!$4:$4,0)-1,FALSE)*(1-(S178/100-M178/H178)*100),0))))</f>
        <v>0</v>
      </c>
      <c r="V178" s="2478">
        <f t="shared" si="26"/>
        <v>0</v>
      </c>
      <c r="W178" s="2478">
        <f t="shared" si="27"/>
        <v>0</v>
      </c>
      <c r="X178" s="2718">
        <f t="shared" si="31"/>
        <v>0</v>
      </c>
      <c r="Y178" s="2718">
        <f t="shared" si="32"/>
        <v>0</v>
      </c>
    </row>
    <row r="179" spans="1:25">
      <c r="A179" s="2473" t="str">
        <f t="shared" si="28"/>
        <v/>
      </c>
      <c r="B179" s="2737"/>
      <c r="C179" s="2737"/>
      <c r="D179" s="2737"/>
      <c r="E179" s="2738"/>
      <c r="F179" s="2738"/>
      <c r="G179" s="2738"/>
      <c r="H179" s="2739"/>
      <c r="I179" s="2740"/>
      <c r="J179" s="2740"/>
      <c r="K179" s="2740"/>
      <c r="L179" s="2740"/>
      <c r="M179" s="2738"/>
      <c r="N179" s="2738"/>
      <c r="O179" s="2474">
        <f t="shared" si="22"/>
        <v>0</v>
      </c>
      <c r="P179" s="2474">
        <f t="shared" si="23"/>
        <v>0</v>
      </c>
      <c r="Q179" s="2475">
        <f t="shared" si="29"/>
        <v>0</v>
      </c>
      <c r="R179" s="2475">
        <f t="shared" si="30"/>
        <v>0</v>
      </c>
      <c r="S179" s="2476">
        <f t="shared" si="24"/>
        <v>0</v>
      </c>
      <c r="T179" s="2476">
        <f t="shared" si="25"/>
        <v>0</v>
      </c>
      <c r="U179" s="2477">
        <f>IF(OR(E179="QS",B179=""),0,
IF(C179="F",VLOOKUP($T179,'表30-5-2-5-3'!$B:$AF,MATCH($D179&amp;"a",'表30-5-2-5-3'!$4:$4,0)-1,FALSE)
-IF($S179-1&lt;=0,0,VLOOKUP($S179-1,'表30-5-2-5-3'!$B:$AF,MATCH($D179&amp;"a",'表30-5-2-5-3'!$4:$4,0)-1,FALSE))
-VLOOKUP($T179,'表30-5-2-5-3'!$B:$AF,MATCH($D179,'表30-5-2-5-3'!$4:$4,0)-1,FALSE)*(T179/100-N179/H179)*100
-VLOOKUP($S179,'表30-5-2-5-3'!$B:$AF,MATCH($D179,'表30-5-2-5-3'!$4:$4,0)-1,FALSE)*(1-(S179/100-M179/H179)*100),
IF(C179="E1",VLOOKUP($T179,'表30-5-2-5-4'!$B$4:$AF$104,MATCH($D179&amp;"a",'表30-5-2-5-4'!$4:$4,0)-1,FALSE)
-IF($S179-1&lt;=0,0,VLOOKUP($S179-1,'表30-5-2-5-4'!$B$4:$AF$104,MATCH($D179&amp;"a",'表30-5-2-5-4'!$4:$4,0)-1,FALSE))
-VLOOKUP($T179,'表30-5-2-5-4'!$B$4:$AF$104,MATCH($D179,'表30-5-2-5-4'!$4:$4,0)-1,FALSE)*(T179/100-N179/H179)*100
-VLOOKUP($S179,'表30-5-2-5-4'!$B$4:$AF$104,MATCH($D179,'表30-5-2-5-4'!$4:$4,0)-1,FALSE)*(1-(S179/100-M179/H179)*100),
IF(C179="E2",VLOOKUP($T179,'表30-5-2-5-4'!$B$114:$AF$214,MATCH($D179&amp;"a",'表30-5-2-5-4'!$4:$4,0)-1,FALSE)
-IF($S179-1&lt;=0,0,VLOOKUP($S179-1,'表30-5-2-5-4'!$B$114:$AF$214,MATCH($D179&amp;"a",'表30-5-2-5-4'!$4:$4,0)-1,FALSE))
-VLOOKUP($T179,'表30-5-2-5-4'!$B$114:$AF$214,MATCH($D179,'表30-5-2-5-4'!$4:$4,0)-1,FALSE)*(T179/100-N179/H179)*100
-VLOOKUP($S179,'表30-5-2-5-4'!$B$114:$AF$214,MATCH($D179,'表30-5-2-5-4'!$4:$4,0)-1,FALSE)*(1-(S179/100-M179/H179)*100),0))))</f>
        <v>0</v>
      </c>
      <c r="V179" s="2478">
        <f t="shared" si="26"/>
        <v>0</v>
      </c>
      <c r="W179" s="2478">
        <f t="shared" si="27"/>
        <v>0</v>
      </c>
      <c r="X179" s="2718">
        <f t="shared" si="31"/>
        <v>0</v>
      </c>
      <c r="Y179" s="2718">
        <f t="shared" si="32"/>
        <v>0</v>
      </c>
    </row>
    <row r="180" spans="1:25">
      <c r="A180" s="2473" t="str">
        <f t="shared" si="28"/>
        <v/>
      </c>
      <c r="B180" s="2737"/>
      <c r="C180" s="2737"/>
      <c r="D180" s="2737"/>
      <c r="E180" s="2738"/>
      <c r="F180" s="2738"/>
      <c r="G180" s="2738"/>
      <c r="H180" s="2739"/>
      <c r="I180" s="2740"/>
      <c r="J180" s="2740"/>
      <c r="K180" s="2740"/>
      <c r="L180" s="2740"/>
      <c r="M180" s="2738"/>
      <c r="N180" s="2738"/>
      <c r="O180" s="2474">
        <f t="shared" si="22"/>
        <v>0</v>
      </c>
      <c r="P180" s="2474">
        <f t="shared" si="23"/>
        <v>0</v>
      </c>
      <c r="Q180" s="2475">
        <f t="shared" si="29"/>
        <v>0</v>
      </c>
      <c r="R180" s="2475">
        <f t="shared" si="30"/>
        <v>0</v>
      </c>
      <c r="S180" s="2476">
        <f t="shared" si="24"/>
        <v>0</v>
      </c>
      <c r="T180" s="2476">
        <f t="shared" si="25"/>
        <v>0</v>
      </c>
      <c r="U180" s="2477">
        <f>IF(OR(E180="QS",B180=""),0,
IF(C180="F",VLOOKUP($T180,'表30-5-2-5-3'!$B:$AF,MATCH($D180&amp;"a",'表30-5-2-5-3'!$4:$4,0)-1,FALSE)
-IF($S180-1&lt;=0,0,VLOOKUP($S180-1,'表30-5-2-5-3'!$B:$AF,MATCH($D180&amp;"a",'表30-5-2-5-3'!$4:$4,0)-1,FALSE))
-VLOOKUP($T180,'表30-5-2-5-3'!$B:$AF,MATCH($D180,'表30-5-2-5-3'!$4:$4,0)-1,FALSE)*(T180/100-N180/H180)*100
-VLOOKUP($S180,'表30-5-2-5-3'!$B:$AF,MATCH($D180,'表30-5-2-5-3'!$4:$4,0)-1,FALSE)*(1-(S180/100-M180/H180)*100),
IF(C180="E1",VLOOKUP($T180,'表30-5-2-5-4'!$B$4:$AF$104,MATCH($D180&amp;"a",'表30-5-2-5-4'!$4:$4,0)-1,FALSE)
-IF($S180-1&lt;=0,0,VLOOKUP($S180-1,'表30-5-2-5-4'!$B$4:$AF$104,MATCH($D180&amp;"a",'表30-5-2-5-4'!$4:$4,0)-1,FALSE))
-VLOOKUP($T180,'表30-5-2-5-4'!$B$4:$AF$104,MATCH($D180,'表30-5-2-5-4'!$4:$4,0)-1,FALSE)*(T180/100-N180/H180)*100
-VLOOKUP($S180,'表30-5-2-5-4'!$B$4:$AF$104,MATCH($D180,'表30-5-2-5-4'!$4:$4,0)-1,FALSE)*(1-(S180/100-M180/H180)*100),
IF(C180="E2",VLOOKUP($T180,'表30-5-2-5-4'!$B$114:$AF$214,MATCH($D180&amp;"a",'表30-5-2-5-4'!$4:$4,0)-1,FALSE)
-IF($S180-1&lt;=0,0,VLOOKUP($S180-1,'表30-5-2-5-4'!$B$114:$AF$214,MATCH($D180&amp;"a",'表30-5-2-5-4'!$4:$4,0)-1,FALSE))
-VLOOKUP($T180,'表30-5-2-5-4'!$B$114:$AF$214,MATCH($D180,'表30-5-2-5-4'!$4:$4,0)-1,FALSE)*(T180/100-N180/H180)*100
-VLOOKUP($S180,'表30-5-2-5-4'!$B$114:$AF$214,MATCH($D180,'表30-5-2-5-4'!$4:$4,0)-1,FALSE)*(1-(S180/100-M180/H180)*100),0))))</f>
        <v>0</v>
      </c>
      <c r="V180" s="2478">
        <f t="shared" si="26"/>
        <v>0</v>
      </c>
      <c r="W180" s="2478">
        <f t="shared" si="27"/>
        <v>0</v>
      </c>
      <c r="X180" s="2718">
        <f t="shared" si="31"/>
        <v>0</v>
      </c>
      <c r="Y180" s="2718">
        <f t="shared" si="32"/>
        <v>0</v>
      </c>
    </row>
    <row r="181" spans="1:25">
      <c r="A181" s="2473" t="str">
        <f t="shared" si="28"/>
        <v/>
      </c>
      <c r="B181" s="2737"/>
      <c r="C181" s="2737"/>
      <c r="D181" s="2737"/>
      <c r="E181" s="2738"/>
      <c r="F181" s="2738"/>
      <c r="G181" s="2738"/>
      <c r="H181" s="2739"/>
      <c r="I181" s="2740"/>
      <c r="J181" s="2740"/>
      <c r="K181" s="2740"/>
      <c r="L181" s="2740"/>
      <c r="M181" s="2738"/>
      <c r="N181" s="2738"/>
      <c r="O181" s="2474">
        <f t="shared" si="22"/>
        <v>0</v>
      </c>
      <c r="P181" s="2474">
        <f t="shared" si="23"/>
        <v>0</v>
      </c>
      <c r="Q181" s="2475">
        <f t="shared" si="29"/>
        <v>0</v>
      </c>
      <c r="R181" s="2475">
        <f t="shared" si="30"/>
        <v>0</v>
      </c>
      <c r="S181" s="2476">
        <f t="shared" si="24"/>
        <v>0</v>
      </c>
      <c r="T181" s="2476">
        <f t="shared" si="25"/>
        <v>0</v>
      </c>
      <c r="U181" s="2477">
        <f>IF(OR(E181="QS",B181=""),0,
IF(C181="F",VLOOKUP($T181,'表30-5-2-5-3'!$B:$AF,MATCH($D181&amp;"a",'表30-5-2-5-3'!$4:$4,0)-1,FALSE)
-IF($S181-1&lt;=0,0,VLOOKUP($S181-1,'表30-5-2-5-3'!$B:$AF,MATCH($D181&amp;"a",'表30-5-2-5-3'!$4:$4,0)-1,FALSE))
-VLOOKUP($T181,'表30-5-2-5-3'!$B:$AF,MATCH($D181,'表30-5-2-5-3'!$4:$4,0)-1,FALSE)*(T181/100-N181/H181)*100
-VLOOKUP($S181,'表30-5-2-5-3'!$B:$AF,MATCH($D181,'表30-5-2-5-3'!$4:$4,0)-1,FALSE)*(1-(S181/100-M181/H181)*100),
IF(C181="E1",VLOOKUP($T181,'表30-5-2-5-4'!$B$4:$AF$104,MATCH($D181&amp;"a",'表30-5-2-5-4'!$4:$4,0)-1,FALSE)
-IF($S181-1&lt;=0,0,VLOOKUP($S181-1,'表30-5-2-5-4'!$B$4:$AF$104,MATCH($D181&amp;"a",'表30-5-2-5-4'!$4:$4,0)-1,FALSE))
-VLOOKUP($T181,'表30-5-2-5-4'!$B$4:$AF$104,MATCH($D181,'表30-5-2-5-4'!$4:$4,0)-1,FALSE)*(T181/100-N181/H181)*100
-VLOOKUP($S181,'表30-5-2-5-4'!$B$4:$AF$104,MATCH($D181,'表30-5-2-5-4'!$4:$4,0)-1,FALSE)*(1-(S181/100-M181/H181)*100),
IF(C181="E2",VLOOKUP($T181,'表30-5-2-5-4'!$B$114:$AF$214,MATCH($D181&amp;"a",'表30-5-2-5-4'!$4:$4,0)-1,FALSE)
-IF($S181-1&lt;=0,0,VLOOKUP($S181-1,'表30-5-2-5-4'!$B$114:$AF$214,MATCH($D181&amp;"a",'表30-5-2-5-4'!$4:$4,0)-1,FALSE))
-VLOOKUP($T181,'表30-5-2-5-4'!$B$114:$AF$214,MATCH($D181,'表30-5-2-5-4'!$4:$4,0)-1,FALSE)*(T181/100-N181/H181)*100
-VLOOKUP($S181,'表30-5-2-5-4'!$B$114:$AF$214,MATCH($D181,'表30-5-2-5-4'!$4:$4,0)-1,FALSE)*(1-(S181/100-M181/H181)*100),0))))</f>
        <v>0</v>
      </c>
      <c r="V181" s="2478">
        <f t="shared" si="26"/>
        <v>0</v>
      </c>
      <c r="W181" s="2478">
        <f t="shared" si="27"/>
        <v>0</v>
      </c>
      <c r="X181" s="2718">
        <f t="shared" si="31"/>
        <v>0</v>
      </c>
      <c r="Y181" s="2718">
        <f t="shared" si="32"/>
        <v>0</v>
      </c>
    </row>
    <row r="182" spans="1:25">
      <c r="A182" s="2473" t="str">
        <f t="shared" si="28"/>
        <v/>
      </c>
      <c r="B182" s="2737"/>
      <c r="C182" s="2737"/>
      <c r="D182" s="2737"/>
      <c r="E182" s="2738"/>
      <c r="F182" s="2738"/>
      <c r="G182" s="2738"/>
      <c r="H182" s="2739"/>
      <c r="I182" s="2740"/>
      <c r="J182" s="2740"/>
      <c r="K182" s="2740"/>
      <c r="L182" s="2740"/>
      <c r="M182" s="2738"/>
      <c r="N182" s="2738"/>
      <c r="O182" s="2474">
        <f t="shared" si="22"/>
        <v>0</v>
      </c>
      <c r="P182" s="2474">
        <f t="shared" si="23"/>
        <v>0</v>
      </c>
      <c r="Q182" s="2475">
        <f t="shared" si="29"/>
        <v>0</v>
      </c>
      <c r="R182" s="2475">
        <f t="shared" si="30"/>
        <v>0</v>
      </c>
      <c r="S182" s="2476">
        <f t="shared" si="24"/>
        <v>0</v>
      </c>
      <c r="T182" s="2476">
        <f t="shared" si="25"/>
        <v>0</v>
      </c>
      <c r="U182" s="2477">
        <f>IF(OR(E182="QS",B182=""),0,
IF(C182="F",VLOOKUP($T182,'表30-5-2-5-3'!$B:$AF,MATCH($D182&amp;"a",'表30-5-2-5-3'!$4:$4,0)-1,FALSE)
-IF($S182-1&lt;=0,0,VLOOKUP($S182-1,'表30-5-2-5-3'!$B:$AF,MATCH($D182&amp;"a",'表30-5-2-5-3'!$4:$4,0)-1,FALSE))
-VLOOKUP($T182,'表30-5-2-5-3'!$B:$AF,MATCH($D182,'表30-5-2-5-3'!$4:$4,0)-1,FALSE)*(T182/100-N182/H182)*100
-VLOOKUP($S182,'表30-5-2-5-3'!$B:$AF,MATCH($D182,'表30-5-2-5-3'!$4:$4,0)-1,FALSE)*(1-(S182/100-M182/H182)*100),
IF(C182="E1",VLOOKUP($T182,'表30-5-2-5-4'!$B$4:$AF$104,MATCH($D182&amp;"a",'表30-5-2-5-4'!$4:$4,0)-1,FALSE)
-IF($S182-1&lt;=0,0,VLOOKUP($S182-1,'表30-5-2-5-4'!$B$4:$AF$104,MATCH($D182&amp;"a",'表30-5-2-5-4'!$4:$4,0)-1,FALSE))
-VLOOKUP($T182,'表30-5-2-5-4'!$B$4:$AF$104,MATCH($D182,'表30-5-2-5-4'!$4:$4,0)-1,FALSE)*(T182/100-N182/H182)*100
-VLOOKUP($S182,'表30-5-2-5-4'!$B$4:$AF$104,MATCH($D182,'表30-5-2-5-4'!$4:$4,0)-1,FALSE)*(1-(S182/100-M182/H182)*100),
IF(C182="E2",VLOOKUP($T182,'表30-5-2-5-4'!$B$114:$AF$214,MATCH($D182&amp;"a",'表30-5-2-5-4'!$4:$4,0)-1,FALSE)
-IF($S182-1&lt;=0,0,VLOOKUP($S182-1,'表30-5-2-5-4'!$B$114:$AF$214,MATCH($D182&amp;"a",'表30-5-2-5-4'!$4:$4,0)-1,FALSE))
-VLOOKUP($T182,'表30-5-2-5-4'!$B$114:$AF$214,MATCH($D182,'表30-5-2-5-4'!$4:$4,0)-1,FALSE)*(T182/100-N182/H182)*100
-VLOOKUP($S182,'表30-5-2-5-4'!$B$114:$AF$214,MATCH($D182,'表30-5-2-5-4'!$4:$4,0)-1,FALSE)*(1-(S182/100-M182/H182)*100),0))))</f>
        <v>0</v>
      </c>
      <c r="V182" s="2478">
        <f t="shared" si="26"/>
        <v>0</v>
      </c>
      <c r="W182" s="2478">
        <f t="shared" si="27"/>
        <v>0</v>
      </c>
      <c r="X182" s="2718">
        <f t="shared" si="31"/>
        <v>0</v>
      </c>
      <c r="Y182" s="2718">
        <f t="shared" si="32"/>
        <v>0</v>
      </c>
    </row>
    <row r="183" spans="1:25">
      <c r="A183" s="2473" t="str">
        <f t="shared" si="28"/>
        <v/>
      </c>
      <c r="B183" s="2737"/>
      <c r="C183" s="2737"/>
      <c r="D183" s="2737"/>
      <c r="E183" s="2738"/>
      <c r="F183" s="2738"/>
      <c r="G183" s="2738"/>
      <c r="H183" s="2739"/>
      <c r="I183" s="2740"/>
      <c r="J183" s="2740"/>
      <c r="K183" s="2740"/>
      <c r="L183" s="2740"/>
      <c r="M183" s="2738"/>
      <c r="N183" s="2738"/>
      <c r="O183" s="2474">
        <f t="shared" si="22"/>
        <v>0</v>
      </c>
      <c r="P183" s="2474">
        <f t="shared" si="23"/>
        <v>0</v>
      </c>
      <c r="Q183" s="2475">
        <f t="shared" si="29"/>
        <v>0</v>
      </c>
      <c r="R183" s="2475">
        <f t="shared" si="30"/>
        <v>0</v>
      </c>
      <c r="S183" s="2476">
        <f t="shared" si="24"/>
        <v>0</v>
      </c>
      <c r="T183" s="2476">
        <f t="shared" si="25"/>
        <v>0</v>
      </c>
      <c r="U183" s="2477">
        <f>IF(OR(E183="QS",B183=""),0,
IF(C183="F",VLOOKUP($T183,'表30-5-2-5-3'!$B:$AF,MATCH($D183&amp;"a",'表30-5-2-5-3'!$4:$4,0)-1,FALSE)
-IF($S183-1&lt;=0,0,VLOOKUP($S183-1,'表30-5-2-5-3'!$B:$AF,MATCH($D183&amp;"a",'表30-5-2-5-3'!$4:$4,0)-1,FALSE))
-VLOOKUP($T183,'表30-5-2-5-3'!$B:$AF,MATCH($D183,'表30-5-2-5-3'!$4:$4,0)-1,FALSE)*(T183/100-N183/H183)*100
-VLOOKUP($S183,'表30-5-2-5-3'!$B:$AF,MATCH($D183,'表30-5-2-5-3'!$4:$4,0)-1,FALSE)*(1-(S183/100-M183/H183)*100),
IF(C183="E1",VLOOKUP($T183,'表30-5-2-5-4'!$B$4:$AF$104,MATCH($D183&amp;"a",'表30-5-2-5-4'!$4:$4,0)-1,FALSE)
-IF($S183-1&lt;=0,0,VLOOKUP($S183-1,'表30-5-2-5-4'!$B$4:$AF$104,MATCH($D183&amp;"a",'表30-5-2-5-4'!$4:$4,0)-1,FALSE))
-VLOOKUP($T183,'表30-5-2-5-4'!$B$4:$AF$104,MATCH($D183,'表30-5-2-5-4'!$4:$4,0)-1,FALSE)*(T183/100-N183/H183)*100
-VLOOKUP($S183,'表30-5-2-5-4'!$B$4:$AF$104,MATCH($D183,'表30-5-2-5-4'!$4:$4,0)-1,FALSE)*(1-(S183/100-M183/H183)*100),
IF(C183="E2",VLOOKUP($T183,'表30-5-2-5-4'!$B$114:$AF$214,MATCH($D183&amp;"a",'表30-5-2-5-4'!$4:$4,0)-1,FALSE)
-IF($S183-1&lt;=0,0,VLOOKUP($S183-1,'表30-5-2-5-4'!$B$114:$AF$214,MATCH($D183&amp;"a",'表30-5-2-5-4'!$4:$4,0)-1,FALSE))
-VLOOKUP($T183,'表30-5-2-5-4'!$B$114:$AF$214,MATCH($D183,'表30-5-2-5-4'!$4:$4,0)-1,FALSE)*(T183/100-N183/H183)*100
-VLOOKUP($S183,'表30-5-2-5-4'!$B$114:$AF$214,MATCH($D183,'表30-5-2-5-4'!$4:$4,0)-1,FALSE)*(1-(S183/100-M183/H183)*100),0))))</f>
        <v>0</v>
      </c>
      <c r="V183" s="2478">
        <f t="shared" si="26"/>
        <v>0</v>
      </c>
      <c r="W183" s="2478">
        <f t="shared" si="27"/>
        <v>0</v>
      </c>
      <c r="X183" s="2718">
        <f t="shared" si="31"/>
        <v>0</v>
      </c>
      <c r="Y183" s="2718">
        <f t="shared" si="32"/>
        <v>0</v>
      </c>
    </row>
    <row r="184" spans="1:25">
      <c r="A184" s="2473" t="str">
        <f t="shared" si="28"/>
        <v/>
      </c>
      <c r="B184" s="2737"/>
      <c r="C184" s="2737"/>
      <c r="D184" s="2737"/>
      <c r="E184" s="2738"/>
      <c r="F184" s="2738"/>
      <c r="G184" s="2738"/>
      <c r="H184" s="2739"/>
      <c r="I184" s="2740"/>
      <c r="J184" s="2740"/>
      <c r="K184" s="2740"/>
      <c r="L184" s="2740"/>
      <c r="M184" s="2738"/>
      <c r="N184" s="2738"/>
      <c r="O184" s="2474">
        <f t="shared" si="22"/>
        <v>0</v>
      </c>
      <c r="P184" s="2474">
        <f t="shared" si="23"/>
        <v>0</v>
      </c>
      <c r="Q184" s="2475">
        <f t="shared" si="29"/>
        <v>0</v>
      </c>
      <c r="R184" s="2475">
        <f t="shared" si="30"/>
        <v>0</v>
      </c>
      <c r="S184" s="2476">
        <f t="shared" si="24"/>
        <v>0</v>
      </c>
      <c r="T184" s="2476">
        <f t="shared" si="25"/>
        <v>0</v>
      </c>
      <c r="U184" s="2477">
        <f>IF(OR(E184="QS",B184=""),0,
IF(C184="F",VLOOKUP($T184,'表30-5-2-5-3'!$B:$AF,MATCH($D184&amp;"a",'表30-5-2-5-3'!$4:$4,0)-1,FALSE)
-IF($S184-1&lt;=0,0,VLOOKUP($S184-1,'表30-5-2-5-3'!$B:$AF,MATCH($D184&amp;"a",'表30-5-2-5-3'!$4:$4,0)-1,FALSE))
-VLOOKUP($T184,'表30-5-2-5-3'!$B:$AF,MATCH($D184,'表30-5-2-5-3'!$4:$4,0)-1,FALSE)*(T184/100-N184/H184)*100
-VLOOKUP($S184,'表30-5-2-5-3'!$B:$AF,MATCH($D184,'表30-5-2-5-3'!$4:$4,0)-1,FALSE)*(1-(S184/100-M184/H184)*100),
IF(C184="E1",VLOOKUP($T184,'表30-5-2-5-4'!$B$4:$AF$104,MATCH($D184&amp;"a",'表30-5-2-5-4'!$4:$4,0)-1,FALSE)
-IF($S184-1&lt;=0,0,VLOOKUP($S184-1,'表30-5-2-5-4'!$B$4:$AF$104,MATCH($D184&amp;"a",'表30-5-2-5-4'!$4:$4,0)-1,FALSE))
-VLOOKUP($T184,'表30-5-2-5-4'!$B$4:$AF$104,MATCH($D184,'表30-5-2-5-4'!$4:$4,0)-1,FALSE)*(T184/100-N184/H184)*100
-VLOOKUP($S184,'表30-5-2-5-4'!$B$4:$AF$104,MATCH($D184,'表30-5-2-5-4'!$4:$4,0)-1,FALSE)*(1-(S184/100-M184/H184)*100),
IF(C184="E2",VLOOKUP($T184,'表30-5-2-5-4'!$B$114:$AF$214,MATCH($D184&amp;"a",'表30-5-2-5-4'!$4:$4,0)-1,FALSE)
-IF($S184-1&lt;=0,0,VLOOKUP($S184-1,'表30-5-2-5-4'!$B$114:$AF$214,MATCH($D184&amp;"a",'表30-5-2-5-4'!$4:$4,0)-1,FALSE))
-VLOOKUP($T184,'表30-5-2-5-4'!$B$114:$AF$214,MATCH($D184,'表30-5-2-5-4'!$4:$4,0)-1,FALSE)*(T184/100-N184/H184)*100
-VLOOKUP($S184,'表30-5-2-5-4'!$B$114:$AF$214,MATCH($D184,'表30-5-2-5-4'!$4:$4,0)-1,FALSE)*(1-(S184/100-M184/H184)*100),0))))</f>
        <v>0</v>
      </c>
      <c r="V184" s="2478">
        <f t="shared" si="26"/>
        <v>0</v>
      </c>
      <c r="W184" s="2478">
        <f t="shared" si="27"/>
        <v>0</v>
      </c>
      <c r="X184" s="2718">
        <f t="shared" si="31"/>
        <v>0</v>
      </c>
      <c r="Y184" s="2718">
        <f t="shared" si="32"/>
        <v>0</v>
      </c>
    </row>
    <row r="185" spans="1:25">
      <c r="A185" s="2473" t="str">
        <f t="shared" si="28"/>
        <v/>
      </c>
      <c r="B185" s="2737"/>
      <c r="C185" s="2737"/>
      <c r="D185" s="2737"/>
      <c r="E185" s="2738"/>
      <c r="F185" s="2738"/>
      <c r="G185" s="2738"/>
      <c r="H185" s="2739"/>
      <c r="I185" s="2740"/>
      <c r="J185" s="2740"/>
      <c r="K185" s="2740"/>
      <c r="L185" s="2740"/>
      <c r="M185" s="2738"/>
      <c r="N185" s="2738"/>
      <c r="O185" s="2474">
        <f t="shared" si="22"/>
        <v>0</v>
      </c>
      <c r="P185" s="2474">
        <f t="shared" si="23"/>
        <v>0</v>
      </c>
      <c r="Q185" s="2475">
        <f t="shared" si="29"/>
        <v>0</v>
      </c>
      <c r="R185" s="2475">
        <f t="shared" si="30"/>
        <v>0</v>
      </c>
      <c r="S185" s="2476">
        <f t="shared" si="24"/>
        <v>0</v>
      </c>
      <c r="T185" s="2476">
        <f t="shared" si="25"/>
        <v>0</v>
      </c>
      <c r="U185" s="2477">
        <f>IF(OR(E185="QS",B185=""),0,
IF(C185="F",VLOOKUP($T185,'表30-5-2-5-3'!$B:$AF,MATCH($D185&amp;"a",'表30-5-2-5-3'!$4:$4,0)-1,FALSE)
-IF($S185-1&lt;=0,0,VLOOKUP($S185-1,'表30-5-2-5-3'!$B:$AF,MATCH($D185&amp;"a",'表30-5-2-5-3'!$4:$4,0)-1,FALSE))
-VLOOKUP($T185,'表30-5-2-5-3'!$B:$AF,MATCH($D185,'表30-5-2-5-3'!$4:$4,0)-1,FALSE)*(T185/100-N185/H185)*100
-VLOOKUP($S185,'表30-5-2-5-3'!$B:$AF,MATCH($D185,'表30-5-2-5-3'!$4:$4,0)-1,FALSE)*(1-(S185/100-M185/H185)*100),
IF(C185="E1",VLOOKUP($T185,'表30-5-2-5-4'!$B$4:$AF$104,MATCH($D185&amp;"a",'表30-5-2-5-4'!$4:$4,0)-1,FALSE)
-IF($S185-1&lt;=0,0,VLOOKUP($S185-1,'表30-5-2-5-4'!$B$4:$AF$104,MATCH($D185&amp;"a",'表30-5-2-5-4'!$4:$4,0)-1,FALSE))
-VLOOKUP($T185,'表30-5-2-5-4'!$B$4:$AF$104,MATCH($D185,'表30-5-2-5-4'!$4:$4,0)-1,FALSE)*(T185/100-N185/H185)*100
-VLOOKUP($S185,'表30-5-2-5-4'!$B$4:$AF$104,MATCH($D185,'表30-5-2-5-4'!$4:$4,0)-1,FALSE)*(1-(S185/100-M185/H185)*100),
IF(C185="E2",VLOOKUP($T185,'表30-5-2-5-4'!$B$114:$AF$214,MATCH($D185&amp;"a",'表30-5-2-5-4'!$4:$4,0)-1,FALSE)
-IF($S185-1&lt;=0,0,VLOOKUP($S185-1,'表30-5-2-5-4'!$B$114:$AF$214,MATCH($D185&amp;"a",'表30-5-2-5-4'!$4:$4,0)-1,FALSE))
-VLOOKUP($T185,'表30-5-2-5-4'!$B$114:$AF$214,MATCH($D185,'表30-5-2-5-4'!$4:$4,0)-1,FALSE)*(T185/100-N185/H185)*100
-VLOOKUP($S185,'表30-5-2-5-4'!$B$114:$AF$214,MATCH($D185,'表30-5-2-5-4'!$4:$4,0)-1,FALSE)*(1-(S185/100-M185/H185)*100),0))))</f>
        <v>0</v>
      </c>
      <c r="V185" s="2478">
        <f t="shared" si="26"/>
        <v>0</v>
      </c>
      <c r="W185" s="2478">
        <f t="shared" si="27"/>
        <v>0</v>
      </c>
      <c r="X185" s="2718">
        <f t="shared" si="31"/>
        <v>0</v>
      </c>
      <c r="Y185" s="2718">
        <f t="shared" si="32"/>
        <v>0</v>
      </c>
    </row>
    <row r="186" spans="1:25">
      <c r="A186" s="2473" t="str">
        <f t="shared" si="28"/>
        <v/>
      </c>
      <c r="B186" s="2737"/>
      <c r="C186" s="2737"/>
      <c r="D186" s="2737"/>
      <c r="E186" s="2738"/>
      <c r="F186" s="2738"/>
      <c r="G186" s="2738"/>
      <c r="H186" s="2739"/>
      <c r="I186" s="2740"/>
      <c r="J186" s="2740"/>
      <c r="K186" s="2740"/>
      <c r="L186" s="2740"/>
      <c r="M186" s="2738"/>
      <c r="N186" s="2738"/>
      <c r="O186" s="2474">
        <f t="shared" si="22"/>
        <v>0</v>
      </c>
      <c r="P186" s="2474">
        <f t="shared" si="23"/>
        <v>0</v>
      </c>
      <c r="Q186" s="2475">
        <f t="shared" si="29"/>
        <v>0</v>
      </c>
      <c r="R186" s="2475">
        <f t="shared" si="30"/>
        <v>0</v>
      </c>
      <c r="S186" s="2476">
        <f t="shared" si="24"/>
        <v>0</v>
      </c>
      <c r="T186" s="2476">
        <f t="shared" si="25"/>
        <v>0</v>
      </c>
      <c r="U186" s="2477">
        <f>IF(OR(E186="QS",B186=""),0,
IF(C186="F",VLOOKUP($T186,'表30-5-2-5-3'!$B:$AF,MATCH($D186&amp;"a",'表30-5-2-5-3'!$4:$4,0)-1,FALSE)
-IF($S186-1&lt;=0,0,VLOOKUP($S186-1,'表30-5-2-5-3'!$B:$AF,MATCH($D186&amp;"a",'表30-5-2-5-3'!$4:$4,0)-1,FALSE))
-VLOOKUP($T186,'表30-5-2-5-3'!$B:$AF,MATCH($D186,'表30-5-2-5-3'!$4:$4,0)-1,FALSE)*(T186/100-N186/H186)*100
-VLOOKUP($S186,'表30-5-2-5-3'!$B:$AF,MATCH($D186,'表30-5-2-5-3'!$4:$4,0)-1,FALSE)*(1-(S186/100-M186/H186)*100),
IF(C186="E1",VLOOKUP($T186,'表30-5-2-5-4'!$B$4:$AF$104,MATCH($D186&amp;"a",'表30-5-2-5-4'!$4:$4,0)-1,FALSE)
-IF($S186-1&lt;=0,0,VLOOKUP($S186-1,'表30-5-2-5-4'!$B$4:$AF$104,MATCH($D186&amp;"a",'表30-5-2-5-4'!$4:$4,0)-1,FALSE))
-VLOOKUP($T186,'表30-5-2-5-4'!$B$4:$AF$104,MATCH($D186,'表30-5-2-5-4'!$4:$4,0)-1,FALSE)*(T186/100-N186/H186)*100
-VLOOKUP($S186,'表30-5-2-5-4'!$B$4:$AF$104,MATCH($D186,'表30-5-2-5-4'!$4:$4,0)-1,FALSE)*(1-(S186/100-M186/H186)*100),
IF(C186="E2",VLOOKUP($T186,'表30-5-2-5-4'!$B$114:$AF$214,MATCH($D186&amp;"a",'表30-5-2-5-4'!$4:$4,0)-1,FALSE)
-IF($S186-1&lt;=0,0,VLOOKUP($S186-1,'表30-5-2-5-4'!$B$114:$AF$214,MATCH($D186&amp;"a",'表30-5-2-5-4'!$4:$4,0)-1,FALSE))
-VLOOKUP($T186,'表30-5-2-5-4'!$B$114:$AF$214,MATCH($D186,'表30-5-2-5-4'!$4:$4,0)-1,FALSE)*(T186/100-N186/H186)*100
-VLOOKUP($S186,'表30-5-2-5-4'!$B$114:$AF$214,MATCH($D186,'表30-5-2-5-4'!$4:$4,0)-1,FALSE)*(1-(S186/100-M186/H186)*100),0))))</f>
        <v>0</v>
      </c>
      <c r="V186" s="2478">
        <f t="shared" si="26"/>
        <v>0</v>
      </c>
      <c r="W186" s="2478">
        <f t="shared" si="27"/>
        <v>0</v>
      </c>
      <c r="X186" s="2718">
        <f t="shared" si="31"/>
        <v>0</v>
      </c>
      <c r="Y186" s="2718">
        <f t="shared" si="32"/>
        <v>0</v>
      </c>
    </row>
    <row r="187" spans="1:25">
      <c r="A187" s="2473" t="str">
        <f t="shared" si="28"/>
        <v/>
      </c>
      <c r="B187" s="2737"/>
      <c r="C187" s="2737"/>
      <c r="D187" s="2737"/>
      <c r="E187" s="2738"/>
      <c r="F187" s="2738"/>
      <c r="G187" s="2738"/>
      <c r="H187" s="2739"/>
      <c r="I187" s="2740"/>
      <c r="J187" s="2740"/>
      <c r="K187" s="2740"/>
      <c r="L187" s="2740"/>
      <c r="M187" s="2738"/>
      <c r="N187" s="2738"/>
      <c r="O187" s="2474">
        <f t="shared" si="22"/>
        <v>0</v>
      </c>
      <c r="P187" s="2474">
        <f t="shared" si="23"/>
        <v>0</v>
      </c>
      <c r="Q187" s="2475">
        <f t="shared" si="29"/>
        <v>0</v>
      </c>
      <c r="R187" s="2475">
        <f t="shared" si="30"/>
        <v>0</v>
      </c>
      <c r="S187" s="2476">
        <f t="shared" si="24"/>
        <v>0</v>
      </c>
      <c r="T187" s="2476">
        <f t="shared" si="25"/>
        <v>0</v>
      </c>
      <c r="U187" s="2477">
        <f>IF(OR(E187="QS",B187=""),0,
IF(C187="F",VLOOKUP($T187,'表30-5-2-5-3'!$B:$AF,MATCH($D187&amp;"a",'表30-5-2-5-3'!$4:$4,0)-1,FALSE)
-IF($S187-1&lt;=0,0,VLOOKUP($S187-1,'表30-5-2-5-3'!$B:$AF,MATCH($D187&amp;"a",'表30-5-2-5-3'!$4:$4,0)-1,FALSE))
-VLOOKUP($T187,'表30-5-2-5-3'!$B:$AF,MATCH($D187,'表30-5-2-5-3'!$4:$4,0)-1,FALSE)*(T187/100-N187/H187)*100
-VLOOKUP($S187,'表30-5-2-5-3'!$B:$AF,MATCH($D187,'表30-5-2-5-3'!$4:$4,0)-1,FALSE)*(1-(S187/100-M187/H187)*100),
IF(C187="E1",VLOOKUP($T187,'表30-5-2-5-4'!$B$4:$AF$104,MATCH($D187&amp;"a",'表30-5-2-5-4'!$4:$4,0)-1,FALSE)
-IF($S187-1&lt;=0,0,VLOOKUP($S187-1,'表30-5-2-5-4'!$B$4:$AF$104,MATCH($D187&amp;"a",'表30-5-2-5-4'!$4:$4,0)-1,FALSE))
-VLOOKUP($T187,'表30-5-2-5-4'!$B$4:$AF$104,MATCH($D187,'表30-5-2-5-4'!$4:$4,0)-1,FALSE)*(T187/100-N187/H187)*100
-VLOOKUP($S187,'表30-5-2-5-4'!$B$4:$AF$104,MATCH($D187,'表30-5-2-5-4'!$4:$4,0)-1,FALSE)*(1-(S187/100-M187/H187)*100),
IF(C187="E2",VLOOKUP($T187,'表30-5-2-5-4'!$B$114:$AF$214,MATCH($D187&amp;"a",'表30-5-2-5-4'!$4:$4,0)-1,FALSE)
-IF($S187-1&lt;=0,0,VLOOKUP($S187-1,'表30-5-2-5-4'!$B$114:$AF$214,MATCH($D187&amp;"a",'表30-5-2-5-4'!$4:$4,0)-1,FALSE))
-VLOOKUP($T187,'表30-5-2-5-4'!$B$114:$AF$214,MATCH($D187,'表30-5-2-5-4'!$4:$4,0)-1,FALSE)*(T187/100-N187/H187)*100
-VLOOKUP($S187,'表30-5-2-5-4'!$B$114:$AF$214,MATCH($D187,'表30-5-2-5-4'!$4:$4,0)-1,FALSE)*(1-(S187/100-M187/H187)*100),0))))</f>
        <v>0</v>
      </c>
      <c r="V187" s="2478">
        <f t="shared" si="26"/>
        <v>0</v>
      </c>
      <c r="W187" s="2478">
        <f t="shared" si="27"/>
        <v>0</v>
      </c>
      <c r="X187" s="2718">
        <f t="shared" si="31"/>
        <v>0</v>
      </c>
      <c r="Y187" s="2718">
        <f t="shared" si="32"/>
        <v>0</v>
      </c>
    </row>
    <row r="188" spans="1:25">
      <c r="A188" s="2473" t="str">
        <f t="shared" si="28"/>
        <v/>
      </c>
      <c r="B188" s="2737"/>
      <c r="C188" s="2737"/>
      <c r="D188" s="2737"/>
      <c r="E188" s="2738"/>
      <c r="F188" s="2738"/>
      <c r="G188" s="2738"/>
      <c r="H188" s="2739"/>
      <c r="I188" s="2740"/>
      <c r="J188" s="2740"/>
      <c r="K188" s="2740"/>
      <c r="L188" s="2740"/>
      <c r="M188" s="2738"/>
      <c r="N188" s="2738"/>
      <c r="O188" s="2474">
        <f t="shared" si="22"/>
        <v>0</v>
      </c>
      <c r="P188" s="2474">
        <f t="shared" si="23"/>
        <v>0</v>
      </c>
      <c r="Q188" s="2475">
        <f t="shared" si="29"/>
        <v>0</v>
      </c>
      <c r="R188" s="2475">
        <f t="shared" si="30"/>
        <v>0</v>
      </c>
      <c r="S188" s="2476">
        <f t="shared" si="24"/>
        <v>0</v>
      </c>
      <c r="T188" s="2476">
        <f t="shared" si="25"/>
        <v>0</v>
      </c>
      <c r="U188" s="2477">
        <f>IF(OR(E188="QS",B188=""),0,
IF(C188="F",VLOOKUP($T188,'表30-5-2-5-3'!$B:$AF,MATCH($D188&amp;"a",'表30-5-2-5-3'!$4:$4,0)-1,FALSE)
-IF($S188-1&lt;=0,0,VLOOKUP($S188-1,'表30-5-2-5-3'!$B:$AF,MATCH($D188&amp;"a",'表30-5-2-5-3'!$4:$4,0)-1,FALSE))
-VLOOKUP($T188,'表30-5-2-5-3'!$B:$AF,MATCH($D188,'表30-5-2-5-3'!$4:$4,0)-1,FALSE)*(T188/100-N188/H188)*100
-VLOOKUP($S188,'表30-5-2-5-3'!$B:$AF,MATCH($D188,'表30-5-2-5-3'!$4:$4,0)-1,FALSE)*(1-(S188/100-M188/H188)*100),
IF(C188="E1",VLOOKUP($T188,'表30-5-2-5-4'!$B$4:$AF$104,MATCH($D188&amp;"a",'表30-5-2-5-4'!$4:$4,0)-1,FALSE)
-IF($S188-1&lt;=0,0,VLOOKUP($S188-1,'表30-5-2-5-4'!$B$4:$AF$104,MATCH($D188&amp;"a",'表30-5-2-5-4'!$4:$4,0)-1,FALSE))
-VLOOKUP($T188,'表30-5-2-5-4'!$B$4:$AF$104,MATCH($D188,'表30-5-2-5-4'!$4:$4,0)-1,FALSE)*(T188/100-N188/H188)*100
-VLOOKUP($S188,'表30-5-2-5-4'!$B$4:$AF$104,MATCH($D188,'表30-5-2-5-4'!$4:$4,0)-1,FALSE)*(1-(S188/100-M188/H188)*100),
IF(C188="E2",VLOOKUP($T188,'表30-5-2-5-4'!$B$114:$AF$214,MATCH($D188&amp;"a",'表30-5-2-5-4'!$4:$4,0)-1,FALSE)
-IF($S188-1&lt;=0,0,VLOOKUP($S188-1,'表30-5-2-5-4'!$B$114:$AF$214,MATCH($D188&amp;"a",'表30-5-2-5-4'!$4:$4,0)-1,FALSE))
-VLOOKUP($T188,'表30-5-2-5-4'!$B$114:$AF$214,MATCH($D188,'表30-5-2-5-4'!$4:$4,0)-1,FALSE)*(T188/100-N188/H188)*100
-VLOOKUP($S188,'表30-5-2-5-4'!$B$114:$AF$214,MATCH($D188,'表30-5-2-5-4'!$4:$4,0)-1,FALSE)*(1-(S188/100-M188/H188)*100),0))))</f>
        <v>0</v>
      </c>
      <c r="V188" s="2478">
        <f t="shared" si="26"/>
        <v>0</v>
      </c>
      <c r="W188" s="2478">
        <f t="shared" si="27"/>
        <v>0</v>
      </c>
      <c r="X188" s="2718">
        <f t="shared" si="31"/>
        <v>0</v>
      </c>
      <c r="Y188" s="2718">
        <f t="shared" si="32"/>
        <v>0</v>
      </c>
    </row>
    <row r="189" spans="1:25">
      <c r="A189" s="2473" t="str">
        <f t="shared" si="28"/>
        <v/>
      </c>
      <c r="B189" s="2737"/>
      <c r="C189" s="2737"/>
      <c r="D189" s="2737"/>
      <c r="E189" s="2738"/>
      <c r="F189" s="2738"/>
      <c r="G189" s="2738"/>
      <c r="H189" s="2739"/>
      <c r="I189" s="2740"/>
      <c r="J189" s="2740"/>
      <c r="K189" s="2740"/>
      <c r="L189" s="2740"/>
      <c r="M189" s="2738"/>
      <c r="N189" s="2738"/>
      <c r="O189" s="2474">
        <f t="shared" si="22"/>
        <v>0</v>
      </c>
      <c r="P189" s="2474">
        <f t="shared" si="23"/>
        <v>0</v>
      </c>
      <c r="Q189" s="2475">
        <f t="shared" si="29"/>
        <v>0</v>
      </c>
      <c r="R189" s="2475">
        <f t="shared" si="30"/>
        <v>0</v>
      </c>
      <c r="S189" s="2476">
        <f t="shared" si="24"/>
        <v>0</v>
      </c>
      <c r="T189" s="2476">
        <f t="shared" si="25"/>
        <v>0</v>
      </c>
      <c r="U189" s="2477">
        <f>IF(OR(E189="QS",B189=""),0,
IF(C189="F",VLOOKUP($T189,'表30-5-2-5-3'!$B:$AF,MATCH($D189&amp;"a",'表30-5-2-5-3'!$4:$4,0)-1,FALSE)
-IF($S189-1&lt;=0,0,VLOOKUP($S189-1,'表30-5-2-5-3'!$B:$AF,MATCH($D189&amp;"a",'表30-5-2-5-3'!$4:$4,0)-1,FALSE))
-VLOOKUP($T189,'表30-5-2-5-3'!$B:$AF,MATCH($D189,'表30-5-2-5-3'!$4:$4,0)-1,FALSE)*(T189/100-N189/H189)*100
-VLOOKUP($S189,'表30-5-2-5-3'!$B:$AF,MATCH($D189,'表30-5-2-5-3'!$4:$4,0)-1,FALSE)*(1-(S189/100-M189/H189)*100),
IF(C189="E1",VLOOKUP($T189,'表30-5-2-5-4'!$B$4:$AF$104,MATCH($D189&amp;"a",'表30-5-2-5-4'!$4:$4,0)-1,FALSE)
-IF($S189-1&lt;=0,0,VLOOKUP($S189-1,'表30-5-2-5-4'!$B$4:$AF$104,MATCH($D189&amp;"a",'表30-5-2-5-4'!$4:$4,0)-1,FALSE))
-VLOOKUP($T189,'表30-5-2-5-4'!$B$4:$AF$104,MATCH($D189,'表30-5-2-5-4'!$4:$4,0)-1,FALSE)*(T189/100-N189/H189)*100
-VLOOKUP($S189,'表30-5-2-5-4'!$B$4:$AF$104,MATCH($D189,'表30-5-2-5-4'!$4:$4,0)-1,FALSE)*(1-(S189/100-M189/H189)*100),
IF(C189="E2",VLOOKUP($T189,'表30-5-2-5-4'!$B$114:$AF$214,MATCH($D189&amp;"a",'表30-5-2-5-4'!$4:$4,0)-1,FALSE)
-IF($S189-1&lt;=0,0,VLOOKUP($S189-1,'表30-5-2-5-4'!$B$114:$AF$214,MATCH($D189&amp;"a",'表30-5-2-5-4'!$4:$4,0)-1,FALSE))
-VLOOKUP($T189,'表30-5-2-5-4'!$B$114:$AF$214,MATCH($D189,'表30-5-2-5-4'!$4:$4,0)-1,FALSE)*(T189/100-N189/H189)*100
-VLOOKUP($S189,'表30-5-2-5-4'!$B$114:$AF$214,MATCH($D189,'表30-5-2-5-4'!$4:$4,0)-1,FALSE)*(1-(S189/100-M189/H189)*100),0))))</f>
        <v>0</v>
      </c>
      <c r="V189" s="2478">
        <f t="shared" si="26"/>
        <v>0</v>
      </c>
      <c r="W189" s="2478">
        <f t="shared" si="27"/>
        <v>0</v>
      </c>
      <c r="X189" s="2718">
        <f t="shared" si="31"/>
        <v>0</v>
      </c>
      <c r="Y189" s="2718">
        <f t="shared" si="32"/>
        <v>0</v>
      </c>
    </row>
    <row r="190" spans="1:25">
      <c r="A190" s="2473" t="str">
        <f t="shared" si="28"/>
        <v/>
      </c>
      <c r="B190" s="2737"/>
      <c r="C190" s="2737"/>
      <c r="D190" s="2737"/>
      <c r="E190" s="2738"/>
      <c r="F190" s="2738"/>
      <c r="G190" s="2738"/>
      <c r="H190" s="2739"/>
      <c r="I190" s="2740"/>
      <c r="J190" s="2740"/>
      <c r="K190" s="2740"/>
      <c r="L190" s="2740"/>
      <c r="M190" s="2738"/>
      <c r="N190" s="2738"/>
      <c r="O190" s="2474">
        <f t="shared" si="22"/>
        <v>0</v>
      </c>
      <c r="P190" s="2474">
        <f t="shared" si="23"/>
        <v>0</v>
      </c>
      <c r="Q190" s="2475">
        <f t="shared" si="29"/>
        <v>0</v>
      </c>
      <c r="R190" s="2475">
        <f t="shared" si="30"/>
        <v>0</v>
      </c>
      <c r="S190" s="2476">
        <f t="shared" si="24"/>
        <v>0</v>
      </c>
      <c r="T190" s="2476">
        <f t="shared" si="25"/>
        <v>0</v>
      </c>
      <c r="U190" s="2477">
        <f>IF(OR(E190="QS",B190=""),0,
IF(C190="F",VLOOKUP($T190,'表30-5-2-5-3'!$B:$AF,MATCH($D190&amp;"a",'表30-5-2-5-3'!$4:$4,0)-1,FALSE)
-IF($S190-1&lt;=0,0,VLOOKUP($S190-1,'表30-5-2-5-3'!$B:$AF,MATCH($D190&amp;"a",'表30-5-2-5-3'!$4:$4,0)-1,FALSE))
-VLOOKUP($T190,'表30-5-2-5-3'!$B:$AF,MATCH($D190,'表30-5-2-5-3'!$4:$4,0)-1,FALSE)*(T190/100-N190/H190)*100
-VLOOKUP($S190,'表30-5-2-5-3'!$B:$AF,MATCH($D190,'表30-5-2-5-3'!$4:$4,0)-1,FALSE)*(1-(S190/100-M190/H190)*100),
IF(C190="E1",VLOOKUP($T190,'表30-5-2-5-4'!$B$4:$AF$104,MATCH($D190&amp;"a",'表30-5-2-5-4'!$4:$4,0)-1,FALSE)
-IF($S190-1&lt;=0,0,VLOOKUP($S190-1,'表30-5-2-5-4'!$B$4:$AF$104,MATCH($D190&amp;"a",'表30-5-2-5-4'!$4:$4,0)-1,FALSE))
-VLOOKUP($T190,'表30-5-2-5-4'!$B$4:$AF$104,MATCH($D190,'表30-5-2-5-4'!$4:$4,0)-1,FALSE)*(T190/100-N190/H190)*100
-VLOOKUP($S190,'表30-5-2-5-4'!$B$4:$AF$104,MATCH($D190,'表30-5-2-5-4'!$4:$4,0)-1,FALSE)*(1-(S190/100-M190/H190)*100),
IF(C190="E2",VLOOKUP($T190,'表30-5-2-5-4'!$B$114:$AF$214,MATCH($D190&amp;"a",'表30-5-2-5-4'!$4:$4,0)-1,FALSE)
-IF($S190-1&lt;=0,0,VLOOKUP($S190-1,'表30-5-2-5-4'!$B$114:$AF$214,MATCH($D190&amp;"a",'表30-5-2-5-4'!$4:$4,0)-1,FALSE))
-VLOOKUP($T190,'表30-5-2-5-4'!$B$114:$AF$214,MATCH($D190,'表30-5-2-5-4'!$4:$4,0)-1,FALSE)*(T190/100-N190/H190)*100
-VLOOKUP($S190,'表30-5-2-5-4'!$B$114:$AF$214,MATCH($D190,'表30-5-2-5-4'!$4:$4,0)-1,FALSE)*(1-(S190/100-M190/H190)*100),0))))</f>
        <v>0</v>
      </c>
      <c r="V190" s="2478">
        <f t="shared" si="26"/>
        <v>0</v>
      </c>
      <c r="W190" s="2478">
        <f t="shared" si="27"/>
        <v>0</v>
      </c>
      <c r="X190" s="2718">
        <f t="shared" si="31"/>
        <v>0</v>
      </c>
      <c r="Y190" s="2718">
        <f t="shared" si="32"/>
        <v>0</v>
      </c>
    </row>
    <row r="191" spans="1:25">
      <c r="A191" s="2473" t="str">
        <f t="shared" si="28"/>
        <v/>
      </c>
      <c r="B191" s="2737"/>
      <c r="C191" s="2737"/>
      <c r="D191" s="2737"/>
      <c r="E191" s="2738"/>
      <c r="F191" s="2738"/>
      <c r="G191" s="2738"/>
      <c r="H191" s="2739"/>
      <c r="I191" s="2740"/>
      <c r="J191" s="2740"/>
      <c r="K191" s="2740"/>
      <c r="L191" s="2740"/>
      <c r="M191" s="2738"/>
      <c r="N191" s="2738"/>
      <c r="O191" s="2474">
        <f t="shared" si="22"/>
        <v>0</v>
      </c>
      <c r="P191" s="2474">
        <f t="shared" si="23"/>
        <v>0</v>
      </c>
      <c r="Q191" s="2475">
        <f t="shared" si="29"/>
        <v>0</v>
      </c>
      <c r="R191" s="2475">
        <f t="shared" si="30"/>
        <v>0</v>
      </c>
      <c r="S191" s="2476">
        <f t="shared" si="24"/>
        <v>0</v>
      </c>
      <c r="T191" s="2476">
        <f t="shared" si="25"/>
        <v>0</v>
      </c>
      <c r="U191" s="2477">
        <f>IF(OR(E191="QS",B191=""),0,
IF(C191="F",VLOOKUP($T191,'表30-5-2-5-3'!$B:$AF,MATCH($D191&amp;"a",'表30-5-2-5-3'!$4:$4,0)-1,FALSE)
-IF($S191-1&lt;=0,0,VLOOKUP($S191-1,'表30-5-2-5-3'!$B:$AF,MATCH($D191&amp;"a",'表30-5-2-5-3'!$4:$4,0)-1,FALSE))
-VLOOKUP($T191,'表30-5-2-5-3'!$B:$AF,MATCH($D191,'表30-5-2-5-3'!$4:$4,0)-1,FALSE)*(T191/100-N191/H191)*100
-VLOOKUP($S191,'表30-5-2-5-3'!$B:$AF,MATCH($D191,'表30-5-2-5-3'!$4:$4,0)-1,FALSE)*(1-(S191/100-M191/H191)*100),
IF(C191="E1",VLOOKUP($T191,'表30-5-2-5-4'!$B$4:$AF$104,MATCH($D191&amp;"a",'表30-5-2-5-4'!$4:$4,0)-1,FALSE)
-IF($S191-1&lt;=0,0,VLOOKUP($S191-1,'表30-5-2-5-4'!$B$4:$AF$104,MATCH($D191&amp;"a",'表30-5-2-5-4'!$4:$4,0)-1,FALSE))
-VLOOKUP($T191,'表30-5-2-5-4'!$B$4:$AF$104,MATCH($D191,'表30-5-2-5-4'!$4:$4,0)-1,FALSE)*(T191/100-N191/H191)*100
-VLOOKUP($S191,'表30-5-2-5-4'!$B$4:$AF$104,MATCH($D191,'表30-5-2-5-4'!$4:$4,0)-1,FALSE)*(1-(S191/100-M191/H191)*100),
IF(C191="E2",VLOOKUP($T191,'表30-5-2-5-4'!$B$114:$AF$214,MATCH($D191&amp;"a",'表30-5-2-5-4'!$4:$4,0)-1,FALSE)
-IF($S191-1&lt;=0,0,VLOOKUP($S191-1,'表30-5-2-5-4'!$B$114:$AF$214,MATCH($D191&amp;"a",'表30-5-2-5-4'!$4:$4,0)-1,FALSE))
-VLOOKUP($T191,'表30-5-2-5-4'!$B$114:$AF$214,MATCH($D191,'表30-5-2-5-4'!$4:$4,0)-1,FALSE)*(T191/100-N191/H191)*100
-VLOOKUP($S191,'表30-5-2-5-4'!$B$114:$AF$214,MATCH($D191,'表30-5-2-5-4'!$4:$4,0)-1,FALSE)*(1-(S191/100-M191/H191)*100),0))))</f>
        <v>0</v>
      </c>
      <c r="V191" s="2478">
        <f t="shared" si="26"/>
        <v>0</v>
      </c>
      <c r="W191" s="2478">
        <f t="shared" si="27"/>
        <v>0</v>
      </c>
      <c r="X191" s="2718">
        <f t="shared" si="31"/>
        <v>0</v>
      </c>
      <c r="Y191" s="2718">
        <f t="shared" si="32"/>
        <v>0</v>
      </c>
    </row>
    <row r="192" spans="1:25">
      <c r="A192" s="2473" t="str">
        <f t="shared" si="28"/>
        <v/>
      </c>
      <c r="B192" s="2737"/>
      <c r="C192" s="2737"/>
      <c r="D192" s="2737"/>
      <c r="E192" s="2738"/>
      <c r="F192" s="2738"/>
      <c r="G192" s="2738"/>
      <c r="H192" s="2739"/>
      <c r="I192" s="2740"/>
      <c r="J192" s="2740"/>
      <c r="K192" s="2740"/>
      <c r="L192" s="2740"/>
      <c r="M192" s="2738"/>
      <c r="N192" s="2738"/>
      <c r="O192" s="2474">
        <f t="shared" si="22"/>
        <v>0</v>
      </c>
      <c r="P192" s="2474">
        <f t="shared" si="23"/>
        <v>0</v>
      </c>
      <c r="Q192" s="2475">
        <f t="shared" si="29"/>
        <v>0</v>
      </c>
      <c r="R192" s="2475">
        <f t="shared" si="30"/>
        <v>0</v>
      </c>
      <c r="S192" s="2476">
        <f t="shared" si="24"/>
        <v>0</v>
      </c>
      <c r="T192" s="2476">
        <f t="shared" si="25"/>
        <v>0</v>
      </c>
      <c r="U192" s="2477">
        <f>IF(OR(E192="QS",B192=""),0,
IF(C192="F",VLOOKUP($T192,'表30-5-2-5-3'!$B:$AF,MATCH($D192&amp;"a",'表30-5-2-5-3'!$4:$4,0)-1,FALSE)
-IF($S192-1&lt;=0,0,VLOOKUP($S192-1,'表30-5-2-5-3'!$B:$AF,MATCH($D192&amp;"a",'表30-5-2-5-3'!$4:$4,0)-1,FALSE))
-VLOOKUP($T192,'表30-5-2-5-3'!$B:$AF,MATCH($D192,'表30-5-2-5-3'!$4:$4,0)-1,FALSE)*(T192/100-N192/H192)*100
-VLOOKUP($S192,'表30-5-2-5-3'!$B:$AF,MATCH($D192,'表30-5-2-5-3'!$4:$4,0)-1,FALSE)*(1-(S192/100-M192/H192)*100),
IF(C192="E1",VLOOKUP($T192,'表30-5-2-5-4'!$B$4:$AF$104,MATCH($D192&amp;"a",'表30-5-2-5-4'!$4:$4,0)-1,FALSE)
-IF($S192-1&lt;=0,0,VLOOKUP($S192-1,'表30-5-2-5-4'!$B$4:$AF$104,MATCH($D192&amp;"a",'表30-5-2-5-4'!$4:$4,0)-1,FALSE))
-VLOOKUP($T192,'表30-5-2-5-4'!$B$4:$AF$104,MATCH($D192,'表30-5-2-5-4'!$4:$4,0)-1,FALSE)*(T192/100-N192/H192)*100
-VLOOKUP($S192,'表30-5-2-5-4'!$B$4:$AF$104,MATCH($D192,'表30-5-2-5-4'!$4:$4,0)-1,FALSE)*(1-(S192/100-M192/H192)*100),
IF(C192="E2",VLOOKUP($T192,'表30-5-2-5-4'!$B$114:$AF$214,MATCH($D192&amp;"a",'表30-5-2-5-4'!$4:$4,0)-1,FALSE)
-IF($S192-1&lt;=0,0,VLOOKUP($S192-1,'表30-5-2-5-4'!$B$114:$AF$214,MATCH($D192&amp;"a",'表30-5-2-5-4'!$4:$4,0)-1,FALSE))
-VLOOKUP($T192,'表30-5-2-5-4'!$B$114:$AF$214,MATCH($D192,'表30-5-2-5-4'!$4:$4,0)-1,FALSE)*(T192/100-N192/H192)*100
-VLOOKUP($S192,'表30-5-2-5-4'!$B$114:$AF$214,MATCH($D192,'表30-5-2-5-4'!$4:$4,0)-1,FALSE)*(1-(S192/100-M192/H192)*100),0))))</f>
        <v>0</v>
      </c>
      <c r="V192" s="2478">
        <f t="shared" si="26"/>
        <v>0</v>
      </c>
      <c r="W192" s="2478">
        <f t="shared" si="27"/>
        <v>0</v>
      </c>
      <c r="X192" s="2718">
        <f t="shared" si="31"/>
        <v>0</v>
      </c>
      <c r="Y192" s="2718">
        <f t="shared" si="32"/>
        <v>0</v>
      </c>
    </row>
    <row r="193" spans="1:25">
      <c r="A193" s="2473" t="str">
        <f t="shared" si="28"/>
        <v/>
      </c>
      <c r="B193" s="2737"/>
      <c r="C193" s="2737"/>
      <c r="D193" s="2737"/>
      <c r="E193" s="2738"/>
      <c r="F193" s="2738"/>
      <c r="G193" s="2738"/>
      <c r="H193" s="2739"/>
      <c r="I193" s="2740"/>
      <c r="J193" s="2740"/>
      <c r="K193" s="2740"/>
      <c r="L193" s="2740"/>
      <c r="M193" s="2738"/>
      <c r="N193" s="2738"/>
      <c r="O193" s="2474">
        <f t="shared" si="22"/>
        <v>0</v>
      </c>
      <c r="P193" s="2474">
        <f t="shared" si="23"/>
        <v>0</v>
      </c>
      <c r="Q193" s="2475">
        <f t="shared" si="29"/>
        <v>0</v>
      </c>
      <c r="R193" s="2475">
        <f t="shared" si="30"/>
        <v>0</v>
      </c>
      <c r="S193" s="2476">
        <f t="shared" si="24"/>
        <v>0</v>
      </c>
      <c r="T193" s="2476">
        <f t="shared" si="25"/>
        <v>0</v>
      </c>
      <c r="U193" s="2477">
        <f>IF(OR(E193="QS",B193=""),0,
IF(C193="F",VLOOKUP($T193,'表30-5-2-5-3'!$B:$AF,MATCH($D193&amp;"a",'表30-5-2-5-3'!$4:$4,0)-1,FALSE)
-IF($S193-1&lt;=0,0,VLOOKUP($S193-1,'表30-5-2-5-3'!$B:$AF,MATCH($D193&amp;"a",'表30-5-2-5-3'!$4:$4,0)-1,FALSE))
-VLOOKUP($T193,'表30-5-2-5-3'!$B:$AF,MATCH($D193,'表30-5-2-5-3'!$4:$4,0)-1,FALSE)*(T193/100-N193/H193)*100
-VLOOKUP($S193,'表30-5-2-5-3'!$B:$AF,MATCH($D193,'表30-5-2-5-3'!$4:$4,0)-1,FALSE)*(1-(S193/100-M193/H193)*100),
IF(C193="E1",VLOOKUP($T193,'表30-5-2-5-4'!$B$4:$AF$104,MATCH($D193&amp;"a",'表30-5-2-5-4'!$4:$4,0)-1,FALSE)
-IF($S193-1&lt;=0,0,VLOOKUP($S193-1,'表30-5-2-5-4'!$B$4:$AF$104,MATCH($D193&amp;"a",'表30-5-2-5-4'!$4:$4,0)-1,FALSE))
-VLOOKUP($T193,'表30-5-2-5-4'!$B$4:$AF$104,MATCH($D193,'表30-5-2-5-4'!$4:$4,0)-1,FALSE)*(T193/100-N193/H193)*100
-VLOOKUP($S193,'表30-5-2-5-4'!$B$4:$AF$104,MATCH($D193,'表30-5-2-5-4'!$4:$4,0)-1,FALSE)*(1-(S193/100-M193/H193)*100),
IF(C193="E2",VLOOKUP($T193,'表30-5-2-5-4'!$B$114:$AF$214,MATCH($D193&amp;"a",'表30-5-2-5-4'!$4:$4,0)-1,FALSE)
-IF($S193-1&lt;=0,0,VLOOKUP($S193-1,'表30-5-2-5-4'!$B$114:$AF$214,MATCH($D193&amp;"a",'表30-5-2-5-4'!$4:$4,0)-1,FALSE))
-VLOOKUP($T193,'表30-5-2-5-4'!$B$114:$AF$214,MATCH($D193,'表30-5-2-5-4'!$4:$4,0)-1,FALSE)*(T193/100-N193/H193)*100
-VLOOKUP($S193,'表30-5-2-5-4'!$B$114:$AF$214,MATCH($D193,'表30-5-2-5-4'!$4:$4,0)-1,FALSE)*(1-(S193/100-M193/H193)*100),0))))</f>
        <v>0</v>
      </c>
      <c r="V193" s="2478">
        <f t="shared" si="26"/>
        <v>0</v>
      </c>
      <c r="W193" s="2478">
        <f t="shared" si="27"/>
        <v>0</v>
      </c>
      <c r="X193" s="2718">
        <f t="shared" si="31"/>
        <v>0</v>
      </c>
      <c r="Y193" s="2718">
        <f t="shared" si="32"/>
        <v>0</v>
      </c>
    </row>
    <row r="194" spans="1:25">
      <c r="A194" s="2473" t="str">
        <f t="shared" si="28"/>
        <v/>
      </c>
      <c r="B194" s="2737"/>
      <c r="C194" s="2737"/>
      <c r="D194" s="2737"/>
      <c r="E194" s="2738"/>
      <c r="F194" s="2738"/>
      <c r="G194" s="2738"/>
      <c r="H194" s="2739"/>
      <c r="I194" s="2740"/>
      <c r="J194" s="2740"/>
      <c r="K194" s="2740"/>
      <c r="L194" s="2740"/>
      <c r="M194" s="2738"/>
      <c r="N194" s="2738"/>
      <c r="O194" s="2474">
        <f t="shared" si="22"/>
        <v>0</v>
      </c>
      <c r="P194" s="2474">
        <f t="shared" si="23"/>
        <v>0</v>
      </c>
      <c r="Q194" s="2475">
        <f t="shared" si="29"/>
        <v>0</v>
      </c>
      <c r="R194" s="2475">
        <f t="shared" si="30"/>
        <v>0</v>
      </c>
      <c r="S194" s="2476">
        <f t="shared" si="24"/>
        <v>0</v>
      </c>
      <c r="T194" s="2476">
        <f t="shared" si="25"/>
        <v>0</v>
      </c>
      <c r="U194" s="2477">
        <f>IF(OR(E194="QS",B194=""),0,
IF(C194="F",VLOOKUP($T194,'表30-5-2-5-3'!$B:$AF,MATCH($D194&amp;"a",'表30-5-2-5-3'!$4:$4,0)-1,FALSE)
-IF($S194-1&lt;=0,0,VLOOKUP($S194-1,'表30-5-2-5-3'!$B:$AF,MATCH($D194&amp;"a",'表30-5-2-5-3'!$4:$4,0)-1,FALSE))
-VLOOKUP($T194,'表30-5-2-5-3'!$B:$AF,MATCH($D194,'表30-5-2-5-3'!$4:$4,0)-1,FALSE)*(T194/100-N194/H194)*100
-VLOOKUP($S194,'表30-5-2-5-3'!$B:$AF,MATCH($D194,'表30-5-2-5-3'!$4:$4,0)-1,FALSE)*(1-(S194/100-M194/H194)*100),
IF(C194="E1",VLOOKUP($T194,'表30-5-2-5-4'!$B$4:$AF$104,MATCH($D194&amp;"a",'表30-5-2-5-4'!$4:$4,0)-1,FALSE)
-IF($S194-1&lt;=0,0,VLOOKUP($S194-1,'表30-5-2-5-4'!$B$4:$AF$104,MATCH($D194&amp;"a",'表30-5-2-5-4'!$4:$4,0)-1,FALSE))
-VLOOKUP($T194,'表30-5-2-5-4'!$B$4:$AF$104,MATCH($D194,'表30-5-2-5-4'!$4:$4,0)-1,FALSE)*(T194/100-N194/H194)*100
-VLOOKUP($S194,'表30-5-2-5-4'!$B$4:$AF$104,MATCH($D194,'表30-5-2-5-4'!$4:$4,0)-1,FALSE)*(1-(S194/100-M194/H194)*100),
IF(C194="E2",VLOOKUP($T194,'表30-5-2-5-4'!$B$114:$AF$214,MATCH($D194&amp;"a",'表30-5-2-5-4'!$4:$4,0)-1,FALSE)
-IF($S194-1&lt;=0,0,VLOOKUP($S194-1,'表30-5-2-5-4'!$B$114:$AF$214,MATCH($D194&amp;"a",'表30-5-2-5-4'!$4:$4,0)-1,FALSE))
-VLOOKUP($T194,'表30-5-2-5-4'!$B$114:$AF$214,MATCH($D194,'表30-5-2-5-4'!$4:$4,0)-1,FALSE)*(T194/100-N194/H194)*100
-VLOOKUP($S194,'表30-5-2-5-4'!$B$114:$AF$214,MATCH($D194,'表30-5-2-5-4'!$4:$4,0)-1,FALSE)*(1-(S194/100-M194/H194)*100),0))))</f>
        <v>0</v>
      </c>
      <c r="V194" s="2478">
        <f t="shared" si="26"/>
        <v>0</v>
      </c>
      <c r="W194" s="2478">
        <f t="shared" si="27"/>
        <v>0</v>
      </c>
      <c r="X194" s="2718">
        <f t="shared" si="31"/>
        <v>0</v>
      </c>
      <c r="Y194" s="2718">
        <f t="shared" si="32"/>
        <v>0</v>
      </c>
    </row>
    <row r="195" spans="1:25">
      <c r="A195" s="2473" t="str">
        <f t="shared" si="28"/>
        <v/>
      </c>
      <c r="B195" s="2737"/>
      <c r="C195" s="2737"/>
      <c r="D195" s="2737"/>
      <c r="E195" s="2738"/>
      <c r="F195" s="2738"/>
      <c r="G195" s="2738"/>
      <c r="H195" s="2739"/>
      <c r="I195" s="2740"/>
      <c r="J195" s="2740"/>
      <c r="K195" s="2740"/>
      <c r="L195" s="2740"/>
      <c r="M195" s="2738"/>
      <c r="N195" s="2738"/>
      <c r="O195" s="2474">
        <f t="shared" si="22"/>
        <v>0</v>
      </c>
      <c r="P195" s="2474">
        <f t="shared" si="23"/>
        <v>0</v>
      </c>
      <c r="Q195" s="2475">
        <f t="shared" si="29"/>
        <v>0</v>
      </c>
      <c r="R195" s="2475">
        <f t="shared" si="30"/>
        <v>0</v>
      </c>
      <c r="S195" s="2476">
        <f t="shared" si="24"/>
        <v>0</v>
      </c>
      <c r="T195" s="2476">
        <f t="shared" si="25"/>
        <v>0</v>
      </c>
      <c r="U195" s="2477">
        <f>IF(OR(E195="QS",B195=""),0,
IF(C195="F",VLOOKUP($T195,'表30-5-2-5-3'!$B:$AF,MATCH($D195&amp;"a",'表30-5-2-5-3'!$4:$4,0)-1,FALSE)
-IF($S195-1&lt;=0,0,VLOOKUP($S195-1,'表30-5-2-5-3'!$B:$AF,MATCH($D195&amp;"a",'表30-5-2-5-3'!$4:$4,0)-1,FALSE))
-VLOOKUP($T195,'表30-5-2-5-3'!$B:$AF,MATCH($D195,'表30-5-2-5-3'!$4:$4,0)-1,FALSE)*(T195/100-N195/H195)*100
-VLOOKUP($S195,'表30-5-2-5-3'!$B:$AF,MATCH($D195,'表30-5-2-5-3'!$4:$4,0)-1,FALSE)*(1-(S195/100-M195/H195)*100),
IF(C195="E1",VLOOKUP($T195,'表30-5-2-5-4'!$B$4:$AF$104,MATCH($D195&amp;"a",'表30-5-2-5-4'!$4:$4,0)-1,FALSE)
-IF($S195-1&lt;=0,0,VLOOKUP($S195-1,'表30-5-2-5-4'!$B$4:$AF$104,MATCH($D195&amp;"a",'表30-5-2-5-4'!$4:$4,0)-1,FALSE))
-VLOOKUP($T195,'表30-5-2-5-4'!$B$4:$AF$104,MATCH($D195,'表30-5-2-5-4'!$4:$4,0)-1,FALSE)*(T195/100-N195/H195)*100
-VLOOKUP($S195,'表30-5-2-5-4'!$B$4:$AF$104,MATCH($D195,'表30-5-2-5-4'!$4:$4,0)-1,FALSE)*(1-(S195/100-M195/H195)*100),
IF(C195="E2",VLOOKUP($T195,'表30-5-2-5-4'!$B$114:$AF$214,MATCH($D195&amp;"a",'表30-5-2-5-4'!$4:$4,0)-1,FALSE)
-IF($S195-1&lt;=0,0,VLOOKUP($S195-1,'表30-5-2-5-4'!$B$114:$AF$214,MATCH($D195&amp;"a",'表30-5-2-5-4'!$4:$4,0)-1,FALSE))
-VLOOKUP($T195,'表30-5-2-5-4'!$B$114:$AF$214,MATCH($D195,'表30-5-2-5-4'!$4:$4,0)-1,FALSE)*(T195/100-N195/H195)*100
-VLOOKUP($S195,'表30-5-2-5-4'!$B$114:$AF$214,MATCH($D195,'表30-5-2-5-4'!$4:$4,0)-1,FALSE)*(1-(S195/100-M195/H195)*100),0))))</f>
        <v>0</v>
      </c>
      <c r="V195" s="2478">
        <f t="shared" si="26"/>
        <v>0</v>
      </c>
      <c r="W195" s="2478">
        <f t="shared" si="27"/>
        <v>0</v>
      </c>
      <c r="X195" s="2718">
        <f t="shared" si="31"/>
        <v>0</v>
      </c>
      <c r="Y195" s="2718">
        <f t="shared" si="32"/>
        <v>0</v>
      </c>
    </row>
    <row r="196" spans="1:25">
      <c r="A196" s="2473" t="str">
        <f t="shared" si="28"/>
        <v/>
      </c>
      <c r="B196" s="2737"/>
      <c r="C196" s="2737"/>
      <c r="D196" s="2737"/>
      <c r="E196" s="2738"/>
      <c r="F196" s="2738"/>
      <c r="G196" s="2738"/>
      <c r="H196" s="2739"/>
      <c r="I196" s="2740"/>
      <c r="J196" s="2740"/>
      <c r="K196" s="2740"/>
      <c r="L196" s="2740"/>
      <c r="M196" s="2738"/>
      <c r="N196" s="2738"/>
      <c r="O196" s="2474">
        <f t="shared" si="22"/>
        <v>0</v>
      </c>
      <c r="P196" s="2474">
        <f t="shared" si="23"/>
        <v>0</v>
      </c>
      <c r="Q196" s="2475">
        <f t="shared" si="29"/>
        <v>0</v>
      </c>
      <c r="R196" s="2475">
        <f t="shared" si="30"/>
        <v>0</v>
      </c>
      <c r="S196" s="2476">
        <f t="shared" si="24"/>
        <v>0</v>
      </c>
      <c r="T196" s="2476">
        <f t="shared" si="25"/>
        <v>0</v>
      </c>
      <c r="U196" s="2477">
        <f>IF(OR(E196="QS",B196=""),0,
IF(C196="F",VLOOKUP($T196,'表30-5-2-5-3'!$B:$AF,MATCH($D196&amp;"a",'表30-5-2-5-3'!$4:$4,0)-1,FALSE)
-IF($S196-1&lt;=0,0,VLOOKUP($S196-1,'表30-5-2-5-3'!$B:$AF,MATCH($D196&amp;"a",'表30-5-2-5-3'!$4:$4,0)-1,FALSE))
-VLOOKUP($T196,'表30-5-2-5-3'!$B:$AF,MATCH($D196,'表30-5-2-5-3'!$4:$4,0)-1,FALSE)*(T196/100-N196/H196)*100
-VLOOKUP($S196,'表30-5-2-5-3'!$B:$AF,MATCH($D196,'表30-5-2-5-3'!$4:$4,0)-1,FALSE)*(1-(S196/100-M196/H196)*100),
IF(C196="E1",VLOOKUP($T196,'表30-5-2-5-4'!$B$4:$AF$104,MATCH($D196&amp;"a",'表30-5-2-5-4'!$4:$4,0)-1,FALSE)
-IF($S196-1&lt;=0,0,VLOOKUP($S196-1,'表30-5-2-5-4'!$B$4:$AF$104,MATCH($D196&amp;"a",'表30-5-2-5-4'!$4:$4,0)-1,FALSE))
-VLOOKUP($T196,'表30-5-2-5-4'!$B$4:$AF$104,MATCH($D196,'表30-5-2-5-4'!$4:$4,0)-1,FALSE)*(T196/100-N196/H196)*100
-VLOOKUP($S196,'表30-5-2-5-4'!$B$4:$AF$104,MATCH($D196,'表30-5-2-5-4'!$4:$4,0)-1,FALSE)*(1-(S196/100-M196/H196)*100),
IF(C196="E2",VLOOKUP($T196,'表30-5-2-5-4'!$B$114:$AF$214,MATCH($D196&amp;"a",'表30-5-2-5-4'!$4:$4,0)-1,FALSE)
-IF($S196-1&lt;=0,0,VLOOKUP($S196-1,'表30-5-2-5-4'!$B$114:$AF$214,MATCH($D196&amp;"a",'表30-5-2-5-4'!$4:$4,0)-1,FALSE))
-VLOOKUP($T196,'表30-5-2-5-4'!$B$114:$AF$214,MATCH($D196,'表30-5-2-5-4'!$4:$4,0)-1,FALSE)*(T196/100-N196/H196)*100
-VLOOKUP($S196,'表30-5-2-5-4'!$B$114:$AF$214,MATCH($D196,'表30-5-2-5-4'!$4:$4,0)-1,FALSE)*(1-(S196/100-M196/H196)*100),0))))</f>
        <v>0</v>
      </c>
      <c r="V196" s="2478">
        <f t="shared" si="26"/>
        <v>0</v>
      </c>
      <c r="W196" s="2478">
        <f t="shared" si="27"/>
        <v>0</v>
      </c>
      <c r="X196" s="2718">
        <f t="shared" si="31"/>
        <v>0</v>
      </c>
      <c r="Y196" s="2718">
        <f t="shared" si="32"/>
        <v>0</v>
      </c>
    </row>
    <row r="197" spans="1:25">
      <c r="A197" s="2473" t="str">
        <f t="shared" si="28"/>
        <v/>
      </c>
      <c r="B197" s="2737"/>
      <c r="C197" s="2737"/>
      <c r="D197" s="2737"/>
      <c r="E197" s="2738"/>
      <c r="F197" s="2738"/>
      <c r="G197" s="2738"/>
      <c r="H197" s="2739"/>
      <c r="I197" s="2740"/>
      <c r="J197" s="2740"/>
      <c r="K197" s="2740"/>
      <c r="L197" s="2740"/>
      <c r="M197" s="2738"/>
      <c r="N197" s="2738"/>
      <c r="O197" s="2474">
        <f t="shared" si="22"/>
        <v>0</v>
      </c>
      <c r="P197" s="2474">
        <f t="shared" si="23"/>
        <v>0</v>
      </c>
      <c r="Q197" s="2475">
        <f t="shared" si="29"/>
        <v>0</v>
      </c>
      <c r="R197" s="2475">
        <f t="shared" si="30"/>
        <v>0</v>
      </c>
      <c r="S197" s="2476">
        <f t="shared" si="24"/>
        <v>0</v>
      </c>
      <c r="T197" s="2476">
        <f t="shared" si="25"/>
        <v>0</v>
      </c>
      <c r="U197" s="2477">
        <f>IF(OR(E197="QS",B197=""),0,
IF(C197="F",VLOOKUP($T197,'表30-5-2-5-3'!$B:$AF,MATCH($D197&amp;"a",'表30-5-2-5-3'!$4:$4,0)-1,FALSE)
-IF($S197-1&lt;=0,0,VLOOKUP($S197-1,'表30-5-2-5-3'!$B:$AF,MATCH($D197&amp;"a",'表30-5-2-5-3'!$4:$4,0)-1,FALSE))
-VLOOKUP($T197,'表30-5-2-5-3'!$B:$AF,MATCH($D197,'表30-5-2-5-3'!$4:$4,0)-1,FALSE)*(T197/100-N197/H197)*100
-VLOOKUP($S197,'表30-5-2-5-3'!$B:$AF,MATCH($D197,'表30-5-2-5-3'!$4:$4,0)-1,FALSE)*(1-(S197/100-M197/H197)*100),
IF(C197="E1",VLOOKUP($T197,'表30-5-2-5-4'!$B$4:$AF$104,MATCH($D197&amp;"a",'表30-5-2-5-4'!$4:$4,0)-1,FALSE)
-IF($S197-1&lt;=0,0,VLOOKUP($S197-1,'表30-5-2-5-4'!$B$4:$AF$104,MATCH($D197&amp;"a",'表30-5-2-5-4'!$4:$4,0)-1,FALSE))
-VLOOKUP($T197,'表30-5-2-5-4'!$B$4:$AF$104,MATCH($D197,'表30-5-2-5-4'!$4:$4,0)-1,FALSE)*(T197/100-N197/H197)*100
-VLOOKUP($S197,'表30-5-2-5-4'!$B$4:$AF$104,MATCH($D197,'表30-5-2-5-4'!$4:$4,0)-1,FALSE)*(1-(S197/100-M197/H197)*100),
IF(C197="E2",VLOOKUP($T197,'表30-5-2-5-4'!$B$114:$AF$214,MATCH($D197&amp;"a",'表30-5-2-5-4'!$4:$4,0)-1,FALSE)
-IF($S197-1&lt;=0,0,VLOOKUP($S197-1,'表30-5-2-5-4'!$B$114:$AF$214,MATCH($D197&amp;"a",'表30-5-2-5-4'!$4:$4,0)-1,FALSE))
-VLOOKUP($T197,'表30-5-2-5-4'!$B$114:$AF$214,MATCH($D197,'表30-5-2-5-4'!$4:$4,0)-1,FALSE)*(T197/100-N197/H197)*100
-VLOOKUP($S197,'表30-5-2-5-4'!$B$114:$AF$214,MATCH($D197,'表30-5-2-5-4'!$4:$4,0)-1,FALSE)*(1-(S197/100-M197/H197)*100),0))))</f>
        <v>0</v>
      </c>
      <c r="V197" s="2478">
        <f t="shared" si="26"/>
        <v>0</v>
      </c>
      <c r="W197" s="2478">
        <f t="shared" si="27"/>
        <v>0</v>
      </c>
      <c r="X197" s="2718">
        <f t="shared" si="31"/>
        <v>0</v>
      </c>
      <c r="Y197" s="2718">
        <f t="shared" si="32"/>
        <v>0</v>
      </c>
    </row>
    <row r="198" spans="1:25">
      <c r="A198" s="2473" t="str">
        <f t="shared" si="28"/>
        <v/>
      </c>
      <c r="B198" s="2737"/>
      <c r="C198" s="2737"/>
      <c r="D198" s="2737"/>
      <c r="E198" s="2738"/>
      <c r="F198" s="2738"/>
      <c r="G198" s="2738"/>
      <c r="H198" s="2739"/>
      <c r="I198" s="2740"/>
      <c r="J198" s="2740"/>
      <c r="K198" s="2740"/>
      <c r="L198" s="2740"/>
      <c r="M198" s="2738"/>
      <c r="N198" s="2738"/>
      <c r="O198" s="2474">
        <f t="shared" ref="O198:O203" si="33">IF(E198="QS",G198*I198,0)</f>
        <v>0</v>
      </c>
      <c r="P198" s="2474">
        <f t="shared" ref="P198:P203" si="34">IF(E198="QS",G198*J198,0)</f>
        <v>0</v>
      </c>
      <c r="Q198" s="2475">
        <f t="shared" si="29"/>
        <v>0</v>
      </c>
      <c r="R198" s="2475">
        <f t="shared" si="30"/>
        <v>0</v>
      </c>
      <c r="S198" s="2476">
        <f t="shared" ref="S198:S203" si="35">IF(OR(E198="QS",B198=""),0,CEILING((M198+1)/H198*100,1))</f>
        <v>0</v>
      </c>
      <c r="T198" s="2476">
        <f t="shared" ref="T198:T203" si="36">IF(OR(E198="QS",B198=""),0,CEILING(N198/H198*100,1))</f>
        <v>0</v>
      </c>
      <c r="U198" s="2477">
        <f>IF(OR(E198="QS",B198=""),0,
IF(C198="F",VLOOKUP($T198,'表30-5-2-5-3'!$B:$AF,MATCH($D198&amp;"a",'表30-5-2-5-3'!$4:$4,0)-1,FALSE)
-IF($S198-1&lt;=0,0,VLOOKUP($S198-1,'表30-5-2-5-3'!$B:$AF,MATCH($D198&amp;"a",'表30-5-2-5-3'!$4:$4,0)-1,FALSE))
-VLOOKUP($T198,'表30-5-2-5-3'!$B:$AF,MATCH($D198,'表30-5-2-5-3'!$4:$4,0)-1,FALSE)*(T198/100-N198/H198)*100
-VLOOKUP($S198,'表30-5-2-5-3'!$B:$AF,MATCH($D198,'表30-5-2-5-3'!$4:$4,0)-1,FALSE)*(1-(S198/100-M198/H198)*100),
IF(C198="E1",VLOOKUP($T198,'表30-5-2-5-4'!$B$4:$AF$104,MATCH($D198&amp;"a",'表30-5-2-5-4'!$4:$4,0)-1,FALSE)
-IF($S198-1&lt;=0,0,VLOOKUP($S198-1,'表30-5-2-5-4'!$B$4:$AF$104,MATCH($D198&amp;"a",'表30-5-2-5-4'!$4:$4,0)-1,FALSE))
-VLOOKUP($T198,'表30-5-2-5-4'!$B$4:$AF$104,MATCH($D198,'表30-5-2-5-4'!$4:$4,0)-1,FALSE)*(T198/100-N198/H198)*100
-VLOOKUP($S198,'表30-5-2-5-4'!$B$4:$AF$104,MATCH($D198,'表30-5-2-5-4'!$4:$4,0)-1,FALSE)*(1-(S198/100-M198/H198)*100),
IF(C198="E2",VLOOKUP($T198,'表30-5-2-5-4'!$B$114:$AF$214,MATCH($D198&amp;"a",'表30-5-2-5-4'!$4:$4,0)-1,FALSE)
-IF($S198-1&lt;=0,0,VLOOKUP($S198-1,'表30-5-2-5-4'!$B$114:$AF$214,MATCH($D198&amp;"a",'表30-5-2-5-4'!$4:$4,0)-1,FALSE))
-VLOOKUP($T198,'表30-5-2-5-4'!$B$114:$AF$214,MATCH($D198,'表30-5-2-5-4'!$4:$4,0)-1,FALSE)*(T198/100-N198/H198)*100
-VLOOKUP($S198,'表30-5-2-5-4'!$B$114:$AF$214,MATCH($D198,'表30-5-2-5-4'!$4:$4,0)-1,FALSE)*(1-(S198/100-M198/H198)*100),0))))</f>
        <v>0</v>
      </c>
      <c r="V198" s="2478">
        <f t="shared" ref="V198:V203" si="37">H198*U198*Q198</f>
        <v>0</v>
      </c>
      <c r="W198" s="2478">
        <f t="shared" ref="W198:W203" si="38">H198*U198*R198</f>
        <v>0</v>
      </c>
      <c r="X198" s="2718">
        <f t="shared" si="31"/>
        <v>0</v>
      </c>
      <c r="Y198" s="2718">
        <f t="shared" si="32"/>
        <v>0</v>
      </c>
    </row>
    <row r="199" spans="1:25">
      <c r="A199" s="2473" t="str">
        <f>C199&amp;D199&amp;LEFT(E199,1)</f>
        <v/>
      </c>
      <c r="B199" s="2737"/>
      <c r="C199" s="2737"/>
      <c r="D199" s="2737"/>
      <c r="E199" s="2738"/>
      <c r="F199" s="2738"/>
      <c r="G199" s="2738"/>
      <c r="H199" s="2739"/>
      <c r="I199" s="2740"/>
      <c r="J199" s="2740"/>
      <c r="K199" s="2740"/>
      <c r="L199" s="2740"/>
      <c r="M199" s="2738"/>
      <c r="N199" s="2738"/>
      <c r="O199" s="2474">
        <f t="shared" si="33"/>
        <v>0</v>
      </c>
      <c r="P199" s="2474">
        <f t="shared" si="34"/>
        <v>0</v>
      </c>
      <c r="Q199" s="2475">
        <f>IF(OR(E199="QS",E199=""),0,(N199-M199)/H199*K199)</f>
        <v>0</v>
      </c>
      <c r="R199" s="2475">
        <f>IF(OR(E199="QS",E199=""),0,(N199-M199)/H199*L199)</f>
        <v>0</v>
      </c>
      <c r="S199" s="2476">
        <f t="shared" si="35"/>
        <v>0</v>
      </c>
      <c r="T199" s="2476">
        <f t="shared" si="36"/>
        <v>0</v>
      </c>
      <c r="U199" s="2477">
        <f>IF(OR(E199="QS",B199=""),0,
IF(C199="F",VLOOKUP($T199,'表30-5-2-5-3'!$B:$AF,MATCH($D199&amp;"a",'表30-5-2-5-3'!$4:$4,0)-1,FALSE)
-IF($S199-1&lt;=0,0,VLOOKUP($S199-1,'表30-5-2-5-3'!$B:$AF,MATCH($D199&amp;"a",'表30-5-2-5-3'!$4:$4,0)-1,FALSE))
-VLOOKUP($T199,'表30-5-2-5-3'!$B:$AF,MATCH($D199,'表30-5-2-5-3'!$4:$4,0)-1,FALSE)*(T199/100-N199/H199)*100
-VLOOKUP($S199,'表30-5-2-5-3'!$B:$AF,MATCH($D199,'表30-5-2-5-3'!$4:$4,0)-1,FALSE)*(1-(S199/100-M199/H199)*100),
IF(C199="E1",VLOOKUP($T199,'表30-5-2-5-4'!$B$4:$AF$104,MATCH($D199&amp;"a",'表30-5-2-5-4'!$4:$4,0)-1,FALSE)
-IF($S199-1&lt;=0,0,VLOOKUP($S199-1,'表30-5-2-5-4'!$B$4:$AF$104,MATCH($D199&amp;"a",'表30-5-2-5-4'!$4:$4,0)-1,FALSE))
-VLOOKUP($T199,'表30-5-2-5-4'!$B$4:$AF$104,MATCH($D199,'表30-5-2-5-4'!$4:$4,0)-1,FALSE)*(T199/100-N199/H199)*100
-VLOOKUP($S199,'表30-5-2-5-4'!$B$4:$AF$104,MATCH($D199,'表30-5-2-5-4'!$4:$4,0)-1,FALSE)*(1-(S199/100-M199/H199)*100),
IF(C199="E2",VLOOKUP($T199,'表30-5-2-5-4'!$B$114:$AF$214,MATCH($D199&amp;"a",'表30-5-2-5-4'!$4:$4,0)-1,FALSE)
-IF($S199-1&lt;=0,0,VLOOKUP($S199-1,'表30-5-2-5-4'!$B$114:$AF$214,MATCH($D199&amp;"a",'表30-5-2-5-4'!$4:$4,0)-1,FALSE))
-VLOOKUP($T199,'表30-5-2-5-4'!$B$114:$AF$214,MATCH($D199,'表30-5-2-5-4'!$4:$4,0)-1,FALSE)*(T199/100-N199/H199)*100
-VLOOKUP($S199,'表30-5-2-5-4'!$B$114:$AF$214,MATCH($D199,'表30-5-2-5-4'!$4:$4,0)-1,FALSE)*(1-(S199/100-M199/H199)*100),0))))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7"/>
      <c r="C200" s="2737"/>
      <c r="D200" s="2737"/>
      <c r="E200" s="2738"/>
      <c r="F200" s="2738"/>
      <c r="G200" s="2738"/>
      <c r="H200" s="2739"/>
      <c r="I200" s="2740"/>
      <c r="J200" s="2740"/>
      <c r="K200" s="2740"/>
      <c r="L200" s="2740"/>
      <c r="M200" s="2738"/>
      <c r="N200" s="2738"/>
      <c r="O200" s="2474">
        <f t="shared" si="33"/>
        <v>0</v>
      </c>
      <c r="P200" s="2474">
        <f t="shared" si="34"/>
        <v>0</v>
      </c>
      <c r="Q200" s="2475">
        <f>IF(OR(E200="QS",E200=""),0,(N200-M200)/H200*K200)</f>
        <v>0</v>
      </c>
      <c r="R200" s="2475">
        <f>IF(OR(E200="QS",E200=""),0,(N200-M200)/H200*L200)</f>
        <v>0</v>
      </c>
      <c r="S200" s="2476">
        <f t="shared" si="35"/>
        <v>0</v>
      </c>
      <c r="T200" s="2476">
        <f t="shared" si="36"/>
        <v>0</v>
      </c>
      <c r="U200" s="2477">
        <f>IF(OR(E200="QS",B200=""),0,
IF(C200="F",VLOOKUP($T200,'表30-5-2-5-3'!$B:$AF,MATCH($D200&amp;"a",'表30-5-2-5-3'!$4:$4,0)-1,FALSE)
-IF($S200-1&lt;=0,0,VLOOKUP($S200-1,'表30-5-2-5-3'!$B:$AF,MATCH($D200&amp;"a",'表30-5-2-5-3'!$4:$4,0)-1,FALSE))
-VLOOKUP($T200,'表30-5-2-5-3'!$B:$AF,MATCH($D200,'表30-5-2-5-3'!$4:$4,0)-1,FALSE)*(T200/100-N200/H200)*100
-VLOOKUP($S200,'表30-5-2-5-3'!$B:$AF,MATCH($D200,'表30-5-2-5-3'!$4:$4,0)-1,FALSE)*(1-(S200/100-M200/H200)*100),
IF(C200="E1",VLOOKUP($T200,'表30-5-2-5-4'!$B$4:$AF$104,MATCH($D200&amp;"a",'表30-5-2-5-4'!$4:$4,0)-1,FALSE)
-IF($S200-1&lt;=0,0,VLOOKUP($S200-1,'表30-5-2-5-4'!$B$4:$AF$104,MATCH($D200&amp;"a",'表30-5-2-5-4'!$4:$4,0)-1,FALSE))
-VLOOKUP($T200,'表30-5-2-5-4'!$B$4:$AF$104,MATCH($D200,'表30-5-2-5-4'!$4:$4,0)-1,FALSE)*(T200/100-N200/H200)*100
-VLOOKUP($S200,'表30-5-2-5-4'!$B$4:$AF$104,MATCH($D200,'表30-5-2-5-4'!$4:$4,0)-1,FALSE)*(1-(S200/100-M200/H200)*100),
IF(C200="E2",VLOOKUP($T200,'表30-5-2-5-4'!$B$114:$AF$214,MATCH($D200&amp;"a",'表30-5-2-5-4'!$4:$4,0)-1,FALSE)
-IF($S200-1&lt;=0,0,VLOOKUP($S200-1,'表30-5-2-5-4'!$B$114:$AF$214,MATCH($D200&amp;"a",'表30-5-2-5-4'!$4:$4,0)-1,FALSE))
-VLOOKUP($T200,'表30-5-2-5-4'!$B$114:$AF$214,MATCH($D200,'表30-5-2-5-4'!$4:$4,0)-1,FALSE)*(T200/100-N200/H200)*100
-VLOOKUP($S200,'表30-5-2-5-4'!$B$114:$AF$214,MATCH($D200,'表30-5-2-5-4'!$4:$4,0)-1,FALSE)*(1-(S200/100-M200/H200)*100),0))))</f>
        <v>0</v>
      </c>
      <c r="V200" s="2478">
        <f t="shared" si="37"/>
        <v>0</v>
      </c>
      <c r="W200" s="2478">
        <f t="shared" si="38"/>
        <v>0</v>
      </c>
      <c r="X200" s="2718">
        <f t="shared" si="39"/>
        <v>0</v>
      </c>
      <c r="Y200" s="2718">
        <f t="shared" si="40"/>
        <v>0</v>
      </c>
    </row>
    <row r="201" spans="1:25">
      <c r="A201" s="2473" t="str">
        <f>C201&amp;D201&amp;LEFT(E201,1)</f>
        <v/>
      </c>
      <c r="B201" s="2737"/>
      <c r="C201" s="2737"/>
      <c r="D201" s="2737"/>
      <c r="E201" s="2738"/>
      <c r="F201" s="2738"/>
      <c r="G201" s="2738"/>
      <c r="H201" s="2739"/>
      <c r="I201" s="2740"/>
      <c r="J201" s="2740"/>
      <c r="K201" s="2740"/>
      <c r="L201" s="2740"/>
      <c r="M201" s="2738"/>
      <c r="N201" s="2738"/>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IF(C201="F",VLOOKUP($T201,'表30-5-2-5-3'!$B:$AF,MATCH($D201&amp;"a",'表30-5-2-5-3'!$4:$4,0)-1,FALSE)
-IF($S201-1&lt;=0,0,VLOOKUP($S201-1,'表30-5-2-5-3'!$B:$AF,MATCH($D201&amp;"a",'表30-5-2-5-3'!$4:$4,0)-1,FALSE))
-VLOOKUP($T201,'表30-5-2-5-3'!$B:$AF,MATCH($D201,'表30-5-2-5-3'!$4:$4,0)-1,FALSE)*(T201/100-N201/H201)*100
-VLOOKUP($S201,'表30-5-2-5-3'!$B:$AF,MATCH($D201,'表30-5-2-5-3'!$4:$4,0)-1,FALSE)*(1-(S201/100-M201/H201)*100),
IF(C201="E1",VLOOKUP($T201,'表30-5-2-5-4'!$B$4:$AF$104,MATCH($D201&amp;"a",'表30-5-2-5-4'!$4:$4,0)-1,FALSE)
-IF($S201-1&lt;=0,0,VLOOKUP($S201-1,'表30-5-2-5-4'!$B$4:$AF$104,MATCH($D201&amp;"a",'表30-5-2-5-4'!$4:$4,0)-1,FALSE))
-VLOOKUP($T201,'表30-5-2-5-4'!$B$4:$AF$104,MATCH($D201,'表30-5-2-5-4'!$4:$4,0)-1,FALSE)*(T201/100-N201/H201)*100
-VLOOKUP($S201,'表30-5-2-5-4'!$B$4:$AF$104,MATCH($D201,'表30-5-2-5-4'!$4:$4,0)-1,FALSE)*(1-(S201/100-M201/H201)*100),
IF(C201="E2",VLOOKUP($T201,'表30-5-2-5-4'!$B$114:$AF$214,MATCH($D201&amp;"a",'表30-5-2-5-4'!$4:$4,0)-1,FALSE)
-IF($S201-1&lt;=0,0,VLOOKUP($S201-1,'表30-5-2-5-4'!$B$114:$AF$214,MATCH($D201&amp;"a",'表30-5-2-5-4'!$4:$4,0)-1,FALSE))
-VLOOKUP($T201,'表30-5-2-5-4'!$B$114:$AF$214,MATCH($D201,'表30-5-2-5-4'!$4:$4,0)-1,FALSE)*(T201/100-N201/H201)*100
-VLOOKUP($S201,'表30-5-2-5-4'!$B$114:$AF$214,MATCH($D201,'表30-5-2-5-4'!$4:$4,0)-1,FALSE)*(1-(S201/100-M201/H201)*100),0))))</f>
        <v>0</v>
      </c>
      <c r="V201" s="2478">
        <f t="shared" si="37"/>
        <v>0</v>
      </c>
      <c r="W201" s="2478">
        <f t="shared" si="38"/>
        <v>0</v>
      </c>
      <c r="X201" s="2718">
        <f t="shared" si="39"/>
        <v>0</v>
      </c>
      <c r="Y201" s="2718">
        <f t="shared" si="40"/>
        <v>0</v>
      </c>
    </row>
    <row r="202" spans="1:25">
      <c r="A202" s="2473" t="str">
        <f>C202&amp;D202&amp;LEFT(E202,1)</f>
        <v/>
      </c>
      <c r="B202" s="2737"/>
      <c r="C202" s="2737"/>
      <c r="D202" s="2737"/>
      <c r="E202" s="2738"/>
      <c r="F202" s="2738"/>
      <c r="G202" s="2738"/>
      <c r="H202" s="2739"/>
      <c r="I202" s="2740"/>
      <c r="J202" s="2740"/>
      <c r="K202" s="2740"/>
      <c r="L202" s="2740"/>
      <c r="M202" s="2738"/>
      <c r="N202" s="2738"/>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IF(C202="F",VLOOKUP($T202,'表30-5-2-5-3'!$B:$AF,MATCH($D202&amp;"a",'表30-5-2-5-3'!$4:$4,0)-1,FALSE)
-IF($S202-1&lt;=0,0,VLOOKUP($S202-1,'表30-5-2-5-3'!$B:$AF,MATCH($D202&amp;"a",'表30-5-2-5-3'!$4:$4,0)-1,FALSE))
-VLOOKUP($T202,'表30-5-2-5-3'!$B:$AF,MATCH($D202,'表30-5-2-5-3'!$4:$4,0)-1,FALSE)*(T202/100-N202/H202)*100
-VLOOKUP($S202,'表30-5-2-5-3'!$B:$AF,MATCH($D202,'表30-5-2-5-3'!$4:$4,0)-1,FALSE)*(1-(S202/100-M202/H202)*100),
IF(C202="E1",VLOOKUP($T202,'表30-5-2-5-4'!$B$4:$AF$104,MATCH($D202&amp;"a",'表30-5-2-5-4'!$4:$4,0)-1,FALSE)
-IF($S202-1&lt;=0,0,VLOOKUP($S202-1,'表30-5-2-5-4'!$B$4:$AF$104,MATCH($D202&amp;"a",'表30-5-2-5-4'!$4:$4,0)-1,FALSE))
-VLOOKUP($T202,'表30-5-2-5-4'!$B$4:$AF$104,MATCH($D202,'表30-5-2-5-4'!$4:$4,0)-1,FALSE)*(T202/100-N202/H202)*100
-VLOOKUP($S202,'表30-5-2-5-4'!$B$4:$AF$104,MATCH($D202,'表30-5-2-5-4'!$4:$4,0)-1,FALSE)*(1-(S202/100-M202/H202)*100),
IF(C202="E2",VLOOKUP($T202,'表30-5-2-5-4'!$B$114:$AF$214,MATCH($D202&amp;"a",'表30-5-2-5-4'!$4:$4,0)-1,FALSE)
-IF($S202-1&lt;=0,0,VLOOKUP($S202-1,'表30-5-2-5-4'!$B$114:$AF$214,MATCH($D202&amp;"a",'表30-5-2-5-4'!$4:$4,0)-1,FALSE))
-VLOOKUP($T202,'表30-5-2-5-4'!$B$114:$AF$214,MATCH($D202,'表30-5-2-5-4'!$4:$4,0)-1,FALSE)*(T202/100-N202/H202)*100
-VLOOKUP($S202,'表30-5-2-5-4'!$B$114:$AF$214,MATCH($D202,'表30-5-2-5-4'!$4:$4,0)-1,FALSE)*(1-(S202/100-M202/H202)*100),0))))</f>
        <v>0</v>
      </c>
      <c r="V202" s="2478">
        <f t="shared" si="37"/>
        <v>0</v>
      </c>
      <c r="W202" s="2478">
        <f t="shared" si="38"/>
        <v>0</v>
      </c>
      <c r="X202" s="2718">
        <f t="shared" si="39"/>
        <v>0</v>
      </c>
      <c r="Y202" s="2718">
        <f t="shared" si="40"/>
        <v>0</v>
      </c>
    </row>
    <row r="203" spans="1:25">
      <c r="A203" s="2473" t="str">
        <f>C203&amp;D203&amp;LEFT(E203,1)</f>
        <v/>
      </c>
      <c r="B203" s="2737"/>
      <c r="C203" s="2737"/>
      <c r="D203" s="2737"/>
      <c r="E203" s="2738"/>
      <c r="F203" s="2738"/>
      <c r="G203" s="2738"/>
      <c r="H203" s="2739"/>
      <c r="I203" s="2740"/>
      <c r="J203" s="2740"/>
      <c r="K203" s="2740"/>
      <c r="L203" s="2740"/>
      <c r="M203" s="2738"/>
      <c r="N203" s="2738"/>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IF(C203="F",VLOOKUP($T203,'表30-5-2-5-3'!$B:$AF,MATCH($D203&amp;"a",'表30-5-2-5-3'!$4:$4,0)-1,FALSE)
-IF($S203-1&lt;=0,0,VLOOKUP($S203-1,'表30-5-2-5-3'!$B:$AF,MATCH($D203&amp;"a",'表30-5-2-5-3'!$4:$4,0)-1,FALSE))
-VLOOKUP($T203,'表30-5-2-5-3'!$B:$AF,MATCH($D203,'表30-5-2-5-3'!$4:$4,0)-1,FALSE)*(T203/100-N203/H203)*100
-VLOOKUP($S203,'表30-5-2-5-3'!$B:$AF,MATCH($D203,'表30-5-2-5-3'!$4:$4,0)-1,FALSE)*(1-(S203/100-M203/H203)*100),
IF(C203="E1",VLOOKUP($T203,'表30-5-2-5-4'!$B$4:$AF$104,MATCH($D203&amp;"a",'表30-5-2-5-4'!$4:$4,0)-1,FALSE)
-IF($S203-1&lt;=0,0,VLOOKUP($S203-1,'表30-5-2-5-4'!$B$4:$AF$104,MATCH($D203&amp;"a",'表30-5-2-5-4'!$4:$4,0)-1,FALSE))
-VLOOKUP($T203,'表30-5-2-5-4'!$B$4:$AF$104,MATCH($D203,'表30-5-2-5-4'!$4:$4,0)-1,FALSE)*(T203/100-N203/H203)*100
-VLOOKUP($S203,'表30-5-2-5-4'!$B$4:$AF$104,MATCH($D203,'表30-5-2-5-4'!$4:$4,0)-1,FALSE)*(1-(S203/100-M203/H203)*100),
IF(C203="E2",VLOOKUP($T203,'表30-5-2-5-4'!$B$114:$AF$214,MATCH($D203&amp;"a",'表30-5-2-5-4'!$4:$4,0)-1,FALSE)
-IF($S203-1&lt;=0,0,VLOOKUP($S203-1,'表30-5-2-5-4'!$B$114:$AF$214,MATCH($D203&amp;"a",'表30-5-2-5-4'!$4:$4,0)-1,FALSE))
-VLOOKUP($T203,'表30-5-2-5-4'!$B$114:$AF$214,MATCH($D203,'表30-5-2-5-4'!$4:$4,0)-1,FALSE)*(T203/100-N203/H203)*100
-VLOOKUP($S203,'表30-5-2-5-4'!$B$114:$AF$214,MATCH($D203,'表30-5-2-5-4'!$4:$4,0)-1,FALSE)*(1-(S203/100-M203/H203)*100),0))))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7" fitToHeight="0" orientation="landscape" r:id="rId1"/>
  <colBreaks count="1" manualBreakCount="1">
    <brk id="1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34"/>
  <dimension ref="A1:P50"/>
  <sheetViews>
    <sheetView view="pageBreakPreview" zoomScale="70" zoomScaleNormal="70" zoomScaleSheetLayoutView="70" workbookViewId="0">
      <selection activeCell="A2" sqref="A2"/>
    </sheetView>
  </sheetViews>
  <sheetFormatPr defaultRowHeight="15.75"/>
  <cols>
    <col min="1" max="1" width="21.5" style="2443" bestFit="1" customWidth="1"/>
    <col min="2" max="6" width="14.625" style="2443" customWidth="1"/>
    <col min="7" max="7" width="14.625" style="2421" customWidth="1"/>
    <col min="8" max="8" width="9" style="2421"/>
    <col min="9" max="9" width="21.5" style="2443" bestFit="1" customWidth="1"/>
    <col min="10" max="14" width="14.625" style="2443" customWidth="1"/>
    <col min="15" max="15" width="14.625" style="2421" customWidth="1"/>
    <col min="16" max="16" width="9" style="2421"/>
    <col min="17" max="16384" width="9" style="2443"/>
  </cols>
  <sheetData>
    <row r="1" spans="1:15" ht="21">
      <c r="A1" s="2747" t="str">
        <f>+封面!A3&amp;" "&amp;封面!A2</f>
        <v xml:space="preserve">        保險股份有限公司(○○分公司) 年度(月、季、半年)報表</v>
      </c>
    </row>
    <row r="2" spans="1:15" ht="21">
      <c r="A2" s="1198" t="s">
        <v>6047</v>
      </c>
    </row>
    <row r="4" spans="1:15" s="2421" customFormat="1">
      <c r="A4" s="3706" t="s">
        <v>3668</v>
      </c>
      <c r="B4" s="3706"/>
      <c r="C4" s="3706"/>
      <c r="D4" s="3706"/>
      <c r="E4" s="3706"/>
      <c r="F4" s="3706"/>
      <c r="G4" s="1188"/>
      <c r="I4" s="3706" t="s">
        <v>3669</v>
      </c>
      <c r="J4" s="3706"/>
      <c r="K4" s="3706"/>
      <c r="L4" s="3706"/>
      <c r="M4" s="3706"/>
      <c r="N4" s="3706"/>
      <c r="O4" s="2463"/>
    </row>
    <row r="5" spans="1:15" s="2421" customFormat="1" ht="15.75" customHeight="1">
      <c r="A5" s="3707" t="s">
        <v>3670</v>
      </c>
      <c r="B5" s="3709" t="s">
        <v>3671</v>
      </c>
      <c r="C5" s="3711" t="s">
        <v>3672</v>
      </c>
      <c r="D5" s="3712"/>
      <c r="E5" s="3712"/>
      <c r="F5" s="3713"/>
      <c r="G5" s="1188"/>
      <c r="I5" s="3707" t="s">
        <v>3670</v>
      </c>
      <c r="J5" s="3709" t="s">
        <v>3671</v>
      </c>
      <c r="K5" s="3711" t="s">
        <v>3672</v>
      </c>
      <c r="L5" s="3712"/>
      <c r="M5" s="3712"/>
      <c r="N5" s="3713"/>
      <c r="O5" s="2463"/>
    </row>
    <row r="6" spans="1:15" s="2421" customFormat="1">
      <c r="A6" s="3708"/>
      <c r="B6" s="3710"/>
      <c r="C6" s="2536" t="s">
        <v>3673</v>
      </c>
      <c r="D6" s="2536" t="s">
        <v>3674</v>
      </c>
      <c r="E6" s="2536" t="s">
        <v>3675</v>
      </c>
      <c r="F6" s="2536" t="s">
        <v>3676</v>
      </c>
      <c r="G6" s="2463" t="s">
        <v>3677</v>
      </c>
      <c r="I6" s="3708"/>
      <c r="J6" s="3710"/>
      <c r="K6" s="2536" t="s">
        <v>3673</v>
      </c>
      <c r="L6" s="2536" t="s">
        <v>3674</v>
      </c>
      <c r="M6" s="2536" t="s">
        <v>3675</v>
      </c>
      <c r="N6" s="2536" t="s">
        <v>3676</v>
      </c>
      <c r="O6" s="2463" t="s">
        <v>3677</v>
      </c>
    </row>
    <row r="7" spans="1:15" s="2421" customFormat="1">
      <c r="A7" s="1178">
        <v>1</v>
      </c>
      <c r="B7" s="2537">
        <v>0.33932223964492297</v>
      </c>
      <c r="C7" s="2537"/>
      <c r="D7" s="2537"/>
      <c r="E7" s="2537"/>
      <c r="F7" s="2537">
        <v>24.193232839878988</v>
      </c>
      <c r="G7" s="2538">
        <v>0.61962751912429004</v>
      </c>
      <c r="I7" s="1178">
        <v>1</v>
      </c>
      <c r="J7" s="2537">
        <v>0.86187273403223708</v>
      </c>
      <c r="K7" s="2537"/>
      <c r="L7" s="2537"/>
      <c r="M7" s="2537"/>
      <c r="N7" s="2537">
        <v>15.288459115269776</v>
      </c>
      <c r="O7" s="2538">
        <v>0.59343849556406802</v>
      </c>
    </row>
    <row r="8" spans="1:15" s="2421" customFormat="1">
      <c r="A8" s="1178">
        <v>1.1000000000000001</v>
      </c>
      <c r="B8" s="2537">
        <v>0.29986278528076321</v>
      </c>
      <c r="C8" s="2537"/>
      <c r="D8" s="2537"/>
      <c r="E8" s="2537"/>
      <c r="F8" s="2537">
        <v>16.008893291158934</v>
      </c>
      <c r="G8" s="2538">
        <v>0.55876134109499653</v>
      </c>
      <c r="I8" s="1178">
        <v>1.1000000000000001</v>
      </c>
      <c r="J8" s="2537">
        <v>0.16969730728834598</v>
      </c>
      <c r="K8" s="2537"/>
      <c r="L8" s="2537"/>
      <c r="M8" s="2537"/>
      <c r="N8" s="2537">
        <v>4.2789593965653001</v>
      </c>
      <c r="O8" s="2538">
        <v>0.52176294127539269</v>
      </c>
    </row>
    <row r="9" spans="1:15" s="2421" customFormat="1">
      <c r="A9" s="1178">
        <v>2</v>
      </c>
      <c r="B9" s="2537">
        <v>0.27042602873098698</v>
      </c>
      <c r="C9" s="2537"/>
      <c r="D9" s="2537"/>
      <c r="E9" s="2537"/>
      <c r="F9" s="2537">
        <v>13.339108909861555</v>
      </c>
      <c r="G9" s="2538">
        <v>0.44635849135330241</v>
      </c>
      <c r="I9" s="1178">
        <v>2</v>
      </c>
      <c r="J9" s="2537">
        <v>1.6798431185832581</v>
      </c>
      <c r="K9" s="2537"/>
      <c r="L9" s="2537"/>
      <c r="M9" s="2537"/>
      <c r="N9" s="2537">
        <v>12.781551597195325</v>
      </c>
      <c r="O9" s="2538">
        <v>0.42012293169700454</v>
      </c>
    </row>
    <row r="10" spans="1:15" s="2421" customFormat="1">
      <c r="A10" s="1178">
        <v>3</v>
      </c>
      <c r="B10" s="2537">
        <v>0.4471982976197641</v>
      </c>
      <c r="C10" s="2537"/>
      <c r="D10" s="2537"/>
      <c r="E10" s="2537"/>
      <c r="F10" s="2537">
        <v>25.662690875054853</v>
      </c>
      <c r="G10" s="2538">
        <v>0.33174893641304526</v>
      </c>
      <c r="I10" s="1178">
        <v>3</v>
      </c>
      <c r="J10" s="2537">
        <v>0.19238317662781293</v>
      </c>
      <c r="K10" s="2537"/>
      <c r="L10" s="2537"/>
      <c r="M10" s="2537"/>
      <c r="N10" s="2537">
        <v>5.6806853343360793</v>
      </c>
      <c r="O10" s="2538">
        <v>0.29239229336232198</v>
      </c>
    </row>
    <row r="11" spans="1:15" s="2421" customFormat="1">
      <c r="A11" s="1178">
        <v>4</v>
      </c>
      <c r="B11" s="2537">
        <v>0.65414981280150475</v>
      </c>
      <c r="C11" s="2537"/>
      <c r="D11" s="2537"/>
      <c r="E11" s="2537"/>
      <c r="F11" s="2537">
        <v>32.613817747219677</v>
      </c>
      <c r="G11" s="2538">
        <v>0.69129451920736096</v>
      </c>
      <c r="I11" s="1178">
        <v>4</v>
      </c>
      <c r="J11" s="2537">
        <v>0.13340583285607566</v>
      </c>
      <c r="K11" s="2537"/>
      <c r="L11" s="2537"/>
      <c r="M11" s="2537"/>
      <c r="N11" s="2537">
        <v>5.5694975936368731</v>
      </c>
      <c r="O11" s="2538">
        <v>0.59265524331746378</v>
      </c>
    </row>
    <row r="12" spans="1:15" s="2421" customFormat="1">
      <c r="A12" s="1178">
        <v>5</v>
      </c>
      <c r="B12" s="2537">
        <v>0.53001968516396147</v>
      </c>
      <c r="C12" s="2537"/>
      <c r="D12" s="2537"/>
      <c r="E12" s="2537"/>
      <c r="F12" s="2537">
        <v>40.957586222897802</v>
      </c>
      <c r="G12" s="2538">
        <v>0.27943448994714787</v>
      </c>
      <c r="I12" s="1178">
        <v>5</v>
      </c>
      <c r="J12" s="2537">
        <v>0.14583066399223901</v>
      </c>
      <c r="K12" s="2537"/>
      <c r="L12" s="2537"/>
      <c r="M12" s="2537"/>
      <c r="N12" s="2537">
        <v>5.7468289977590423</v>
      </c>
      <c r="O12" s="2538">
        <v>0.29589312415578162</v>
      </c>
    </row>
    <row r="13" spans="1:15" s="2421" customFormat="1">
      <c r="A13" s="1178">
        <v>6</v>
      </c>
      <c r="B13" s="2537">
        <v>0.927366064127639</v>
      </c>
      <c r="C13" s="2537"/>
      <c r="D13" s="2537"/>
      <c r="E13" s="2537"/>
      <c r="F13" s="2537">
        <v>57.316713099166982</v>
      </c>
      <c r="G13" s="2538">
        <v>0.70003788671532552</v>
      </c>
      <c r="I13" s="1178">
        <v>6</v>
      </c>
      <c r="J13" s="2537">
        <v>0.59974638003640246</v>
      </c>
      <c r="K13" s="2537"/>
      <c r="L13" s="2537"/>
      <c r="M13" s="2537"/>
      <c r="N13" s="2537">
        <v>10.527578216412049</v>
      </c>
      <c r="O13" s="2538">
        <v>0.71339538727464447</v>
      </c>
    </row>
    <row r="14" spans="1:15" s="2421" customFormat="1">
      <c r="A14" s="1178">
        <v>7</v>
      </c>
      <c r="B14" s="2537">
        <v>0.4717214352546828</v>
      </c>
      <c r="C14" s="2537"/>
      <c r="D14" s="2537"/>
      <c r="E14" s="2537"/>
      <c r="F14" s="2537">
        <v>33.467292698750192</v>
      </c>
      <c r="G14" s="2538">
        <v>0.54441966537281838</v>
      </c>
      <c r="I14" s="1178">
        <v>7</v>
      </c>
      <c r="J14" s="2537">
        <v>1.9950721272737069</v>
      </c>
      <c r="K14" s="2537"/>
      <c r="L14" s="2537"/>
      <c r="M14" s="2537"/>
      <c r="N14" s="2537">
        <v>12.995532657027926</v>
      </c>
      <c r="O14" s="2538">
        <v>0.64752373594796064</v>
      </c>
    </row>
    <row r="15" spans="1:15" s="2421" customFormat="1">
      <c r="A15" s="1178">
        <v>8</v>
      </c>
      <c r="B15" s="2537">
        <v>0.28924031697296082</v>
      </c>
      <c r="C15" s="2537"/>
      <c r="D15" s="2537"/>
      <c r="E15" s="2537"/>
      <c r="F15" s="2537">
        <v>13.432511338121033</v>
      </c>
      <c r="G15" s="2538">
        <v>0.31209331132177276</v>
      </c>
      <c r="I15" s="1178">
        <v>8</v>
      </c>
      <c r="J15" s="2537">
        <v>1.6735130735320463</v>
      </c>
      <c r="K15" s="2537"/>
      <c r="L15" s="2537"/>
      <c r="M15" s="2537"/>
      <c r="N15" s="2537">
        <v>16.522702329599984</v>
      </c>
      <c r="O15" s="2538">
        <v>0.3464210093015388</v>
      </c>
    </row>
    <row r="16" spans="1:15" s="2421" customFormat="1">
      <c r="A16" s="1178">
        <v>9</v>
      </c>
      <c r="B16" s="2537">
        <v>1.0778958178736502</v>
      </c>
      <c r="C16" s="2537"/>
      <c r="D16" s="2537"/>
      <c r="E16" s="2537"/>
      <c r="F16" s="2537">
        <v>42.895295642732492</v>
      </c>
      <c r="G16" s="2538">
        <v>0.30040552154828626</v>
      </c>
      <c r="I16" s="1178">
        <v>9</v>
      </c>
      <c r="J16" s="2537">
        <v>0.1079020962159266</v>
      </c>
      <c r="K16" s="2537"/>
      <c r="L16" s="2537"/>
      <c r="M16" s="2537"/>
      <c r="N16" s="2537">
        <v>1.8688743399752925</v>
      </c>
      <c r="O16" s="2538">
        <v>0.30545171830203116</v>
      </c>
    </row>
    <row r="17" spans="1:15" s="2421" customFormat="1">
      <c r="A17" s="1178">
        <v>10</v>
      </c>
      <c r="B17" s="2537">
        <v>0.28637518945380458</v>
      </c>
      <c r="C17" s="2537"/>
      <c r="D17" s="2537"/>
      <c r="E17" s="2537"/>
      <c r="F17" s="2537">
        <v>12.73771890013828</v>
      </c>
      <c r="G17" s="2538">
        <v>0.55746068077868449</v>
      </c>
      <c r="I17" s="1178">
        <v>10</v>
      </c>
      <c r="J17" s="2537">
        <v>0.20638256277291361</v>
      </c>
      <c r="K17" s="2537"/>
      <c r="L17" s="2537"/>
      <c r="M17" s="2537"/>
      <c r="N17" s="2537">
        <v>5.2426153493994399</v>
      </c>
      <c r="O17" s="2538">
        <v>0.53690606085553649</v>
      </c>
    </row>
    <row r="18" spans="1:15" s="2421" customFormat="1">
      <c r="A18" s="1178">
        <v>11</v>
      </c>
      <c r="B18" s="2537">
        <v>1.4293110786643137</v>
      </c>
      <c r="C18" s="2537"/>
      <c r="D18" s="2537"/>
      <c r="E18" s="2537"/>
      <c r="F18" s="2537">
        <v>31.12611716792324</v>
      </c>
      <c r="G18" s="2538">
        <v>0.53495705449510156</v>
      </c>
      <c r="I18" s="1178">
        <v>11</v>
      </c>
      <c r="J18" s="2537">
        <v>3.4605535335955433</v>
      </c>
      <c r="K18" s="2537"/>
      <c r="L18" s="2537"/>
      <c r="M18" s="2537"/>
      <c r="N18" s="2537">
        <v>11.261836114327142</v>
      </c>
      <c r="O18" s="2538">
        <v>0.63326245168676709</v>
      </c>
    </row>
    <row r="19" spans="1:15" s="2421" customFormat="1">
      <c r="A19" s="1178">
        <v>12</v>
      </c>
      <c r="B19" s="2537">
        <v>0.77544848964558577</v>
      </c>
      <c r="C19" s="2537"/>
      <c r="D19" s="2537"/>
      <c r="E19" s="2537"/>
      <c r="F19" s="2537">
        <v>20.876793730303888</v>
      </c>
      <c r="G19" s="2538">
        <v>0.48666709402275049</v>
      </c>
      <c r="I19" s="1178">
        <v>12</v>
      </c>
      <c r="J19" s="2537">
        <v>9.4558385173420181</v>
      </c>
      <c r="K19" s="2537"/>
      <c r="L19" s="2537"/>
      <c r="M19" s="2537"/>
      <c r="N19" s="2537">
        <v>59.228548074894547</v>
      </c>
      <c r="O19" s="2538">
        <v>0.43615527214057492</v>
      </c>
    </row>
    <row r="20" spans="1:15" s="2421" customFormat="1">
      <c r="A20" s="2539">
        <v>13</v>
      </c>
      <c r="B20" s="2540">
        <v>0.27042602873098698</v>
      </c>
      <c r="C20" s="2540"/>
      <c r="D20" s="2540"/>
      <c r="E20" s="2540"/>
      <c r="F20" s="2540">
        <v>12.753668060861099</v>
      </c>
      <c r="G20" s="2538" t="s">
        <v>3678</v>
      </c>
      <c r="I20" s="2539">
        <v>13</v>
      </c>
      <c r="J20" s="2540">
        <v>0.1079020962159266</v>
      </c>
      <c r="K20" s="2540"/>
      <c r="L20" s="2540"/>
      <c r="M20" s="2540"/>
      <c r="N20" s="2540">
        <v>1.8688743399752925</v>
      </c>
      <c r="O20" s="2538" t="s">
        <v>3678</v>
      </c>
    </row>
    <row r="21" spans="1:15" s="2421" customFormat="1">
      <c r="A21" s="1178">
        <v>14</v>
      </c>
      <c r="B21" s="2537">
        <v>0.52550508973344623</v>
      </c>
      <c r="C21" s="2537"/>
      <c r="D21" s="2537"/>
      <c r="E21" s="2537"/>
      <c r="F21" s="2537">
        <v>13.983303174828993</v>
      </c>
      <c r="G21" s="2538">
        <v>0.39471413099349689</v>
      </c>
      <c r="I21" s="1178">
        <v>14</v>
      </c>
      <c r="J21" s="2537">
        <v>0.58933728718650191</v>
      </c>
      <c r="K21" s="2537"/>
      <c r="L21" s="2537"/>
      <c r="M21" s="2537"/>
      <c r="N21" s="2537">
        <v>4.9515365835476262</v>
      </c>
      <c r="O21" s="2538">
        <v>0.38259702471940404</v>
      </c>
    </row>
    <row r="22" spans="1:15" s="2421" customFormat="1">
      <c r="A22" s="2419"/>
      <c r="B22" s="1189"/>
      <c r="C22" s="1189"/>
      <c r="D22" s="1189"/>
      <c r="E22" s="1189"/>
      <c r="F22" s="1189"/>
      <c r="G22" s="1188"/>
      <c r="I22" s="2419"/>
      <c r="J22" s="1189"/>
      <c r="K22" s="1189"/>
      <c r="L22" s="1189"/>
      <c r="M22" s="1189"/>
      <c r="N22" s="1189"/>
      <c r="O22" s="2463"/>
    </row>
    <row r="23" spans="1:15" s="2421" customFormat="1" ht="16.5">
      <c r="A23" s="2541" t="s">
        <v>3679</v>
      </c>
      <c r="B23" s="2542"/>
      <c r="C23" s="2542"/>
      <c r="D23" s="2542"/>
      <c r="E23" s="2542"/>
      <c r="F23" s="2542">
        <v>0.55000000000000004</v>
      </c>
      <c r="G23" s="1188"/>
      <c r="I23" s="2541" t="s">
        <v>3679</v>
      </c>
      <c r="J23" s="2542"/>
      <c r="K23" s="2542"/>
      <c r="L23" s="2542"/>
      <c r="M23" s="2542"/>
      <c r="N23" s="2542">
        <v>0.6</v>
      </c>
      <c r="O23" s="2463"/>
    </row>
    <row r="24" spans="1:15" s="2421" customFormat="1" ht="16.5">
      <c r="A24" s="2543"/>
      <c r="B24" s="2544"/>
      <c r="I24" s="2543"/>
      <c r="J24" s="2544"/>
    </row>
    <row r="25" spans="1:15" s="2421" customFormat="1" ht="16.5">
      <c r="A25" s="2543"/>
      <c r="I25" s="2543"/>
    </row>
    <row r="26" spans="1:15" s="2421" customFormat="1"/>
    <row r="27" spans="1:15" s="2421" customFormat="1">
      <c r="A27" s="3706" t="s">
        <v>3680</v>
      </c>
      <c r="B27" s="3706"/>
      <c r="C27" s="3706"/>
      <c r="D27" s="3706"/>
      <c r="E27" s="3706"/>
      <c r="F27" s="3706"/>
      <c r="I27" s="3706" t="s">
        <v>3681</v>
      </c>
      <c r="J27" s="3706"/>
      <c r="K27" s="3706"/>
      <c r="L27" s="3706"/>
      <c r="M27" s="3706"/>
      <c r="N27" s="3706"/>
    </row>
    <row r="28" spans="1:15" s="2421" customFormat="1" ht="15.75" customHeight="1">
      <c r="A28" s="3707" t="s">
        <v>3670</v>
      </c>
      <c r="B28" s="3709" t="s">
        <v>3671</v>
      </c>
      <c r="C28" s="3711" t="s">
        <v>3672</v>
      </c>
      <c r="D28" s="3712"/>
      <c r="E28" s="3712"/>
      <c r="F28" s="3713"/>
      <c r="I28" s="3707" t="s">
        <v>3670</v>
      </c>
      <c r="J28" s="3709" t="s">
        <v>3671</v>
      </c>
      <c r="K28" s="3711" t="s">
        <v>3672</v>
      </c>
      <c r="L28" s="3712"/>
      <c r="M28" s="3712"/>
      <c r="N28" s="3713"/>
    </row>
    <row r="29" spans="1:15" s="2421" customFormat="1">
      <c r="A29" s="3708"/>
      <c r="B29" s="3710"/>
      <c r="C29" s="2536" t="s">
        <v>3673</v>
      </c>
      <c r="D29" s="2536" t="s">
        <v>3674</v>
      </c>
      <c r="E29" s="2536" t="s">
        <v>3675</v>
      </c>
      <c r="F29" s="2536" t="s">
        <v>3676</v>
      </c>
      <c r="I29" s="3708"/>
      <c r="J29" s="3710"/>
      <c r="K29" s="2536" t="s">
        <v>3673</v>
      </c>
      <c r="L29" s="2536" t="s">
        <v>3674</v>
      </c>
      <c r="M29" s="2536" t="s">
        <v>3675</v>
      </c>
      <c r="N29" s="2536" t="s">
        <v>3676</v>
      </c>
    </row>
    <row r="30" spans="1:15" s="2421" customFormat="1">
      <c r="A30" s="1178">
        <v>1</v>
      </c>
      <c r="B30" s="2537">
        <v>0.40452759701101609</v>
      </c>
      <c r="C30" s="2537"/>
      <c r="D30" s="2537"/>
      <c r="E30" s="2537"/>
      <c r="F30" s="2537">
        <v>28.743086753057504</v>
      </c>
      <c r="I30" s="1178">
        <v>1</v>
      </c>
      <c r="J30" s="2537">
        <v>0.96346900612560116</v>
      </c>
      <c r="K30" s="2537"/>
      <c r="L30" s="2537"/>
      <c r="M30" s="2537"/>
      <c r="N30" s="2537">
        <v>17.218092733860189</v>
      </c>
    </row>
    <row r="31" spans="1:15" s="2421" customFormat="1">
      <c r="A31" s="1178">
        <v>1.1000000000000001</v>
      </c>
      <c r="B31" s="2537">
        <v>0.35933911098294441</v>
      </c>
      <c r="C31" s="2537"/>
      <c r="D31" s="2537"/>
      <c r="E31" s="2537"/>
      <c r="F31" s="2537">
        <v>19.132893246930688</v>
      </c>
      <c r="I31" s="1178">
        <v>1.1000000000000001</v>
      </c>
      <c r="J31" s="2537">
        <v>0.19428895632411081</v>
      </c>
      <c r="K31" s="2537"/>
      <c r="L31" s="2537"/>
      <c r="M31" s="2537"/>
      <c r="N31" s="2537">
        <v>4.9402986155767099</v>
      </c>
    </row>
    <row r="32" spans="1:15" s="2421" customFormat="1">
      <c r="A32" s="1178">
        <v>2</v>
      </c>
      <c r="B32" s="2537">
        <v>0.35461508813912368</v>
      </c>
      <c r="C32" s="2537"/>
      <c r="D32" s="2537"/>
      <c r="E32" s="2537"/>
      <c r="F32" s="2537">
        <v>17.913158032166173</v>
      </c>
      <c r="I32" s="1178">
        <v>2</v>
      </c>
      <c r="J32" s="2537">
        <v>2.2019138588806082</v>
      </c>
      <c r="K32" s="2537"/>
      <c r="L32" s="2537"/>
      <c r="M32" s="2537"/>
      <c r="N32" s="2537">
        <v>17.024055116918728</v>
      </c>
    </row>
    <row r="33" spans="1:14" s="2421" customFormat="1">
      <c r="A33" s="1178">
        <v>3</v>
      </c>
      <c r="B33" s="2537">
        <v>0.64647052220568457</v>
      </c>
      <c r="C33" s="2537"/>
      <c r="D33" s="2537"/>
      <c r="E33" s="2537"/>
      <c r="F33" s="2537">
        <v>37.858687610267538</v>
      </c>
      <c r="I33" s="1178">
        <v>3</v>
      </c>
      <c r="J33" s="2537">
        <v>0.22546958089436389</v>
      </c>
      <c r="K33" s="2537"/>
      <c r="L33" s="2537"/>
      <c r="M33" s="2537"/>
      <c r="N33" s="2537">
        <v>7.1986010393944877</v>
      </c>
    </row>
    <row r="34" spans="1:14" s="2421" customFormat="1">
      <c r="A34" s="1178">
        <v>4</v>
      </c>
      <c r="B34" s="2537">
        <v>0.77288234427017</v>
      </c>
      <c r="C34" s="2537"/>
      <c r="D34" s="2537"/>
      <c r="E34" s="2537"/>
      <c r="F34" s="2537">
        <v>38.752376665626088</v>
      </c>
      <c r="I34" s="1178">
        <v>4</v>
      </c>
      <c r="J34" s="2537">
        <v>0.14823052173418305</v>
      </c>
      <c r="K34" s="2537"/>
      <c r="L34" s="2537"/>
      <c r="M34" s="2537"/>
      <c r="N34" s="2537">
        <v>6.1884456177886982</v>
      </c>
    </row>
    <row r="35" spans="1:14" s="2421" customFormat="1">
      <c r="A35" s="1178">
        <v>5</v>
      </c>
      <c r="B35" s="2537">
        <v>0.93539091289110443</v>
      </c>
      <c r="C35" s="2537"/>
      <c r="D35" s="2537"/>
      <c r="E35" s="2537"/>
      <c r="F35" s="2537">
        <v>73.968611502761476</v>
      </c>
      <c r="I35" s="1178">
        <v>5</v>
      </c>
      <c r="J35" s="2537">
        <v>0.16892428963530123</v>
      </c>
      <c r="K35" s="2537"/>
      <c r="L35" s="2537"/>
      <c r="M35" s="2537"/>
      <c r="N35" s="2537">
        <v>6.6986441864792967</v>
      </c>
    </row>
    <row r="36" spans="1:14" s="2421" customFormat="1">
      <c r="A36" s="1178">
        <v>6</v>
      </c>
      <c r="B36" s="2537">
        <v>1.1299839161345562</v>
      </c>
      <c r="C36" s="2537"/>
      <c r="D36" s="2537"/>
      <c r="E36" s="2537"/>
      <c r="F36" s="2537">
        <v>71.019050242319096</v>
      </c>
      <c r="I36" s="1178">
        <v>6</v>
      </c>
      <c r="J36" s="2537">
        <v>0.66779198996995826</v>
      </c>
      <c r="K36" s="2537"/>
      <c r="L36" s="2537"/>
      <c r="M36" s="2537"/>
      <c r="N36" s="2537">
        <v>11.708217730836619</v>
      </c>
    </row>
    <row r="37" spans="1:14" s="2421" customFormat="1">
      <c r="A37" s="1178">
        <v>7</v>
      </c>
      <c r="B37" s="2537">
        <v>0.56690803548570023</v>
      </c>
      <c r="C37" s="2537"/>
      <c r="D37" s="2537"/>
      <c r="E37" s="2537"/>
      <c r="F37" s="2537">
        <v>40.282910996941176</v>
      </c>
      <c r="I37" s="1178">
        <v>7</v>
      </c>
      <c r="J37" s="2537">
        <v>2.2857571536894969</v>
      </c>
      <c r="K37" s="2537"/>
      <c r="L37" s="2537"/>
      <c r="M37" s="2537"/>
      <c r="N37" s="2537">
        <v>14.869257876622539</v>
      </c>
    </row>
    <row r="38" spans="1:14" s="2421" customFormat="1">
      <c r="A38" s="1178">
        <v>8</v>
      </c>
      <c r="B38" s="2537">
        <v>0.38936970657847575</v>
      </c>
      <c r="C38" s="2537"/>
      <c r="D38" s="2537"/>
      <c r="E38" s="2537"/>
      <c r="F38" s="2537">
        <v>18.452528464140691</v>
      </c>
      <c r="I38" s="1178">
        <v>8</v>
      </c>
      <c r="J38" s="2537">
        <v>1.9933225740839111</v>
      </c>
      <c r="K38" s="2537"/>
      <c r="L38" s="2537"/>
      <c r="M38" s="2537"/>
      <c r="N38" s="2537">
        <v>19.577647399840888</v>
      </c>
    </row>
    <row r="39" spans="1:14" s="2421" customFormat="1">
      <c r="A39" s="1178">
        <v>9</v>
      </c>
      <c r="B39" s="2537">
        <v>1.667453318262468</v>
      </c>
      <c r="C39" s="2537"/>
      <c r="D39" s="2537"/>
      <c r="E39" s="2537"/>
      <c r="F39" s="2537">
        <v>72.552609470872454</v>
      </c>
      <c r="I39" s="1178">
        <v>9</v>
      </c>
      <c r="J39" s="2537">
        <v>0.1202704882165663</v>
      </c>
      <c r="K39" s="2537"/>
      <c r="L39" s="2537"/>
      <c r="M39" s="2537"/>
      <c r="N39" s="2537">
        <v>2.0868154305489046</v>
      </c>
    </row>
    <row r="40" spans="1:14" s="2421" customFormat="1">
      <c r="A40" s="1178">
        <v>10</v>
      </c>
      <c r="B40" s="2537">
        <v>0.36859397328227583</v>
      </c>
      <c r="C40" s="2537"/>
      <c r="D40" s="2537"/>
      <c r="E40" s="2537"/>
      <c r="F40" s="2537">
        <v>16.787386831195924</v>
      </c>
      <c r="I40" s="1178">
        <v>10</v>
      </c>
      <c r="J40" s="2537">
        <v>0.25354352370312011</v>
      </c>
      <c r="K40" s="2537"/>
      <c r="L40" s="2537"/>
      <c r="M40" s="2537"/>
      <c r="N40" s="2537">
        <v>6.7047475224857127</v>
      </c>
    </row>
    <row r="41" spans="1:14" s="2421" customFormat="1">
      <c r="A41" s="1178">
        <v>11</v>
      </c>
      <c r="B41" s="2537">
        <v>1.7317750519734356</v>
      </c>
      <c r="C41" s="2537"/>
      <c r="D41" s="2537"/>
      <c r="E41" s="2537"/>
      <c r="F41" s="2537">
        <v>40.154838669255284</v>
      </c>
      <c r="I41" s="1178">
        <v>11</v>
      </c>
      <c r="J41" s="2537">
        <v>3.8956015152723338</v>
      </c>
      <c r="K41" s="2537"/>
      <c r="L41" s="2537"/>
      <c r="M41" s="2537"/>
      <c r="N41" s="2537">
        <v>12.565410732537428</v>
      </c>
    </row>
    <row r="42" spans="1:14" s="2421" customFormat="1">
      <c r="A42" s="1178">
        <v>12</v>
      </c>
      <c r="B42" s="2537">
        <v>0.97291650379479788</v>
      </c>
      <c r="C42" s="2537"/>
      <c r="D42" s="2537"/>
      <c r="E42" s="2537"/>
      <c r="F42" s="2537">
        <v>27.952991833386267</v>
      </c>
      <c r="I42" s="1178">
        <v>12</v>
      </c>
      <c r="J42" s="2537">
        <v>11.999358428762504</v>
      </c>
      <c r="K42" s="2537"/>
      <c r="L42" s="2537"/>
      <c r="M42" s="2537"/>
      <c r="N42" s="2537">
        <v>83.493111238423737</v>
      </c>
    </row>
    <row r="43" spans="1:14" s="2421" customFormat="1">
      <c r="A43" s="2539">
        <v>13</v>
      </c>
      <c r="B43" s="2540">
        <v>0.35461508813912368</v>
      </c>
      <c r="C43" s="2540"/>
      <c r="D43" s="2540"/>
      <c r="E43" s="2540"/>
      <c r="F43" s="2540">
        <v>16.801365716339077</v>
      </c>
      <c r="I43" s="2539">
        <v>13</v>
      </c>
      <c r="J43" s="2540">
        <v>0.1202704882165663</v>
      </c>
      <c r="K43" s="2540"/>
      <c r="L43" s="2540"/>
      <c r="M43" s="2540"/>
      <c r="N43" s="2540">
        <v>2.0868154305489046</v>
      </c>
    </row>
    <row r="44" spans="1:14" s="2421" customFormat="1">
      <c r="A44" s="1178">
        <v>14</v>
      </c>
      <c r="B44" s="2537">
        <v>0.78217274928199609</v>
      </c>
      <c r="C44" s="2537"/>
      <c r="D44" s="2537"/>
      <c r="E44" s="2537"/>
      <c r="F44" s="2537">
        <v>23.834873530421586</v>
      </c>
      <c r="I44" s="1178">
        <v>14</v>
      </c>
      <c r="J44" s="2537">
        <v>0.72011942775986693</v>
      </c>
      <c r="K44" s="2537"/>
      <c r="L44" s="2537"/>
      <c r="M44" s="2537"/>
      <c r="N44" s="2537">
        <v>6.0242398397153512</v>
      </c>
    </row>
    <row r="45" spans="1:14" s="2421" customFormat="1"/>
    <row r="46" spans="1:14" s="2421" customFormat="1" ht="16.5">
      <c r="A46" s="2541" t="s">
        <v>3679</v>
      </c>
      <c r="B46" s="2541"/>
      <c r="C46" s="2541"/>
      <c r="D46" s="2541"/>
      <c r="E46" s="2542"/>
      <c r="F46" s="2542">
        <v>0.6</v>
      </c>
      <c r="I46" s="2541" t="s">
        <v>3679</v>
      </c>
      <c r="J46" s="2541"/>
      <c r="K46" s="2541"/>
      <c r="L46" s="2541"/>
      <c r="M46" s="2542"/>
      <c r="N46" s="2542">
        <v>0.6</v>
      </c>
    </row>
    <row r="47" spans="1:14" s="2421" customFormat="1" ht="16.5">
      <c r="A47" s="2545" t="s">
        <v>3682</v>
      </c>
      <c r="B47" s="2487">
        <v>0.03</v>
      </c>
      <c r="C47" s="1189"/>
      <c r="D47" s="1189"/>
      <c r="E47" s="1189"/>
      <c r="F47" s="1189"/>
      <c r="I47" s="2545" t="s">
        <v>3682</v>
      </c>
      <c r="J47" s="2487">
        <v>0.03</v>
      </c>
      <c r="K47" s="1189"/>
      <c r="L47" s="1189"/>
      <c r="M47" s="1189"/>
      <c r="N47" s="1189"/>
    </row>
    <row r="48" spans="1:14" s="2421" customFormat="1" ht="16.5">
      <c r="A48" s="2545" t="s">
        <v>3683</v>
      </c>
      <c r="B48" s="2546">
        <v>0.98998363101217857</v>
      </c>
      <c r="C48" s="2543"/>
      <c r="D48" s="2543"/>
      <c r="E48" s="2543"/>
      <c r="F48" s="2543"/>
      <c r="G48" s="2547"/>
      <c r="H48" s="2547"/>
      <c r="I48" s="2545" t="s">
        <v>3683</v>
      </c>
      <c r="J48" s="2546">
        <v>0.99242968231076556</v>
      </c>
      <c r="K48" s="1189"/>
      <c r="L48" s="1189"/>
      <c r="M48" s="1189"/>
      <c r="N48" s="1189"/>
    </row>
    <row r="49" spans="1:14" s="2421" customFormat="1" ht="16.5">
      <c r="A49" s="2545" t="s">
        <v>5943</v>
      </c>
      <c r="B49" s="2546">
        <v>0.05</v>
      </c>
      <c r="C49" s="1189"/>
      <c r="D49" s="1189"/>
      <c r="E49" s="1189"/>
      <c r="F49" s="1189"/>
      <c r="I49" s="2545" t="s">
        <v>5943</v>
      </c>
      <c r="J49" s="2546">
        <v>0.05</v>
      </c>
      <c r="K49" s="1189"/>
      <c r="L49" s="1189"/>
      <c r="M49" s="1189"/>
      <c r="N49" s="1189"/>
    </row>
    <row r="50" spans="1:14" s="2421" customFormat="1"/>
  </sheetData>
  <mergeCells count="16">
    <mergeCell ref="A27:F27"/>
    <mergeCell ref="I27:N27"/>
    <mergeCell ref="A28:A29"/>
    <mergeCell ref="B28:B29"/>
    <mergeCell ref="C28:F28"/>
    <mergeCell ref="I28:I29"/>
    <mergeCell ref="J28:J29"/>
    <mergeCell ref="K28:N28"/>
    <mergeCell ref="A4:F4"/>
    <mergeCell ref="I4:N4"/>
    <mergeCell ref="A5:A6"/>
    <mergeCell ref="B5:B6"/>
    <mergeCell ref="C5:F5"/>
    <mergeCell ref="I5:I6"/>
    <mergeCell ref="J5:J6"/>
    <mergeCell ref="K5:N5"/>
  </mergeCells>
  <phoneticPr fontId="9" type="noConversion"/>
  <pageMargins left="0.70866141732283472" right="0.70866141732283472" top="0.74803149606299213" bottom="0.74803149606299213"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1">
    <tabColor rgb="FFEE0000"/>
    <pageSetUpPr fitToPage="1"/>
  </sheetPr>
  <dimension ref="A1:AF38"/>
  <sheetViews>
    <sheetView view="pageBreakPreview" zoomScaleNormal="100" zoomScaleSheetLayoutView="100" workbookViewId="0">
      <selection activeCell="B21" sqref="B21"/>
    </sheetView>
  </sheetViews>
  <sheetFormatPr defaultColWidth="15.625" defaultRowHeight="15.75"/>
  <cols>
    <col min="1" max="1" width="5.625" style="1990" customWidth="1"/>
    <col min="2" max="16384" width="15.625" style="1990"/>
  </cols>
  <sheetData>
    <row r="1" spans="1:32" ht="16.5">
      <c r="A1" s="1199" t="str">
        <f>+封面!A3&amp;" "&amp;封面!A2</f>
        <v xml:space="preserve">        保險股份有限公司(○○分公司) 年度(月、季、半年)報表</v>
      </c>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row>
    <row r="2" spans="1:32" ht="16.5">
      <c r="A2" s="2097" t="s">
        <v>5090</v>
      </c>
      <c r="B2" s="2098"/>
      <c r="C2" s="2098"/>
      <c r="D2" s="2098"/>
      <c r="E2" s="2098"/>
      <c r="F2" s="2098"/>
      <c r="G2" s="1239"/>
      <c r="H2" s="1239"/>
      <c r="I2" s="1239"/>
      <c r="J2" s="1239"/>
      <c r="K2" s="1239"/>
      <c r="L2" s="1239"/>
      <c r="M2" s="1239"/>
      <c r="N2" s="1239"/>
      <c r="O2" s="1239"/>
      <c r="P2" s="1239"/>
      <c r="Q2" s="1239"/>
      <c r="R2" s="1239"/>
      <c r="S2" s="1239"/>
      <c r="T2" s="1239"/>
      <c r="U2" s="1239"/>
      <c r="V2" s="1239"/>
      <c r="W2" s="1239"/>
      <c r="X2" s="1239"/>
      <c r="Z2" s="1239"/>
      <c r="AA2" s="1239"/>
      <c r="AB2" s="1239"/>
      <c r="AC2" s="1239"/>
      <c r="AD2" s="1239"/>
      <c r="AE2" s="1239"/>
      <c r="AF2" s="1984" t="s">
        <v>4097</v>
      </c>
    </row>
    <row r="3" spans="1:32">
      <c r="A3" s="3211" t="s">
        <v>4064</v>
      </c>
      <c r="B3" s="3210" t="s">
        <v>4229</v>
      </c>
      <c r="C3" s="3210" t="s">
        <v>4230</v>
      </c>
      <c r="D3" s="3210" t="s">
        <v>4066</v>
      </c>
      <c r="E3" s="3210" t="s">
        <v>5389</v>
      </c>
      <c r="F3" s="3210" t="s">
        <v>4067</v>
      </c>
      <c r="G3" s="3210" t="s">
        <v>4068</v>
      </c>
      <c r="H3" s="3210" t="s">
        <v>4069</v>
      </c>
      <c r="I3" s="3210" t="s">
        <v>5390</v>
      </c>
      <c r="J3" s="3210" t="s">
        <v>5391</v>
      </c>
      <c r="K3" s="3210"/>
      <c r="L3" s="3210" t="s">
        <v>4231</v>
      </c>
      <c r="M3" s="3210"/>
      <c r="N3" s="3210"/>
      <c r="O3" s="3210"/>
      <c r="P3" s="3210"/>
      <c r="Q3" s="3210" t="s">
        <v>5392</v>
      </c>
      <c r="R3" s="3210"/>
      <c r="S3" s="3210" t="s">
        <v>5252</v>
      </c>
      <c r="T3" s="3210" t="s">
        <v>5279</v>
      </c>
      <c r="U3" s="3210" t="s">
        <v>5280</v>
      </c>
      <c r="V3" s="3210" t="s">
        <v>5282</v>
      </c>
      <c r="W3" s="3210" t="s">
        <v>5283</v>
      </c>
      <c r="X3" s="3210" t="s">
        <v>5393</v>
      </c>
      <c r="Y3" s="3210" t="s">
        <v>4197</v>
      </c>
      <c r="Z3" s="3210" t="s">
        <v>5259</v>
      </c>
      <c r="AA3" s="3210"/>
      <c r="AB3" s="3210" t="s">
        <v>5394</v>
      </c>
      <c r="AC3" s="3210" t="s">
        <v>5261</v>
      </c>
      <c r="AD3" s="3210" t="s">
        <v>5395</v>
      </c>
      <c r="AE3" s="3210" t="s">
        <v>5396</v>
      </c>
      <c r="AF3" s="3210" t="s">
        <v>5197</v>
      </c>
    </row>
    <row r="4" spans="1:32" ht="33">
      <c r="A4" s="3211"/>
      <c r="B4" s="3210"/>
      <c r="C4" s="3210"/>
      <c r="D4" s="3210"/>
      <c r="E4" s="3210"/>
      <c r="F4" s="3210"/>
      <c r="G4" s="3210"/>
      <c r="H4" s="3210"/>
      <c r="I4" s="3210"/>
      <c r="J4" s="1886" t="s">
        <v>4073</v>
      </c>
      <c r="K4" s="1886" t="s">
        <v>4074</v>
      </c>
      <c r="L4" s="1886" t="s">
        <v>4071</v>
      </c>
      <c r="M4" s="1886" t="s">
        <v>4072</v>
      </c>
      <c r="N4" s="1886" t="s">
        <v>4073</v>
      </c>
      <c r="O4" s="1886" t="s">
        <v>4074</v>
      </c>
      <c r="P4" s="1886" t="s">
        <v>4075</v>
      </c>
      <c r="Q4" s="1886" t="s">
        <v>4071</v>
      </c>
      <c r="R4" s="1886" t="s">
        <v>4072</v>
      </c>
      <c r="S4" s="3210"/>
      <c r="T4" s="3210"/>
      <c r="U4" s="3210"/>
      <c r="V4" s="3210"/>
      <c r="W4" s="3210"/>
      <c r="X4" s="3210"/>
      <c r="Y4" s="3210"/>
      <c r="Z4" s="1886" t="s">
        <v>5264</v>
      </c>
      <c r="AA4" s="1886" t="s">
        <v>5265</v>
      </c>
      <c r="AB4" s="3212"/>
      <c r="AC4" s="3210"/>
      <c r="AD4" s="3210"/>
      <c r="AE4" s="3210"/>
      <c r="AF4" s="3210"/>
    </row>
    <row r="5" spans="1:32">
      <c r="A5" s="3211"/>
      <c r="B5" s="1243" t="s">
        <v>422</v>
      </c>
      <c r="C5" s="1243" t="s">
        <v>423</v>
      </c>
      <c r="D5" s="1243" t="s">
        <v>171</v>
      </c>
      <c r="E5" s="1243" t="s">
        <v>172</v>
      </c>
      <c r="F5" s="1243" t="s">
        <v>173</v>
      </c>
      <c r="G5" s="1243" t="s">
        <v>174</v>
      </c>
      <c r="H5" s="1243" t="s">
        <v>175</v>
      </c>
      <c r="I5" s="1243" t="s">
        <v>35</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83</v>
      </c>
      <c r="X5" s="1243" t="s">
        <v>84</v>
      </c>
      <c r="Y5" s="1243" t="s">
        <v>692</v>
      </c>
      <c r="Z5" s="1243" t="s">
        <v>300</v>
      </c>
      <c r="AA5" s="1243" t="s">
        <v>301</v>
      </c>
      <c r="AB5" s="1243" t="s">
        <v>302</v>
      </c>
      <c r="AC5" s="1243" t="s">
        <v>303</v>
      </c>
      <c r="AD5" s="1243" t="s">
        <v>304</v>
      </c>
      <c r="AE5" s="1243" t="s">
        <v>236</v>
      </c>
      <c r="AF5" s="1243" t="s">
        <v>726</v>
      </c>
    </row>
    <row r="6" spans="1:32">
      <c r="A6" s="1244">
        <v>1</v>
      </c>
      <c r="B6" s="2099"/>
      <c r="C6" s="2099"/>
      <c r="D6" s="2099"/>
      <c r="E6" s="2099"/>
      <c r="F6" s="2099"/>
      <c r="G6" s="2099"/>
      <c r="H6" s="2099"/>
      <c r="I6" s="2099"/>
      <c r="J6" s="2099"/>
      <c r="K6" s="2099"/>
      <c r="L6" s="2099"/>
      <c r="M6" s="2099"/>
      <c r="N6" s="2099"/>
      <c r="O6" s="2099"/>
      <c r="P6" s="2099"/>
      <c r="Q6" s="2099"/>
      <c r="R6" s="2099"/>
      <c r="S6" s="2099"/>
      <c r="T6" s="2099"/>
      <c r="U6" s="2100"/>
      <c r="V6" s="2099"/>
      <c r="W6" s="2101"/>
      <c r="X6" s="2101"/>
      <c r="Y6" s="2101"/>
      <c r="Z6" s="2102"/>
      <c r="AA6" s="2101"/>
      <c r="AB6" s="2100"/>
      <c r="AC6" s="2099"/>
      <c r="AD6" s="2099"/>
      <c r="AE6" s="2099"/>
      <c r="AF6" s="2099"/>
    </row>
    <row r="7" spans="1:32">
      <c r="A7" s="1244">
        <v>2</v>
      </c>
      <c r="B7" s="2099"/>
      <c r="C7" s="2099"/>
      <c r="D7" s="2099"/>
      <c r="E7" s="2099"/>
      <c r="F7" s="2099"/>
      <c r="G7" s="2099"/>
      <c r="H7" s="2099"/>
      <c r="I7" s="2099"/>
      <c r="J7" s="2099"/>
      <c r="K7" s="2099"/>
      <c r="L7" s="2099"/>
      <c r="M7" s="2099"/>
      <c r="N7" s="2099"/>
      <c r="O7" s="2099"/>
      <c r="P7" s="2099"/>
      <c r="Q7" s="2099"/>
      <c r="R7" s="2099"/>
      <c r="S7" s="2099"/>
      <c r="T7" s="2099"/>
      <c r="U7" s="2100"/>
      <c r="V7" s="2099"/>
      <c r="W7" s="2101"/>
      <c r="X7" s="2101"/>
      <c r="Y7" s="2101"/>
      <c r="Z7" s="2102"/>
      <c r="AA7" s="2101"/>
      <c r="AB7" s="2100"/>
      <c r="AC7" s="2099"/>
      <c r="AD7" s="2099"/>
      <c r="AE7" s="2099"/>
      <c r="AF7" s="2099"/>
    </row>
    <row r="8" spans="1:32">
      <c r="A8" s="1244">
        <v>3</v>
      </c>
      <c r="B8" s="2099"/>
      <c r="C8" s="2099"/>
      <c r="D8" s="2099"/>
      <c r="E8" s="2099"/>
      <c r="F8" s="2099"/>
      <c r="G8" s="2099"/>
      <c r="H8" s="2099"/>
      <c r="I8" s="2099"/>
      <c r="J8" s="2099"/>
      <c r="K8" s="2099"/>
      <c r="L8" s="2099"/>
      <c r="M8" s="2099"/>
      <c r="N8" s="2099"/>
      <c r="O8" s="2099"/>
      <c r="P8" s="2099"/>
      <c r="Q8" s="2099"/>
      <c r="R8" s="2099"/>
      <c r="S8" s="2099"/>
      <c r="T8" s="2099"/>
      <c r="U8" s="2100"/>
      <c r="V8" s="2099"/>
      <c r="W8" s="2101"/>
      <c r="X8" s="2101"/>
      <c r="Y8" s="2101"/>
      <c r="Z8" s="2102"/>
      <c r="AA8" s="2101"/>
      <c r="AB8" s="2100"/>
      <c r="AC8" s="2099"/>
      <c r="AD8" s="2099"/>
      <c r="AE8" s="2099"/>
      <c r="AF8" s="2099"/>
    </row>
    <row r="9" spans="1:32">
      <c r="A9" s="1244">
        <v>4</v>
      </c>
      <c r="B9" s="2099"/>
      <c r="C9" s="2099"/>
      <c r="D9" s="2099"/>
      <c r="E9" s="2099"/>
      <c r="F9" s="2099"/>
      <c r="G9" s="2099"/>
      <c r="H9" s="2099"/>
      <c r="I9" s="2099"/>
      <c r="J9" s="2099"/>
      <c r="K9" s="2099"/>
      <c r="L9" s="2099"/>
      <c r="M9" s="2099"/>
      <c r="N9" s="2099"/>
      <c r="O9" s="2099"/>
      <c r="P9" s="2099"/>
      <c r="Q9" s="2099"/>
      <c r="R9" s="2099"/>
      <c r="S9" s="2099"/>
      <c r="T9" s="2099"/>
      <c r="U9" s="2100"/>
      <c r="V9" s="2099"/>
      <c r="W9" s="2101"/>
      <c r="X9" s="2101"/>
      <c r="Y9" s="2101"/>
      <c r="Z9" s="2102"/>
      <c r="AA9" s="2101"/>
      <c r="AB9" s="2100"/>
      <c r="AC9" s="2099"/>
      <c r="AD9" s="2099"/>
      <c r="AE9" s="2099"/>
      <c r="AF9" s="2099"/>
    </row>
    <row r="10" spans="1:32">
      <c r="A10" s="1244">
        <v>5</v>
      </c>
      <c r="B10" s="2099"/>
      <c r="C10" s="2099"/>
      <c r="D10" s="2099"/>
      <c r="E10" s="2099"/>
      <c r="F10" s="2099"/>
      <c r="G10" s="2099"/>
      <c r="H10" s="2099"/>
      <c r="I10" s="2099"/>
      <c r="J10" s="2099"/>
      <c r="K10" s="2099"/>
      <c r="L10" s="2099"/>
      <c r="M10" s="2099"/>
      <c r="N10" s="2099"/>
      <c r="O10" s="2099"/>
      <c r="P10" s="2099"/>
      <c r="Q10" s="2099"/>
      <c r="R10" s="2099"/>
      <c r="S10" s="2099"/>
      <c r="T10" s="2099"/>
      <c r="U10" s="2100"/>
      <c r="V10" s="2099"/>
      <c r="W10" s="2101"/>
      <c r="X10" s="2101"/>
      <c r="Y10" s="2101"/>
      <c r="Z10" s="2102"/>
      <c r="AA10" s="2101"/>
      <c r="AB10" s="2100"/>
      <c r="AC10" s="2099"/>
      <c r="AD10" s="2099"/>
      <c r="AE10" s="2099"/>
      <c r="AF10" s="2099"/>
    </row>
    <row r="11" spans="1:32">
      <c r="A11" s="1244">
        <v>6</v>
      </c>
      <c r="B11" s="2099"/>
      <c r="C11" s="2099"/>
      <c r="D11" s="2099"/>
      <c r="E11" s="2099"/>
      <c r="F11" s="2099"/>
      <c r="G11" s="2099"/>
      <c r="H11" s="2099"/>
      <c r="I11" s="2099"/>
      <c r="J11" s="2099"/>
      <c r="K11" s="2099"/>
      <c r="L11" s="2099"/>
      <c r="M11" s="2099"/>
      <c r="N11" s="2099"/>
      <c r="O11" s="2099"/>
      <c r="P11" s="2099"/>
      <c r="Q11" s="2099"/>
      <c r="R11" s="2099"/>
      <c r="S11" s="2099"/>
      <c r="T11" s="2099"/>
      <c r="U11" s="2100"/>
      <c r="V11" s="2099"/>
      <c r="W11" s="2101"/>
      <c r="X11" s="2101"/>
      <c r="Y11" s="2101"/>
      <c r="Z11" s="2102"/>
      <c r="AA11" s="2101"/>
      <c r="AB11" s="2100"/>
      <c r="AC11" s="2099"/>
      <c r="AD11" s="2099"/>
      <c r="AE11" s="2099"/>
      <c r="AF11" s="2099"/>
    </row>
    <row r="12" spans="1:32">
      <c r="A12" s="1244">
        <v>7</v>
      </c>
      <c r="B12" s="2099"/>
      <c r="C12" s="2099"/>
      <c r="D12" s="2099"/>
      <c r="E12" s="2099"/>
      <c r="F12" s="2099"/>
      <c r="G12" s="2099"/>
      <c r="H12" s="2099"/>
      <c r="I12" s="2099"/>
      <c r="J12" s="2099"/>
      <c r="K12" s="2099"/>
      <c r="L12" s="2099"/>
      <c r="M12" s="2099"/>
      <c r="N12" s="2099"/>
      <c r="O12" s="2099"/>
      <c r="P12" s="2099"/>
      <c r="Q12" s="2099"/>
      <c r="R12" s="2099"/>
      <c r="S12" s="2099"/>
      <c r="T12" s="2099"/>
      <c r="U12" s="2100"/>
      <c r="V12" s="2099"/>
      <c r="W12" s="2101"/>
      <c r="X12" s="2101"/>
      <c r="Y12" s="2101"/>
      <c r="Z12" s="2102"/>
      <c r="AA12" s="2101"/>
      <c r="AB12" s="2100"/>
      <c r="AC12" s="2099"/>
      <c r="AD12" s="2099"/>
      <c r="AE12" s="2099"/>
      <c r="AF12" s="2099"/>
    </row>
    <row r="13" spans="1:32">
      <c r="A13" s="1244">
        <v>8</v>
      </c>
      <c r="B13" s="2099"/>
      <c r="C13" s="2099"/>
      <c r="D13" s="2099"/>
      <c r="E13" s="2099"/>
      <c r="F13" s="2099"/>
      <c r="G13" s="2099"/>
      <c r="H13" s="2099"/>
      <c r="I13" s="2099"/>
      <c r="J13" s="2099"/>
      <c r="K13" s="2099"/>
      <c r="L13" s="2099"/>
      <c r="M13" s="2099"/>
      <c r="N13" s="2099"/>
      <c r="O13" s="2099"/>
      <c r="P13" s="2099"/>
      <c r="Q13" s="2099"/>
      <c r="R13" s="2099"/>
      <c r="S13" s="2099"/>
      <c r="T13" s="2099"/>
      <c r="U13" s="2100"/>
      <c r="V13" s="2099"/>
      <c r="W13" s="2101"/>
      <c r="X13" s="2101"/>
      <c r="Y13" s="2101"/>
      <c r="Z13" s="2102"/>
      <c r="AA13" s="2101"/>
      <c r="AB13" s="2100"/>
      <c r="AC13" s="2099"/>
      <c r="AD13" s="2099"/>
      <c r="AE13" s="2099"/>
      <c r="AF13" s="2099"/>
    </row>
    <row r="14" spans="1:32">
      <c r="A14" s="1244">
        <v>9</v>
      </c>
      <c r="B14" s="2099"/>
      <c r="C14" s="2099"/>
      <c r="D14" s="2099"/>
      <c r="E14" s="2099"/>
      <c r="F14" s="2099"/>
      <c r="G14" s="2099"/>
      <c r="H14" s="2099"/>
      <c r="I14" s="2099"/>
      <c r="J14" s="2099"/>
      <c r="K14" s="2099"/>
      <c r="L14" s="2099"/>
      <c r="M14" s="2099"/>
      <c r="N14" s="2099"/>
      <c r="O14" s="2099"/>
      <c r="P14" s="2099"/>
      <c r="Q14" s="2099"/>
      <c r="R14" s="2099"/>
      <c r="S14" s="2099"/>
      <c r="T14" s="2099"/>
      <c r="U14" s="2100"/>
      <c r="V14" s="2099"/>
      <c r="W14" s="2101"/>
      <c r="X14" s="2101"/>
      <c r="Y14" s="2101"/>
      <c r="Z14" s="2102"/>
      <c r="AA14" s="2101"/>
      <c r="AB14" s="2100"/>
      <c r="AC14" s="2099"/>
      <c r="AD14" s="2099"/>
      <c r="AE14" s="2099"/>
      <c r="AF14" s="2099"/>
    </row>
    <row r="15" spans="1:32">
      <c r="A15" s="1244">
        <v>10</v>
      </c>
      <c r="B15" s="2099"/>
      <c r="C15" s="2099"/>
      <c r="D15" s="2099"/>
      <c r="E15" s="2099"/>
      <c r="F15" s="2099"/>
      <c r="G15" s="2099"/>
      <c r="H15" s="2099"/>
      <c r="I15" s="2099"/>
      <c r="J15" s="2099"/>
      <c r="K15" s="2099"/>
      <c r="L15" s="2099"/>
      <c r="M15" s="2099"/>
      <c r="N15" s="2099"/>
      <c r="O15" s="2099"/>
      <c r="P15" s="2099"/>
      <c r="Q15" s="2099"/>
      <c r="R15" s="2099"/>
      <c r="S15" s="2099"/>
      <c r="T15" s="2099"/>
      <c r="U15" s="2100"/>
      <c r="V15" s="2099"/>
      <c r="W15" s="2101"/>
      <c r="X15" s="2101"/>
      <c r="Y15" s="2101"/>
      <c r="Z15" s="2102"/>
      <c r="AA15" s="2101"/>
      <c r="AB15" s="2100"/>
      <c r="AC15" s="2099"/>
      <c r="AD15" s="2099"/>
      <c r="AE15" s="2099"/>
      <c r="AF15" s="2099"/>
    </row>
    <row r="16" spans="1:32" ht="16.5">
      <c r="A16" s="1244">
        <v>11</v>
      </c>
      <c r="B16" s="2103" t="s">
        <v>5397</v>
      </c>
      <c r="C16" s="2103" t="s">
        <v>5377</v>
      </c>
      <c r="D16" s="2104"/>
      <c r="E16" s="2104"/>
      <c r="F16" s="2104"/>
      <c r="G16" s="2104"/>
      <c r="H16" s="2104"/>
      <c r="I16" s="2104"/>
      <c r="J16" s="2104"/>
      <c r="K16" s="2104"/>
      <c r="L16" s="2104"/>
      <c r="M16" s="2104"/>
      <c r="N16" s="2104"/>
      <c r="O16" s="2104"/>
      <c r="P16" s="2104"/>
      <c r="Q16" s="2104"/>
      <c r="R16" s="2104"/>
      <c r="S16" s="2104"/>
      <c r="T16" s="2104"/>
      <c r="U16" s="2105"/>
      <c r="V16" s="2104"/>
      <c r="W16" s="2106">
        <f>SUMIF($D$6:$D$15,"J",W6:W15)</f>
        <v>0</v>
      </c>
      <c r="X16" s="2106">
        <f>SUMIF($D$6:$D$15,"J",X6:X15)</f>
        <v>0</v>
      </c>
      <c r="Y16" s="2106">
        <f>SUMIF($D$6:$D$15,"J",Y6:Y15)</f>
        <v>0</v>
      </c>
      <c r="Z16" s="2107"/>
      <c r="AA16" s="2107"/>
      <c r="AB16" s="2108"/>
      <c r="AC16" s="2108"/>
      <c r="AD16" s="2109">
        <f>SUMIF($D$6:$D$15,"J",AD6:AD15)</f>
        <v>0</v>
      </c>
      <c r="AE16" s="2109">
        <f>SUMIF($D$6:$D$15,"J",AE6:AE15)</f>
        <v>0</v>
      </c>
      <c r="AF16" s="2108"/>
    </row>
    <row r="17" spans="1:32">
      <c r="A17" s="1249"/>
      <c r="B17" s="2110"/>
      <c r="C17" s="2111"/>
      <c r="D17" s="2111"/>
      <c r="E17" s="2111"/>
      <c r="F17" s="2111"/>
      <c r="G17" s="2111"/>
      <c r="H17" s="2111"/>
      <c r="I17" s="2111"/>
      <c r="J17" s="2111"/>
      <c r="K17" s="2111"/>
      <c r="L17" s="2110"/>
      <c r="M17" s="2111"/>
      <c r="N17" s="2111"/>
      <c r="O17" s="2111"/>
      <c r="P17" s="2111"/>
      <c r="Q17" s="2110"/>
      <c r="R17" s="2111"/>
      <c r="S17" s="2111"/>
      <c r="T17" s="2111"/>
      <c r="U17" s="2112"/>
      <c r="V17" s="2111"/>
      <c r="W17" s="2113"/>
      <c r="X17" s="2113"/>
      <c r="Y17" s="2113"/>
      <c r="Z17" s="2113"/>
      <c r="AA17" s="2113"/>
      <c r="AB17" s="2112"/>
      <c r="AC17" s="2111"/>
      <c r="AD17" s="2111"/>
      <c r="AE17" s="2111"/>
      <c r="AF17" s="2111"/>
    </row>
    <row r="18" spans="1:32" ht="16.5">
      <c r="A18" s="2114" t="s">
        <v>197</v>
      </c>
      <c r="B18" s="1239"/>
      <c r="C18" s="1368"/>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row>
    <row r="19" spans="1:32" ht="15.75" customHeight="1">
      <c r="A19" s="1249">
        <v>1</v>
      </c>
      <c r="B19" s="2115" t="s">
        <v>1901</v>
      </c>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1239"/>
    </row>
    <row r="20" spans="1:32" ht="15.75" customHeight="1">
      <c r="A20" s="1249">
        <v>2</v>
      </c>
      <c r="B20" s="2116" t="s">
        <v>5398</v>
      </c>
      <c r="C20" s="2117"/>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1239"/>
    </row>
    <row r="21" spans="1:32" s="2813" customFormat="1" ht="16.5">
      <c r="A21" s="2810"/>
      <c r="B21" s="2809" t="s">
        <v>6210</v>
      </c>
      <c r="C21" s="2811"/>
      <c r="D21" s="2811"/>
      <c r="E21" s="2811"/>
      <c r="F21" s="2811"/>
      <c r="G21" s="2811"/>
      <c r="H21" s="2811"/>
      <c r="I21" s="2811"/>
      <c r="J21" s="2811"/>
      <c r="K21" s="2811"/>
      <c r="L21" s="2811"/>
      <c r="M21" s="2811"/>
      <c r="N21" s="2811"/>
      <c r="O21" s="2811"/>
      <c r="P21" s="2811"/>
      <c r="Q21" s="2811"/>
      <c r="R21" s="2811"/>
      <c r="S21" s="2811"/>
      <c r="T21" s="2811"/>
      <c r="U21" s="2811"/>
      <c r="V21" s="2811"/>
      <c r="W21" s="2811"/>
      <c r="X21" s="2811"/>
      <c r="Y21" s="2811"/>
      <c r="Z21" s="2811"/>
      <c r="AA21" s="2811"/>
      <c r="AB21" s="2811"/>
      <c r="AC21" s="2811"/>
      <c r="AD21" s="2811"/>
      <c r="AE21" s="2812"/>
    </row>
    <row r="22" spans="1:32" ht="16.5">
      <c r="A22" s="1249"/>
      <c r="B22" s="2116" t="s">
        <v>5399</v>
      </c>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1239"/>
    </row>
    <row r="23" spans="1:32" ht="15.75" customHeight="1">
      <c r="A23" s="1249">
        <v>3</v>
      </c>
      <c r="B23" s="2118" t="s">
        <v>5400</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239"/>
    </row>
    <row r="24" spans="1:32" ht="15.75" customHeight="1">
      <c r="A24" s="2119">
        <v>4</v>
      </c>
      <c r="B24" s="2118" t="s">
        <v>5401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239"/>
    </row>
    <row r="25" spans="1:32" ht="15.75" customHeight="1">
      <c r="A25" s="2119">
        <v>5</v>
      </c>
      <c r="B25" s="2118" t="s">
        <v>5402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239"/>
    </row>
    <row r="26" spans="1:32" ht="15.75" customHeight="1">
      <c r="A26" s="2119">
        <v>6</v>
      </c>
      <c r="B26" s="2120" t="s">
        <v>5403</v>
      </c>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c r="Y26" s="2121"/>
      <c r="Z26" s="2121"/>
      <c r="AA26" s="2121"/>
      <c r="AB26" s="2121"/>
      <c r="AC26" s="2121"/>
      <c r="AD26" s="2121"/>
      <c r="AE26" s="1239"/>
    </row>
    <row r="27" spans="1:32" ht="15.75" customHeight="1">
      <c r="A27" s="2119">
        <v>7</v>
      </c>
      <c r="B27" s="2122" t="s">
        <v>5404</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239"/>
    </row>
    <row r="28" spans="1:32" ht="15.75" customHeight="1">
      <c r="A28" s="2119">
        <v>8</v>
      </c>
      <c r="B28" s="2122" t="s">
        <v>5405</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239"/>
    </row>
    <row r="29" spans="1:32" ht="15.75" customHeight="1">
      <c r="A29" s="2119">
        <v>9</v>
      </c>
      <c r="B29" s="2118" t="s">
        <v>5288</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239"/>
    </row>
    <row r="30" spans="1:32" ht="15.75" customHeight="1">
      <c r="A30" s="2119"/>
      <c r="B30" s="2118" t="s">
        <v>5289</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239"/>
    </row>
    <row r="31" spans="1:32" ht="15.75" customHeight="1">
      <c r="A31" s="2119">
        <v>10</v>
      </c>
      <c r="B31" s="2122" t="s">
        <v>5406</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239"/>
    </row>
    <row r="32" spans="1:32" ht="15.75" customHeight="1">
      <c r="A32" s="2119">
        <v>11</v>
      </c>
      <c r="B32" s="2118" t="s">
        <v>5407</v>
      </c>
      <c r="C32" s="1368"/>
      <c r="D32" s="1368"/>
      <c r="E32" s="1368"/>
      <c r="F32" s="1368"/>
      <c r="G32" s="1368"/>
      <c r="H32" s="1368"/>
      <c r="I32" s="1368"/>
      <c r="J32" s="1368"/>
      <c r="K32" s="1368"/>
      <c r="L32" s="1368"/>
      <c r="M32" s="1368"/>
      <c r="N32" s="1368"/>
      <c r="O32" s="1368"/>
      <c r="P32" s="1368"/>
      <c r="Q32" s="1368"/>
      <c r="R32" s="1368"/>
      <c r="S32" s="1368"/>
      <c r="T32" s="1368"/>
      <c r="U32" s="1368"/>
      <c r="V32" s="1368"/>
      <c r="W32" s="1239"/>
      <c r="X32" s="1239"/>
      <c r="Y32" s="1239"/>
      <c r="Z32" s="1239"/>
      <c r="AA32" s="1239"/>
      <c r="AB32" s="1239"/>
      <c r="AC32" s="1239"/>
      <c r="AD32" s="1239"/>
    </row>
    <row r="33" spans="1:14" ht="15.75" customHeight="1">
      <c r="A33" s="2119">
        <v>12</v>
      </c>
      <c r="B33" s="2118" t="s">
        <v>5295</v>
      </c>
      <c r="C33" s="1368"/>
      <c r="D33" s="1368"/>
      <c r="E33" s="1368"/>
      <c r="F33" s="1368"/>
      <c r="G33" s="1368"/>
      <c r="H33" s="1368"/>
      <c r="I33" s="1368"/>
      <c r="J33" s="1368"/>
      <c r="K33" s="1368"/>
      <c r="L33" s="1368"/>
      <c r="M33" s="1368"/>
      <c r="N33" s="1368"/>
    </row>
    <row r="34" spans="1:14" ht="15.75" customHeight="1">
      <c r="A34" s="2119">
        <v>13</v>
      </c>
      <c r="B34" s="2118" t="s">
        <v>4246</v>
      </c>
      <c r="C34" s="1368"/>
      <c r="D34" s="1368"/>
      <c r="E34" s="1368"/>
      <c r="F34" s="1368"/>
      <c r="G34" s="1368"/>
      <c r="H34" s="1368"/>
      <c r="I34" s="1368"/>
      <c r="J34" s="1368"/>
      <c r="K34" s="1368"/>
      <c r="L34" s="1368"/>
      <c r="M34" s="1368"/>
      <c r="N34" s="1368"/>
    </row>
    <row r="35" spans="1:14" ht="16.5">
      <c r="A35" s="2119">
        <v>14</v>
      </c>
      <c r="B35" s="2118" t="s">
        <v>5408</v>
      </c>
    </row>
    <row r="36" spans="1:14" ht="16.5">
      <c r="A36" s="2119" t="s">
        <v>740</v>
      </c>
      <c r="B36" s="1231" t="s">
        <v>4058</v>
      </c>
    </row>
    <row r="37" spans="1:14" ht="16.5">
      <c r="A37" s="1253">
        <v>16</v>
      </c>
      <c r="B37" s="1196" t="s">
        <v>5297</v>
      </c>
    </row>
    <row r="38" spans="1:14" ht="16.5">
      <c r="A38" s="1253">
        <v>17</v>
      </c>
      <c r="B38" s="1196" t="s">
        <v>5266</v>
      </c>
    </row>
  </sheetData>
  <mergeCells count="25">
    <mergeCell ref="J3:K3"/>
    <mergeCell ref="L3:P3"/>
    <mergeCell ref="Q3:R3"/>
    <mergeCell ref="S3:S4"/>
    <mergeCell ref="T3:T4"/>
    <mergeCell ref="AE3:AE4"/>
    <mergeCell ref="AF3:AF4"/>
    <mergeCell ref="U3:U4"/>
    <mergeCell ref="V3:V4"/>
    <mergeCell ref="W3:W4"/>
    <mergeCell ref="X3:X4"/>
    <mergeCell ref="Y3:Y4"/>
    <mergeCell ref="AB3:AB4"/>
    <mergeCell ref="AC3:AC4"/>
    <mergeCell ref="AD3:AD4"/>
    <mergeCell ref="Z3:AA3"/>
    <mergeCell ref="I3:I4"/>
    <mergeCell ref="G3:G4"/>
    <mergeCell ref="A3:A5"/>
    <mergeCell ref="B3:B4"/>
    <mergeCell ref="C3:C4"/>
    <mergeCell ref="D3:D4"/>
    <mergeCell ref="E3:E4"/>
    <mergeCell ref="F3:F4"/>
    <mergeCell ref="H3:H4"/>
  </mergeCells>
  <phoneticPr fontId="9" type="noConversion"/>
  <dataValidations disablePrompts="1" count="1">
    <dataValidation type="whole" allowBlank="1" showInputMessage="1" showErrorMessage="1" errorTitle="錯誤" error="輸入資料格式錯誤!!" sqref="Z6:Z15" xr:uid="{00000000-0002-0000-0500-000000000000}">
      <formula1>-9.99999999999999E+25</formula1>
      <formula2>9.99999999999999E+25</formula2>
    </dataValidation>
  </dataValidations>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35"/>
  <dimension ref="A1:AW92"/>
  <sheetViews>
    <sheetView view="pageBreakPreview" zoomScale="70" zoomScaleNormal="90" zoomScaleSheetLayoutView="70" workbookViewId="0">
      <selection activeCell="A2" sqref="A2"/>
    </sheetView>
  </sheetViews>
  <sheetFormatPr defaultColWidth="8.875" defaultRowHeight="15.75"/>
  <cols>
    <col min="1" max="1" width="20.25" style="2585" customWidth="1"/>
    <col min="2" max="6" width="20.625" style="2585" customWidth="1"/>
    <col min="7" max="7" width="23" style="2585" customWidth="1"/>
    <col min="8" max="8" width="28.125" style="2585" customWidth="1"/>
    <col min="9" max="14" width="14.125" style="2585" customWidth="1"/>
    <col min="15" max="15" width="12.625" style="2548" customWidth="1"/>
    <col min="16" max="16" width="19" style="2585" customWidth="1"/>
    <col min="17" max="21" width="20.625" style="2585" customWidth="1"/>
    <col min="22" max="22" width="17.875" style="2585" customWidth="1"/>
    <col min="23" max="23" width="18.25" style="2585" customWidth="1"/>
    <col min="24" max="29" width="14.125" style="2585" customWidth="1"/>
    <col min="30" max="30" width="11.5" style="2548" bestFit="1" customWidth="1"/>
    <col min="31" max="31" width="14.125" style="2548" customWidth="1"/>
    <col min="32" max="33" width="12.875" style="2548" bestFit="1" customWidth="1"/>
    <col min="34" max="34" width="14.125" style="2548" bestFit="1" customWidth="1"/>
    <col min="35" max="38" width="21.875" style="2548" customWidth="1"/>
    <col min="39" max="39" width="8.875" style="2548" customWidth="1"/>
    <col min="40" max="47" width="14.75" style="2548" customWidth="1"/>
    <col min="48" max="49" width="8.875" style="2548"/>
    <col min="50" max="16384" width="8.875" style="2585"/>
  </cols>
  <sheetData>
    <row r="1" spans="1:48" ht="21">
      <c r="A1" s="2747" t="str">
        <f>+封面!A3&amp;" "&amp;封面!A2</f>
        <v xml:space="preserve">        保險股份有限公司(○○分公司) 年度(月、季、半年)報表</v>
      </c>
    </row>
    <row r="2" spans="1:48" ht="21">
      <c r="A2" s="1198" t="s">
        <v>6046</v>
      </c>
    </row>
    <row r="4" spans="1:48" s="2548" customFormat="1" ht="16.899999999999999" customHeight="1">
      <c r="A4" s="3723" t="s">
        <v>3744</v>
      </c>
      <c r="B4" s="3723"/>
      <c r="C4" s="3723"/>
      <c r="D4" s="3723"/>
      <c r="E4" s="3723"/>
      <c r="F4" s="3723"/>
      <c r="G4" s="3723"/>
      <c r="H4" s="3723"/>
      <c r="I4" s="3723"/>
      <c r="J4" s="3723"/>
      <c r="K4" s="3723"/>
      <c r="L4" s="3723"/>
      <c r="M4" s="3723"/>
      <c r="N4" s="3723"/>
      <c r="P4" s="3723" t="s">
        <v>3783</v>
      </c>
      <c r="Q4" s="3723"/>
      <c r="R4" s="3723"/>
      <c r="S4" s="3723"/>
      <c r="T4" s="3723"/>
      <c r="U4" s="3723"/>
      <c r="V4" s="3723"/>
      <c r="W4" s="3723"/>
      <c r="X4" s="3723"/>
      <c r="Y4" s="3723"/>
      <c r="Z4" s="3723"/>
      <c r="AA4" s="3723"/>
      <c r="AB4" s="3723"/>
      <c r="AC4" s="3723"/>
      <c r="AE4" s="3724" t="s">
        <v>3697</v>
      </c>
      <c r="AF4" s="3724"/>
      <c r="AG4" s="3724"/>
      <c r="AH4" s="3724"/>
      <c r="AI4" s="3724"/>
      <c r="AJ4" s="3724"/>
      <c r="AK4" s="3724"/>
      <c r="AL4" s="3724"/>
      <c r="AM4" s="2549"/>
      <c r="AN4" s="3724" t="s">
        <v>3783</v>
      </c>
      <c r="AO4" s="3724"/>
      <c r="AP4" s="3724"/>
      <c r="AQ4" s="3724"/>
      <c r="AR4" s="3724"/>
      <c r="AS4" s="3724"/>
      <c r="AT4" s="3724"/>
      <c r="AU4" s="3724"/>
    </row>
    <row r="5" spans="1:48" s="2548" customFormat="1" ht="16.899999999999999" customHeight="1" thickBot="1">
      <c r="A5" s="3725" t="s">
        <v>3745</v>
      </c>
      <c r="B5" s="3726"/>
      <c r="C5" s="3727" t="s">
        <v>3746</v>
      </c>
      <c r="D5" s="3728"/>
      <c r="E5" s="3728"/>
      <c r="F5" s="3728"/>
      <c r="G5" s="3729"/>
      <c r="H5" s="3730" t="s">
        <v>3747</v>
      </c>
      <c r="I5" s="3726"/>
      <c r="J5" s="3727" t="s">
        <v>3746</v>
      </c>
      <c r="K5" s="3728"/>
      <c r="L5" s="3728"/>
      <c r="M5" s="3728"/>
      <c r="N5" s="3731"/>
      <c r="P5" s="3725" t="s">
        <v>3745</v>
      </c>
      <c r="Q5" s="3726"/>
      <c r="R5" s="3727" t="s">
        <v>3746</v>
      </c>
      <c r="S5" s="3728"/>
      <c r="T5" s="3728"/>
      <c r="U5" s="3728"/>
      <c r="V5" s="3729"/>
      <c r="W5" s="3730" t="s">
        <v>3747</v>
      </c>
      <c r="X5" s="3726"/>
      <c r="Y5" s="3727" t="s">
        <v>3746</v>
      </c>
      <c r="Z5" s="3728"/>
      <c r="AA5" s="3728"/>
      <c r="AB5" s="3728"/>
      <c r="AC5" s="3731"/>
      <c r="AE5" s="3732" t="s">
        <v>3698</v>
      </c>
      <c r="AF5" s="3732"/>
      <c r="AG5" s="3732"/>
      <c r="AH5" s="3732"/>
      <c r="AI5" s="3732"/>
      <c r="AJ5" s="3732"/>
      <c r="AK5" s="3732"/>
      <c r="AL5" s="3732"/>
      <c r="AM5" s="2550"/>
      <c r="AN5" s="3733" t="s">
        <v>3699</v>
      </c>
      <c r="AO5" s="3733"/>
      <c r="AP5" s="3733"/>
      <c r="AQ5" s="3733"/>
      <c r="AR5" s="3733"/>
      <c r="AS5" s="3733"/>
      <c r="AT5" s="3733"/>
      <c r="AU5" s="3733"/>
    </row>
    <row r="6" spans="1:48" s="2548" customFormat="1" ht="16.350000000000001" customHeight="1">
      <c r="A6" s="3736" t="s">
        <v>3700</v>
      </c>
      <c r="B6" s="3737"/>
      <c r="C6" s="3740" t="s">
        <v>3701</v>
      </c>
      <c r="D6" s="3714" t="s">
        <v>3748</v>
      </c>
      <c r="E6" s="3715"/>
      <c r="F6" s="3715"/>
      <c r="G6" s="3742"/>
      <c r="H6" s="3743" t="s">
        <v>3749</v>
      </c>
      <c r="I6" s="3744"/>
      <c r="J6" s="3747" t="s">
        <v>3750</v>
      </c>
      <c r="K6" s="3714" t="s">
        <v>3748</v>
      </c>
      <c r="L6" s="3715"/>
      <c r="M6" s="3715"/>
      <c r="N6" s="3716"/>
      <c r="P6" s="3736" t="s">
        <v>3700</v>
      </c>
      <c r="Q6" s="3737"/>
      <c r="R6" s="3740" t="s">
        <v>3701</v>
      </c>
      <c r="S6" s="3714" t="s">
        <v>3748</v>
      </c>
      <c r="T6" s="3715"/>
      <c r="U6" s="3715"/>
      <c r="V6" s="3742"/>
      <c r="W6" s="3743" t="s">
        <v>3749</v>
      </c>
      <c r="X6" s="3744"/>
      <c r="Y6" s="3747" t="s">
        <v>3750</v>
      </c>
      <c r="Z6" s="3714" t="s">
        <v>3748</v>
      </c>
      <c r="AA6" s="3715"/>
      <c r="AB6" s="3715"/>
      <c r="AC6" s="3716"/>
      <c r="AE6" s="3717" t="s">
        <v>3784</v>
      </c>
      <c r="AF6" s="3718"/>
      <c r="AG6" s="3721" t="s">
        <v>3785</v>
      </c>
      <c r="AH6" s="3734" t="s">
        <v>3786</v>
      </c>
      <c r="AI6" s="3714" t="s">
        <v>3748</v>
      </c>
      <c r="AJ6" s="3715"/>
      <c r="AK6" s="3715"/>
      <c r="AL6" s="3716"/>
      <c r="AM6" s="2551"/>
      <c r="AN6" s="3717" t="s">
        <v>3784</v>
      </c>
      <c r="AO6" s="3718"/>
      <c r="AP6" s="3721" t="s">
        <v>3785</v>
      </c>
      <c r="AQ6" s="3734" t="s">
        <v>3786</v>
      </c>
      <c r="AR6" s="3714" t="s">
        <v>3748</v>
      </c>
      <c r="AS6" s="3715"/>
      <c r="AT6" s="3715"/>
      <c r="AU6" s="3716"/>
    </row>
    <row r="7" spans="1:48" s="2548" customFormat="1" ht="17.25" customHeight="1" thickBot="1">
      <c r="A7" s="3738"/>
      <c r="B7" s="3739"/>
      <c r="C7" s="3741"/>
      <c r="D7" s="2552" t="s">
        <v>3751</v>
      </c>
      <c r="E7" s="2552" t="s">
        <v>3752</v>
      </c>
      <c r="F7" s="2552" t="s">
        <v>3753</v>
      </c>
      <c r="G7" s="2553" t="s">
        <v>3754</v>
      </c>
      <c r="H7" s="3745"/>
      <c r="I7" s="3746"/>
      <c r="J7" s="3748"/>
      <c r="K7" s="2552" t="s">
        <v>3751</v>
      </c>
      <c r="L7" s="2552" t="s">
        <v>3752</v>
      </c>
      <c r="M7" s="2552" t="s">
        <v>3753</v>
      </c>
      <c r="N7" s="2552" t="s">
        <v>3754</v>
      </c>
      <c r="P7" s="3738"/>
      <c r="Q7" s="3739"/>
      <c r="R7" s="3741"/>
      <c r="S7" s="2552" t="s">
        <v>3751</v>
      </c>
      <c r="T7" s="2552" t="s">
        <v>3752</v>
      </c>
      <c r="U7" s="2552" t="s">
        <v>3753</v>
      </c>
      <c r="V7" s="2553" t="s">
        <v>3754</v>
      </c>
      <c r="W7" s="3745"/>
      <c r="X7" s="3746"/>
      <c r="Y7" s="3748"/>
      <c r="Z7" s="2552" t="s">
        <v>3751</v>
      </c>
      <c r="AA7" s="2552" t="s">
        <v>3752</v>
      </c>
      <c r="AB7" s="2552" t="s">
        <v>3753</v>
      </c>
      <c r="AC7" s="2552" t="s">
        <v>3754</v>
      </c>
      <c r="AE7" s="3719"/>
      <c r="AF7" s="3720"/>
      <c r="AG7" s="3722"/>
      <c r="AH7" s="3735"/>
      <c r="AI7" s="2554" t="s">
        <v>3684</v>
      </c>
      <c r="AJ7" s="2554" t="s">
        <v>3685</v>
      </c>
      <c r="AK7" s="2554" t="s">
        <v>3787</v>
      </c>
      <c r="AL7" s="2555" t="s">
        <v>3788</v>
      </c>
      <c r="AM7" s="2551"/>
      <c r="AN7" s="3719"/>
      <c r="AO7" s="3720"/>
      <c r="AP7" s="3722"/>
      <c r="AQ7" s="3735"/>
      <c r="AR7" s="2554" t="s">
        <v>3684</v>
      </c>
      <c r="AS7" s="2554" t="s">
        <v>3685</v>
      </c>
      <c r="AT7" s="2554" t="s">
        <v>3787</v>
      </c>
      <c r="AU7" s="2555" t="s">
        <v>3788</v>
      </c>
    </row>
    <row r="8" spans="1:48" s="2548" customFormat="1" ht="16.5">
      <c r="A8" s="2556" t="s">
        <v>3755</v>
      </c>
      <c r="B8" s="1183">
        <v>1</v>
      </c>
      <c r="C8" s="2557">
        <v>0.13457158809299832</v>
      </c>
      <c r="D8" s="2557">
        <v>0</v>
      </c>
      <c r="E8" s="2557">
        <v>0.76073880981783215</v>
      </c>
      <c r="F8" s="2557">
        <v>3.9352495595391499</v>
      </c>
      <c r="G8" s="2558">
        <v>8.678521085721167</v>
      </c>
      <c r="H8" s="2559" t="s">
        <v>3755</v>
      </c>
      <c r="I8" s="1183">
        <v>1</v>
      </c>
      <c r="J8" s="2557">
        <v>0.12558279234099148</v>
      </c>
      <c r="K8" s="2557">
        <v>0</v>
      </c>
      <c r="L8" s="2557">
        <v>0.91546374513945727</v>
      </c>
      <c r="M8" s="2557">
        <v>3.7067993837309743</v>
      </c>
      <c r="N8" s="2557">
        <v>7.3964138085184112</v>
      </c>
      <c r="O8" s="2560"/>
      <c r="P8" s="2556" t="s">
        <v>3755</v>
      </c>
      <c r="Q8" s="1183">
        <v>1</v>
      </c>
      <c r="R8" s="2557">
        <v>2.4454593934974526E-3</v>
      </c>
      <c r="S8" s="2557">
        <v>2.0596338609533142E-3</v>
      </c>
      <c r="T8" s="2557">
        <v>2.4357179604287956E-2</v>
      </c>
      <c r="U8" s="2557">
        <v>6.75037426301065E-2</v>
      </c>
      <c r="V8" s="2558">
        <v>0.13952257312526808</v>
      </c>
      <c r="W8" s="2559" t="s">
        <v>3755</v>
      </c>
      <c r="X8" s="1183">
        <v>1</v>
      </c>
      <c r="Y8" s="2557">
        <v>2.1885897950770531E-3</v>
      </c>
      <c r="Z8" s="2557">
        <v>1.7631046727115407E-3</v>
      </c>
      <c r="AA8" s="2557">
        <v>2.1789030988285999E-2</v>
      </c>
      <c r="AB8" s="2557">
        <v>6.0886024641368428E-2</v>
      </c>
      <c r="AC8" s="2557">
        <v>0.12635621501637465</v>
      </c>
      <c r="AD8" s="2560"/>
      <c r="AE8" s="2561" t="s">
        <v>3686</v>
      </c>
      <c r="AF8" s="1177">
        <v>1</v>
      </c>
      <c r="AG8" s="2562">
        <v>1424.60672856</v>
      </c>
      <c r="AH8" s="2563">
        <v>0.14966276340961571</v>
      </c>
      <c r="AI8" s="2564">
        <v>0</v>
      </c>
      <c r="AJ8" s="2564">
        <v>0.84234855604519709</v>
      </c>
      <c r="AK8" s="2564">
        <v>4.3526852613235834</v>
      </c>
      <c r="AL8" s="2565">
        <v>9.650379728500738</v>
      </c>
      <c r="AM8" s="2566"/>
      <c r="AN8" s="2561" t="s">
        <v>3686</v>
      </c>
      <c r="AO8" s="1177">
        <v>1</v>
      </c>
      <c r="AP8" s="2562">
        <v>1424.6067284999999</v>
      </c>
      <c r="AQ8" s="2563">
        <v>1.941664808022139E-2</v>
      </c>
      <c r="AR8" s="2564">
        <v>6.7992335603870968E-2</v>
      </c>
      <c r="AS8" s="2564">
        <v>9.3364929477485911E-2</v>
      </c>
      <c r="AT8" s="2564">
        <v>0.10612126903510083</v>
      </c>
      <c r="AU8" s="2565">
        <v>0.11449018406304154</v>
      </c>
      <c r="AV8" s="2560"/>
    </row>
    <row r="9" spans="1:48" s="2548" customFormat="1" ht="16.5">
      <c r="A9" s="2556" t="s">
        <v>3756</v>
      </c>
      <c r="B9" s="1183">
        <v>1.1000000000000001</v>
      </c>
      <c r="C9" s="2557">
        <v>0.14583284891314063</v>
      </c>
      <c r="D9" s="2557">
        <v>5.5005348122835335E-2</v>
      </c>
      <c r="E9" s="2557">
        <v>1.5218459946306457</v>
      </c>
      <c r="F9" s="2557">
        <v>4.6738551753004032</v>
      </c>
      <c r="G9" s="2558">
        <v>7.9090800534142645</v>
      </c>
      <c r="H9" s="2559" t="s">
        <v>3756</v>
      </c>
      <c r="I9" s="1183">
        <v>1.1000000000000001</v>
      </c>
      <c r="J9" s="2557">
        <v>0.13672568958597883</v>
      </c>
      <c r="K9" s="2557">
        <v>0.10259496094379558</v>
      </c>
      <c r="L9" s="2557">
        <v>1.5262907070230354</v>
      </c>
      <c r="M9" s="2557">
        <v>4.1690732803118289</v>
      </c>
      <c r="N9" s="2557">
        <v>6.8170490413502689</v>
      </c>
      <c r="O9" s="2560"/>
      <c r="P9" s="2556" t="s">
        <v>3756</v>
      </c>
      <c r="Q9" s="1183">
        <v>1.1000000000000001</v>
      </c>
      <c r="R9" s="2557">
        <v>1.5641531883894194E-2</v>
      </c>
      <c r="S9" s="2557">
        <v>3.7762459160625539E-2</v>
      </c>
      <c r="T9" s="2557">
        <v>5.9344245425106551E-2</v>
      </c>
      <c r="U9" s="2557">
        <v>7.5400526313192162E-2</v>
      </c>
      <c r="V9" s="2558">
        <v>9.090326191718312E-2</v>
      </c>
      <c r="W9" s="2559" t="s">
        <v>3756</v>
      </c>
      <c r="X9" s="1183">
        <v>1.1000000000000001</v>
      </c>
      <c r="Y9" s="2557">
        <v>1.3833537654269918E-2</v>
      </c>
      <c r="Z9" s="2557">
        <v>3.3826488184704767E-2</v>
      </c>
      <c r="AA9" s="2557">
        <v>5.3148930411023344E-2</v>
      </c>
      <c r="AB9" s="2557">
        <v>6.7529592499387003E-2</v>
      </c>
      <c r="AC9" s="2557">
        <v>8.1418602233687687E-2</v>
      </c>
      <c r="AD9" s="2560"/>
      <c r="AE9" s="2567" t="s">
        <v>3789</v>
      </c>
      <c r="AF9" s="1178">
        <v>1.1000000000000001</v>
      </c>
      <c r="AG9" s="2562">
        <v>2398.6858291200001</v>
      </c>
      <c r="AH9" s="2568">
        <v>0.16218224309788926</v>
      </c>
      <c r="AI9" s="2557">
        <v>6.0323591191388692E-2</v>
      </c>
      <c r="AJ9" s="2557">
        <v>1.6898630879971754</v>
      </c>
      <c r="AK9" s="2557">
        <v>5.1934320560208249</v>
      </c>
      <c r="AL9" s="2569">
        <v>8.8005914065940924</v>
      </c>
      <c r="AM9" s="2551"/>
      <c r="AN9" s="2567" t="s">
        <v>3789</v>
      </c>
      <c r="AO9" s="1178">
        <v>1.1000000000000001</v>
      </c>
      <c r="AP9" s="2562">
        <v>2398.6858290800001</v>
      </c>
      <c r="AQ9" s="2568">
        <v>4.2519336531503082E-2</v>
      </c>
      <c r="AR9" s="2557">
        <v>5.7276865959291282E-2</v>
      </c>
      <c r="AS9" s="2557">
        <v>8.2106740626869457E-2</v>
      </c>
      <c r="AT9" s="2557">
        <v>9.9805539936076937E-2</v>
      </c>
      <c r="AU9" s="2569">
        <v>0.11713997319218747</v>
      </c>
      <c r="AV9" s="2560"/>
    </row>
    <row r="10" spans="1:48" s="2548" customFormat="1" ht="16.5">
      <c r="A10" s="2556" t="s">
        <v>3757</v>
      </c>
      <c r="B10" s="1183">
        <v>2</v>
      </c>
      <c r="C10" s="2557">
        <v>0.16469793580013919</v>
      </c>
      <c r="D10" s="2557">
        <v>0</v>
      </c>
      <c r="E10" s="2557">
        <v>0.25658333913482517</v>
      </c>
      <c r="F10" s="2557">
        <v>3.2828402664940981</v>
      </c>
      <c r="G10" s="2558">
        <v>10.768843042397476</v>
      </c>
      <c r="H10" s="2559" t="s">
        <v>3757</v>
      </c>
      <c r="I10" s="1183">
        <v>2</v>
      </c>
      <c r="J10" s="2557">
        <v>0.15670677267917088</v>
      </c>
      <c r="K10" s="2557">
        <v>0</v>
      </c>
      <c r="L10" s="2557">
        <v>0.28900893567943975</v>
      </c>
      <c r="M10" s="2557">
        <v>3.3479895659506829</v>
      </c>
      <c r="N10" s="2557">
        <v>9.8955571150960822</v>
      </c>
      <c r="O10" s="2560"/>
      <c r="P10" s="2556" t="s">
        <v>3757</v>
      </c>
      <c r="Q10" s="1183">
        <v>2</v>
      </c>
      <c r="R10" s="2557">
        <v>3.1984970931834473E-3</v>
      </c>
      <c r="S10" s="2557">
        <v>8.3741136376274915E-3</v>
      </c>
      <c r="T10" s="2557">
        <v>2.5394928520681367E-2</v>
      </c>
      <c r="U10" s="2557">
        <v>4.1636769840248097E-2</v>
      </c>
      <c r="V10" s="2558">
        <v>5.6196269337411266E-2</v>
      </c>
      <c r="W10" s="2559" t="s">
        <v>3757</v>
      </c>
      <c r="X10" s="1183">
        <v>2</v>
      </c>
      <c r="Y10" s="2557">
        <v>2.7571704448941326E-3</v>
      </c>
      <c r="Z10" s="2557">
        <v>7.2570367369044304E-3</v>
      </c>
      <c r="AA10" s="2557">
        <v>2.203861381604488E-2</v>
      </c>
      <c r="AB10" s="2557">
        <v>3.6166388705194008E-2</v>
      </c>
      <c r="AC10" s="2557">
        <v>4.8831636074976481E-2</v>
      </c>
      <c r="AD10" s="2560"/>
      <c r="AE10" s="2567" t="s">
        <v>3687</v>
      </c>
      <c r="AF10" s="1178">
        <v>2</v>
      </c>
      <c r="AG10" s="2562">
        <v>1923.2763003699999</v>
      </c>
      <c r="AH10" s="2568">
        <v>0.18309860371656095</v>
      </c>
      <c r="AI10" s="2557">
        <v>0</v>
      </c>
      <c r="AJ10" s="2557">
        <v>0.27636727008387568</v>
      </c>
      <c r="AK10" s="2557">
        <v>3.6024031220120381</v>
      </c>
      <c r="AL10" s="2569">
        <v>11.943770865298609</v>
      </c>
      <c r="AM10" s="2551"/>
      <c r="AN10" s="2567" t="s">
        <v>3687</v>
      </c>
      <c r="AO10" s="1178">
        <v>2</v>
      </c>
      <c r="AP10" s="2562">
        <v>1923.27630041</v>
      </c>
      <c r="AQ10" s="2568">
        <v>1.4684528163727355E-2</v>
      </c>
      <c r="AR10" s="2557">
        <v>4.3872247652212176E-2</v>
      </c>
      <c r="AS10" s="2557">
        <v>0.10096463710476931</v>
      </c>
      <c r="AT10" s="2557">
        <v>0.10757806091402104</v>
      </c>
      <c r="AU10" s="2569">
        <v>0.10757806091402104</v>
      </c>
      <c r="AV10" s="2560"/>
    </row>
    <row r="11" spans="1:48" s="2548" customFormat="1" ht="16.5">
      <c r="A11" s="2556" t="s">
        <v>3758</v>
      </c>
      <c r="B11" s="1183">
        <v>3</v>
      </c>
      <c r="C11" s="2557">
        <v>0.24710716438537933</v>
      </c>
      <c r="D11" s="2557">
        <v>0</v>
      </c>
      <c r="E11" s="2557">
        <v>3.3347790078145958</v>
      </c>
      <c r="F11" s="2557">
        <v>9.1997518790168957</v>
      </c>
      <c r="G11" s="2558">
        <v>13.906899329470409</v>
      </c>
      <c r="H11" s="2559" t="s">
        <v>3758</v>
      </c>
      <c r="I11" s="1183">
        <v>3</v>
      </c>
      <c r="J11" s="2557">
        <v>0.25277281052410777</v>
      </c>
      <c r="K11" s="2557">
        <v>0</v>
      </c>
      <c r="L11" s="2557">
        <v>3.4887462924510384</v>
      </c>
      <c r="M11" s="2557">
        <v>9.1935945784828501</v>
      </c>
      <c r="N11" s="2557">
        <v>13.973831224629777</v>
      </c>
      <c r="O11" s="2560"/>
      <c r="P11" s="2556" t="s">
        <v>3758</v>
      </c>
      <c r="Q11" s="1183">
        <v>3</v>
      </c>
      <c r="R11" s="2557">
        <v>3.9796240255837195E-2</v>
      </c>
      <c r="S11" s="2557">
        <v>9.3385699889256685E-2</v>
      </c>
      <c r="T11" s="2557">
        <v>0.21296528988249905</v>
      </c>
      <c r="U11" s="2557">
        <v>0.36698634854752288</v>
      </c>
      <c r="V11" s="2558">
        <v>0.62647362751219704</v>
      </c>
      <c r="W11" s="2559" t="s">
        <v>3758</v>
      </c>
      <c r="X11" s="1183">
        <v>3</v>
      </c>
      <c r="Y11" s="2557">
        <v>3.5747513744040643E-2</v>
      </c>
      <c r="Z11" s="2557">
        <v>8.3843590334745255E-2</v>
      </c>
      <c r="AA11" s="2557">
        <v>0.19131716668099161</v>
      </c>
      <c r="AB11" s="2557">
        <v>0.33000073713659883</v>
      </c>
      <c r="AC11" s="2557">
        <v>0.5641298557217419</v>
      </c>
      <c r="AD11" s="2560"/>
      <c r="AE11" s="2567" t="s">
        <v>3688</v>
      </c>
      <c r="AF11" s="1178">
        <v>3</v>
      </c>
      <c r="AG11" s="2562">
        <v>790.35343351999995</v>
      </c>
      <c r="AH11" s="2568">
        <v>0.27475044912583407</v>
      </c>
      <c r="AI11" s="2557">
        <v>0</v>
      </c>
      <c r="AJ11" s="2557">
        <v>3.6934987128749088</v>
      </c>
      <c r="AK11" s="2557">
        <v>10.223348410989534</v>
      </c>
      <c r="AL11" s="2569">
        <v>15.481757039122295</v>
      </c>
      <c r="AM11" s="2551"/>
      <c r="AN11" s="2567" t="s">
        <v>3688</v>
      </c>
      <c r="AO11" s="1178">
        <v>3</v>
      </c>
      <c r="AP11" s="2562">
        <v>790.35343346000002</v>
      </c>
      <c r="AQ11" s="2568">
        <v>6.3775151553828235E-2</v>
      </c>
      <c r="AR11" s="2557">
        <v>0.2831161494842967</v>
      </c>
      <c r="AS11" s="2557">
        <v>0.52063614011355841</v>
      </c>
      <c r="AT11" s="2557">
        <v>0.6998504205070657</v>
      </c>
      <c r="AU11" s="2569">
        <v>0.84014905303024934</v>
      </c>
      <c r="AV11" s="2560"/>
    </row>
    <row r="12" spans="1:48" s="2548" customFormat="1" ht="16.5">
      <c r="A12" s="2556" t="s">
        <v>3759</v>
      </c>
      <c r="B12" s="1183">
        <v>4</v>
      </c>
      <c r="C12" s="2557">
        <v>0.33599647787312253</v>
      </c>
      <c r="D12" s="2557">
        <v>0</v>
      </c>
      <c r="E12" s="2557">
        <v>3.4686440927816253</v>
      </c>
      <c r="F12" s="2557">
        <v>11.215340230886556</v>
      </c>
      <c r="G12" s="2558">
        <v>19.996709809494593</v>
      </c>
      <c r="H12" s="2559" t="s">
        <v>3759</v>
      </c>
      <c r="I12" s="1183">
        <v>4</v>
      </c>
      <c r="J12" s="2557">
        <v>0.35726130680044899</v>
      </c>
      <c r="K12" s="2557">
        <v>0</v>
      </c>
      <c r="L12" s="2557">
        <v>4.0686155677301263</v>
      </c>
      <c r="M12" s="2557">
        <v>11.962430168883854</v>
      </c>
      <c r="N12" s="2557">
        <v>20.38084332786379</v>
      </c>
      <c r="O12" s="2560"/>
      <c r="P12" s="2556" t="s">
        <v>3759</v>
      </c>
      <c r="Q12" s="1183">
        <v>4</v>
      </c>
      <c r="R12" s="2557">
        <v>2.6547932661507092E-2</v>
      </c>
      <c r="S12" s="2557">
        <v>9.3963345207444995E-2</v>
      </c>
      <c r="T12" s="2557">
        <v>0.20349127265001068</v>
      </c>
      <c r="U12" s="2557">
        <v>0.30506852575356425</v>
      </c>
      <c r="V12" s="2558">
        <v>0.41354450184963454</v>
      </c>
      <c r="W12" s="2559" t="s">
        <v>3759</v>
      </c>
      <c r="X12" s="1183">
        <v>4</v>
      </c>
      <c r="Y12" s="2557">
        <v>2.408096259211142E-2</v>
      </c>
      <c r="Z12" s="2557">
        <v>8.5498203784992344E-2</v>
      </c>
      <c r="AA12" s="2557">
        <v>0.18525395486475923</v>
      </c>
      <c r="AB12" s="2557">
        <v>0.27776468240300695</v>
      </c>
      <c r="AC12" s="2557">
        <v>0.37651789542088038</v>
      </c>
      <c r="AD12" s="2560"/>
      <c r="AE12" s="2567" t="s">
        <v>3689</v>
      </c>
      <c r="AF12" s="1178">
        <v>4</v>
      </c>
      <c r="AG12" s="2562">
        <v>929.17554307</v>
      </c>
      <c r="AH12" s="2568">
        <v>0.37375400806907355</v>
      </c>
      <c r="AI12" s="2557">
        <v>0</v>
      </c>
      <c r="AJ12" s="2557">
        <v>3.8506313644430099</v>
      </c>
      <c r="AK12" s="2557">
        <v>12.456698152185824</v>
      </c>
      <c r="AL12" s="2569">
        <v>22.242928173006945</v>
      </c>
      <c r="AM12" s="2551"/>
      <c r="AN12" s="2567" t="s">
        <v>3689</v>
      </c>
      <c r="AO12" s="1178">
        <v>4</v>
      </c>
      <c r="AP12" s="2562">
        <v>929.17554313999995</v>
      </c>
      <c r="AQ12" s="2568">
        <v>4.3570103947408984E-2</v>
      </c>
      <c r="AR12" s="2557">
        <v>0.18244146542528264</v>
      </c>
      <c r="AS12" s="2557">
        <v>0.32096071563862272</v>
      </c>
      <c r="AT12" s="2557">
        <v>0.41340846036552936</v>
      </c>
      <c r="AU12" s="2569">
        <v>0.4643172708625698</v>
      </c>
      <c r="AV12" s="2560"/>
    </row>
    <row r="13" spans="1:48" s="2548" customFormat="1" ht="16.5">
      <c r="A13" s="2556" t="s">
        <v>3760</v>
      </c>
      <c r="B13" s="1183">
        <v>5</v>
      </c>
      <c r="C13" s="2557">
        <v>0.32693666900969681</v>
      </c>
      <c r="D13" s="2557">
        <v>0</v>
      </c>
      <c r="E13" s="2557">
        <v>1.1523528069481817</v>
      </c>
      <c r="F13" s="2557">
        <v>7.3736733292151868</v>
      </c>
      <c r="G13" s="2558">
        <v>27.694486969902016</v>
      </c>
      <c r="H13" s="2559" t="s">
        <v>3760</v>
      </c>
      <c r="I13" s="1183">
        <v>5</v>
      </c>
      <c r="J13" s="2557">
        <v>0.34534162757960718</v>
      </c>
      <c r="K13" s="2557">
        <v>4.6483269653881221E-2</v>
      </c>
      <c r="L13" s="2557">
        <v>1.4136358465775989</v>
      </c>
      <c r="M13" s="2557">
        <v>7.2038467093427192</v>
      </c>
      <c r="N13" s="2557">
        <v>28.724888914720673</v>
      </c>
      <c r="O13" s="2560"/>
      <c r="P13" s="2556" t="s">
        <v>3760</v>
      </c>
      <c r="Q13" s="1183">
        <v>5</v>
      </c>
      <c r="R13" s="2557">
        <v>2.964885867215732E-3</v>
      </c>
      <c r="S13" s="2557">
        <v>1.0181494574049306E-2</v>
      </c>
      <c r="T13" s="2557">
        <v>3.5305591739302838E-2</v>
      </c>
      <c r="U13" s="2557">
        <v>5.6685637577610824E-2</v>
      </c>
      <c r="V13" s="2558">
        <v>6.9276465622295169E-2</v>
      </c>
      <c r="W13" s="2559" t="s">
        <v>3760</v>
      </c>
      <c r="X13" s="1183">
        <v>5</v>
      </c>
      <c r="Y13" s="2557">
        <v>2.6589466686936054E-3</v>
      </c>
      <c r="Z13" s="2557">
        <v>9.1190418924764205E-3</v>
      </c>
      <c r="AA13" s="2557">
        <v>3.1851370787024831E-2</v>
      </c>
      <c r="AB13" s="2557">
        <v>5.1177921177704123E-2</v>
      </c>
      <c r="AC13" s="2557">
        <v>6.2419535072568665E-2</v>
      </c>
      <c r="AD13" s="2560"/>
      <c r="AE13" s="2567" t="s">
        <v>3690</v>
      </c>
      <c r="AF13" s="1178">
        <v>5</v>
      </c>
      <c r="AG13" s="2562">
        <v>2141.98508717</v>
      </c>
      <c r="AH13" s="2568">
        <v>0.36377186204272849</v>
      </c>
      <c r="AI13" s="2557">
        <v>0</v>
      </c>
      <c r="AJ13" s="2557">
        <v>1.2797932866316817</v>
      </c>
      <c r="AK13" s="2557">
        <v>8.1999236585365765</v>
      </c>
      <c r="AL13" s="2569">
        <v>30.799364830459076</v>
      </c>
      <c r="AM13" s="2551"/>
      <c r="AN13" s="2567" t="s">
        <v>3690</v>
      </c>
      <c r="AO13" s="1178">
        <v>5</v>
      </c>
      <c r="AP13" s="2562">
        <v>2141.98508709</v>
      </c>
      <c r="AQ13" s="2568">
        <v>3.6797373368775573E-3</v>
      </c>
      <c r="AR13" s="2557">
        <v>1.5448260901381584E-2</v>
      </c>
      <c r="AS13" s="2557">
        <v>3.085218492778001E-2</v>
      </c>
      <c r="AT13" s="2557">
        <v>4.4004114106703997E-2</v>
      </c>
      <c r="AU13" s="2569">
        <v>5.6335338070439042E-2</v>
      </c>
      <c r="AV13" s="2560"/>
    </row>
    <row r="14" spans="1:48" s="2548" customFormat="1" ht="16.5">
      <c r="A14" s="2556" t="s">
        <v>3761</v>
      </c>
      <c r="B14" s="1183">
        <v>6</v>
      </c>
      <c r="C14" s="2557">
        <v>0.38452108621502346</v>
      </c>
      <c r="D14" s="2557">
        <v>0.36738898623966521</v>
      </c>
      <c r="E14" s="2557">
        <v>3.4994628317839251</v>
      </c>
      <c r="F14" s="2557">
        <v>11.480257935674123</v>
      </c>
      <c r="G14" s="2558">
        <v>22.059803640499165</v>
      </c>
      <c r="H14" s="2559" t="s">
        <v>3761</v>
      </c>
      <c r="I14" s="1183">
        <v>6</v>
      </c>
      <c r="J14" s="2557">
        <v>0.4094639352526111</v>
      </c>
      <c r="K14" s="2557">
        <v>0.41005310908681974</v>
      </c>
      <c r="L14" s="2557">
        <v>3.6196483026615809</v>
      </c>
      <c r="M14" s="2557">
        <v>11.474844933857691</v>
      </c>
      <c r="N14" s="2557">
        <v>23.441240229263933</v>
      </c>
      <c r="O14" s="2560"/>
      <c r="P14" s="2556" t="s">
        <v>3761</v>
      </c>
      <c r="Q14" s="1183">
        <v>6</v>
      </c>
      <c r="R14" s="2557">
        <v>1.9707328993023233E-2</v>
      </c>
      <c r="S14" s="2557">
        <v>5.1696136509490342E-2</v>
      </c>
      <c r="T14" s="2557">
        <v>0.10711549693571797</v>
      </c>
      <c r="U14" s="2557">
        <v>0.15498862957556275</v>
      </c>
      <c r="V14" s="2558">
        <v>0.20094262812528449</v>
      </c>
      <c r="W14" s="2559" t="s">
        <v>3761</v>
      </c>
      <c r="X14" s="1183">
        <v>6</v>
      </c>
      <c r="Y14" s="2557">
        <v>1.7786964969046075E-2</v>
      </c>
      <c r="Z14" s="2557">
        <v>4.7490918957384838E-2</v>
      </c>
      <c r="AA14" s="2557">
        <v>9.8899476898461791E-2</v>
      </c>
      <c r="AB14" s="2557">
        <v>0.14360452261582779</v>
      </c>
      <c r="AC14" s="2557">
        <v>0.1866691628015473</v>
      </c>
      <c r="AD14" s="2560"/>
      <c r="AE14" s="2567" t="s">
        <v>3691</v>
      </c>
      <c r="AF14" s="1178">
        <v>6</v>
      </c>
      <c r="AG14" s="2562">
        <v>207.78545296999999</v>
      </c>
      <c r="AH14" s="2568">
        <v>0.4276690343924936</v>
      </c>
      <c r="AI14" s="2557">
        <v>0.40609977811868869</v>
      </c>
      <c r="AJ14" s="2557">
        <v>3.8853085556708895</v>
      </c>
      <c r="AK14" s="2557">
        <v>12.754695580598339</v>
      </c>
      <c r="AL14" s="2569">
        <v>24.534663747380829</v>
      </c>
      <c r="AM14" s="2551"/>
      <c r="AN14" s="2567" t="s">
        <v>3691</v>
      </c>
      <c r="AO14" s="1178">
        <v>6</v>
      </c>
      <c r="AP14" s="2562">
        <v>207.78545295000001</v>
      </c>
      <c r="AQ14" s="2568">
        <v>2.1503743099259152E-2</v>
      </c>
      <c r="AR14" s="2557">
        <v>6.2109722572827472E-2</v>
      </c>
      <c r="AS14" s="2557">
        <v>0.135254767431122</v>
      </c>
      <c r="AT14" s="2557">
        <v>0.19157238888789266</v>
      </c>
      <c r="AU14" s="2569">
        <v>0.23758646848294843</v>
      </c>
      <c r="AV14" s="2560"/>
    </row>
    <row r="15" spans="1:48" s="2548" customFormat="1" ht="16.5">
      <c r="A15" s="2556" t="s">
        <v>3762</v>
      </c>
      <c r="B15" s="1183">
        <v>7</v>
      </c>
      <c r="C15" s="2557">
        <v>0.31585302149794287</v>
      </c>
      <c r="D15" s="2557">
        <v>0</v>
      </c>
      <c r="E15" s="2557">
        <v>2.14520821610511</v>
      </c>
      <c r="F15" s="2557">
        <v>9.7341549249784727</v>
      </c>
      <c r="G15" s="2558">
        <v>21.494095954405971</v>
      </c>
      <c r="H15" s="2559" t="s">
        <v>3762</v>
      </c>
      <c r="I15" s="1183">
        <v>7</v>
      </c>
      <c r="J15" s="2557">
        <v>0.32534315200963454</v>
      </c>
      <c r="K15" s="2557">
        <v>4.3037927744385918E-2</v>
      </c>
      <c r="L15" s="2557">
        <v>2.4158310281482356</v>
      </c>
      <c r="M15" s="2557">
        <v>9.4337515192675525</v>
      </c>
      <c r="N15" s="2557">
        <v>21.64990546857755</v>
      </c>
      <c r="O15" s="2560"/>
      <c r="P15" s="2556" t="s">
        <v>3762</v>
      </c>
      <c r="Q15" s="1183">
        <v>7</v>
      </c>
      <c r="R15" s="2557">
        <v>8.9548702712257486E-3</v>
      </c>
      <c r="S15" s="2557">
        <v>3.0171822617272873E-2</v>
      </c>
      <c r="T15" s="2557">
        <v>5.0342894736889632E-2</v>
      </c>
      <c r="U15" s="2557">
        <v>6.822021715639609E-2</v>
      </c>
      <c r="V15" s="2558">
        <v>7.936231364763896E-2</v>
      </c>
      <c r="W15" s="2559" t="s">
        <v>3762</v>
      </c>
      <c r="X15" s="1183">
        <v>7</v>
      </c>
      <c r="Y15" s="2557">
        <v>7.805635216379973E-3</v>
      </c>
      <c r="Z15" s="2557">
        <v>2.6626431098897514E-2</v>
      </c>
      <c r="AA15" s="2557">
        <v>4.4578963657221693E-2</v>
      </c>
      <c r="AB15" s="2557">
        <v>6.0607577909463708E-2</v>
      </c>
      <c r="AC15" s="2557">
        <v>7.0582514804545041E-2</v>
      </c>
      <c r="AD15" s="2560"/>
      <c r="AE15" s="2567" t="s">
        <v>3692</v>
      </c>
      <c r="AF15" s="1178">
        <v>7</v>
      </c>
      <c r="AG15" s="2562">
        <v>1592.3889326000001</v>
      </c>
      <c r="AH15" s="2568">
        <v>0.35134280250097649</v>
      </c>
      <c r="AI15" s="2557">
        <v>0</v>
      </c>
      <c r="AJ15" s="2557">
        <v>2.3794390536361529</v>
      </c>
      <c r="AK15" s="2557">
        <v>10.828693198841236</v>
      </c>
      <c r="AL15" s="2569">
        <v>23.900716316354959</v>
      </c>
      <c r="AM15" s="2551"/>
      <c r="AN15" s="2567" t="s">
        <v>3692</v>
      </c>
      <c r="AO15" s="1178">
        <v>7</v>
      </c>
      <c r="AP15" s="2562">
        <v>1592.38893257</v>
      </c>
      <c r="AQ15" s="2568">
        <v>1.0815435631171041E-2</v>
      </c>
      <c r="AR15" s="2557">
        <v>4.2570482538565657E-2</v>
      </c>
      <c r="AS15" s="2557">
        <v>7.0195831506018602E-2</v>
      </c>
      <c r="AT15" s="2557">
        <v>7.8115346319565945E-2</v>
      </c>
      <c r="AU15" s="2569">
        <v>7.9071780956586527E-2</v>
      </c>
      <c r="AV15" s="2560"/>
    </row>
    <row r="16" spans="1:48" s="2548" customFormat="1" ht="16.5">
      <c r="A16" s="2556" t="s">
        <v>3763</v>
      </c>
      <c r="B16" s="1183">
        <v>8</v>
      </c>
      <c r="C16" s="2557">
        <v>0.41373329335126269</v>
      </c>
      <c r="D16" s="2557">
        <v>0.39492118607823296</v>
      </c>
      <c r="E16" s="2557">
        <v>5.2414915905774793</v>
      </c>
      <c r="F16" s="2557">
        <v>13.832079976995709</v>
      </c>
      <c r="G16" s="2558">
        <v>21.456196454192902</v>
      </c>
      <c r="H16" s="2559" t="s">
        <v>3763</v>
      </c>
      <c r="I16" s="1183">
        <v>8</v>
      </c>
      <c r="J16" s="2557">
        <v>0.42235164730009644</v>
      </c>
      <c r="K16" s="2557">
        <v>0.54491106043552129</v>
      </c>
      <c r="L16" s="2557">
        <v>5.8739114483416159</v>
      </c>
      <c r="M16" s="2557">
        <v>13.447370602652535</v>
      </c>
      <c r="N16" s="2557">
        <v>20.448135411298455</v>
      </c>
      <c r="O16" s="2560"/>
      <c r="P16" s="2556" t="s">
        <v>3763</v>
      </c>
      <c r="Q16" s="1183">
        <v>8</v>
      </c>
      <c r="R16" s="2557">
        <v>2.8718766916995828E-3</v>
      </c>
      <c r="S16" s="2557">
        <v>9.484719439884659E-3</v>
      </c>
      <c r="T16" s="2557">
        <v>2.314594477854422E-2</v>
      </c>
      <c r="U16" s="2557">
        <v>3.8223046753703138E-2</v>
      </c>
      <c r="V16" s="2558">
        <v>5.7064411570969455E-2</v>
      </c>
      <c r="W16" s="2559" t="s">
        <v>3763</v>
      </c>
      <c r="X16" s="1183">
        <v>8</v>
      </c>
      <c r="Y16" s="2557">
        <v>2.542185097875961E-3</v>
      </c>
      <c r="Z16" s="2557">
        <v>8.5029206350663612E-3</v>
      </c>
      <c r="AA16" s="2557">
        <v>2.0737007810896043E-2</v>
      </c>
      <c r="AB16" s="2557">
        <v>3.3995155887944682E-2</v>
      </c>
      <c r="AC16" s="2557">
        <v>5.006214735899147E-2</v>
      </c>
      <c r="AD16" s="2560"/>
      <c r="AE16" s="2567" t="s">
        <v>3693</v>
      </c>
      <c r="AF16" s="1178">
        <v>8</v>
      </c>
      <c r="AG16" s="2562">
        <v>236.40278924</v>
      </c>
      <c r="AH16" s="2568">
        <v>0.46026535944617464</v>
      </c>
      <c r="AI16" s="2557">
        <v>0.43797243043738687</v>
      </c>
      <c r="AJ16" s="2557">
        <v>5.8147621278750661</v>
      </c>
      <c r="AK16" s="2557">
        <v>15.373110404112012</v>
      </c>
      <c r="AL16" s="2569">
        <v>23.891135029881443</v>
      </c>
      <c r="AM16" s="2551"/>
      <c r="AN16" s="2567" t="s">
        <v>3693</v>
      </c>
      <c r="AO16" s="1178">
        <v>8</v>
      </c>
      <c r="AP16" s="2562">
        <v>236.4027892</v>
      </c>
      <c r="AQ16" s="2568">
        <v>6.2388857804559269E-3</v>
      </c>
      <c r="AR16" s="2557">
        <v>1.4872478718795731E-2</v>
      </c>
      <c r="AS16" s="2557">
        <v>3.5365273086290103E-2</v>
      </c>
      <c r="AT16" s="2557">
        <v>5.3782944863331551E-2</v>
      </c>
      <c r="AU16" s="2569">
        <v>7.1812696602393977E-2</v>
      </c>
      <c r="AV16" s="2560"/>
    </row>
    <row r="17" spans="1:48" s="2548" customFormat="1" ht="16.5">
      <c r="A17" s="2556" t="s">
        <v>3764</v>
      </c>
      <c r="B17" s="1183">
        <v>9</v>
      </c>
      <c r="C17" s="2557">
        <v>0.47087100137529991</v>
      </c>
      <c r="D17" s="2557">
        <v>1.288662823738175</v>
      </c>
      <c r="E17" s="2557">
        <v>5.4006325374122035</v>
      </c>
      <c r="F17" s="2557">
        <v>10.674211423621614</v>
      </c>
      <c r="G17" s="2558">
        <v>21.003285889469527</v>
      </c>
      <c r="H17" s="2559" t="s">
        <v>3764</v>
      </c>
      <c r="I17" s="1183">
        <v>9</v>
      </c>
      <c r="J17" s="2557">
        <v>0.5020067519816106</v>
      </c>
      <c r="K17" s="2557">
        <v>1.5675043820654446</v>
      </c>
      <c r="L17" s="2557">
        <v>5.7961246454539612</v>
      </c>
      <c r="M17" s="2557">
        <v>10.961980744714181</v>
      </c>
      <c r="N17" s="2557">
        <v>21.010183261932895</v>
      </c>
      <c r="O17" s="2560"/>
      <c r="P17" s="2556" t="s">
        <v>3764</v>
      </c>
      <c r="Q17" s="1183">
        <v>9</v>
      </c>
      <c r="R17" s="2557">
        <v>2.409113398556435E-2</v>
      </c>
      <c r="S17" s="2557">
        <v>5.8397929910844359E-2</v>
      </c>
      <c r="T17" s="2557">
        <v>0.11101629322411526</v>
      </c>
      <c r="U17" s="2557">
        <v>0.17045831214034757</v>
      </c>
      <c r="V17" s="2558">
        <v>0.28543042621918291</v>
      </c>
      <c r="W17" s="2559" t="s">
        <v>3764</v>
      </c>
      <c r="X17" s="1183">
        <v>9</v>
      </c>
      <c r="Y17" s="2557">
        <v>2.1606451022665157E-2</v>
      </c>
      <c r="Z17" s="2557">
        <v>5.2712621481676561E-2</v>
      </c>
      <c r="AA17" s="2557">
        <v>0.10014429093947</v>
      </c>
      <c r="AB17" s="2557">
        <v>0.15363964166639058</v>
      </c>
      <c r="AC17" s="2557">
        <v>0.25745736051724732</v>
      </c>
      <c r="AD17" s="2560"/>
      <c r="AE17" s="2567" t="s">
        <v>3790</v>
      </c>
      <c r="AF17" s="1178">
        <v>9</v>
      </c>
      <c r="AG17" s="2562">
        <v>1435.69127968</v>
      </c>
      <c r="AH17" s="2568">
        <v>0.52372182329813644</v>
      </c>
      <c r="AI17" s="2557">
        <v>1.4306146829393795</v>
      </c>
      <c r="AJ17" s="2557">
        <v>6.0036464202137401</v>
      </c>
      <c r="AK17" s="2557">
        <v>11.886287251588076</v>
      </c>
      <c r="AL17" s="2569">
        <v>23.368725055116549</v>
      </c>
      <c r="AM17" s="2551"/>
      <c r="AN17" s="2567" t="s">
        <v>3790</v>
      </c>
      <c r="AO17" s="1178">
        <v>9</v>
      </c>
      <c r="AP17" s="2562">
        <v>1845.88878845</v>
      </c>
      <c r="AQ17" s="2568">
        <v>2.6110324360586752E-2</v>
      </c>
      <c r="AR17" s="2557">
        <v>5.3746464200581996E-2</v>
      </c>
      <c r="AS17" s="2557">
        <v>0.11976517683651591</v>
      </c>
      <c r="AT17" s="2557">
        <v>0.21679874045597658</v>
      </c>
      <c r="AU17" s="2569">
        <v>0.40820838742057264</v>
      </c>
      <c r="AV17" s="2560"/>
    </row>
    <row r="18" spans="1:48" s="2548" customFormat="1" ht="16.5">
      <c r="A18" s="2556" t="s">
        <v>3765</v>
      </c>
      <c r="B18" s="1183">
        <v>10</v>
      </c>
      <c r="C18" s="2557">
        <v>0.27368363665133133</v>
      </c>
      <c r="D18" s="2557">
        <v>0.90341831178971188</v>
      </c>
      <c r="E18" s="2557">
        <v>3.5610422750284498</v>
      </c>
      <c r="F18" s="2557">
        <v>5.90125501948833</v>
      </c>
      <c r="G18" s="2558">
        <v>8.3144030112625025</v>
      </c>
      <c r="H18" s="2559" t="s">
        <v>3765</v>
      </c>
      <c r="I18" s="1183">
        <v>10</v>
      </c>
      <c r="J18" s="2557">
        <v>0.25908248301319742</v>
      </c>
      <c r="K18" s="2557">
        <v>0.89078827908866121</v>
      </c>
      <c r="L18" s="2557">
        <v>3.1233553210117093</v>
      </c>
      <c r="M18" s="2557">
        <v>5.176979804756634</v>
      </c>
      <c r="N18" s="2557">
        <v>7.4759058207940976</v>
      </c>
      <c r="O18" s="2560"/>
      <c r="P18" s="2556" t="s">
        <v>3765</v>
      </c>
      <c r="Q18" s="1183">
        <v>10</v>
      </c>
      <c r="R18" s="2557">
        <v>4.0118093382049899E-2</v>
      </c>
      <c r="S18" s="2557">
        <v>8.0291886581353056E-2</v>
      </c>
      <c r="T18" s="2557">
        <v>0.14923074953771431</v>
      </c>
      <c r="U18" s="2557">
        <v>0.2067343915525694</v>
      </c>
      <c r="V18" s="2558">
        <v>0.26233483344871028</v>
      </c>
      <c r="W18" s="2559" t="s">
        <v>3765</v>
      </c>
      <c r="X18" s="1183">
        <v>10</v>
      </c>
      <c r="Y18" s="2557">
        <v>3.5922786868576036E-2</v>
      </c>
      <c r="Z18" s="2557">
        <v>7.2845602303093254E-2</v>
      </c>
      <c r="AA18" s="2557">
        <v>0.13538836828009146</v>
      </c>
      <c r="AB18" s="2557">
        <v>0.18760138749708255</v>
      </c>
      <c r="AC18" s="2557">
        <v>0.23810637374751326</v>
      </c>
      <c r="AD18" s="2560"/>
      <c r="AE18" s="2567" t="s">
        <v>3791</v>
      </c>
      <c r="AF18" s="1178">
        <v>10</v>
      </c>
      <c r="AG18" s="2562">
        <v>1765.2289341400001</v>
      </c>
      <c r="AH18" s="2568">
        <v>0.30428758255832833</v>
      </c>
      <c r="AI18" s="2557">
        <v>1.00358743152279</v>
      </c>
      <c r="AJ18" s="2557">
        <v>3.9594043598331643</v>
      </c>
      <c r="AK18" s="2557">
        <v>6.5643417191470173</v>
      </c>
      <c r="AL18" s="2569">
        <v>9.2539809290659232</v>
      </c>
      <c r="AM18" s="2551"/>
      <c r="AN18" s="2567" t="s">
        <v>3791</v>
      </c>
      <c r="AO18" s="1178">
        <v>10</v>
      </c>
      <c r="AP18" s="2562">
        <v>1611.4048687300001</v>
      </c>
      <c r="AQ18" s="2568">
        <v>5.764221754722984E-2</v>
      </c>
      <c r="AR18" s="2557">
        <v>0.1125831256320669</v>
      </c>
      <c r="AS18" s="2557">
        <v>0.19556617333809531</v>
      </c>
      <c r="AT18" s="2557">
        <v>0.26031692627461411</v>
      </c>
      <c r="AU18" s="2569">
        <v>0.31909612339624116</v>
      </c>
      <c r="AV18" s="2560"/>
    </row>
    <row r="19" spans="1:48" s="2548" customFormat="1" ht="16.5">
      <c r="A19" s="2556" t="s">
        <v>3766</v>
      </c>
      <c r="B19" s="1183">
        <v>11</v>
      </c>
      <c r="C19" s="2557">
        <v>0.95189258846617419</v>
      </c>
      <c r="D19" s="2557">
        <v>5.4994423419757164</v>
      </c>
      <c r="E19" s="2557">
        <v>11.175482129113119</v>
      </c>
      <c r="F19" s="2557">
        <v>14.379649080764198</v>
      </c>
      <c r="G19" s="2558">
        <v>17.421211103864984</v>
      </c>
      <c r="H19" s="2559" t="s">
        <v>3766</v>
      </c>
      <c r="I19" s="1183">
        <v>11</v>
      </c>
      <c r="J19" s="2557">
        <v>0.99715824066153924</v>
      </c>
      <c r="K19" s="2557">
        <v>5.2880762862842294</v>
      </c>
      <c r="L19" s="2557">
        <v>11.322649494661057</v>
      </c>
      <c r="M19" s="2557">
        <v>15.290421253896499</v>
      </c>
      <c r="N19" s="2557">
        <v>19.333116916583375</v>
      </c>
      <c r="O19" s="2560"/>
      <c r="P19" s="2556" t="s">
        <v>3766</v>
      </c>
      <c r="Q19" s="1183">
        <v>11</v>
      </c>
      <c r="R19" s="2557">
        <v>7.3717337603207936E-2</v>
      </c>
      <c r="S19" s="2557">
        <v>0.12277990314772579</v>
      </c>
      <c r="T19" s="2557">
        <v>0.20733670463457571</v>
      </c>
      <c r="U19" s="2557">
        <v>0.28480740834524071</v>
      </c>
      <c r="V19" s="2558">
        <v>0.37015502824926072</v>
      </c>
      <c r="W19" s="2559" t="s">
        <v>3766</v>
      </c>
      <c r="X19" s="1183">
        <v>11</v>
      </c>
      <c r="Y19" s="2557">
        <v>6.4853164198374738E-2</v>
      </c>
      <c r="Z19" s="2557">
        <v>0.10935193573711151</v>
      </c>
      <c r="AA19" s="2557">
        <v>0.19337955867343948</v>
      </c>
      <c r="AB19" s="2557">
        <v>0.27096392621883786</v>
      </c>
      <c r="AC19" s="2557">
        <v>0.34580897707699948</v>
      </c>
      <c r="AD19" s="2560"/>
      <c r="AE19" s="2567" t="s">
        <v>3792</v>
      </c>
      <c r="AF19" s="1178">
        <v>11</v>
      </c>
      <c r="AG19" s="2562">
        <v>173.75110076999999</v>
      </c>
      <c r="AH19" s="2568">
        <v>1.0589028929024202</v>
      </c>
      <c r="AI19" s="2557">
        <v>6.104414305375724</v>
      </c>
      <c r="AJ19" s="2557">
        <v>12.454510415602687</v>
      </c>
      <c r="AK19" s="2557">
        <v>16.045486530217435</v>
      </c>
      <c r="AL19" s="2569">
        <v>19.450147226370557</v>
      </c>
      <c r="AM19" s="2551"/>
      <c r="AN19" s="2567" t="s">
        <v>3792</v>
      </c>
      <c r="AO19" s="1178">
        <v>11</v>
      </c>
      <c r="AP19" s="2562">
        <v>173.75110088</v>
      </c>
      <c r="AQ19" s="2568">
        <v>0.19636033859470761</v>
      </c>
      <c r="AR19" s="2557">
        <v>0.50757856815485414</v>
      </c>
      <c r="AS19" s="2557">
        <v>0.50757856815485414</v>
      </c>
      <c r="AT19" s="2557">
        <v>0.50757856815485414</v>
      </c>
      <c r="AU19" s="2569">
        <v>0.50757856815485414</v>
      </c>
      <c r="AV19" s="2560"/>
    </row>
    <row r="20" spans="1:48" s="2548" customFormat="1" ht="17.25" thickBot="1">
      <c r="A20" s="2556" t="s">
        <v>3767</v>
      </c>
      <c r="B20" s="1183">
        <v>12</v>
      </c>
      <c r="C20" s="2557">
        <v>0.14761017926388792</v>
      </c>
      <c r="D20" s="2557">
        <v>0.36687334498732821</v>
      </c>
      <c r="E20" s="2557">
        <v>1.7790541831964346</v>
      </c>
      <c r="F20" s="2557">
        <v>4.0137597053035527</v>
      </c>
      <c r="G20" s="2558">
        <v>6.1545249891890217</v>
      </c>
      <c r="H20" s="2559" t="s">
        <v>3767</v>
      </c>
      <c r="I20" s="1183">
        <v>12</v>
      </c>
      <c r="J20" s="2557">
        <v>4.336948386828722E-2</v>
      </c>
      <c r="K20" s="2557">
        <v>0.13645052563803689</v>
      </c>
      <c r="L20" s="2557">
        <v>0.54420163188150983</v>
      </c>
      <c r="M20" s="2557">
        <v>1.0731499454634073</v>
      </c>
      <c r="N20" s="2557">
        <v>1.6156554873542233</v>
      </c>
      <c r="O20" s="2560"/>
      <c r="P20" s="2556" t="s">
        <v>3767</v>
      </c>
      <c r="Q20" s="1183">
        <v>12</v>
      </c>
      <c r="R20" s="2557">
        <v>0.14089352770315089</v>
      </c>
      <c r="S20" s="2557">
        <v>0.34041560385410513</v>
      </c>
      <c r="T20" s="2557">
        <v>0.71312490379782245</v>
      </c>
      <c r="U20" s="2557">
        <v>1.2373364665696269</v>
      </c>
      <c r="V20" s="2558">
        <v>2.1435222533573715</v>
      </c>
      <c r="W20" s="2559" t="s">
        <v>3767</v>
      </c>
      <c r="X20" s="1183">
        <v>12</v>
      </c>
      <c r="Y20" s="2557">
        <v>0.1262338848275818</v>
      </c>
      <c r="Z20" s="2557">
        <v>0.30667650285997594</v>
      </c>
      <c r="AA20" s="2557">
        <v>0.64265150261176496</v>
      </c>
      <c r="AB20" s="2557">
        <v>1.115545584369638</v>
      </c>
      <c r="AC20" s="2557">
        <v>1.9334355796984455</v>
      </c>
      <c r="AD20" s="2560"/>
      <c r="AE20" s="2570" t="s">
        <v>3694</v>
      </c>
      <c r="AF20" s="1179">
        <v>12</v>
      </c>
      <c r="AG20" s="2571">
        <v>427.69850216999998</v>
      </c>
      <c r="AH20" s="2572">
        <v>0.1641905074446951</v>
      </c>
      <c r="AI20" s="2573">
        <v>0.40642649221454408</v>
      </c>
      <c r="AJ20" s="2573">
        <v>1.9682394455482144</v>
      </c>
      <c r="AK20" s="2573">
        <v>4.4609979898870957</v>
      </c>
      <c r="AL20" s="2574">
        <v>6.8667945052742949</v>
      </c>
      <c r="AM20" s="2551"/>
      <c r="AN20" s="2570" t="s">
        <v>3694</v>
      </c>
      <c r="AO20" s="1179">
        <v>12</v>
      </c>
      <c r="AP20" s="2571">
        <v>171.32505938</v>
      </c>
      <c r="AQ20" s="2572">
        <v>0.61621032195786418</v>
      </c>
      <c r="AR20" s="2573">
        <v>1.1383235594716457</v>
      </c>
      <c r="AS20" s="2573">
        <v>2.2115749775594313</v>
      </c>
      <c r="AT20" s="2573">
        <v>2.5714716317292541</v>
      </c>
      <c r="AU20" s="2574">
        <v>2.5714716317292541</v>
      </c>
      <c r="AV20" s="2560"/>
    </row>
    <row r="21" spans="1:48" ht="16.5">
      <c r="A21" s="2575" t="s">
        <v>3768</v>
      </c>
      <c r="B21" s="1184">
        <v>13</v>
      </c>
      <c r="C21" s="2576">
        <v>0.13457158809299832</v>
      </c>
      <c r="D21" s="2576">
        <v>0</v>
      </c>
      <c r="E21" s="2576">
        <v>0.28670968684196607</v>
      </c>
      <c r="F21" s="2576">
        <v>3.3129666142012386</v>
      </c>
      <c r="G21" s="2577">
        <v>6.1675635803599107</v>
      </c>
      <c r="H21" s="2578" t="s">
        <v>3768</v>
      </c>
      <c r="I21" s="1184">
        <v>13</v>
      </c>
      <c r="J21" s="2576">
        <v>4.336948386828722E-2</v>
      </c>
      <c r="K21" s="2576">
        <v>0</v>
      </c>
      <c r="L21" s="2576">
        <v>0.40234622449032342</v>
      </c>
      <c r="M21" s="2576">
        <v>1.0731499454634073</v>
      </c>
      <c r="N21" s="2576">
        <v>1.6156554873542233</v>
      </c>
      <c r="O21" s="2560"/>
      <c r="P21" s="2575" t="s">
        <v>3768</v>
      </c>
      <c r="Q21" s="1184">
        <v>13</v>
      </c>
      <c r="R21" s="2576">
        <v>2.4454593934974526E-3</v>
      </c>
      <c r="S21" s="2576">
        <v>2.0596338609533142E-3</v>
      </c>
      <c r="T21" s="2576">
        <v>2.3572362076746348E-2</v>
      </c>
      <c r="U21" s="2576">
        <v>3.8649464051905266E-2</v>
      </c>
      <c r="V21" s="2577">
        <v>5.694930703709726E-2</v>
      </c>
      <c r="W21" s="2578" t="s">
        <v>3768</v>
      </c>
      <c r="X21" s="1184">
        <v>13</v>
      </c>
      <c r="Y21" s="2576">
        <v>2.1885897950770531E-3</v>
      </c>
      <c r="Z21" s="2576">
        <v>1.7631046727115407E-3</v>
      </c>
      <c r="AA21" s="2576">
        <v>2.1090603113694949E-2</v>
      </c>
      <c r="AB21" s="2576">
        <v>3.4348751190743591E-2</v>
      </c>
      <c r="AC21" s="2576">
        <v>4.9400216724793562E-2</v>
      </c>
      <c r="AD21" s="2560"/>
      <c r="AE21" s="2579" t="s">
        <v>3695</v>
      </c>
      <c r="AF21" s="1180">
        <v>13</v>
      </c>
      <c r="AG21" s="2580" t="s">
        <v>3678</v>
      </c>
      <c r="AH21" s="2581">
        <v>0.14966276340961571</v>
      </c>
      <c r="AI21" s="2582">
        <v>0</v>
      </c>
      <c r="AJ21" s="2582">
        <v>0.30980311039082092</v>
      </c>
      <c r="AK21" s="2582">
        <v>3.6358389623189833</v>
      </c>
      <c r="AL21" s="2583">
        <v>6.881322249309374</v>
      </c>
      <c r="AM21" s="2584"/>
      <c r="AN21" s="2579" t="s">
        <v>3695</v>
      </c>
      <c r="AO21" s="1180">
        <v>13</v>
      </c>
      <c r="AP21" s="2580" t="s">
        <v>3678</v>
      </c>
      <c r="AQ21" s="2581">
        <v>3.6797373368775573E-3</v>
      </c>
      <c r="AR21" s="2582">
        <v>1.5448260901381584E-2</v>
      </c>
      <c r="AS21" s="2582">
        <v>3.085218492778001E-2</v>
      </c>
      <c r="AT21" s="2582">
        <v>4.4004114106703997E-2</v>
      </c>
      <c r="AU21" s="2583">
        <v>5.6335338070439042E-2</v>
      </c>
      <c r="AV21" s="2560"/>
    </row>
    <row r="22" spans="1:48" s="2548" customFormat="1" ht="17.25" thickBot="1">
      <c r="A22" s="2556" t="s">
        <v>3769</v>
      </c>
      <c r="B22" s="1183">
        <v>14</v>
      </c>
      <c r="C22" s="2557">
        <v>0.26765046508367218</v>
      </c>
      <c r="D22" s="2557">
        <v>0.69818529129649898</v>
      </c>
      <c r="E22" s="2557">
        <v>2.7336305714599844</v>
      </c>
      <c r="F22" s="2557">
        <v>5.3959095517536788</v>
      </c>
      <c r="G22" s="2558">
        <v>9.1983354862478581</v>
      </c>
      <c r="H22" s="2559" t="s">
        <v>3769</v>
      </c>
      <c r="I22" s="1183">
        <v>14</v>
      </c>
      <c r="J22" s="2557">
        <v>0.30780299664042232</v>
      </c>
      <c r="K22" s="2557">
        <v>0.97081825095562047</v>
      </c>
      <c r="L22" s="2557">
        <v>3.0929966253837962</v>
      </c>
      <c r="M22" s="2557">
        <v>6.5952734288160588</v>
      </c>
      <c r="N22" s="2557">
        <v>8.8692025074327194</v>
      </c>
      <c r="O22" s="2560"/>
      <c r="P22" s="2556" t="s">
        <v>3769</v>
      </c>
      <c r="Q22" s="1183">
        <v>14</v>
      </c>
      <c r="R22" s="2557">
        <v>1.7784857382444608E-2</v>
      </c>
      <c r="S22" s="2557">
        <v>2.0829084534614423E-2</v>
      </c>
      <c r="T22" s="2557">
        <v>3.9183137802827353E-2</v>
      </c>
      <c r="U22" s="2557">
        <v>5.5576861472255851E-2</v>
      </c>
      <c r="V22" s="2558">
        <v>7.3399188936093859E-2</v>
      </c>
      <c r="W22" s="2559" t="s">
        <v>3769</v>
      </c>
      <c r="X22" s="1183">
        <v>14</v>
      </c>
      <c r="Y22" s="2557">
        <v>1.8788693686947217E-2</v>
      </c>
      <c r="Z22" s="2557">
        <v>2.383406664345776E-2</v>
      </c>
      <c r="AA22" s="2557">
        <v>4.7243613598459161E-2</v>
      </c>
      <c r="AB22" s="2557">
        <v>7.2232920463622452E-2</v>
      </c>
      <c r="AC22" s="2557">
        <v>0.10064261437614877</v>
      </c>
      <c r="AD22" s="2560"/>
      <c r="AE22" s="2586" t="s">
        <v>3696</v>
      </c>
      <c r="AF22" s="1181">
        <v>14</v>
      </c>
      <c r="AG22" s="2587">
        <v>15447.02991338</v>
      </c>
      <c r="AH22" s="2588">
        <v>0.29768871381522921</v>
      </c>
      <c r="AI22" s="2589">
        <v>0.77586762723634195</v>
      </c>
      <c r="AJ22" s="2589">
        <v>3.0404814337011543</v>
      </c>
      <c r="AK22" s="2589">
        <v>6.0079006405020259</v>
      </c>
      <c r="AL22" s="2590">
        <v>10.232342987336212</v>
      </c>
      <c r="AM22" s="2551"/>
      <c r="AN22" s="2586" t="s">
        <v>3696</v>
      </c>
      <c r="AO22" s="1181">
        <v>14</v>
      </c>
      <c r="AP22" s="2587">
        <v>15447.029913840001</v>
      </c>
      <c r="AQ22" s="2588">
        <v>3.6291740426923264E-2</v>
      </c>
      <c r="AR22" s="2589">
        <v>3.4881274210691995E-2</v>
      </c>
      <c r="AS22" s="2589">
        <v>5.561482277658894E-2</v>
      </c>
      <c r="AT22" s="2589">
        <v>7.0838913491002312E-2</v>
      </c>
      <c r="AU22" s="2590">
        <v>8.4498369700444567E-2</v>
      </c>
      <c r="AV22" s="2560"/>
    </row>
    <row r="23" spans="1:48" s="2548" customFormat="1">
      <c r="H23" s="2591"/>
      <c r="I23" s="2591"/>
      <c r="W23" s="2591"/>
      <c r="AE23" s="2592"/>
      <c r="AF23" s="2592"/>
      <c r="AG23" s="2592"/>
      <c r="AH23" s="2592"/>
      <c r="AI23" s="2592"/>
      <c r="AJ23" s="2592"/>
      <c r="AK23" s="2592"/>
      <c r="AL23" s="2592"/>
      <c r="AM23" s="2551"/>
    </row>
    <row r="24" spans="1:48" s="2548" customFormat="1" ht="17.25" customHeight="1" thickBot="1">
      <c r="A24" s="3725" t="s">
        <v>3770</v>
      </c>
      <c r="B24" s="3726"/>
      <c r="C24" s="3727" t="s">
        <v>3746</v>
      </c>
      <c r="D24" s="3728"/>
      <c r="E24" s="3728"/>
      <c r="F24" s="3728"/>
      <c r="G24" s="3729"/>
      <c r="H24" s="3730" t="s">
        <v>3771</v>
      </c>
      <c r="I24" s="3726"/>
      <c r="J24" s="3727" t="s">
        <v>3746</v>
      </c>
      <c r="K24" s="3728"/>
      <c r="L24" s="3728"/>
      <c r="M24" s="3728"/>
      <c r="N24" s="3731"/>
      <c r="P24" s="3725" t="s">
        <v>3770</v>
      </c>
      <c r="Q24" s="3726"/>
      <c r="R24" s="3727" t="s">
        <v>3746</v>
      </c>
      <c r="S24" s="3728"/>
      <c r="T24" s="3728"/>
      <c r="U24" s="3728"/>
      <c r="V24" s="3729"/>
      <c r="W24" s="3730" t="s">
        <v>3771</v>
      </c>
      <c r="X24" s="3726"/>
      <c r="Y24" s="3727" t="s">
        <v>3746</v>
      </c>
      <c r="Z24" s="3728"/>
      <c r="AA24" s="3728"/>
      <c r="AB24" s="3728"/>
      <c r="AC24" s="3731"/>
      <c r="AE24" s="3732" t="s">
        <v>3702</v>
      </c>
      <c r="AF24" s="3732"/>
      <c r="AG24" s="3732"/>
      <c r="AH24" s="3732"/>
      <c r="AI24" s="3732"/>
      <c r="AJ24" s="3732"/>
      <c r="AK24" s="3732"/>
      <c r="AL24" s="3732"/>
      <c r="AM24" s="2550"/>
      <c r="AN24" s="3732" t="s">
        <v>3702</v>
      </c>
      <c r="AO24" s="3732"/>
      <c r="AP24" s="3732"/>
      <c r="AQ24" s="3732"/>
      <c r="AR24" s="3732"/>
      <c r="AS24" s="3732"/>
      <c r="AT24" s="3732"/>
      <c r="AU24" s="3732"/>
    </row>
    <row r="25" spans="1:48" s="2548" customFormat="1" ht="15.75" customHeight="1">
      <c r="A25" s="3736" t="s">
        <v>3700</v>
      </c>
      <c r="B25" s="3737"/>
      <c r="C25" s="3740" t="s">
        <v>3701</v>
      </c>
      <c r="D25" s="3714" t="s">
        <v>3748</v>
      </c>
      <c r="E25" s="3715"/>
      <c r="F25" s="3715"/>
      <c r="G25" s="3742"/>
      <c r="H25" s="3743" t="s">
        <v>3749</v>
      </c>
      <c r="I25" s="3744"/>
      <c r="J25" s="3747" t="s">
        <v>3750</v>
      </c>
      <c r="K25" s="3714" t="s">
        <v>3748</v>
      </c>
      <c r="L25" s="3715"/>
      <c r="M25" s="3715"/>
      <c r="N25" s="3716"/>
      <c r="P25" s="3736" t="s">
        <v>3700</v>
      </c>
      <c r="Q25" s="3737"/>
      <c r="R25" s="3740" t="s">
        <v>3701</v>
      </c>
      <c r="S25" s="3714" t="s">
        <v>3748</v>
      </c>
      <c r="T25" s="3715"/>
      <c r="U25" s="3715"/>
      <c r="V25" s="3742"/>
      <c r="W25" s="3743" t="s">
        <v>3749</v>
      </c>
      <c r="X25" s="3744"/>
      <c r="Y25" s="3747" t="s">
        <v>3750</v>
      </c>
      <c r="Z25" s="3714" t="s">
        <v>3748</v>
      </c>
      <c r="AA25" s="3715"/>
      <c r="AB25" s="3715"/>
      <c r="AC25" s="3716"/>
      <c r="AE25" s="3717" t="s">
        <v>3784</v>
      </c>
      <c r="AF25" s="3718"/>
      <c r="AG25" s="3721" t="s">
        <v>3785</v>
      </c>
      <c r="AH25" s="3734" t="s">
        <v>3786</v>
      </c>
      <c r="AI25" s="3714" t="s">
        <v>3748</v>
      </c>
      <c r="AJ25" s="3715"/>
      <c r="AK25" s="3715"/>
      <c r="AL25" s="3716"/>
      <c r="AM25" s="2551"/>
      <c r="AN25" s="3717" t="s">
        <v>3784</v>
      </c>
      <c r="AO25" s="3718"/>
      <c r="AP25" s="3721" t="s">
        <v>3785</v>
      </c>
      <c r="AQ25" s="3734" t="s">
        <v>3786</v>
      </c>
      <c r="AR25" s="3714" t="s">
        <v>3748</v>
      </c>
      <c r="AS25" s="3715"/>
      <c r="AT25" s="3715"/>
      <c r="AU25" s="3716"/>
    </row>
    <row r="26" spans="1:48" s="2548" customFormat="1" ht="17.25" thickBot="1">
      <c r="A26" s="3738"/>
      <c r="B26" s="3739"/>
      <c r="C26" s="3741"/>
      <c r="D26" s="2552" t="s">
        <v>3751</v>
      </c>
      <c r="E26" s="2552" t="s">
        <v>3752</v>
      </c>
      <c r="F26" s="2552" t="s">
        <v>3753</v>
      </c>
      <c r="G26" s="2553" t="s">
        <v>3754</v>
      </c>
      <c r="H26" s="3745"/>
      <c r="I26" s="3746"/>
      <c r="J26" s="3748"/>
      <c r="K26" s="2552" t="s">
        <v>3751</v>
      </c>
      <c r="L26" s="2552" t="s">
        <v>3752</v>
      </c>
      <c r="M26" s="2552" t="s">
        <v>3753</v>
      </c>
      <c r="N26" s="2552" t="s">
        <v>3754</v>
      </c>
      <c r="P26" s="3738"/>
      <c r="Q26" s="3739"/>
      <c r="R26" s="3741"/>
      <c r="S26" s="2552" t="s">
        <v>3751</v>
      </c>
      <c r="T26" s="2552" t="s">
        <v>3752</v>
      </c>
      <c r="U26" s="2552" t="s">
        <v>3753</v>
      </c>
      <c r="V26" s="2553" t="s">
        <v>3754</v>
      </c>
      <c r="W26" s="3745"/>
      <c r="X26" s="3746"/>
      <c r="Y26" s="3748"/>
      <c r="Z26" s="2552" t="s">
        <v>3751</v>
      </c>
      <c r="AA26" s="2552" t="s">
        <v>3752</v>
      </c>
      <c r="AB26" s="2552" t="s">
        <v>3753</v>
      </c>
      <c r="AC26" s="2552" t="s">
        <v>3754</v>
      </c>
      <c r="AE26" s="3719"/>
      <c r="AF26" s="3720"/>
      <c r="AG26" s="3722"/>
      <c r="AH26" s="3735"/>
      <c r="AI26" s="2554" t="s">
        <v>3684</v>
      </c>
      <c r="AJ26" s="2554" t="s">
        <v>3685</v>
      </c>
      <c r="AK26" s="2554" t="s">
        <v>3787</v>
      </c>
      <c r="AL26" s="2555" t="s">
        <v>3788</v>
      </c>
      <c r="AM26" s="2551"/>
      <c r="AN26" s="3719"/>
      <c r="AO26" s="3720"/>
      <c r="AP26" s="3722"/>
      <c r="AQ26" s="3735"/>
      <c r="AR26" s="2554" t="s">
        <v>3684</v>
      </c>
      <c r="AS26" s="2554" t="s">
        <v>3685</v>
      </c>
      <c r="AT26" s="2554" t="s">
        <v>3787</v>
      </c>
      <c r="AU26" s="2555" t="s">
        <v>3788</v>
      </c>
    </row>
    <row r="27" spans="1:48" s="2548" customFormat="1" ht="16.5">
      <c r="A27" s="2556" t="s">
        <v>3755</v>
      </c>
      <c r="B27" s="1183">
        <v>1</v>
      </c>
      <c r="C27" s="2557">
        <v>0.21650254477373801</v>
      </c>
      <c r="D27" s="2557">
        <v>0</v>
      </c>
      <c r="E27" s="2557">
        <v>1.2511411161167416</v>
      </c>
      <c r="F27" s="2557">
        <v>6.3635551768357752</v>
      </c>
      <c r="G27" s="2558">
        <v>13.886642426422597</v>
      </c>
      <c r="H27" s="2559" t="s">
        <v>3755</v>
      </c>
      <c r="I27" s="1183">
        <v>1</v>
      </c>
      <c r="J27" s="2557">
        <v>0.21559435503906982</v>
      </c>
      <c r="K27" s="2557">
        <v>0</v>
      </c>
      <c r="L27" s="2557">
        <v>1.1725251689101277</v>
      </c>
      <c r="M27" s="2557">
        <v>6.3215754389385941</v>
      </c>
      <c r="N27" s="2557">
        <v>14.069093573751916</v>
      </c>
      <c r="O27" s="2560"/>
      <c r="P27" s="2556" t="s">
        <v>3755</v>
      </c>
      <c r="Q27" s="1183">
        <v>1</v>
      </c>
      <c r="R27" s="2557">
        <v>7.6591041959127564E-3</v>
      </c>
      <c r="S27" s="2557">
        <v>5.9190767413332037E-3</v>
      </c>
      <c r="T27" s="2557">
        <v>7.6733750762496819E-2</v>
      </c>
      <c r="U27" s="2557">
        <v>0.21282245755146775</v>
      </c>
      <c r="V27" s="2558">
        <v>0.44709620281333667</v>
      </c>
      <c r="W27" s="2559" t="s">
        <v>3755</v>
      </c>
      <c r="X27" s="1183">
        <v>1</v>
      </c>
      <c r="Y27" s="2557">
        <v>7.205775339221775E-3</v>
      </c>
      <c r="Z27" s="2557">
        <v>5.6365788247647788E-3</v>
      </c>
      <c r="AA27" s="2557">
        <v>7.219814406500899E-2</v>
      </c>
      <c r="AB27" s="2557">
        <v>0.19983008110435249</v>
      </c>
      <c r="AC27" s="2557">
        <v>0.41932505763389133</v>
      </c>
      <c r="AD27" s="2560"/>
      <c r="AE27" s="2561" t="s">
        <v>3686</v>
      </c>
      <c r="AF27" s="1177">
        <v>1</v>
      </c>
      <c r="AG27" s="2562">
        <v>465.94488960000001</v>
      </c>
      <c r="AH27" s="2581">
        <v>0.13967600410923381</v>
      </c>
      <c r="AI27" s="2582">
        <v>0</v>
      </c>
      <c r="AJ27" s="2582">
        <v>1.0137003866139964</v>
      </c>
      <c r="AK27" s="2582">
        <v>4.1040242301909213</v>
      </c>
      <c r="AL27" s="2583">
        <v>8.2293827837821496</v>
      </c>
      <c r="AM27" s="2566"/>
      <c r="AN27" s="2561" t="s">
        <v>3686</v>
      </c>
      <c r="AO27" s="1177">
        <v>1</v>
      </c>
      <c r="AP27" s="2562">
        <v>465.94488961000002</v>
      </c>
      <c r="AQ27" s="2581">
        <v>1.4686633607523387E-2</v>
      </c>
      <c r="AR27" s="2582">
        <v>4.9521896705371923E-2</v>
      </c>
      <c r="AS27" s="2582">
        <v>7.1878860653777576E-2</v>
      </c>
      <c r="AT27" s="2582">
        <v>8.5638886518796795E-2</v>
      </c>
      <c r="AU27" s="2583">
        <v>9.6808366084531028E-2</v>
      </c>
      <c r="AV27" s="2560"/>
    </row>
    <row r="28" spans="1:48" s="2548" customFormat="1" ht="16.5">
      <c r="A28" s="2556" t="s">
        <v>3756</v>
      </c>
      <c r="B28" s="1183">
        <v>1.1000000000000001</v>
      </c>
      <c r="C28" s="2557">
        <v>0.23469091562340338</v>
      </c>
      <c r="D28" s="2557">
        <v>9.5125691442629501E-2</v>
      </c>
      <c r="E28" s="2557">
        <v>2.4631045948150692</v>
      </c>
      <c r="F28" s="2557">
        <v>7.5041577944672637</v>
      </c>
      <c r="G28" s="2558">
        <v>12.658254170140239</v>
      </c>
      <c r="H28" s="2559" t="s">
        <v>3756</v>
      </c>
      <c r="I28" s="1183">
        <v>1.1000000000000001</v>
      </c>
      <c r="J28" s="2557">
        <v>0.23349532643191087</v>
      </c>
      <c r="K28" s="2557">
        <v>7.6606468937601119E-2</v>
      </c>
      <c r="L28" s="2557">
        <v>2.4155077020646871</v>
      </c>
      <c r="M28" s="2557">
        <v>7.5371954991963905</v>
      </c>
      <c r="N28" s="2557">
        <v>12.795462461049558</v>
      </c>
      <c r="O28" s="2560"/>
      <c r="P28" s="2556" t="s">
        <v>3756</v>
      </c>
      <c r="Q28" s="1183">
        <v>1.1000000000000001</v>
      </c>
      <c r="R28" s="2557">
        <v>4.7665819604260876E-2</v>
      </c>
      <c r="S28" s="2557">
        <v>0.11852316207923448</v>
      </c>
      <c r="T28" s="2557">
        <v>0.18618088656066334</v>
      </c>
      <c r="U28" s="2557">
        <v>0.23656525326472355</v>
      </c>
      <c r="V28" s="2558">
        <v>0.28524537630561225</v>
      </c>
      <c r="W28" s="2559" t="s">
        <v>3756</v>
      </c>
      <c r="X28" s="1183">
        <v>1.1000000000000001</v>
      </c>
      <c r="Y28" s="2557">
        <v>4.498662207867906E-2</v>
      </c>
      <c r="Z28" s="2557">
        <v>0.1114790286897166</v>
      </c>
      <c r="AA28" s="2557">
        <v>0.17512432800534231</v>
      </c>
      <c r="AB28" s="2557">
        <v>0.22251431722474976</v>
      </c>
      <c r="AC28" s="2557">
        <v>0.26829794771769305</v>
      </c>
      <c r="AD28" s="2560"/>
      <c r="AE28" s="2567" t="s">
        <v>3789</v>
      </c>
      <c r="AF28" s="1178">
        <v>1.1000000000000001</v>
      </c>
      <c r="AG28" s="2562">
        <v>1022.53559292</v>
      </c>
      <c r="AH28" s="2568">
        <v>0.1520631620834185</v>
      </c>
      <c r="AI28" s="2557">
        <v>0.1131969193640581</v>
      </c>
      <c r="AJ28" s="2557">
        <v>1.6953939026877896</v>
      </c>
      <c r="AK28" s="2557">
        <v>4.6328234776866752</v>
      </c>
      <c r="AL28" s="2569">
        <v>7.5886193059248077</v>
      </c>
      <c r="AM28" s="2551"/>
      <c r="AN28" s="2567" t="s">
        <v>3789</v>
      </c>
      <c r="AO28" s="1178">
        <v>1.1000000000000001</v>
      </c>
      <c r="AP28" s="2562">
        <v>1022.53559274</v>
      </c>
      <c r="AQ28" s="2568">
        <v>3.3853782446086431E-2</v>
      </c>
      <c r="AR28" s="2557">
        <v>4.5299322851305807E-2</v>
      </c>
      <c r="AS28" s="2557">
        <v>6.7061299573299635E-2</v>
      </c>
      <c r="AT28" s="2557">
        <v>8.3439998808269647E-2</v>
      </c>
      <c r="AU28" s="2569">
        <v>0.1001596620050302</v>
      </c>
    </row>
    <row r="29" spans="1:48" s="2548" customFormat="1" ht="16.5">
      <c r="A29" s="2556" t="s">
        <v>3757</v>
      </c>
      <c r="B29" s="1183">
        <v>2</v>
      </c>
      <c r="C29" s="2557">
        <v>0.27064880857352197</v>
      </c>
      <c r="D29" s="2557">
        <v>0</v>
      </c>
      <c r="E29" s="2557">
        <v>2.9474537148050128</v>
      </c>
      <c r="F29" s="2557">
        <v>8.8671714918099607</v>
      </c>
      <c r="G29" s="2558">
        <v>15.583919103160859</v>
      </c>
      <c r="H29" s="2559" t="s">
        <v>3757</v>
      </c>
      <c r="I29" s="1183">
        <v>2</v>
      </c>
      <c r="J29" s="2557">
        <v>0.26920443432739505</v>
      </c>
      <c r="K29" s="2557">
        <v>0</v>
      </c>
      <c r="L29" s="2557">
        <v>3.3543825059071479</v>
      </c>
      <c r="M29" s="2557">
        <v>9.0617395867688781</v>
      </c>
      <c r="N29" s="2557">
        <v>14.973106612232785</v>
      </c>
      <c r="O29" s="2560"/>
      <c r="P29" s="2556" t="s">
        <v>3757</v>
      </c>
      <c r="Q29" s="1183">
        <v>2</v>
      </c>
      <c r="R29" s="2557">
        <v>2.1706445557535741E-2</v>
      </c>
      <c r="S29" s="2557">
        <v>5.4930439741148751E-2</v>
      </c>
      <c r="T29" s="2557">
        <v>0.17758064945068519</v>
      </c>
      <c r="U29" s="2557">
        <v>0.30238291240412024</v>
      </c>
      <c r="V29" s="2558">
        <v>0.41691914032003652</v>
      </c>
      <c r="W29" s="2559" t="s">
        <v>3757</v>
      </c>
      <c r="X29" s="1183">
        <v>2</v>
      </c>
      <c r="Y29" s="2557">
        <v>2.3403714850873426E-2</v>
      </c>
      <c r="Z29" s="2557">
        <v>5.8824281199573648E-2</v>
      </c>
      <c r="AA29" s="2557">
        <v>0.19144047696122568</v>
      </c>
      <c r="AB29" s="2557">
        <v>0.32798889627851363</v>
      </c>
      <c r="AC29" s="2557">
        <v>0.45304979206419299</v>
      </c>
      <c r="AD29" s="2560"/>
      <c r="AE29" s="2567" t="s">
        <v>3687</v>
      </c>
      <c r="AF29" s="1178">
        <v>2</v>
      </c>
      <c r="AG29" s="2562">
        <v>558.43442159999995</v>
      </c>
      <c r="AH29" s="2568">
        <v>0.17422109141086967</v>
      </c>
      <c r="AI29" s="2557">
        <v>0</v>
      </c>
      <c r="AJ29" s="2557">
        <v>0.31258225634790143</v>
      </c>
      <c r="AK29" s="2557">
        <v>3.6828664110993445</v>
      </c>
      <c r="AL29" s="2569">
        <v>10.992209912958739</v>
      </c>
      <c r="AM29" s="2551"/>
      <c r="AN29" s="2567" t="s">
        <v>3687</v>
      </c>
      <c r="AO29" s="1178">
        <v>2</v>
      </c>
      <c r="AP29" s="2562">
        <v>558.43442166</v>
      </c>
      <c r="AQ29" s="2568">
        <v>1.1261520388205791E-2</v>
      </c>
      <c r="AR29" s="2557">
        <v>4.3304957474426468E-2</v>
      </c>
      <c r="AS29" s="2557">
        <v>8.7891792624995885E-2</v>
      </c>
      <c r="AT29" s="2557">
        <v>8.9199290808272852E-2</v>
      </c>
      <c r="AU29" s="2569">
        <v>8.9199290808272852E-2</v>
      </c>
    </row>
    <row r="30" spans="1:48" s="2548" customFormat="1" ht="16.5">
      <c r="A30" s="2556" t="s">
        <v>3758</v>
      </c>
      <c r="B30" s="1183">
        <v>3</v>
      </c>
      <c r="C30" s="2557">
        <v>0.39997952618480259</v>
      </c>
      <c r="D30" s="2557">
        <v>0</v>
      </c>
      <c r="E30" s="2557">
        <v>5.4287246952996</v>
      </c>
      <c r="F30" s="2557">
        <v>14.877143871298978</v>
      </c>
      <c r="G30" s="2558">
        <v>22.451221261937189</v>
      </c>
      <c r="H30" s="2559" t="s">
        <v>3758</v>
      </c>
      <c r="I30" s="1183">
        <v>3</v>
      </c>
      <c r="J30" s="2557">
        <v>0.39091141150223613</v>
      </c>
      <c r="K30" s="2557">
        <v>0</v>
      </c>
      <c r="L30" s="2557">
        <v>5.256617214340813</v>
      </c>
      <c r="M30" s="2557">
        <v>14.603213506626734</v>
      </c>
      <c r="N30" s="2557">
        <v>22.066384722997608</v>
      </c>
      <c r="O30" s="2560"/>
      <c r="P30" s="2556" t="s">
        <v>3758</v>
      </c>
      <c r="Q30" s="1183">
        <v>3</v>
      </c>
      <c r="R30" s="2557">
        <v>0.12569287228117823</v>
      </c>
      <c r="S30" s="2557">
        <v>0.29461347171278529</v>
      </c>
      <c r="T30" s="2557">
        <v>0.67277689074360825</v>
      </c>
      <c r="U30" s="2557">
        <v>1.1619069506239541</v>
      </c>
      <c r="V30" s="2558">
        <v>1.9898402450204387</v>
      </c>
      <c r="W30" s="2559" t="s">
        <v>3758</v>
      </c>
      <c r="X30" s="1183">
        <v>3</v>
      </c>
      <c r="Y30" s="2557">
        <v>0.11813927017587918</v>
      </c>
      <c r="Z30" s="2557">
        <v>0.27694810557118504</v>
      </c>
      <c r="AA30" s="2557">
        <v>0.63233452196546502</v>
      </c>
      <c r="AB30" s="2557">
        <v>1.09178443437593</v>
      </c>
      <c r="AC30" s="2557">
        <v>1.8690708658958832</v>
      </c>
      <c r="AD30" s="2560"/>
      <c r="AE30" s="2567" t="s">
        <v>3688</v>
      </c>
      <c r="AF30" s="1178">
        <v>3</v>
      </c>
      <c r="AG30" s="2562">
        <v>814.19268994000004</v>
      </c>
      <c r="AH30" s="2568">
        <v>0.2810568606626076</v>
      </c>
      <c r="AI30" s="2557">
        <v>0</v>
      </c>
      <c r="AJ30" s="2557">
        <v>3.8682051311153787</v>
      </c>
      <c r="AK30" s="2557">
        <v>10.220375390678013</v>
      </c>
      <c r="AL30" s="2569">
        <v>15.550814469606046</v>
      </c>
      <c r="AM30" s="2551"/>
      <c r="AN30" s="2567" t="s">
        <v>3688</v>
      </c>
      <c r="AO30" s="1178">
        <v>3</v>
      </c>
      <c r="AP30" s="2562">
        <v>814.19268996999995</v>
      </c>
      <c r="AQ30" s="2568">
        <v>5.5780235513626888E-2</v>
      </c>
      <c r="AR30" s="2557">
        <v>0.23485072005721042</v>
      </c>
      <c r="AS30" s="2557">
        <v>0.44143749663215637</v>
      </c>
      <c r="AT30" s="2557">
        <v>0.60860701545720386</v>
      </c>
      <c r="AU30" s="2569">
        <v>0.7449486330797932</v>
      </c>
    </row>
    <row r="31" spans="1:48" s="2548" customFormat="1" ht="16.5">
      <c r="A31" s="2556" t="s">
        <v>3759</v>
      </c>
      <c r="B31" s="1183">
        <v>4</v>
      </c>
      <c r="C31" s="2557">
        <v>0.54536364068424426</v>
      </c>
      <c r="D31" s="2557">
        <v>0</v>
      </c>
      <c r="E31" s="2557">
        <v>5.6773568189250723</v>
      </c>
      <c r="F31" s="2557">
        <v>18.232205354424391</v>
      </c>
      <c r="G31" s="2558">
        <v>32.366207891546487</v>
      </c>
      <c r="H31" s="2559" t="s">
        <v>3759</v>
      </c>
      <c r="I31" s="1183">
        <v>4</v>
      </c>
      <c r="J31" s="2557">
        <v>0.52773511711247745</v>
      </c>
      <c r="K31" s="2557">
        <v>0</v>
      </c>
      <c r="L31" s="2557">
        <v>5.367757202831748</v>
      </c>
      <c r="M31" s="2557">
        <v>17.618207619880806</v>
      </c>
      <c r="N31" s="2557">
        <v>31.606136044883328</v>
      </c>
      <c r="O31" s="2560"/>
      <c r="P31" s="2556" t="s">
        <v>3759</v>
      </c>
      <c r="Q31" s="1183">
        <v>4</v>
      </c>
      <c r="R31" s="2557">
        <v>8.407950427945618E-2</v>
      </c>
      <c r="S31" s="2557">
        <v>0.29920334721477082</v>
      </c>
      <c r="T31" s="2557">
        <v>0.64831350124984977</v>
      </c>
      <c r="U31" s="2557">
        <v>0.97191198464819184</v>
      </c>
      <c r="V31" s="2558">
        <v>1.3172270314182484</v>
      </c>
      <c r="W31" s="2559" t="s">
        <v>3759</v>
      </c>
      <c r="X31" s="1183">
        <v>4</v>
      </c>
      <c r="Y31" s="2557">
        <v>7.9948073618907031E-2</v>
      </c>
      <c r="Z31" s="2557">
        <v>0.2846182321981674</v>
      </c>
      <c r="AA31" s="2557">
        <v>0.61690994149984479</v>
      </c>
      <c r="AB31" s="2557">
        <v>0.92501759294647068</v>
      </c>
      <c r="AC31" s="2557">
        <v>1.2537957194507161</v>
      </c>
      <c r="AD31" s="2560"/>
      <c r="AE31" s="2567" t="s">
        <v>3689</v>
      </c>
      <c r="AF31" s="1178">
        <v>4</v>
      </c>
      <c r="AG31" s="2562">
        <v>673.14496885000005</v>
      </c>
      <c r="AH31" s="2568">
        <v>0.39744573054996146</v>
      </c>
      <c r="AI31" s="2557">
        <v>0</v>
      </c>
      <c r="AJ31" s="2557">
        <v>4.5180759096409613</v>
      </c>
      <c r="AK31" s="2557">
        <v>13.291037924982719</v>
      </c>
      <c r="AL31" s="2569">
        <v>22.673015931672712</v>
      </c>
      <c r="AM31" s="2551"/>
      <c r="AN31" s="2567" t="s">
        <v>3689</v>
      </c>
      <c r="AO31" s="1178">
        <v>4</v>
      </c>
      <c r="AP31" s="2562">
        <v>673.14496879000001</v>
      </c>
      <c r="AQ31" s="2568">
        <v>3.8618282398705468E-2</v>
      </c>
      <c r="AR31" s="2557">
        <v>0.15446098763493127</v>
      </c>
      <c r="AS31" s="2557">
        <v>0.28018197580430576</v>
      </c>
      <c r="AT31" s="2557">
        <v>0.3667752721781713</v>
      </c>
      <c r="AU31" s="2569">
        <v>0.41593007277131355</v>
      </c>
    </row>
    <row r="32" spans="1:48" s="2548" customFormat="1" ht="16.5">
      <c r="A32" s="2556" t="s">
        <v>3760</v>
      </c>
      <c r="B32" s="1183">
        <v>5</v>
      </c>
      <c r="C32" s="2557">
        <v>0.53017864122804659</v>
      </c>
      <c r="D32" s="2557">
        <v>1.9194401730520116E-3</v>
      </c>
      <c r="E32" s="2557">
        <v>1.8920437472645264</v>
      </c>
      <c r="F32" s="2557">
        <v>11.894621007780154</v>
      </c>
      <c r="G32" s="2558">
        <v>44.873808880890998</v>
      </c>
      <c r="H32" s="2559" t="s">
        <v>3760</v>
      </c>
      <c r="I32" s="1183">
        <v>5</v>
      </c>
      <c r="J32" s="2557">
        <v>0.51451806972432257</v>
      </c>
      <c r="K32" s="2557">
        <v>0</v>
      </c>
      <c r="L32" s="2557">
        <v>1.7700943841739449</v>
      </c>
      <c r="M32" s="2557">
        <v>11.747927747770182</v>
      </c>
      <c r="N32" s="2557">
        <v>43.710604927628296</v>
      </c>
      <c r="O32" s="2560"/>
      <c r="P32" s="2556" t="s">
        <v>3760</v>
      </c>
      <c r="Q32" s="1183">
        <v>5</v>
      </c>
      <c r="R32" s="2557">
        <v>9.3297443995646063E-3</v>
      </c>
      <c r="S32" s="2557">
        <v>3.1941131983927465E-2</v>
      </c>
      <c r="T32" s="2557">
        <v>0.11261318424109754</v>
      </c>
      <c r="U32" s="2557">
        <v>0.18112349084419854</v>
      </c>
      <c r="V32" s="2558">
        <v>0.22034160155117966</v>
      </c>
      <c r="W32" s="2559" t="s">
        <v>3760</v>
      </c>
      <c r="X32" s="1183">
        <v>5</v>
      </c>
      <c r="Y32" s="2557">
        <v>8.7727751924989838E-3</v>
      </c>
      <c r="Z32" s="2557">
        <v>3.0045244951047455E-2</v>
      </c>
      <c r="AA32" s="2557">
        <v>0.10572831459157123</v>
      </c>
      <c r="AB32" s="2557">
        <v>0.17001543824119764</v>
      </c>
      <c r="AC32" s="2557">
        <v>0.20693572067392851</v>
      </c>
      <c r="AD32" s="2560"/>
      <c r="AE32" s="2567" t="s">
        <v>3690</v>
      </c>
      <c r="AF32" s="1178">
        <v>5</v>
      </c>
      <c r="AG32" s="2562">
        <v>353.72092454</v>
      </c>
      <c r="AH32" s="2568">
        <v>0.38431836523909946</v>
      </c>
      <c r="AI32" s="2557">
        <v>5.0913645989621892E-2</v>
      </c>
      <c r="AJ32" s="2557">
        <v>1.5702304887995822</v>
      </c>
      <c r="AK32" s="2557">
        <v>8.0119356148513816</v>
      </c>
      <c r="AL32" s="2569">
        <v>31.955508259447637</v>
      </c>
      <c r="AM32" s="2551"/>
      <c r="AN32" s="2567" t="s">
        <v>3690</v>
      </c>
      <c r="AO32" s="1178">
        <v>5</v>
      </c>
      <c r="AP32" s="2562">
        <v>353.72092464000002</v>
      </c>
      <c r="AQ32" s="2568">
        <v>3.2419623550461606E-3</v>
      </c>
      <c r="AR32" s="2557">
        <v>1.3468745727090538E-2</v>
      </c>
      <c r="AS32" s="2557">
        <v>2.7643395986262288E-2</v>
      </c>
      <c r="AT32" s="2557">
        <v>3.9573040882942306E-2</v>
      </c>
      <c r="AU32" s="2569">
        <v>5.0711687208551411E-2</v>
      </c>
    </row>
    <row r="33" spans="1:47" s="2548" customFormat="1" ht="16.5">
      <c r="A33" s="2556" t="s">
        <v>3761</v>
      </c>
      <c r="B33" s="1183">
        <v>6</v>
      </c>
      <c r="C33" s="2557">
        <v>0.62691830505555168</v>
      </c>
      <c r="D33" s="2557">
        <v>0.56627539083600775</v>
      </c>
      <c r="E33" s="2557">
        <v>5.5883446966031629</v>
      </c>
      <c r="F33" s="2557">
        <v>18.586393852457185</v>
      </c>
      <c r="G33" s="2558">
        <v>36.248000429128247</v>
      </c>
      <c r="H33" s="2559" t="s">
        <v>3761</v>
      </c>
      <c r="I33" s="1183">
        <v>6</v>
      </c>
      <c r="J33" s="2557">
        <v>0.59988589654550684</v>
      </c>
      <c r="K33" s="2557">
        <v>0.60499724053721626</v>
      </c>
      <c r="L33" s="2557">
        <v>5.6623984119684954</v>
      </c>
      <c r="M33" s="2557">
        <v>18.079435678298491</v>
      </c>
      <c r="N33" s="2557">
        <v>33.960572767734512</v>
      </c>
      <c r="O33" s="2560"/>
      <c r="P33" s="2556" t="s">
        <v>3761</v>
      </c>
      <c r="Q33" s="1183">
        <v>6</v>
      </c>
      <c r="R33" s="2557">
        <v>6.1948356118410416E-2</v>
      </c>
      <c r="S33" s="2557">
        <v>0.16568647370206813</v>
      </c>
      <c r="T33" s="2557">
        <v>0.34424829779497423</v>
      </c>
      <c r="U33" s="2557">
        <v>0.49905128444616265</v>
      </c>
      <c r="V33" s="2558">
        <v>0.64801933303742043</v>
      </c>
      <c r="W33" s="2559" t="s">
        <v>3761</v>
      </c>
      <c r="X33" s="1183">
        <v>6</v>
      </c>
      <c r="Y33" s="2557">
        <v>5.7636511154639761E-2</v>
      </c>
      <c r="Z33" s="2557">
        <v>0.1516696903284806</v>
      </c>
      <c r="AA33" s="2557">
        <v>0.3131426273240801</v>
      </c>
      <c r="AB33" s="2557">
        <v>0.45194854594621359</v>
      </c>
      <c r="AC33" s="2557">
        <v>0.5848877273324794</v>
      </c>
      <c r="AD33" s="2560"/>
      <c r="AE33" s="2567" t="s">
        <v>3691</v>
      </c>
      <c r="AF33" s="1178">
        <v>6</v>
      </c>
      <c r="AG33" s="2562">
        <v>28.164729999999999</v>
      </c>
      <c r="AH33" s="2568">
        <v>0.45548198618055458</v>
      </c>
      <c r="AI33" s="2557">
        <v>0.45385183776502913</v>
      </c>
      <c r="AJ33" s="2557">
        <v>4.0183204271825765</v>
      </c>
      <c r="AK33" s="2557">
        <v>12.743957647732712</v>
      </c>
      <c r="AL33" s="2569">
        <v>26.068880103557749</v>
      </c>
      <c r="AM33" s="2551"/>
      <c r="AN33" s="2567" t="s">
        <v>3691</v>
      </c>
      <c r="AO33" s="1178">
        <v>6</v>
      </c>
      <c r="AP33" s="2562">
        <v>28.164730030000001</v>
      </c>
      <c r="AQ33" s="2568">
        <v>1.9467502530326933E-2</v>
      </c>
      <c r="AR33" s="2557">
        <v>5.7290509869019665E-2</v>
      </c>
      <c r="AS33" s="2557">
        <v>0.12814976641814468</v>
      </c>
      <c r="AT33" s="2557">
        <v>0.18368427308924179</v>
      </c>
      <c r="AU33" s="2569">
        <v>0.2284894004730203</v>
      </c>
    </row>
    <row r="34" spans="1:47" s="2548" customFormat="1" ht="16.5">
      <c r="A34" s="2556" t="s">
        <v>3762</v>
      </c>
      <c r="B34" s="1183">
        <v>7</v>
      </c>
      <c r="C34" s="2557">
        <v>0.51126801472764238</v>
      </c>
      <c r="D34" s="2557">
        <v>0</v>
      </c>
      <c r="E34" s="2557">
        <v>3.5067061827338586</v>
      </c>
      <c r="F34" s="2557">
        <v>15.655688334442987</v>
      </c>
      <c r="G34" s="2558">
        <v>34.761719879462042</v>
      </c>
      <c r="H34" s="2559" t="s">
        <v>3762</v>
      </c>
      <c r="I34" s="1183">
        <v>7</v>
      </c>
      <c r="J34" s="2557">
        <v>0.49948757949254985</v>
      </c>
      <c r="K34" s="2557">
        <v>0</v>
      </c>
      <c r="L34" s="2557">
        <v>3.3360540510044081</v>
      </c>
      <c r="M34" s="2557">
        <v>15.653948871189327</v>
      </c>
      <c r="N34" s="2557">
        <v>34.049017516290384</v>
      </c>
      <c r="O34" s="2560"/>
      <c r="P34" s="2556" t="s">
        <v>3762</v>
      </c>
      <c r="Q34" s="1183">
        <v>7</v>
      </c>
      <c r="R34" s="2557">
        <v>2.6256162682067104E-2</v>
      </c>
      <c r="S34" s="2557">
        <v>9.0486338368241603E-2</v>
      </c>
      <c r="T34" s="2557">
        <v>0.15208393958710287</v>
      </c>
      <c r="U34" s="2557">
        <v>0.20798021996705901</v>
      </c>
      <c r="V34" s="2558">
        <v>0.24377262892525137</v>
      </c>
      <c r="W34" s="2559" t="s">
        <v>3762</v>
      </c>
      <c r="X34" s="1183">
        <v>7</v>
      </c>
      <c r="Y34" s="2557">
        <v>2.5052806340258603E-2</v>
      </c>
      <c r="Z34" s="2557">
        <v>8.6917243211199924E-2</v>
      </c>
      <c r="AA34" s="2557">
        <v>0.14610404377772718</v>
      </c>
      <c r="AB34" s="2557">
        <v>0.1992163476577605</v>
      </c>
      <c r="AC34" s="2557">
        <v>0.23159020524189297</v>
      </c>
      <c r="AD34" s="2560"/>
      <c r="AE34" s="2567" t="s">
        <v>3692</v>
      </c>
      <c r="AF34" s="1178">
        <v>7</v>
      </c>
      <c r="AG34" s="2562">
        <v>475.41411067000001</v>
      </c>
      <c r="AH34" s="2568">
        <v>0.36193925758980944</v>
      </c>
      <c r="AI34" s="2557">
        <v>4.7349606763298302E-2</v>
      </c>
      <c r="AJ34" s="2557">
        <v>2.6810414098275142</v>
      </c>
      <c r="AK34" s="2557">
        <v>10.495332244304336</v>
      </c>
      <c r="AL34" s="2569">
        <v>24.078615428358884</v>
      </c>
      <c r="AM34" s="2551"/>
      <c r="AN34" s="2567" t="s">
        <v>3692</v>
      </c>
      <c r="AO34" s="1178">
        <v>7</v>
      </c>
      <c r="AP34" s="2562">
        <v>475.41411072</v>
      </c>
      <c r="AQ34" s="2568">
        <v>9.3952124301389522E-3</v>
      </c>
      <c r="AR34" s="2557">
        <v>3.7256110635124753E-2</v>
      </c>
      <c r="AS34" s="2557">
        <v>6.3029243474388152E-2</v>
      </c>
      <c r="AT34" s="2557">
        <v>6.9815608929869349E-2</v>
      </c>
      <c r="AU34" s="2569">
        <v>7.0491625473097619E-2</v>
      </c>
    </row>
    <row r="35" spans="1:47" s="2548" customFormat="1" ht="16.5">
      <c r="A35" s="2556" t="s">
        <v>3763</v>
      </c>
      <c r="B35" s="1183">
        <v>8</v>
      </c>
      <c r="C35" s="2557">
        <v>0.66171722944605627</v>
      </c>
      <c r="D35" s="2557">
        <v>0.6490915098567136</v>
      </c>
      <c r="E35" s="2557">
        <v>8.4934355477816279</v>
      </c>
      <c r="F35" s="2557">
        <v>21.99439983271705</v>
      </c>
      <c r="G35" s="2558">
        <v>34.084959775681043</v>
      </c>
      <c r="H35" s="2559" t="s">
        <v>3763</v>
      </c>
      <c r="I35" s="1183">
        <v>8</v>
      </c>
      <c r="J35" s="2557">
        <v>0.63810480526726288</v>
      </c>
      <c r="K35" s="2557">
        <v>0.57988465246088827</v>
      </c>
      <c r="L35" s="2557">
        <v>8.035362500130061</v>
      </c>
      <c r="M35" s="2557">
        <v>21.346201771210637</v>
      </c>
      <c r="N35" s="2557">
        <v>33.312871147484962</v>
      </c>
      <c r="O35" s="2560"/>
      <c r="P35" s="2556" t="s">
        <v>3763</v>
      </c>
      <c r="Q35" s="1183">
        <v>8</v>
      </c>
      <c r="R35" s="2557">
        <v>8.6434281216419412E-3</v>
      </c>
      <c r="S35" s="2557">
        <v>2.88885521968811E-2</v>
      </c>
      <c r="T35" s="2557">
        <v>7.0536931590126001E-2</v>
      </c>
      <c r="U35" s="2557">
        <v>0.1159331189546033</v>
      </c>
      <c r="V35" s="2558">
        <v>0.17269110352436318</v>
      </c>
      <c r="W35" s="2559" t="s">
        <v>3763</v>
      </c>
      <c r="X35" s="1183">
        <v>8</v>
      </c>
      <c r="Y35" s="2557">
        <v>8.207126659496378E-3</v>
      </c>
      <c r="Z35" s="2557">
        <v>2.7457988440167905E-2</v>
      </c>
      <c r="AA35" s="2557">
        <v>6.7277803851929316E-2</v>
      </c>
      <c r="AB35" s="2557">
        <v>0.11083696314152999</v>
      </c>
      <c r="AC35" s="2557">
        <v>0.16520801801031473</v>
      </c>
      <c r="AD35" s="2560"/>
      <c r="AE35" s="2567" t="s">
        <v>3693</v>
      </c>
      <c r="AF35" s="1178">
        <v>8</v>
      </c>
      <c r="AG35" s="2562">
        <v>1051.58969069</v>
      </c>
      <c r="AH35" s="2568">
        <v>0.46985902502266086</v>
      </c>
      <c r="AI35" s="2557">
        <v>0.60463627956805666</v>
      </c>
      <c r="AJ35" s="2557">
        <v>6.5202780825490052</v>
      </c>
      <c r="AK35" s="2557">
        <v>14.950913331781889</v>
      </c>
      <c r="AL35" s="2569">
        <v>22.766696535871699</v>
      </c>
      <c r="AM35" s="2551"/>
      <c r="AN35" s="2567" t="s">
        <v>3693</v>
      </c>
      <c r="AO35" s="1178">
        <v>8</v>
      </c>
      <c r="AP35" s="2562">
        <v>1051.5896906400001</v>
      </c>
      <c r="AQ35" s="2568">
        <v>5.1963405248622602E-3</v>
      </c>
      <c r="AR35" s="2557">
        <v>1.2905678152641311E-2</v>
      </c>
      <c r="AS35" s="2557">
        <v>3.4734324983502235E-2</v>
      </c>
      <c r="AT35" s="2557">
        <v>5.8507216031216211E-2</v>
      </c>
      <c r="AU35" s="2569">
        <v>8.2765428358685042E-2</v>
      </c>
    </row>
    <row r="36" spans="1:47" s="2548" customFormat="1" ht="16.5">
      <c r="A36" s="2556" t="s">
        <v>3764</v>
      </c>
      <c r="B36" s="1183">
        <v>9</v>
      </c>
      <c r="C36" s="2557">
        <v>0.76375626823119913</v>
      </c>
      <c r="D36" s="2557">
        <v>2.1114069451294979</v>
      </c>
      <c r="E36" s="2557">
        <v>8.7713639573404603</v>
      </c>
      <c r="F36" s="2557">
        <v>17.258681437006295</v>
      </c>
      <c r="G36" s="2558">
        <v>33.931567644815786</v>
      </c>
      <c r="H36" s="2559" t="s">
        <v>3764</v>
      </c>
      <c r="I36" s="1183">
        <v>9</v>
      </c>
      <c r="J36" s="2557">
        <v>0.73961850040203725</v>
      </c>
      <c r="K36" s="2557">
        <v>1.9774973846787667</v>
      </c>
      <c r="L36" s="2557">
        <v>8.4837367072013876</v>
      </c>
      <c r="M36" s="2557">
        <v>16.869480946389839</v>
      </c>
      <c r="N36" s="2557">
        <v>33.318611363001516</v>
      </c>
      <c r="O36" s="2560"/>
      <c r="P36" s="2556" t="s">
        <v>3764</v>
      </c>
      <c r="Q36" s="1183">
        <v>9</v>
      </c>
      <c r="R36" s="2557">
        <v>7.5818861324795109E-2</v>
      </c>
      <c r="S36" s="2557">
        <v>0.18649656983180629</v>
      </c>
      <c r="T36" s="2557">
        <v>0.35402222744515877</v>
      </c>
      <c r="U36" s="2557">
        <v>0.54257949862535204</v>
      </c>
      <c r="V36" s="2558">
        <v>0.91004373588946397</v>
      </c>
      <c r="W36" s="2559" t="s">
        <v>3764</v>
      </c>
      <c r="X36" s="1183">
        <v>9</v>
      </c>
      <c r="Y36" s="2557">
        <v>7.1291775685604533E-2</v>
      </c>
      <c r="Z36" s="2557">
        <v>0.17507049462949076</v>
      </c>
      <c r="AA36" s="2557">
        <v>0.3323869608568718</v>
      </c>
      <c r="AB36" s="2557">
        <v>0.50952508985192524</v>
      </c>
      <c r="AC36" s="2557">
        <v>0.85444767098323082</v>
      </c>
      <c r="AD36" s="2560"/>
      <c r="AE36" s="2567" t="s">
        <v>3790</v>
      </c>
      <c r="AF36" s="1178">
        <v>9</v>
      </c>
      <c r="AG36" s="2562">
        <v>1682.64614448</v>
      </c>
      <c r="AH36" s="2568">
        <v>0.55836408331820986</v>
      </c>
      <c r="AI36" s="2557">
        <v>1.7405852410761558</v>
      </c>
      <c r="AJ36" s="2557">
        <v>6.4436753988295123</v>
      </c>
      <c r="AK36" s="2557">
        <v>12.200937955838357</v>
      </c>
      <c r="AL36" s="2569">
        <v>23.379689546035923</v>
      </c>
      <c r="AM36" s="2551"/>
      <c r="AN36" s="2567" t="s">
        <v>3790</v>
      </c>
      <c r="AO36" s="1178">
        <v>9</v>
      </c>
      <c r="AP36" s="2562">
        <v>2163.4021860399998</v>
      </c>
      <c r="AQ36" s="2568">
        <v>2.3376025653634502E-2</v>
      </c>
      <c r="AR36" s="2557">
        <v>4.8630745974504369E-2</v>
      </c>
      <c r="AS36" s="2557">
        <v>0.10837487657616424</v>
      </c>
      <c r="AT36" s="2557">
        <v>0.19602469681548074</v>
      </c>
      <c r="AU36" s="2569">
        <v>0.36904405431025017</v>
      </c>
    </row>
    <row r="37" spans="1:47" s="2548" customFormat="1" ht="16.5">
      <c r="A37" s="2556" t="s">
        <v>3765</v>
      </c>
      <c r="B37" s="1183">
        <v>10</v>
      </c>
      <c r="C37" s="2557">
        <v>0.45111974625021256</v>
      </c>
      <c r="D37" s="2557">
        <v>1.4930496932545507</v>
      </c>
      <c r="E37" s="2557">
        <v>5.8462000144484083</v>
      </c>
      <c r="F37" s="2557">
        <v>9.6788410117923238</v>
      </c>
      <c r="G37" s="2558">
        <v>13.650341324811786</v>
      </c>
      <c r="H37" s="2559" t="s">
        <v>3765</v>
      </c>
      <c r="I37" s="1183">
        <v>10</v>
      </c>
      <c r="J37" s="2557">
        <v>0.35720537248808881</v>
      </c>
      <c r="K37" s="2557">
        <v>1.1975135717459817</v>
      </c>
      <c r="L37" s="2557">
        <v>4.6438878345033681</v>
      </c>
      <c r="M37" s="2557">
        <v>7.7307023945405877</v>
      </c>
      <c r="N37" s="2557">
        <v>10.850444767032805</v>
      </c>
      <c r="O37" s="2560"/>
      <c r="P37" s="2556" t="s">
        <v>3765</v>
      </c>
      <c r="Q37" s="1183">
        <v>10</v>
      </c>
      <c r="R37" s="2557">
        <v>0.12351206399540515</v>
      </c>
      <c r="S37" s="2557">
        <v>0.25476711776259253</v>
      </c>
      <c r="T37" s="2557">
        <v>0.47346633682213124</v>
      </c>
      <c r="U37" s="2557">
        <v>0.65634907203901693</v>
      </c>
      <c r="V37" s="2558">
        <v>0.83359492549416125</v>
      </c>
      <c r="W37" s="2559" t="s">
        <v>3765</v>
      </c>
      <c r="X37" s="1183">
        <v>10</v>
      </c>
      <c r="Y37" s="2557">
        <v>0.11994618027916776</v>
      </c>
      <c r="Z37" s="2557">
        <v>0.24654878100849759</v>
      </c>
      <c r="AA37" s="2557">
        <v>0.4582322732357697</v>
      </c>
      <c r="AB37" s="2557">
        <v>0.63504086375570101</v>
      </c>
      <c r="AC37" s="2557">
        <v>0.80596035250402664</v>
      </c>
      <c r="AD37" s="2560"/>
      <c r="AE37" s="2567" t="s">
        <v>3791</v>
      </c>
      <c r="AF37" s="1178">
        <v>10</v>
      </c>
      <c r="AG37" s="2562">
        <v>1319.7905199100001</v>
      </c>
      <c r="AH37" s="2568">
        <v>0.28806158707020946</v>
      </c>
      <c r="AI37" s="2557">
        <v>0.9897032119366882</v>
      </c>
      <c r="AJ37" s="2557">
        <v>3.4732082137031473</v>
      </c>
      <c r="AK37" s="2557">
        <v>5.7591636054852886</v>
      </c>
      <c r="AL37" s="2569">
        <v>8.3193488467330781</v>
      </c>
      <c r="AM37" s="2551"/>
      <c r="AN37" s="2567" t="s">
        <v>3791</v>
      </c>
      <c r="AO37" s="1178">
        <v>10</v>
      </c>
      <c r="AP37" s="2562">
        <v>1139.50700428</v>
      </c>
      <c r="AQ37" s="2568">
        <v>4.8630346098674358E-2</v>
      </c>
      <c r="AR37" s="2557">
        <v>9.5670794630864614E-2</v>
      </c>
      <c r="AS37" s="2557">
        <v>0.17132574772785777</v>
      </c>
      <c r="AT37" s="2557">
        <v>0.22973640200029302</v>
      </c>
      <c r="AU37" s="2569">
        <v>0.28317097347724768</v>
      </c>
    </row>
    <row r="38" spans="1:47" s="2548" customFormat="1" ht="16.5">
      <c r="A38" s="2556" t="s">
        <v>3766</v>
      </c>
      <c r="B38" s="1183">
        <v>11</v>
      </c>
      <c r="C38" s="2557">
        <v>1.5920943292353913</v>
      </c>
      <c r="D38" s="2557">
        <v>8.7269456527951128</v>
      </c>
      <c r="E38" s="2557">
        <v>19.46956337897894</v>
      </c>
      <c r="F38" s="2557">
        <v>26.285511251694331</v>
      </c>
      <c r="G38" s="2558">
        <v>32.535792353974799</v>
      </c>
      <c r="H38" s="2559" t="s">
        <v>3766</v>
      </c>
      <c r="I38" s="1183">
        <v>11</v>
      </c>
      <c r="J38" s="2557">
        <v>1.4583547198741764</v>
      </c>
      <c r="K38" s="2557">
        <v>8.2648208038570594</v>
      </c>
      <c r="L38" s="2557">
        <v>16.954593047455123</v>
      </c>
      <c r="M38" s="2557">
        <v>22.091199877374258</v>
      </c>
      <c r="N38" s="2557">
        <v>26.902414136660113</v>
      </c>
      <c r="O38" s="2560"/>
      <c r="P38" s="2556" t="s">
        <v>3766</v>
      </c>
      <c r="Q38" s="1183">
        <v>11</v>
      </c>
      <c r="R38" s="2557">
        <v>0.30959234809404967</v>
      </c>
      <c r="S38" s="2557">
        <v>0.5103106534616656</v>
      </c>
      <c r="T38" s="2557">
        <v>0.85305168982940627</v>
      </c>
      <c r="U38" s="2557">
        <v>1.1795129481411397</v>
      </c>
      <c r="V38" s="2558">
        <v>1.5892922534931551</v>
      </c>
      <c r="W38" s="2559" t="s">
        <v>3766</v>
      </c>
      <c r="X38" s="1183">
        <v>11</v>
      </c>
      <c r="Y38" s="2557">
        <v>0.15402619397384362</v>
      </c>
      <c r="Z38" s="2557">
        <v>0.28615650343191279</v>
      </c>
      <c r="AA38" s="2557">
        <v>0.49885147908362237</v>
      </c>
      <c r="AB38" s="2557">
        <v>0.67464209662602548</v>
      </c>
      <c r="AC38" s="2557">
        <v>0.831689857596149</v>
      </c>
      <c r="AD38" s="2560"/>
      <c r="AE38" s="2567" t="s">
        <v>3792</v>
      </c>
      <c r="AF38" s="1178">
        <v>11</v>
      </c>
      <c r="AG38" s="2562">
        <v>55.450369860000002</v>
      </c>
      <c r="AH38" s="2568">
        <v>1.109328211332328</v>
      </c>
      <c r="AI38" s="2557">
        <v>5.8700126148493847</v>
      </c>
      <c r="AJ38" s="2557">
        <v>12.611343793384272</v>
      </c>
      <c r="AK38" s="2557">
        <v>17.055282636279248</v>
      </c>
      <c r="AL38" s="2569">
        <v>21.590897916395615</v>
      </c>
      <c r="AM38" s="2551"/>
      <c r="AN38" s="2567" t="s">
        <v>3792</v>
      </c>
      <c r="AO38" s="1178">
        <v>11</v>
      </c>
      <c r="AP38" s="2562">
        <v>55.450369799999997</v>
      </c>
      <c r="AQ38" s="2568">
        <v>0.16089436206068367</v>
      </c>
      <c r="AR38" s="2557">
        <v>0.48568050254247297</v>
      </c>
      <c r="AS38" s="2557">
        <v>0.48578072106923986</v>
      </c>
      <c r="AT38" s="2557">
        <v>0.48578072106923986</v>
      </c>
      <c r="AU38" s="2569">
        <v>0.48578072106923986</v>
      </c>
    </row>
    <row r="39" spans="1:47" s="2548" customFormat="1" ht="17.25" thickBot="1">
      <c r="A39" s="2556" t="s">
        <v>3767</v>
      </c>
      <c r="B39" s="1183">
        <v>12</v>
      </c>
      <c r="C39" s="2557">
        <v>0.17030129023332446</v>
      </c>
      <c r="D39" s="2557">
        <v>0.44322788097987958</v>
      </c>
      <c r="E39" s="2557">
        <v>2.0929479985888082</v>
      </c>
      <c r="F39" s="2557">
        <v>4.5749791916101854</v>
      </c>
      <c r="G39" s="2558">
        <v>6.9212715951728603</v>
      </c>
      <c r="H39" s="2559" t="s">
        <v>3767</v>
      </c>
      <c r="I39" s="1183">
        <v>12</v>
      </c>
      <c r="J39" s="2557">
        <v>1.3086297070811817E-2</v>
      </c>
      <c r="K39" s="2557">
        <v>3.1946117499589068E-2</v>
      </c>
      <c r="L39" s="2557">
        <v>0.16091555291740625</v>
      </c>
      <c r="M39" s="2557">
        <v>0.35130253425301577</v>
      </c>
      <c r="N39" s="2557">
        <v>0.52852641327339422</v>
      </c>
      <c r="O39" s="2560"/>
      <c r="P39" s="2556" t="s">
        <v>3767</v>
      </c>
      <c r="Q39" s="1183">
        <v>12</v>
      </c>
      <c r="R39" s="2557">
        <v>0.45784378719389518</v>
      </c>
      <c r="S39" s="2557">
        <v>1.1279284283887268</v>
      </c>
      <c r="T39" s="2557">
        <v>2.3766329656526883</v>
      </c>
      <c r="U39" s="2557">
        <v>4.1352249542504786</v>
      </c>
      <c r="V39" s="2558">
        <v>7.1924618377166238</v>
      </c>
      <c r="W39" s="2559" t="s">
        <v>3767</v>
      </c>
      <c r="X39" s="1183">
        <v>12</v>
      </c>
      <c r="Y39" s="2557">
        <v>0.436186577631751</v>
      </c>
      <c r="Z39" s="2557">
        <v>1.0766166262781023</v>
      </c>
      <c r="AA39" s="2557">
        <v>2.2720557074483421</v>
      </c>
      <c r="AB39" s="2557">
        <v>3.9542208471415718</v>
      </c>
      <c r="AC39" s="2557">
        <v>6.8845832690417872</v>
      </c>
      <c r="AD39" s="2560"/>
      <c r="AE39" s="2570" t="s">
        <v>3694</v>
      </c>
      <c r="AF39" s="1179">
        <v>12</v>
      </c>
      <c r="AG39" s="2571">
        <v>340.01627271000001</v>
      </c>
      <c r="AH39" s="2588">
        <v>4.8240161459817951E-2</v>
      </c>
      <c r="AI39" s="2589">
        <v>0.15123333382044651</v>
      </c>
      <c r="AJ39" s="2589">
        <v>0.60293566496021334</v>
      </c>
      <c r="AK39" s="2589">
        <v>1.1935658257723158</v>
      </c>
      <c r="AL39" s="2590">
        <v>1.8028041996856643</v>
      </c>
      <c r="AM39" s="2551"/>
      <c r="AN39" s="2570" t="s">
        <v>3694</v>
      </c>
      <c r="AO39" s="1179">
        <v>12</v>
      </c>
      <c r="AP39" s="2571">
        <v>39.543746939999998</v>
      </c>
      <c r="AQ39" s="2588">
        <v>0.48508519638022951</v>
      </c>
      <c r="AR39" s="2589">
        <v>2.1587690853755479</v>
      </c>
      <c r="AS39" s="2589">
        <v>2.1937335347007965</v>
      </c>
      <c r="AT39" s="2589">
        <v>2.1937335347007965</v>
      </c>
      <c r="AU39" s="2590">
        <v>2.1937335347007965</v>
      </c>
    </row>
    <row r="40" spans="1:47" s="2548" customFormat="1" ht="16.5">
      <c r="A40" s="2575" t="s">
        <v>3768</v>
      </c>
      <c r="B40" s="1184">
        <v>13</v>
      </c>
      <c r="C40" s="2576">
        <v>0.17030129023332446</v>
      </c>
      <c r="D40" s="2576">
        <v>0</v>
      </c>
      <c r="E40" s="2576">
        <v>1.2973423706571552</v>
      </c>
      <c r="F40" s="2576">
        <v>4.5749791916101854</v>
      </c>
      <c r="G40" s="2577">
        <v>6.9212715951728603</v>
      </c>
      <c r="H40" s="2578" t="s">
        <v>3768</v>
      </c>
      <c r="I40" s="1184">
        <v>13</v>
      </c>
      <c r="J40" s="2576">
        <v>1.3086297070811817E-2</v>
      </c>
      <c r="K40" s="2576">
        <v>8.7225973043253188E-3</v>
      </c>
      <c r="L40" s="2576">
        <v>0.16091555291740625</v>
      </c>
      <c r="M40" s="2576">
        <v>0.35130253425301577</v>
      </c>
      <c r="N40" s="2576">
        <v>0.52852641327339422</v>
      </c>
      <c r="O40" s="2560"/>
      <c r="P40" s="2575" t="s">
        <v>3768</v>
      </c>
      <c r="Q40" s="1184">
        <v>13</v>
      </c>
      <c r="R40" s="2576">
        <v>7.6591041959127564E-3</v>
      </c>
      <c r="S40" s="2576">
        <v>5.9190767413332037E-3</v>
      </c>
      <c r="T40" s="2576">
        <v>7.1521255515855184E-2</v>
      </c>
      <c r="U40" s="2576">
        <v>0.11691744288033248</v>
      </c>
      <c r="V40" s="2577">
        <v>0.17367542745009235</v>
      </c>
      <c r="W40" s="2578" t="s">
        <v>3768</v>
      </c>
      <c r="X40" s="1184">
        <v>13</v>
      </c>
      <c r="Y40" s="2576">
        <v>7.205775339221775E-3</v>
      </c>
      <c r="Z40" s="2576">
        <v>5.6365788247647788E-3</v>
      </c>
      <c r="AA40" s="2576">
        <v>6.8279155172203926E-2</v>
      </c>
      <c r="AB40" s="2576">
        <v>0.1118383144618046</v>
      </c>
      <c r="AC40" s="2576">
        <v>0.16620936933058933</v>
      </c>
      <c r="AD40" s="2560"/>
      <c r="AE40" s="2579" t="s">
        <v>3695</v>
      </c>
      <c r="AF40" s="1180">
        <v>13</v>
      </c>
      <c r="AG40" s="2580" t="s">
        <v>3678</v>
      </c>
      <c r="AH40" s="2563">
        <v>4.8240161459817951E-2</v>
      </c>
      <c r="AI40" s="2564">
        <v>0</v>
      </c>
      <c r="AJ40" s="2564">
        <v>0.43856318629895313</v>
      </c>
      <c r="AK40" s="2564">
        <v>1.1935658257723158</v>
      </c>
      <c r="AL40" s="2565">
        <v>1.8028041996856643</v>
      </c>
      <c r="AM40" s="2551"/>
      <c r="AN40" s="2579" t="s">
        <v>3695</v>
      </c>
      <c r="AO40" s="1180">
        <v>13</v>
      </c>
      <c r="AP40" s="2580" t="s">
        <v>3678</v>
      </c>
      <c r="AQ40" s="2563">
        <v>3.2419623550461606E-3</v>
      </c>
      <c r="AR40" s="2564">
        <v>1.3468745727090538E-2</v>
      </c>
      <c r="AS40" s="2564">
        <v>2.7643395986262288E-2</v>
      </c>
      <c r="AT40" s="2564">
        <v>3.9573040882942306E-2</v>
      </c>
      <c r="AU40" s="2565">
        <v>5.0711687208551411E-2</v>
      </c>
    </row>
    <row r="41" spans="1:47" s="2548" customFormat="1" ht="17.25" thickBot="1">
      <c r="A41" s="2556" t="s">
        <v>3769</v>
      </c>
      <c r="B41" s="1183">
        <v>14</v>
      </c>
      <c r="C41" s="2557">
        <v>0.41631726190078444</v>
      </c>
      <c r="D41" s="2557">
        <v>1.2886440293903192</v>
      </c>
      <c r="E41" s="2557">
        <v>4.8716854871337674</v>
      </c>
      <c r="F41" s="2557">
        <v>8.6689470420921459</v>
      </c>
      <c r="G41" s="2558">
        <v>11.493936035354052</v>
      </c>
      <c r="H41" s="2559" t="s">
        <v>3769</v>
      </c>
      <c r="I41" s="1183">
        <v>14</v>
      </c>
      <c r="J41" s="2557">
        <v>0.77770099053394792</v>
      </c>
      <c r="K41" s="2557">
        <v>4.0600207796493724</v>
      </c>
      <c r="L41" s="2557">
        <v>6.787042282478791</v>
      </c>
      <c r="M41" s="2557">
        <v>8.4631160176470885</v>
      </c>
      <c r="N41" s="2557">
        <v>10.410191126356093</v>
      </c>
      <c r="O41" s="2560"/>
      <c r="P41" s="2556" t="s">
        <v>3769</v>
      </c>
      <c r="Q41" s="1183">
        <v>14</v>
      </c>
      <c r="R41" s="2557">
        <v>5.2060525339421494E-2</v>
      </c>
      <c r="S41" s="2557">
        <v>6.6482555981976388E-2</v>
      </c>
      <c r="T41" s="2557">
        <v>0.12468238331063933</v>
      </c>
      <c r="U41" s="2557">
        <v>0.17057942422337272</v>
      </c>
      <c r="V41" s="2558">
        <v>0.21540532798011355</v>
      </c>
      <c r="W41" s="2559" t="s">
        <v>3769</v>
      </c>
      <c r="X41" s="1183">
        <v>14</v>
      </c>
      <c r="Y41" s="2557">
        <v>8.4681073544222413E-2</v>
      </c>
      <c r="Z41" s="2557">
        <v>9.8532308181809386E-2</v>
      </c>
      <c r="AA41" s="2557">
        <v>0.17510821813046354</v>
      </c>
      <c r="AB41" s="2557">
        <v>0.23209955330576679</v>
      </c>
      <c r="AC41" s="2557">
        <v>0.2824453051807938</v>
      </c>
      <c r="AD41" s="2560"/>
      <c r="AE41" s="2586" t="s">
        <v>3696</v>
      </c>
      <c r="AF41" s="1181">
        <v>14</v>
      </c>
      <c r="AG41" s="2587">
        <v>8841.0453257699992</v>
      </c>
      <c r="AH41" s="2588">
        <v>0.34235776755923936</v>
      </c>
      <c r="AI41" s="2589">
        <v>1.0790116762822721</v>
      </c>
      <c r="AJ41" s="2589">
        <v>3.441221026154754</v>
      </c>
      <c r="AK41" s="2589">
        <v>7.3362829102159131</v>
      </c>
      <c r="AL41" s="2590">
        <v>9.8716540194164057</v>
      </c>
      <c r="AM41" s="2551"/>
      <c r="AN41" s="2586" t="s">
        <v>3696</v>
      </c>
      <c r="AO41" s="1181">
        <v>14</v>
      </c>
      <c r="AP41" s="2587">
        <v>8841.0453258599991</v>
      </c>
      <c r="AQ41" s="2588">
        <v>2.9959593038760352E-2</v>
      </c>
      <c r="AR41" s="2589">
        <v>3.3556121227858948E-2</v>
      </c>
      <c r="AS41" s="2589">
        <v>6.5947068463187819E-2</v>
      </c>
      <c r="AT41" s="2589">
        <v>9.450912105813257E-2</v>
      </c>
      <c r="AU41" s="2590">
        <v>0.1224981187587255</v>
      </c>
    </row>
    <row r="42" spans="1:47" s="2548" customFormat="1">
      <c r="H42" s="2591"/>
      <c r="I42" s="2591"/>
      <c r="W42" s="2591"/>
    </row>
    <row r="43" spans="1:47" s="2548" customFormat="1" ht="17.25" customHeight="1">
      <c r="A43" s="3725" t="s">
        <v>3772</v>
      </c>
      <c r="B43" s="3726"/>
      <c r="C43" s="3727" t="s">
        <v>3746</v>
      </c>
      <c r="D43" s="3728"/>
      <c r="E43" s="3728"/>
      <c r="F43" s="3728"/>
      <c r="G43" s="3729"/>
      <c r="H43" s="3730" t="s">
        <v>3773</v>
      </c>
      <c r="I43" s="3726"/>
      <c r="J43" s="3727" t="s">
        <v>3746</v>
      </c>
      <c r="K43" s="3728"/>
      <c r="L43" s="3728"/>
      <c r="M43" s="3728"/>
      <c r="N43" s="3731"/>
      <c r="P43" s="3725" t="s">
        <v>3772</v>
      </c>
      <c r="Q43" s="3726"/>
      <c r="R43" s="3727" t="s">
        <v>3746</v>
      </c>
      <c r="S43" s="3728"/>
      <c r="T43" s="3728"/>
      <c r="U43" s="3728"/>
      <c r="V43" s="3729"/>
      <c r="W43" s="3730" t="s">
        <v>3773</v>
      </c>
      <c r="X43" s="3726"/>
      <c r="Y43" s="3727" t="s">
        <v>3746</v>
      </c>
      <c r="Z43" s="3728"/>
      <c r="AA43" s="3728"/>
      <c r="AB43" s="3728"/>
      <c r="AC43" s="3731"/>
    </row>
    <row r="44" spans="1:47" s="2548" customFormat="1" ht="15.75" customHeight="1">
      <c r="A44" s="3751" t="s">
        <v>3749</v>
      </c>
      <c r="B44" s="3744"/>
      <c r="C44" s="3747" t="s">
        <v>3750</v>
      </c>
      <c r="D44" s="3714" t="s">
        <v>3748</v>
      </c>
      <c r="E44" s="3715"/>
      <c r="F44" s="3715"/>
      <c r="G44" s="3742"/>
      <c r="H44" s="3743" t="s">
        <v>3749</v>
      </c>
      <c r="I44" s="3744"/>
      <c r="J44" s="3747" t="s">
        <v>3750</v>
      </c>
      <c r="K44" s="3714" t="s">
        <v>3748</v>
      </c>
      <c r="L44" s="3715"/>
      <c r="M44" s="3715"/>
      <c r="N44" s="3715"/>
      <c r="P44" s="3751" t="s">
        <v>3749</v>
      </c>
      <c r="Q44" s="3744"/>
      <c r="R44" s="3747" t="s">
        <v>3750</v>
      </c>
      <c r="S44" s="3714" t="s">
        <v>3748</v>
      </c>
      <c r="T44" s="3715"/>
      <c r="U44" s="3715"/>
      <c r="V44" s="3742"/>
      <c r="W44" s="3743" t="s">
        <v>3749</v>
      </c>
      <c r="X44" s="3744"/>
      <c r="Y44" s="3747" t="s">
        <v>3750</v>
      </c>
      <c r="Z44" s="3714" t="s">
        <v>3748</v>
      </c>
      <c r="AA44" s="3715"/>
      <c r="AB44" s="3715"/>
      <c r="AC44" s="3716"/>
    </row>
    <row r="45" spans="1:47" s="2548" customFormat="1" ht="16.5">
      <c r="A45" s="3752"/>
      <c r="B45" s="3746"/>
      <c r="C45" s="3748"/>
      <c r="D45" s="2552" t="s">
        <v>3751</v>
      </c>
      <c r="E45" s="2552" t="s">
        <v>3752</v>
      </c>
      <c r="F45" s="2552" t="s">
        <v>3753</v>
      </c>
      <c r="G45" s="2553" t="s">
        <v>3754</v>
      </c>
      <c r="H45" s="3745"/>
      <c r="I45" s="3746"/>
      <c r="J45" s="3748"/>
      <c r="K45" s="2552" t="s">
        <v>3751</v>
      </c>
      <c r="L45" s="2552" t="s">
        <v>3752</v>
      </c>
      <c r="M45" s="2552" t="s">
        <v>3753</v>
      </c>
      <c r="N45" s="2552" t="s">
        <v>3754</v>
      </c>
      <c r="P45" s="3752"/>
      <c r="Q45" s="3746"/>
      <c r="R45" s="3748"/>
      <c r="S45" s="2552" t="s">
        <v>3751</v>
      </c>
      <c r="T45" s="2552" t="s">
        <v>3752</v>
      </c>
      <c r="U45" s="2552" t="s">
        <v>3753</v>
      </c>
      <c r="V45" s="2553" t="s">
        <v>3754</v>
      </c>
      <c r="W45" s="3745"/>
      <c r="X45" s="3746"/>
      <c r="Y45" s="3748"/>
      <c r="Z45" s="2552" t="s">
        <v>3751</v>
      </c>
      <c r="AA45" s="2552" t="s">
        <v>3752</v>
      </c>
      <c r="AB45" s="2552" t="s">
        <v>3753</v>
      </c>
      <c r="AC45" s="2552" t="s">
        <v>3754</v>
      </c>
    </row>
    <row r="46" spans="1:47" s="2548" customFormat="1" ht="16.5">
      <c r="A46" s="2556" t="s">
        <v>3755</v>
      </c>
      <c r="B46" s="1183">
        <v>1</v>
      </c>
      <c r="C46" s="2557">
        <v>0.21468616530440129</v>
      </c>
      <c r="D46" s="2557">
        <v>0</v>
      </c>
      <c r="E46" s="2557">
        <v>1.0921911259181796</v>
      </c>
      <c r="F46" s="2557">
        <v>6.2787230393999449</v>
      </c>
      <c r="G46" s="2558">
        <v>14.251438888656672</v>
      </c>
      <c r="H46" s="2559" t="s">
        <v>3755</v>
      </c>
      <c r="I46" s="1183">
        <v>1</v>
      </c>
      <c r="J46" s="2557">
        <v>0.21377797556973302</v>
      </c>
      <c r="K46" s="2557">
        <v>0</v>
      </c>
      <c r="L46" s="2557">
        <v>1.0100439907083665</v>
      </c>
      <c r="M46" s="2557">
        <v>6.2359955250002876</v>
      </c>
      <c r="N46" s="2557">
        <v>14.432479947186437</v>
      </c>
      <c r="O46" s="2560"/>
      <c r="P46" s="2556" t="s">
        <v>3755</v>
      </c>
      <c r="Q46" s="1183">
        <v>1</v>
      </c>
      <c r="R46" s="2557">
        <v>6.7525743267716053E-3</v>
      </c>
      <c r="S46" s="2557">
        <v>5.2592976941275085E-3</v>
      </c>
      <c r="T46" s="2557">
        <v>6.7199499335993174E-2</v>
      </c>
      <c r="U46" s="2557">
        <v>0.1889105009922821</v>
      </c>
      <c r="V46" s="2558">
        <v>0.3930912798626201</v>
      </c>
      <c r="W46" s="2559" t="s">
        <v>3755</v>
      </c>
      <c r="X46" s="1183">
        <v>1</v>
      </c>
      <c r="Y46" s="2557">
        <v>6.2990286904409925E-3</v>
      </c>
      <c r="Z46" s="2557">
        <v>4.9845884888135138E-3</v>
      </c>
      <c r="AA46" s="2557">
        <v>6.2699043916675273E-2</v>
      </c>
      <c r="AB46" s="2557">
        <v>0.17576817341899206</v>
      </c>
      <c r="AC46" s="2557">
        <v>0.36530198019353183</v>
      </c>
      <c r="AD46" s="2560"/>
    </row>
    <row r="47" spans="1:47" s="2548" customFormat="1" ht="16.5">
      <c r="A47" s="2556" t="s">
        <v>3756</v>
      </c>
      <c r="B47" s="1183">
        <v>1.1000000000000001</v>
      </c>
      <c r="C47" s="2557">
        <v>0.23229973724041844</v>
      </c>
      <c r="D47" s="2557">
        <v>5.8405171505721803E-2</v>
      </c>
      <c r="E47" s="2557">
        <v>2.3673625131071629</v>
      </c>
      <c r="F47" s="2557">
        <v>7.570526382927544</v>
      </c>
      <c r="G47" s="2558">
        <v>12.93190502503189</v>
      </c>
      <c r="H47" s="2559" t="s">
        <v>3756</v>
      </c>
      <c r="I47" s="1183">
        <v>1.1000000000000001</v>
      </c>
      <c r="J47" s="2557">
        <v>0.2311041480489259</v>
      </c>
      <c r="K47" s="2557">
        <v>3.9417876008500413E-2</v>
      </c>
      <c r="L47" s="2557">
        <v>2.3188391803139634</v>
      </c>
      <c r="M47" s="2557">
        <v>7.6042637927013788</v>
      </c>
      <c r="N47" s="2557">
        <v>13.066750148172405</v>
      </c>
      <c r="O47" s="2560"/>
      <c r="P47" s="2556" t="s">
        <v>3756</v>
      </c>
      <c r="Q47" s="1183">
        <v>1.1000000000000001</v>
      </c>
      <c r="R47" s="2557">
        <v>4.2307181178471397E-2</v>
      </c>
      <c r="S47" s="2557">
        <v>0.10443556452983463</v>
      </c>
      <c r="T47" s="2557">
        <v>0.16406863890246248</v>
      </c>
      <c r="U47" s="2557">
        <v>0.2084648273725114</v>
      </c>
      <c r="V47" s="2558">
        <v>0.25135240456190722</v>
      </c>
      <c r="W47" s="2559" t="s">
        <v>3756</v>
      </c>
      <c r="X47" s="1183">
        <v>1.1000000000000001</v>
      </c>
      <c r="Y47" s="2557">
        <v>3.9628242065080241E-2</v>
      </c>
      <c r="Z47" s="2557">
        <v>9.7392125114109565E-2</v>
      </c>
      <c r="AA47" s="2557">
        <v>0.15301328029345557</v>
      </c>
      <c r="AB47" s="2557">
        <v>0.19441614733076151</v>
      </c>
      <c r="AC47" s="2557">
        <v>0.2344082026607951</v>
      </c>
      <c r="AD47" s="2560"/>
    </row>
    <row r="48" spans="1:47" s="2548" customFormat="1" ht="16.5">
      <c r="A48" s="2556" t="s">
        <v>3757</v>
      </c>
      <c r="B48" s="1183">
        <v>2</v>
      </c>
      <c r="C48" s="2557">
        <v>0.25883636993079429</v>
      </c>
      <c r="D48" s="2557">
        <v>0</v>
      </c>
      <c r="E48" s="2557">
        <v>0</v>
      </c>
      <c r="F48" s="2557">
        <v>1.4039774381792858</v>
      </c>
      <c r="G48" s="2558">
        <v>14.533587146845404</v>
      </c>
      <c r="H48" s="2559" t="s">
        <v>3757</v>
      </c>
      <c r="I48" s="1183">
        <v>2</v>
      </c>
      <c r="J48" s="2557">
        <v>0.25934206047079938</v>
      </c>
      <c r="K48" s="2557">
        <v>0</v>
      </c>
      <c r="L48" s="2557">
        <v>0.54488959525208225</v>
      </c>
      <c r="M48" s="2557">
        <v>5.3701723448862566</v>
      </c>
      <c r="N48" s="2557">
        <v>17.332681891105285</v>
      </c>
      <c r="O48" s="2560"/>
      <c r="P48" s="2556" t="s">
        <v>3757</v>
      </c>
      <c r="Q48" s="1183">
        <v>2</v>
      </c>
      <c r="R48" s="2557">
        <v>3.2149626093438948E-3</v>
      </c>
      <c r="S48" s="2557">
        <v>9.0438173881736729E-3</v>
      </c>
      <c r="T48" s="2557">
        <v>2.2521226720865664E-2</v>
      </c>
      <c r="U48" s="2557">
        <v>3.7280848075449707E-2</v>
      </c>
      <c r="V48" s="2558">
        <v>5.8090101881532415E-2</v>
      </c>
      <c r="W48" s="2559" t="s">
        <v>3757</v>
      </c>
      <c r="X48" s="1183">
        <v>2</v>
      </c>
      <c r="Y48" s="2557">
        <v>9.3494365769874032E-3</v>
      </c>
      <c r="Z48" s="2557">
        <v>2.4416123927655083E-2</v>
      </c>
      <c r="AA48" s="2557">
        <v>7.5381380901570927E-2</v>
      </c>
      <c r="AB48" s="2557">
        <v>0.12424003562512533</v>
      </c>
      <c r="AC48" s="2557">
        <v>0.16828362773183295</v>
      </c>
      <c r="AD48" s="2560"/>
    </row>
    <row r="49" spans="1:30" s="2548" customFormat="1" ht="16.5">
      <c r="A49" s="2556" t="s">
        <v>3758</v>
      </c>
      <c r="B49" s="1183">
        <v>3</v>
      </c>
      <c r="C49" s="2557">
        <v>0.38184329681966933</v>
      </c>
      <c r="D49" s="2557">
        <v>0</v>
      </c>
      <c r="E49" s="2557">
        <v>5.0768468227136987</v>
      </c>
      <c r="F49" s="2557">
        <v>14.324285385040817</v>
      </c>
      <c r="G49" s="2558">
        <v>21.690895768908881</v>
      </c>
      <c r="H49" s="2559" t="s">
        <v>3758</v>
      </c>
      <c r="I49" s="1183">
        <v>3</v>
      </c>
      <c r="J49" s="2557">
        <v>0.37277518213710231</v>
      </c>
      <c r="K49" s="2557">
        <v>0</v>
      </c>
      <c r="L49" s="2557">
        <v>4.8858154129961999</v>
      </c>
      <c r="M49" s="2557">
        <v>14.040239542512619</v>
      </c>
      <c r="N49" s="2557">
        <v>21.331427295376493</v>
      </c>
      <c r="O49" s="2560"/>
      <c r="P49" s="2556" t="s">
        <v>3758</v>
      </c>
      <c r="Q49" s="1183">
        <v>3</v>
      </c>
      <c r="R49" s="2557">
        <v>0.11058671162855357</v>
      </c>
      <c r="S49" s="2557">
        <v>0.25927868483435557</v>
      </c>
      <c r="T49" s="2557">
        <v>0.59188963146554019</v>
      </c>
      <c r="U49" s="2557">
        <v>1.0216630805287756</v>
      </c>
      <c r="V49" s="2558">
        <v>1.7483025138649593</v>
      </c>
      <c r="W49" s="2559" t="s">
        <v>3758</v>
      </c>
      <c r="X49" s="1183">
        <v>3</v>
      </c>
      <c r="Y49" s="2557">
        <v>0.10303380458997072</v>
      </c>
      <c r="Z49" s="2557">
        <v>0.24161043601314544</v>
      </c>
      <c r="AA49" s="2557">
        <v>0.55144463095607321</v>
      </c>
      <c r="AB49" s="2557">
        <v>0.95154235061645565</v>
      </c>
      <c r="AC49" s="2557">
        <v>1.6275371668501279</v>
      </c>
      <c r="AD49" s="2560"/>
    </row>
    <row r="50" spans="1:30" s="2548" customFormat="1" ht="16.5">
      <c r="A50" s="2556" t="s">
        <v>3759</v>
      </c>
      <c r="B50" s="1183">
        <v>4</v>
      </c>
      <c r="C50" s="2557">
        <v>0.51078511201677623</v>
      </c>
      <c r="D50" s="2557">
        <v>0</v>
      </c>
      <c r="E50" s="2557">
        <v>5.0566476294056146</v>
      </c>
      <c r="F50" s="2557">
        <v>17.035641683769214</v>
      </c>
      <c r="G50" s="2558">
        <v>30.900069020026205</v>
      </c>
      <c r="H50" s="2559" t="s">
        <v>3759</v>
      </c>
      <c r="I50" s="1183">
        <v>4</v>
      </c>
      <c r="J50" s="2557">
        <v>0.49437023685757453</v>
      </c>
      <c r="K50" s="2557">
        <v>0</v>
      </c>
      <c r="L50" s="2557">
        <v>4.7416239631354831</v>
      </c>
      <c r="M50" s="2557">
        <v>16.476661031966177</v>
      </c>
      <c r="N50" s="2557">
        <v>30.240478387236575</v>
      </c>
      <c r="O50" s="2560"/>
      <c r="P50" s="2556" t="s">
        <v>3759</v>
      </c>
      <c r="Q50" s="1183">
        <v>4</v>
      </c>
      <c r="R50" s="2557">
        <v>7.477699925861532E-2</v>
      </c>
      <c r="S50" s="2557">
        <v>0.26601545960023304</v>
      </c>
      <c r="T50" s="2557">
        <v>0.57654131682252174</v>
      </c>
      <c r="U50" s="2557">
        <v>0.86448398448959041</v>
      </c>
      <c r="V50" s="2558">
        <v>1.1717754052498937</v>
      </c>
      <c r="W50" s="2559" t="s">
        <v>3759</v>
      </c>
      <c r="X50" s="1183">
        <v>4</v>
      </c>
      <c r="Y50" s="2557">
        <v>6.8925602836784464E-2</v>
      </c>
      <c r="Z50" s="2557">
        <v>0.2447843907888928</v>
      </c>
      <c r="AA50" s="2557">
        <v>0.53030716634358022</v>
      </c>
      <c r="AB50" s="2557">
        <v>0.79502416907465867</v>
      </c>
      <c r="AC50" s="2557">
        <v>1.0775859206097129</v>
      </c>
      <c r="AD50" s="2560"/>
    </row>
    <row r="51" spans="1:30" s="2548" customFormat="1" ht="16.5">
      <c r="A51" s="2556" t="s">
        <v>3760</v>
      </c>
      <c r="B51" s="1183">
        <v>5</v>
      </c>
      <c r="C51" s="2557">
        <v>0.49885749822059944</v>
      </c>
      <c r="D51" s="2557">
        <v>0</v>
      </c>
      <c r="E51" s="2557">
        <v>1.6473746038701442</v>
      </c>
      <c r="F51" s="2557">
        <v>11.60292781905804</v>
      </c>
      <c r="G51" s="2558">
        <v>42.541340009271757</v>
      </c>
      <c r="H51" s="2559" t="s">
        <v>3760</v>
      </c>
      <c r="I51" s="1183">
        <v>5</v>
      </c>
      <c r="J51" s="2557">
        <v>0.48319692671687559</v>
      </c>
      <c r="K51" s="2557">
        <v>0</v>
      </c>
      <c r="L51" s="2557">
        <v>1.5237489887673008</v>
      </c>
      <c r="M51" s="2557">
        <v>11.458417021795796</v>
      </c>
      <c r="N51" s="2557">
        <v>41.365836280827885</v>
      </c>
      <c r="O51" s="2560"/>
      <c r="P51" s="2556" t="s">
        <v>3760</v>
      </c>
      <c r="Q51" s="1183">
        <v>5</v>
      </c>
      <c r="R51" s="2557">
        <v>8.215873904508543E-3</v>
      </c>
      <c r="S51" s="2557">
        <v>2.8149226184097063E-2</v>
      </c>
      <c r="T51" s="2557">
        <v>9.8843452516540392E-2</v>
      </c>
      <c r="U51" s="2557">
        <v>0.15890782923879906</v>
      </c>
      <c r="V51" s="2558">
        <v>0.19353014157021944</v>
      </c>
      <c r="W51" s="2559" t="s">
        <v>3760</v>
      </c>
      <c r="X51" s="1183">
        <v>5</v>
      </c>
      <c r="Y51" s="2557">
        <v>7.6588840109874171E-3</v>
      </c>
      <c r="Z51" s="2557">
        <v>2.6253048285120401E-2</v>
      </c>
      <c r="AA51" s="2557">
        <v>9.1958767171189948E-2</v>
      </c>
      <c r="AB51" s="2557">
        <v>0.14780094880624489</v>
      </c>
      <c r="AC51" s="2557">
        <v>0.18012516966418857</v>
      </c>
      <c r="AD51" s="2560"/>
    </row>
    <row r="52" spans="1:30" s="2548" customFormat="1" ht="16.5">
      <c r="A52" s="2556" t="s">
        <v>3761</v>
      </c>
      <c r="B52" s="1183">
        <v>6</v>
      </c>
      <c r="C52" s="2557">
        <v>0.5822825020710044</v>
      </c>
      <c r="D52" s="2557">
        <v>0.54491375596007108</v>
      </c>
      <c r="E52" s="2557">
        <v>5.4861581987172858</v>
      </c>
      <c r="F52" s="2557">
        <v>17.757006139235475</v>
      </c>
      <c r="G52" s="2558">
        <v>33.145230382699609</v>
      </c>
      <c r="H52" s="2559" t="s">
        <v>3761</v>
      </c>
      <c r="I52" s="1183">
        <v>6</v>
      </c>
      <c r="J52" s="2557">
        <v>0.60704521921460752</v>
      </c>
      <c r="K52" s="2557">
        <v>0</v>
      </c>
      <c r="L52" s="2557">
        <v>2.9511629377787099</v>
      </c>
      <c r="M52" s="2557">
        <v>13.599873204243053</v>
      </c>
      <c r="N52" s="2557">
        <v>41.994948867435014</v>
      </c>
      <c r="O52" s="2560"/>
      <c r="P52" s="2556" t="s">
        <v>3761</v>
      </c>
      <c r="Q52" s="1183">
        <v>6</v>
      </c>
      <c r="R52" s="2557">
        <v>5.4035169123717121E-2</v>
      </c>
      <c r="S52" s="2557">
        <v>0.14201128728562668</v>
      </c>
      <c r="T52" s="2557">
        <v>0.29325342460547771</v>
      </c>
      <c r="U52" s="2557">
        <v>0.42329829619842629</v>
      </c>
      <c r="V52" s="2558">
        <v>0.54785762932822069</v>
      </c>
      <c r="W52" s="2559" t="s">
        <v>3761</v>
      </c>
      <c r="X52" s="1183">
        <v>6</v>
      </c>
      <c r="Y52" s="2557">
        <v>5.3248939813506257E-2</v>
      </c>
      <c r="Z52" s="2557">
        <v>0.15084301428126176</v>
      </c>
      <c r="AA52" s="2557">
        <v>0.32140729681206925</v>
      </c>
      <c r="AB52" s="2557">
        <v>0.47423486412897958</v>
      </c>
      <c r="AC52" s="2557">
        <v>0.62280512924740994</v>
      </c>
      <c r="AD52" s="2560"/>
    </row>
    <row r="53" spans="1:30" s="2548" customFormat="1" ht="16.5">
      <c r="A53" s="2556" t="s">
        <v>3762</v>
      </c>
      <c r="B53" s="1183">
        <v>7</v>
      </c>
      <c r="C53" s="2557">
        <v>0.48479165143809849</v>
      </c>
      <c r="D53" s="2557">
        <v>0</v>
      </c>
      <c r="E53" s="2557">
        <v>3.2146409002297842</v>
      </c>
      <c r="F53" s="2557">
        <v>14.741214661570924</v>
      </c>
      <c r="G53" s="2558">
        <v>33.313832257174958</v>
      </c>
      <c r="H53" s="2559" t="s">
        <v>3762</v>
      </c>
      <c r="I53" s="1183">
        <v>7</v>
      </c>
      <c r="J53" s="2557">
        <v>0.47480490545715259</v>
      </c>
      <c r="K53" s="2557">
        <v>0</v>
      </c>
      <c r="L53" s="2557">
        <v>3.0051714390216038</v>
      </c>
      <c r="M53" s="2557">
        <v>15.307790156714823</v>
      </c>
      <c r="N53" s="2557">
        <v>32.669388352241718</v>
      </c>
      <c r="O53" s="2560"/>
      <c r="P53" s="2556" t="s">
        <v>3762</v>
      </c>
      <c r="Q53" s="1183">
        <v>7</v>
      </c>
      <c r="R53" s="2557">
        <v>2.3031067644239598E-2</v>
      </c>
      <c r="S53" s="2557">
        <v>7.6566914126530161E-2</v>
      </c>
      <c r="T53" s="2557">
        <v>0.12850489659099795</v>
      </c>
      <c r="U53" s="2557">
        <v>0.17682019459368331</v>
      </c>
      <c r="V53" s="2558">
        <v>0.21150742355790256</v>
      </c>
      <c r="W53" s="2559" t="s">
        <v>3762</v>
      </c>
      <c r="X53" s="1183">
        <v>7</v>
      </c>
      <c r="Y53" s="2557">
        <v>2.2295292649410232E-2</v>
      </c>
      <c r="Z53" s="2557">
        <v>7.6776262586609217E-2</v>
      </c>
      <c r="AA53" s="2557">
        <v>0.1287770779390717</v>
      </c>
      <c r="AB53" s="2557">
        <v>0.17516049877496037</v>
      </c>
      <c r="AC53" s="2557">
        <v>0.20337472600836831</v>
      </c>
      <c r="AD53" s="2560"/>
    </row>
    <row r="54" spans="1:30" s="2548" customFormat="1" ht="16.5">
      <c r="A54" s="2556" t="s">
        <v>3763</v>
      </c>
      <c r="B54" s="1183">
        <v>8</v>
      </c>
      <c r="C54" s="2557">
        <v>0.71091353587657058</v>
      </c>
      <c r="D54" s="2557">
        <v>0.40769985469363412</v>
      </c>
      <c r="E54" s="2557">
        <v>8.0906895420455189</v>
      </c>
      <c r="F54" s="2557">
        <v>23.846580320680875</v>
      </c>
      <c r="G54" s="2558">
        <v>40.047223510326397</v>
      </c>
      <c r="H54" s="2559" t="s">
        <v>3763</v>
      </c>
      <c r="I54" s="1183">
        <v>8</v>
      </c>
      <c r="J54" s="2557">
        <v>0.63791596436174014</v>
      </c>
      <c r="K54" s="2557">
        <v>0.46000248057080462</v>
      </c>
      <c r="L54" s="2557">
        <v>7.4505819126737265</v>
      </c>
      <c r="M54" s="2557">
        <v>22.05014800280124</v>
      </c>
      <c r="N54" s="2557">
        <v>34.743169603987305</v>
      </c>
      <c r="O54" s="2560"/>
      <c r="P54" s="2556" t="s">
        <v>3763</v>
      </c>
      <c r="Q54" s="1183">
        <v>8</v>
      </c>
      <c r="R54" s="2557">
        <v>7.2567233542820157E-3</v>
      </c>
      <c r="S54" s="2557">
        <v>2.3636951248151506E-2</v>
      </c>
      <c r="T54" s="2557">
        <v>5.4932749737895963E-2</v>
      </c>
      <c r="U54" s="2557">
        <v>8.8227213728406792E-2</v>
      </c>
      <c r="V54" s="2558">
        <v>0.13119100491432531</v>
      </c>
      <c r="W54" s="2559" t="s">
        <v>3763</v>
      </c>
      <c r="X54" s="1183">
        <v>8</v>
      </c>
      <c r="Y54" s="2557">
        <v>7.0865123829306599E-3</v>
      </c>
      <c r="Z54" s="2557">
        <v>2.3252975169342702E-2</v>
      </c>
      <c r="AA54" s="2557">
        <v>5.6253799360238665E-2</v>
      </c>
      <c r="AB54" s="2557">
        <v>9.2709718147187564E-2</v>
      </c>
      <c r="AC54" s="2557">
        <v>0.14024267054146272</v>
      </c>
      <c r="AD54" s="2560"/>
    </row>
    <row r="55" spans="1:30" s="2548" customFormat="1" ht="16.5">
      <c r="A55" s="2556" t="s">
        <v>3764</v>
      </c>
      <c r="B55" s="1183">
        <v>9</v>
      </c>
      <c r="C55" s="2557">
        <v>0.71548073257287503</v>
      </c>
      <c r="D55" s="2557">
        <v>1.8423761389225373</v>
      </c>
      <c r="E55" s="2557">
        <v>8.1970906466638507</v>
      </c>
      <c r="F55" s="2557">
        <v>16.488359330232903</v>
      </c>
      <c r="G55" s="2558">
        <v>32.705870684333604</v>
      </c>
      <c r="H55" s="2559" t="s">
        <v>3764</v>
      </c>
      <c r="I55" s="1183">
        <v>9</v>
      </c>
      <c r="J55" s="2557">
        <v>0.69134296474371348</v>
      </c>
      <c r="K55" s="2557">
        <v>1.7058199340510174</v>
      </c>
      <c r="L55" s="2557">
        <v>7.9117310364027542</v>
      </c>
      <c r="M55" s="2557">
        <v>16.115660199666543</v>
      </c>
      <c r="N55" s="2557">
        <v>32.093292415471318</v>
      </c>
      <c r="O55" s="2560"/>
      <c r="P55" s="2556" t="s">
        <v>3764</v>
      </c>
      <c r="Q55" s="1183">
        <v>9</v>
      </c>
      <c r="R55" s="2557">
        <v>6.6764500471950192E-2</v>
      </c>
      <c r="S55" s="2557">
        <v>0.1636447947254337</v>
      </c>
      <c r="T55" s="2557">
        <v>0.3107518579017981</v>
      </c>
      <c r="U55" s="2557">
        <v>0.47647151543450544</v>
      </c>
      <c r="V55" s="2558">
        <v>0.7988519079420191</v>
      </c>
      <c r="W55" s="2559" t="s">
        <v>3764</v>
      </c>
      <c r="X55" s="1183">
        <v>9</v>
      </c>
      <c r="Y55" s="2557">
        <v>6.223739019409983E-2</v>
      </c>
      <c r="Z55" s="2557">
        <v>0.15221933767682533</v>
      </c>
      <c r="AA55" s="2557">
        <v>0.2891169094204869</v>
      </c>
      <c r="AB55" s="2557">
        <v>0.44341883053543346</v>
      </c>
      <c r="AC55" s="2557">
        <v>0.74325640695127726</v>
      </c>
      <c r="AD55" s="2560"/>
    </row>
    <row r="56" spans="1:30" s="2548" customFormat="1" ht="16.5">
      <c r="A56" s="2556" t="s">
        <v>3765</v>
      </c>
      <c r="B56" s="1183">
        <v>10</v>
      </c>
      <c r="C56" s="2557">
        <v>0.46215845053514126</v>
      </c>
      <c r="D56" s="2557">
        <v>1.5313400787778135</v>
      </c>
      <c r="E56" s="2557">
        <v>6.1281527755050549</v>
      </c>
      <c r="F56" s="2557">
        <v>10.182382732836118</v>
      </c>
      <c r="G56" s="2558">
        <v>14.223385950089774</v>
      </c>
      <c r="H56" s="2559" t="s">
        <v>3765</v>
      </c>
      <c r="I56" s="1183">
        <v>10</v>
      </c>
      <c r="J56" s="2557">
        <v>0.44008940231781229</v>
      </c>
      <c r="K56" s="2557">
        <v>1.4457868444788906</v>
      </c>
      <c r="L56" s="2557">
        <v>5.9202321124393578</v>
      </c>
      <c r="M56" s="2557">
        <v>9.8554538287369198</v>
      </c>
      <c r="N56" s="2557">
        <v>13.717871966213274</v>
      </c>
      <c r="O56" s="2560"/>
      <c r="P56" s="2556" t="s">
        <v>3765</v>
      </c>
      <c r="Q56" s="1183">
        <v>10</v>
      </c>
      <c r="R56" s="2557">
        <v>0.11281619356524267</v>
      </c>
      <c r="S56" s="2557">
        <v>0.23098632606219541</v>
      </c>
      <c r="T56" s="2557">
        <v>0.42931656089540249</v>
      </c>
      <c r="U56" s="2557">
        <v>0.59491174429705407</v>
      </c>
      <c r="V56" s="2558">
        <v>0.754925633821801</v>
      </c>
      <c r="W56" s="2559" t="s">
        <v>3765</v>
      </c>
      <c r="X56" s="1183">
        <v>10</v>
      </c>
      <c r="Y56" s="2557">
        <v>0.10532108716060697</v>
      </c>
      <c r="Z56" s="2557">
        <v>0.21467701343538537</v>
      </c>
      <c r="AA56" s="2557">
        <v>0.39900792565704368</v>
      </c>
      <c r="AB56" s="2557">
        <v>0.55286455822320357</v>
      </c>
      <c r="AC56" s="2557">
        <v>0.70150407442718477</v>
      </c>
      <c r="AD56" s="2560"/>
    </row>
    <row r="57" spans="1:30" s="2548" customFormat="1" ht="16.5">
      <c r="A57" s="2556" t="s">
        <v>3766</v>
      </c>
      <c r="B57" s="1183">
        <v>11</v>
      </c>
      <c r="C57" s="2557">
        <v>1.425761602820893</v>
      </c>
      <c r="D57" s="2557">
        <v>8.229999715663725</v>
      </c>
      <c r="E57" s="2557">
        <v>16.684788844953481</v>
      </c>
      <c r="F57" s="2557">
        <v>21.644194934231272</v>
      </c>
      <c r="G57" s="2558">
        <v>26.32265387985084</v>
      </c>
      <c r="H57" s="2559" t="s">
        <v>3766</v>
      </c>
      <c r="I57" s="1183">
        <v>11</v>
      </c>
      <c r="J57" s="2557">
        <v>1.3823658635496743</v>
      </c>
      <c r="K57" s="2557">
        <v>7.9389238323306959</v>
      </c>
      <c r="L57" s="2557">
        <v>16.322652457655096</v>
      </c>
      <c r="M57" s="2557">
        <v>21.265437230329368</v>
      </c>
      <c r="N57" s="2557">
        <v>25.871062590729569</v>
      </c>
      <c r="O57" s="2560"/>
      <c r="P57" s="2556" t="s">
        <v>3766</v>
      </c>
      <c r="Q57" s="1183">
        <v>11</v>
      </c>
      <c r="R57" s="2557">
        <v>0.15766004538250045</v>
      </c>
      <c r="S57" s="2557">
        <v>0.2821761627798679</v>
      </c>
      <c r="T57" s="2557">
        <v>0.48286982011675073</v>
      </c>
      <c r="U57" s="2557">
        <v>0.65433457238687243</v>
      </c>
      <c r="V57" s="2558">
        <v>0.81898242210449013</v>
      </c>
      <c r="W57" s="2559" t="s">
        <v>3766</v>
      </c>
      <c r="X57" s="1183">
        <v>11</v>
      </c>
      <c r="Y57" s="2557">
        <v>0.13506812704247934</v>
      </c>
      <c r="Z57" s="2557">
        <v>0.25083199551662755</v>
      </c>
      <c r="AA57" s="2557">
        <v>0.44765541335929032</v>
      </c>
      <c r="AB57" s="2557">
        <v>0.61149273465432352</v>
      </c>
      <c r="AC57" s="2557">
        <v>0.75333029179540412</v>
      </c>
      <c r="AD57" s="2560"/>
    </row>
    <row r="58" spans="1:30" s="2548" customFormat="1" ht="16.5">
      <c r="A58" s="2556" t="s">
        <v>3767</v>
      </c>
      <c r="B58" s="1183">
        <v>12</v>
      </c>
      <c r="C58" s="2557">
        <v>0.37179362410784478</v>
      </c>
      <c r="D58" s="2557">
        <v>0.86294586803004081</v>
      </c>
      <c r="E58" s="2557">
        <v>4.5019869954822953</v>
      </c>
      <c r="F58" s="2557">
        <v>10.369969426332021</v>
      </c>
      <c r="G58" s="2558">
        <v>15.77337609543034</v>
      </c>
      <c r="H58" s="2559" t="s">
        <v>3767</v>
      </c>
      <c r="I58" s="1183">
        <v>12</v>
      </c>
      <c r="J58" s="2557">
        <v>0.16032682263622691</v>
      </c>
      <c r="K58" s="2557">
        <v>0.34460168334511132</v>
      </c>
      <c r="L58" s="2557">
        <v>1.9192077891222217</v>
      </c>
      <c r="M58" s="2557">
        <v>4.5725594266665315</v>
      </c>
      <c r="N58" s="2557">
        <v>6.9820849829088267</v>
      </c>
      <c r="O58" s="2560"/>
      <c r="P58" s="2556" t="s">
        <v>3767</v>
      </c>
      <c r="Q58" s="1183">
        <v>12</v>
      </c>
      <c r="R58" s="2557">
        <v>0.40834037395967915</v>
      </c>
      <c r="S58" s="2557">
        <v>1.0061838372334315</v>
      </c>
      <c r="T58" s="2557">
        <v>2.1230582927712867</v>
      </c>
      <c r="U58" s="2557">
        <v>3.6943525490053419</v>
      </c>
      <c r="V58" s="2558">
        <v>6.4310496013858574</v>
      </c>
      <c r="W58" s="2559" t="s">
        <v>3767</v>
      </c>
      <c r="X58" s="1183">
        <v>12</v>
      </c>
      <c r="Y58" s="2557">
        <v>0.37793420037018516</v>
      </c>
      <c r="Z58" s="2557">
        <v>0.92782406154911135</v>
      </c>
      <c r="AA58" s="2557">
        <v>1.9556632686480189</v>
      </c>
      <c r="AB58" s="2557">
        <v>3.4018845191060509</v>
      </c>
      <c r="AC58" s="2557">
        <v>5.9172829962852695</v>
      </c>
      <c r="AD58" s="2560"/>
    </row>
    <row r="59" spans="1:30" ht="16.5">
      <c r="A59" s="2575" t="s">
        <v>3768</v>
      </c>
      <c r="B59" s="1184">
        <v>13</v>
      </c>
      <c r="C59" s="2576">
        <v>0.21468616530440129</v>
      </c>
      <c r="D59" s="2576">
        <v>0</v>
      </c>
      <c r="E59" s="2576">
        <v>0</v>
      </c>
      <c r="F59" s="2576">
        <v>1.4481276428056788</v>
      </c>
      <c r="G59" s="2577">
        <v>12.949518596967907</v>
      </c>
      <c r="H59" s="2578" t="s">
        <v>3768</v>
      </c>
      <c r="I59" s="1184">
        <v>13</v>
      </c>
      <c r="J59" s="2576">
        <v>0.16032682263622691</v>
      </c>
      <c r="K59" s="2576">
        <v>0</v>
      </c>
      <c r="L59" s="2576">
        <v>0.6439048330866548</v>
      </c>
      <c r="M59" s="2576">
        <v>4.5725594266665315</v>
      </c>
      <c r="N59" s="2576">
        <v>6.9820849829088267</v>
      </c>
      <c r="O59" s="2560"/>
      <c r="P59" s="2575" t="s">
        <v>3768</v>
      </c>
      <c r="Q59" s="1184">
        <v>13</v>
      </c>
      <c r="R59" s="2576">
        <v>3.2149626093438948E-3</v>
      </c>
      <c r="S59" s="2576">
        <v>8.796909411555219E-3</v>
      </c>
      <c r="T59" s="2576">
        <v>2.2521226720865664E-2</v>
      </c>
      <c r="U59" s="2576">
        <v>3.7280848075449707E-2</v>
      </c>
      <c r="V59" s="2577">
        <v>5.8090101881532415E-2</v>
      </c>
      <c r="W59" s="2578" t="s">
        <v>3768</v>
      </c>
      <c r="X59" s="1184">
        <v>13</v>
      </c>
      <c r="Y59" s="2576">
        <v>6.2990286904409925E-3</v>
      </c>
      <c r="Z59" s="2576">
        <v>4.9845884888135138E-3</v>
      </c>
      <c r="AA59" s="2576">
        <v>5.7041283052728334E-2</v>
      </c>
      <c r="AB59" s="2576">
        <v>9.3497201839677233E-2</v>
      </c>
      <c r="AC59" s="2576">
        <v>0.14103015423395238</v>
      </c>
      <c r="AD59" s="2560"/>
    </row>
    <row r="60" spans="1:30" s="2548" customFormat="1" ht="16.5">
      <c r="A60" s="2556" t="s">
        <v>3769</v>
      </c>
      <c r="B60" s="1183">
        <v>14</v>
      </c>
      <c r="C60" s="2557">
        <v>0.44143719979976215</v>
      </c>
      <c r="D60" s="2557">
        <v>1.8109744878442355</v>
      </c>
      <c r="E60" s="2557">
        <v>4.7935257319294395</v>
      </c>
      <c r="F60" s="2557">
        <v>6.5044463524805911</v>
      </c>
      <c r="G60" s="2558">
        <v>8.6182786824270465</v>
      </c>
      <c r="H60" s="2559" t="s">
        <v>3769</v>
      </c>
      <c r="I60" s="1183">
        <v>14</v>
      </c>
      <c r="J60" s="2557">
        <v>0.43363979556472998</v>
      </c>
      <c r="K60" s="2557">
        <v>0.64025167224753643</v>
      </c>
      <c r="L60" s="2557">
        <v>3.1915610312699783</v>
      </c>
      <c r="M60" s="2557">
        <v>9.2124467729114698</v>
      </c>
      <c r="N60" s="2557">
        <v>25.597353643238126</v>
      </c>
      <c r="O60" s="2560"/>
      <c r="P60" s="2556" t="s">
        <v>3769</v>
      </c>
      <c r="Q60" s="1183">
        <v>14</v>
      </c>
      <c r="R60" s="2557">
        <v>7.6920090245235356E-2</v>
      </c>
      <c r="S60" s="2557">
        <v>0.10001589949162321</v>
      </c>
      <c r="T60" s="2557">
        <v>0.194715869443607</v>
      </c>
      <c r="U60" s="2557">
        <v>0.26926793875998145</v>
      </c>
      <c r="V60" s="2558">
        <v>0.34339065217827935</v>
      </c>
      <c r="W60" s="2559" t="s">
        <v>3769</v>
      </c>
      <c r="X60" s="1183">
        <v>14</v>
      </c>
      <c r="Y60" s="2557">
        <v>3.1660003411243649E-2</v>
      </c>
      <c r="Z60" s="2557">
        <v>5.3682352229107326E-2</v>
      </c>
      <c r="AA60" s="2557">
        <v>0.1024175093018542</v>
      </c>
      <c r="AB60" s="2557">
        <v>0.14763121579729099</v>
      </c>
      <c r="AC60" s="2557">
        <v>0.2085810795126139</v>
      </c>
      <c r="AD60" s="2560"/>
    </row>
    <row r="61" spans="1:30" s="2548" customFormat="1"/>
    <row r="62" spans="1:30" s="2548" customFormat="1" ht="16.5">
      <c r="A62" s="3749" t="s">
        <v>3774</v>
      </c>
      <c r="B62" s="3750"/>
      <c r="C62" s="3727" t="s">
        <v>3746</v>
      </c>
      <c r="D62" s="3728"/>
      <c r="E62" s="3728"/>
      <c r="F62" s="3728"/>
      <c r="G62" s="3731"/>
      <c r="P62" s="3749" t="s">
        <v>3774</v>
      </c>
      <c r="Q62" s="3750"/>
      <c r="R62" s="3727" t="s">
        <v>3746</v>
      </c>
      <c r="S62" s="3728"/>
      <c r="T62" s="3728"/>
      <c r="U62" s="3728"/>
      <c r="V62" s="3731"/>
    </row>
    <row r="63" spans="1:30" s="2548" customFormat="1" ht="15.75" customHeight="1">
      <c r="A63" s="3751" t="s">
        <v>3749</v>
      </c>
      <c r="B63" s="3744"/>
      <c r="C63" s="3747" t="s">
        <v>3750</v>
      </c>
      <c r="D63" s="3714" t="s">
        <v>3748</v>
      </c>
      <c r="E63" s="3715"/>
      <c r="F63" s="3715"/>
      <c r="G63" s="3715"/>
      <c r="P63" s="3751" t="s">
        <v>3749</v>
      </c>
      <c r="Q63" s="3744"/>
      <c r="R63" s="3747" t="s">
        <v>3750</v>
      </c>
      <c r="S63" s="3714" t="s">
        <v>3748</v>
      </c>
      <c r="T63" s="3715"/>
      <c r="U63" s="3715"/>
      <c r="V63" s="3716"/>
    </row>
    <row r="64" spans="1:30" s="2548" customFormat="1" ht="16.5">
      <c r="A64" s="3752"/>
      <c r="B64" s="3746"/>
      <c r="C64" s="3748"/>
      <c r="D64" s="2552" t="s">
        <v>3751</v>
      </c>
      <c r="E64" s="2552" t="s">
        <v>3752</v>
      </c>
      <c r="F64" s="2552" t="s">
        <v>3753</v>
      </c>
      <c r="G64" s="2552" t="s">
        <v>3754</v>
      </c>
      <c r="P64" s="3752"/>
      <c r="Q64" s="3746"/>
      <c r="R64" s="3748"/>
      <c r="S64" s="2552" t="s">
        <v>3751</v>
      </c>
      <c r="T64" s="2552" t="s">
        <v>3752</v>
      </c>
      <c r="U64" s="2552" t="s">
        <v>3753</v>
      </c>
      <c r="V64" s="2552" t="s">
        <v>3754</v>
      </c>
    </row>
    <row r="65" spans="1:47" s="2548" customFormat="1" ht="16.5">
      <c r="A65" s="2556" t="s">
        <v>3755</v>
      </c>
      <c r="B65" s="1183">
        <v>1</v>
      </c>
      <c r="C65" s="2557">
        <v>0.16041304183071456</v>
      </c>
      <c r="D65" s="2557">
        <v>0</v>
      </c>
      <c r="E65" s="2557">
        <v>0.93881680607365303</v>
      </c>
      <c r="F65" s="2557">
        <v>4.7058581484766657</v>
      </c>
      <c r="G65" s="2557">
        <v>10.242037403902314</v>
      </c>
      <c r="H65" s="2560"/>
      <c r="P65" s="2556" t="s">
        <v>3755</v>
      </c>
      <c r="Q65" s="1183">
        <v>1</v>
      </c>
      <c r="R65" s="2557">
        <v>4.0732903060433463E-3</v>
      </c>
      <c r="S65" s="2557">
        <v>3.2230332345553631E-3</v>
      </c>
      <c r="T65" s="2557">
        <v>4.0554350552503275E-2</v>
      </c>
      <c r="U65" s="2557">
        <v>0.1124676089487384</v>
      </c>
      <c r="V65" s="2557">
        <v>0.23626910039245233</v>
      </c>
      <c r="W65" s="2560"/>
    </row>
    <row r="66" spans="1:47" s="2548" customFormat="1" ht="16.5">
      <c r="A66" s="2556" t="s">
        <v>3756</v>
      </c>
      <c r="B66" s="1183">
        <v>1.1000000000000001</v>
      </c>
      <c r="C66" s="2557">
        <v>0.15605089963306787</v>
      </c>
      <c r="D66" s="2557">
        <v>7.1561127174589984E-2</v>
      </c>
      <c r="E66" s="2557">
        <v>1.654103732842511</v>
      </c>
      <c r="F66" s="2557">
        <v>4.9507359666145163</v>
      </c>
      <c r="G66" s="2557">
        <v>8.3157474548742911</v>
      </c>
      <c r="H66" s="2560"/>
      <c r="P66" s="2556" t="s">
        <v>3756</v>
      </c>
      <c r="Q66" s="1183">
        <v>1.1000000000000001</v>
      </c>
      <c r="R66" s="2557">
        <v>1.9513118104192477E-2</v>
      </c>
      <c r="S66" s="2557">
        <v>4.7661055943253351E-2</v>
      </c>
      <c r="T66" s="2557">
        <v>7.4887685298239026E-2</v>
      </c>
      <c r="U66" s="2557">
        <v>9.5150384411114453E-2</v>
      </c>
      <c r="V66" s="2557">
        <v>0.11471982121903138</v>
      </c>
      <c r="W66" s="2560"/>
    </row>
    <row r="67" spans="1:47" s="2548" customFormat="1" ht="16.5">
      <c r="A67" s="2556" t="s">
        <v>3757</v>
      </c>
      <c r="B67" s="1183">
        <v>2</v>
      </c>
      <c r="C67" s="2557">
        <v>0.19556315253204806</v>
      </c>
      <c r="D67" s="2557">
        <v>0</v>
      </c>
      <c r="E67" s="2557">
        <v>0.94482984588372299</v>
      </c>
      <c r="F67" s="2557">
        <v>5.2768645734455744</v>
      </c>
      <c r="G67" s="2557">
        <v>12.532148994028045</v>
      </c>
      <c r="H67" s="2560"/>
      <c r="P67" s="2556" t="s">
        <v>3757</v>
      </c>
      <c r="Q67" s="1183">
        <v>2</v>
      </c>
      <c r="R67" s="2557">
        <v>8.5779828217385119E-3</v>
      </c>
      <c r="S67" s="2557">
        <v>2.1929502644208426E-2</v>
      </c>
      <c r="T67" s="2557">
        <v>6.9695737242029335E-2</v>
      </c>
      <c r="U67" s="2557">
        <v>0.11724903962703208</v>
      </c>
      <c r="V67" s="2557">
        <v>0.16059166988978368</v>
      </c>
      <c r="W67" s="2560"/>
    </row>
    <row r="68" spans="1:47" s="2548" customFormat="1" ht="16.5">
      <c r="A68" s="2556" t="s">
        <v>3758</v>
      </c>
      <c r="B68" s="1183">
        <v>3</v>
      </c>
      <c r="C68" s="2557">
        <v>0.26169860907716441</v>
      </c>
      <c r="D68" s="2557">
        <v>0</v>
      </c>
      <c r="E68" s="2557">
        <v>3.5778080624897335</v>
      </c>
      <c r="F68" s="2557">
        <v>9.6451563828649984</v>
      </c>
      <c r="G68" s="2557">
        <v>14.590412728416599</v>
      </c>
      <c r="H68" s="2560"/>
      <c r="I68" s="1185"/>
      <c r="J68" s="1185"/>
      <c r="P68" s="2556" t="s">
        <v>3758</v>
      </c>
      <c r="Q68" s="1183">
        <v>3</v>
      </c>
      <c r="R68" s="2557">
        <v>4.448571488277988E-2</v>
      </c>
      <c r="S68" s="2557">
        <v>0.10434621736617672</v>
      </c>
      <c r="T68" s="2557">
        <v>0.23807919108932599</v>
      </c>
      <c r="U68" s="2557">
        <v>0.41059648112326125</v>
      </c>
      <c r="V68" s="2557">
        <v>0.70174671966680413</v>
      </c>
      <c r="W68" s="2560"/>
      <c r="X68" s="1185"/>
      <c r="Y68" s="1185"/>
    </row>
    <row r="69" spans="1:47" s="2548" customFormat="1" ht="16.5">
      <c r="A69" s="2556" t="s">
        <v>3759</v>
      </c>
      <c r="B69" s="1183">
        <v>4</v>
      </c>
      <c r="C69" s="2557">
        <v>0.36840019205112673</v>
      </c>
      <c r="D69" s="2557">
        <v>0</v>
      </c>
      <c r="E69" s="2557">
        <v>3.9330713054903401</v>
      </c>
      <c r="F69" s="2557">
        <v>12.307426366775193</v>
      </c>
      <c r="G69" s="2557">
        <v>21.623672777427124</v>
      </c>
      <c r="H69" s="2560"/>
      <c r="I69" s="1185"/>
      <c r="J69" s="1185"/>
      <c r="P69" s="2556" t="s">
        <v>3759</v>
      </c>
      <c r="Q69" s="1183">
        <v>4</v>
      </c>
      <c r="R69" s="2557">
        <v>3.2425510997571072E-2</v>
      </c>
      <c r="S69" s="2557">
        <v>0.11505522019874473</v>
      </c>
      <c r="T69" s="2557">
        <v>0.24925524444582403</v>
      </c>
      <c r="U69" s="2557">
        <v>0.37369890331370509</v>
      </c>
      <c r="V69" s="2557">
        <v>0.50654922587451479</v>
      </c>
      <c r="W69" s="2560"/>
      <c r="X69" s="1185"/>
      <c r="Y69" s="1185"/>
    </row>
    <row r="70" spans="1:47" s="2548" customFormat="1" ht="16.5">
      <c r="A70" s="2556" t="s">
        <v>3760</v>
      </c>
      <c r="B70" s="1183">
        <v>5</v>
      </c>
      <c r="C70" s="2557">
        <v>0.35613347205325874</v>
      </c>
      <c r="D70" s="2557">
        <v>4.8769250246882834E-5</v>
      </c>
      <c r="E70" s="2557">
        <v>1.2667508343857139</v>
      </c>
      <c r="F70" s="2557">
        <v>7.9983271304850927</v>
      </c>
      <c r="G70" s="2557">
        <v>30.13661929159532</v>
      </c>
      <c r="H70" s="2560"/>
      <c r="P70" s="2556" t="s">
        <v>3760</v>
      </c>
      <c r="Q70" s="1183">
        <v>5</v>
      </c>
      <c r="R70" s="2557">
        <v>3.7571129544430896E-3</v>
      </c>
      <c r="S70" s="2557">
        <v>1.2890022613206046E-2</v>
      </c>
      <c r="T70" s="2557">
        <v>4.493028343535227E-2</v>
      </c>
      <c r="U70" s="2557">
        <v>7.217799331912142E-2</v>
      </c>
      <c r="V70" s="2557">
        <v>8.8083377949048136E-2</v>
      </c>
      <c r="W70" s="2560"/>
    </row>
    <row r="71" spans="1:47" s="2548" customFormat="1" ht="16.5">
      <c r="A71" s="2556" t="s">
        <v>3761</v>
      </c>
      <c r="B71" s="1183">
        <v>6</v>
      </c>
      <c r="C71" s="2557">
        <v>0.44778186192629338</v>
      </c>
      <c r="D71" s="2557">
        <v>0.42868965571935153</v>
      </c>
      <c r="E71" s="2557">
        <v>4.0749001108412628</v>
      </c>
      <c r="F71" s="2557">
        <v>13.295193593069005</v>
      </c>
      <c r="G71" s="2557">
        <v>25.671204785570641</v>
      </c>
      <c r="H71" s="2560"/>
      <c r="P71" s="2556" t="s">
        <v>3761</v>
      </c>
      <c r="Q71" s="1183">
        <v>6</v>
      </c>
      <c r="R71" s="2557">
        <v>3.0217437296354867E-2</v>
      </c>
      <c r="S71" s="2557">
        <v>7.9838915665699117E-2</v>
      </c>
      <c r="T71" s="2557">
        <v>0.16546198334756096</v>
      </c>
      <c r="U71" s="2557">
        <v>0.23944203705403685</v>
      </c>
      <c r="V71" s="2557">
        <v>0.31047858434930131</v>
      </c>
      <c r="W71" s="2560"/>
    </row>
    <row r="72" spans="1:47" s="2548" customFormat="1" ht="16.5">
      <c r="A72" s="2556" t="s">
        <v>3762</v>
      </c>
      <c r="B72" s="1183">
        <v>7</v>
      </c>
      <c r="C72" s="2557">
        <v>0.34331512157371968</v>
      </c>
      <c r="D72" s="2557">
        <v>0</v>
      </c>
      <c r="E72" s="2557">
        <v>2.3740768973021025</v>
      </c>
      <c r="F72" s="2557">
        <v>10.464024737970865</v>
      </c>
      <c r="G72" s="2557">
        <v>23.269671265326831</v>
      </c>
      <c r="H72" s="2560"/>
      <c r="P72" s="2556" t="s">
        <v>3762</v>
      </c>
      <c r="Q72" s="1183">
        <v>7</v>
      </c>
      <c r="R72" s="2557">
        <v>1.0975082791312193E-2</v>
      </c>
      <c r="S72" s="2557">
        <v>3.7302979627838892E-2</v>
      </c>
      <c r="T72" s="2557">
        <v>6.2415146036461353E-2</v>
      </c>
      <c r="U72" s="2557">
        <v>8.4849572151950395E-2</v>
      </c>
      <c r="V72" s="2557">
        <v>9.8930240026753005E-2</v>
      </c>
      <c r="W72" s="2560"/>
    </row>
    <row r="73" spans="1:47" s="2548" customFormat="1" ht="16.5">
      <c r="A73" s="2556" t="s">
        <v>3763</v>
      </c>
      <c r="B73" s="1183">
        <v>8</v>
      </c>
      <c r="C73" s="2557">
        <v>0.47067836607736735</v>
      </c>
      <c r="D73" s="2557">
        <v>0.54382784311863552</v>
      </c>
      <c r="E73" s="2557">
        <v>6.3265718867249694</v>
      </c>
      <c r="F73" s="2557">
        <v>15.270684251468003</v>
      </c>
      <c r="G73" s="2557">
        <v>23.429332414086069</v>
      </c>
      <c r="H73" s="2560"/>
      <c r="P73" s="2556" t="s">
        <v>3763</v>
      </c>
      <c r="Q73" s="1183">
        <v>8</v>
      </c>
      <c r="R73" s="2557">
        <v>3.8434490393433125E-3</v>
      </c>
      <c r="S73" s="2557">
        <v>1.2823533464467508E-2</v>
      </c>
      <c r="T73" s="2557">
        <v>3.1302420495664791E-2</v>
      </c>
      <c r="U73" s="2557">
        <v>5.1452293222233741E-2</v>
      </c>
      <c r="V73" s="2557">
        <v>7.6395664627201196E-2</v>
      </c>
      <c r="W73" s="2560"/>
    </row>
    <row r="74" spans="1:47" s="2548" customFormat="1" ht="16.5">
      <c r="A74" s="2556" t="s">
        <v>3764</v>
      </c>
      <c r="B74" s="1183">
        <v>9</v>
      </c>
      <c r="C74" s="2557">
        <v>0.53558978025616277</v>
      </c>
      <c r="D74" s="2557">
        <v>1.5500867260579447</v>
      </c>
      <c r="E74" s="2557">
        <v>6.1604687311467989</v>
      </c>
      <c r="F74" s="2557">
        <v>11.955566073258776</v>
      </c>
      <c r="G74" s="2557">
        <v>23.298757602784512</v>
      </c>
      <c r="H74" s="2560"/>
      <c r="P74" s="2556" t="s">
        <v>3764</v>
      </c>
      <c r="Q74" s="1183">
        <v>9</v>
      </c>
      <c r="R74" s="2557">
        <v>3.1972021892774101E-2</v>
      </c>
      <c r="S74" s="2557">
        <v>7.8099551044908316E-2</v>
      </c>
      <c r="T74" s="2557">
        <v>0.14835621768941276</v>
      </c>
      <c r="U74" s="2557">
        <v>0.22756944775818749</v>
      </c>
      <c r="V74" s="2557">
        <v>0.38139772911718245</v>
      </c>
      <c r="W74" s="2560"/>
    </row>
    <row r="75" spans="1:47" s="2548" customFormat="1" ht="16.5">
      <c r="A75" s="2556" t="s">
        <v>3765</v>
      </c>
      <c r="B75" s="1183">
        <v>10</v>
      </c>
      <c r="C75" s="2557">
        <v>0.31260278336643282</v>
      </c>
      <c r="D75" s="2557">
        <v>1.0438637031494657</v>
      </c>
      <c r="E75" s="2557">
        <v>3.9968215400167693</v>
      </c>
      <c r="F75" s="2557">
        <v>6.6218113864668222</v>
      </c>
      <c r="G75" s="2557">
        <v>9.3675484566159035</v>
      </c>
      <c r="H75" s="2560"/>
      <c r="P75" s="2556" t="s">
        <v>3765</v>
      </c>
      <c r="Q75" s="1183">
        <v>10</v>
      </c>
      <c r="R75" s="2557">
        <v>5.9754859593072779E-2</v>
      </c>
      <c r="S75" s="2557">
        <v>0.12162040196101268</v>
      </c>
      <c r="T75" s="2557">
        <v>0.22603683765430907</v>
      </c>
      <c r="U75" s="2557">
        <v>0.31323359634568826</v>
      </c>
      <c r="V75" s="2557">
        <v>0.39759946956621051</v>
      </c>
      <c r="W75" s="2560"/>
    </row>
    <row r="76" spans="1:47" s="2548" customFormat="1" ht="16.5">
      <c r="A76" s="2556" t="s">
        <v>3766</v>
      </c>
      <c r="B76" s="1183">
        <v>11</v>
      </c>
      <c r="C76" s="2557">
        <v>1.3483058315233614</v>
      </c>
      <c r="D76" s="2557">
        <v>7.6550673942846261</v>
      </c>
      <c r="E76" s="2557">
        <v>15.697947129906503</v>
      </c>
      <c r="F76" s="2557">
        <v>20.374100265785174</v>
      </c>
      <c r="G76" s="2557">
        <v>24.754003429477361</v>
      </c>
      <c r="H76" s="2560"/>
      <c r="P76" s="2556" t="s">
        <v>3766</v>
      </c>
      <c r="Q76" s="1183">
        <v>11</v>
      </c>
      <c r="R76" s="2557">
        <v>0.13848132330756435</v>
      </c>
      <c r="S76" s="2557">
        <v>0.25165832058642212</v>
      </c>
      <c r="T76" s="2557">
        <v>0.43682613980916107</v>
      </c>
      <c r="U76" s="2557">
        <v>0.5931931940102364</v>
      </c>
      <c r="V76" s="2557">
        <v>0.73719820853706419</v>
      </c>
      <c r="W76" s="2560"/>
    </row>
    <row r="77" spans="1:47" s="2548" customFormat="1" ht="16.5">
      <c r="A77" s="2556" t="s">
        <v>3767</v>
      </c>
      <c r="B77" s="1183">
        <v>12</v>
      </c>
      <c r="C77" s="2557">
        <v>0.10648454002895556</v>
      </c>
      <c r="D77" s="2557">
        <v>0.27673634247627865</v>
      </c>
      <c r="E77" s="2557">
        <v>1.2969849003303719</v>
      </c>
      <c r="F77" s="2557">
        <v>2.8527288114282503</v>
      </c>
      <c r="G77" s="2557">
        <v>4.3520801237715734</v>
      </c>
      <c r="H77" s="2560"/>
      <c r="P77" s="2556" t="s">
        <v>3767</v>
      </c>
      <c r="Q77" s="1183">
        <v>12</v>
      </c>
      <c r="R77" s="2557">
        <v>0.18246364305298707</v>
      </c>
      <c r="S77" s="2557">
        <v>0.44410149763747003</v>
      </c>
      <c r="T77" s="2557">
        <v>0.93247205863651472</v>
      </c>
      <c r="U77" s="2557">
        <v>1.6197524619113899</v>
      </c>
      <c r="V77" s="2557">
        <v>2.8103716804933043</v>
      </c>
      <c r="W77" s="2560"/>
    </row>
    <row r="78" spans="1:47" s="2585" customFormat="1" ht="16.5">
      <c r="A78" s="2575" t="s">
        <v>3768</v>
      </c>
      <c r="B78" s="1184">
        <v>13</v>
      </c>
      <c r="C78" s="2576">
        <v>0.10648454002895556</v>
      </c>
      <c r="D78" s="2576">
        <v>0</v>
      </c>
      <c r="E78" s="2576">
        <v>0.99274530787541204</v>
      </c>
      <c r="F78" s="2576">
        <v>2.8527288114282503</v>
      </c>
      <c r="G78" s="2576">
        <v>4.3520801237715734</v>
      </c>
      <c r="H78" s="2560"/>
      <c r="I78" s="2548"/>
      <c r="J78" s="2548"/>
      <c r="K78" s="2548"/>
      <c r="L78" s="2548"/>
      <c r="M78" s="2548"/>
      <c r="N78" s="2548"/>
      <c r="O78" s="2548"/>
      <c r="P78" s="2575" t="s">
        <v>3768</v>
      </c>
      <c r="Q78" s="1184">
        <v>13</v>
      </c>
      <c r="R78" s="2576">
        <v>3.7571129544430896E-3</v>
      </c>
      <c r="S78" s="2576">
        <v>3.5392105861556198E-3</v>
      </c>
      <c r="T78" s="2576">
        <v>3.1388756580565016E-2</v>
      </c>
      <c r="U78" s="2576">
        <v>5.1538629307133967E-2</v>
      </c>
      <c r="V78" s="2576">
        <v>7.6482000712101428E-2</v>
      </c>
      <c r="W78" s="2560"/>
      <c r="X78" s="2548"/>
      <c r="Y78" s="2548"/>
      <c r="Z78" s="2548"/>
      <c r="AA78" s="2548"/>
      <c r="AB78" s="2548"/>
      <c r="AC78" s="2548"/>
      <c r="AD78" s="2548"/>
      <c r="AE78" s="2548"/>
      <c r="AF78" s="2548"/>
      <c r="AG78" s="2548"/>
      <c r="AH78" s="2548"/>
      <c r="AI78" s="2548"/>
      <c r="AJ78" s="2548"/>
      <c r="AK78" s="2548"/>
      <c r="AL78" s="2548"/>
      <c r="AM78" s="2548"/>
      <c r="AN78" s="2548"/>
      <c r="AO78" s="2548"/>
      <c r="AP78" s="2548"/>
      <c r="AQ78" s="2548"/>
      <c r="AR78" s="2548"/>
      <c r="AS78" s="2548"/>
      <c r="AT78" s="2548"/>
      <c r="AU78" s="2548"/>
    </row>
    <row r="79" spans="1:47" s="2548" customFormat="1" ht="16.5">
      <c r="A79" s="2556" t="s">
        <v>3769</v>
      </c>
      <c r="B79" s="1183">
        <v>14</v>
      </c>
      <c r="C79" s="2557">
        <v>0.33676813112242726</v>
      </c>
      <c r="D79" s="2557">
        <v>0.95621458810741067</v>
      </c>
      <c r="E79" s="2557">
        <v>3.164311242954581</v>
      </c>
      <c r="F79" s="2557">
        <v>6.124515456655554</v>
      </c>
      <c r="G79" s="2557">
        <v>9.1479001785838054</v>
      </c>
      <c r="H79" s="2560"/>
      <c r="P79" s="2556" t="s">
        <v>3769</v>
      </c>
      <c r="Q79" s="1183">
        <v>14</v>
      </c>
      <c r="R79" s="2557">
        <v>2.8128478594667244E-2</v>
      </c>
      <c r="S79" s="2557">
        <v>2.9308886002874908E-2</v>
      </c>
      <c r="T79" s="2557">
        <v>5.6786153560239708E-2</v>
      </c>
      <c r="U79" s="2557">
        <v>8.1318179266778215E-2</v>
      </c>
      <c r="V79" s="2557">
        <v>0.10687009760980959</v>
      </c>
      <c r="W79" s="2560"/>
    </row>
    <row r="80" spans="1:47" s="2548" customFormat="1">
      <c r="A80" s="2593"/>
      <c r="B80" s="1186"/>
      <c r="C80" s="2594"/>
      <c r="D80" s="2594"/>
      <c r="E80" s="2594"/>
      <c r="F80" s="2594"/>
      <c r="G80" s="2594"/>
      <c r="P80" s="2593"/>
      <c r="Q80" s="1186"/>
      <c r="R80" s="2594"/>
      <c r="S80" s="2594"/>
      <c r="T80" s="2594"/>
      <c r="U80" s="2594"/>
      <c r="V80" s="2594"/>
    </row>
    <row r="81" spans="1:24" s="2548" customFormat="1" ht="33">
      <c r="A81" s="2595" t="s">
        <v>3703</v>
      </c>
      <c r="B81" s="2596" t="s">
        <v>3704</v>
      </c>
      <c r="C81" s="2596" t="s">
        <v>3705</v>
      </c>
      <c r="D81" s="2596" t="s">
        <v>3706</v>
      </c>
      <c r="E81" s="2596" t="s">
        <v>3707</v>
      </c>
      <c r="F81" s="2596" t="s">
        <v>3708</v>
      </c>
      <c r="G81" s="2596" t="s">
        <v>3709</v>
      </c>
      <c r="H81" s="2596" t="s">
        <v>3188</v>
      </c>
      <c r="P81" s="2595" t="s">
        <v>3703</v>
      </c>
      <c r="Q81" s="2596" t="s">
        <v>3704</v>
      </c>
      <c r="R81" s="2596" t="s">
        <v>3705</v>
      </c>
      <c r="S81" s="2596" t="s">
        <v>3706</v>
      </c>
      <c r="T81" s="2596" t="s">
        <v>3707</v>
      </c>
      <c r="U81" s="2596" t="s">
        <v>3708</v>
      </c>
      <c r="V81" s="2596" t="s">
        <v>3709</v>
      </c>
      <c r="W81" s="2596" t="s">
        <v>3188</v>
      </c>
      <c r="X81" s="2597"/>
    </row>
    <row r="82" spans="1:24" s="2548" customFormat="1" ht="20.100000000000001" customHeight="1">
      <c r="A82" s="2598" t="s">
        <v>3775</v>
      </c>
      <c r="B82" s="2599">
        <v>0.61099999999999999</v>
      </c>
      <c r="C82" s="2599">
        <v>0.60899999999999999</v>
      </c>
      <c r="D82" s="2599">
        <v>0.4857086652993482</v>
      </c>
      <c r="E82" s="2599">
        <v>0.83899999999999997</v>
      </c>
      <c r="F82" s="2599">
        <v>0.46600000000000003</v>
      </c>
      <c r="G82" s="2599">
        <v>0.54569044607869321</v>
      </c>
      <c r="H82" s="2599">
        <v>0.55762437633080653</v>
      </c>
      <c r="P82" s="1176" t="s">
        <v>3793</v>
      </c>
      <c r="Q82" s="2599">
        <v>0.4154725730961068</v>
      </c>
      <c r="R82" s="2599">
        <v>0.50624452167017253</v>
      </c>
      <c r="S82" s="2599">
        <v>0.6093216877041524</v>
      </c>
      <c r="T82" s="2599">
        <v>0.52364419155077124</v>
      </c>
      <c r="U82" s="2599">
        <v>0.45931697683689943</v>
      </c>
      <c r="V82" s="2599">
        <v>0.40388345106035978</v>
      </c>
      <c r="W82" s="2599">
        <v>0.41033545608236699</v>
      </c>
      <c r="X82" s="2597"/>
    </row>
    <row r="83" spans="1:24" s="2548" customFormat="1" ht="20.100000000000001" customHeight="1">
      <c r="A83" s="1187" t="s">
        <v>3776</v>
      </c>
      <c r="B83" s="2600">
        <v>0.03</v>
      </c>
      <c r="C83" s="2601"/>
      <c r="D83" s="2594"/>
      <c r="E83" s="2594"/>
      <c r="F83" s="2594"/>
      <c r="G83" s="2594"/>
      <c r="H83" s="2597"/>
      <c r="P83" s="1187" t="s">
        <v>3794</v>
      </c>
      <c r="Q83" s="2600">
        <v>0.03</v>
      </c>
      <c r="R83" s="2602"/>
      <c r="S83" s="2594"/>
      <c r="T83" s="2594"/>
      <c r="U83" s="2594"/>
      <c r="V83" s="2594"/>
      <c r="W83" s="2597"/>
      <c r="X83" s="2597"/>
    </row>
    <row r="84" spans="1:24" s="2548" customFormat="1">
      <c r="A84" s="2603"/>
      <c r="B84" s="1188"/>
      <c r="C84" s="2594"/>
      <c r="D84" s="2594"/>
      <c r="E84" s="2594"/>
      <c r="F84" s="2594"/>
      <c r="G84" s="2594"/>
      <c r="H84" s="2597"/>
      <c r="P84" s="2603"/>
      <c r="Q84" s="1188"/>
      <c r="R84" s="2594"/>
      <c r="S84" s="2594"/>
      <c r="T84" s="2594"/>
      <c r="U84" s="2594"/>
      <c r="V84" s="2594"/>
      <c r="W84" s="2597"/>
      <c r="X84" s="2597"/>
    </row>
    <row r="85" spans="1:24" s="2548" customFormat="1">
      <c r="A85" s="2597"/>
      <c r="B85" s="2597"/>
      <c r="C85" s="2597"/>
      <c r="D85" s="2597"/>
      <c r="E85" s="2597"/>
      <c r="F85" s="2597"/>
      <c r="G85" s="2597"/>
      <c r="H85" s="2597"/>
      <c r="P85" s="2597"/>
      <c r="Q85" s="2597"/>
      <c r="R85" s="2597"/>
      <c r="S85" s="2597"/>
      <c r="T85" s="2597"/>
      <c r="U85" s="2597"/>
      <c r="V85" s="2597"/>
      <c r="W85" s="2597"/>
      <c r="X85" s="2597"/>
    </row>
    <row r="86" spans="1:24" s="2548" customFormat="1" ht="16.5">
      <c r="A86" s="3753" t="s">
        <v>3710</v>
      </c>
      <c r="B86" s="3753"/>
      <c r="C86" s="3753"/>
      <c r="D86" s="3753"/>
      <c r="E86" s="3753"/>
      <c r="F86" s="3753"/>
      <c r="G86" s="2597"/>
      <c r="H86" s="2597"/>
      <c r="P86" s="3753" t="s">
        <v>3711</v>
      </c>
      <c r="Q86" s="3753"/>
      <c r="R86" s="3753"/>
      <c r="S86" s="3753"/>
      <c r="T86" s="3753"/>
      <c r="U86" s="3753"/>
      <c r="V86" s="2597"/>
      <c r="W86" s="2597"/>
      <c r="X86" s="2597"/>
    </row>
    <row r="87" spans="1:24" s="2548" customFormat="1" ht="16.5">
      <c r="A87" s="3754" t="s">
        <v>3777</v>
      </c>
      <c r="B87" s="3754" t="s">
        <v>3778</v>
      </c>
      <c r="C87" s="3756" t="s">
        <v>3712</v>
      </c>
      <c r="D87" s="3757"/>
      <c r="E87" s="3757"/>
      <c r="F87" s="3758"/>
      <c r="G87" s="1189"/>
      <c r="H87" s="1189"/>
      <c r="I87" s="1185"/>
      <c r="J87" s="1185"/>
      <c r="K87" s="1185"/>
      <c r="L87" s="1185"/>
      <c r="M87" s="1185"/>
      <c r="N87" s="1185"/>
      <c r="P87" s="3754" t="s">
        <v>3777</v>
      </c>
      <c r="Q87" s="3759" t="s">
        <v>3778</v>
      </c>
      <c r="R87" s="3756" t="s">
        <v>3712</v>
      </c>
      <c r="S87" s="3757"/>
      <c r="T87" s="3757"/>
      <c r="U87" s="3758"/>
      <c r="V87" s="1189"/>
      <c r="W87" s="1189"/>
      <c r="X87" s="1189"/>
    </row>
    <row r="88" spans="1:24" s="2548" customFormat="1" ht="42" customHeight="1">
      <c r="A88" s="3755"/>
      <c r="B88" s="3755"/>
      <c r="C88" s="1190" t="s">
        <v>3779</v>
      </c>
      <c r="D88" s="1190" t="s">
        <v>3780</v>
      </c>
      <c r="E88" s="1190" t="s">
        <v>3713</v>
      </c>
      <c r="F88" s="1190" t="s">
        <v>3714</v>
      </c>
      <c r="G88" s="1189"/>
      <c r="H88" s="1189"/>
      <c r="I88" s="1185"/>
      <c r="J88" s="1185"/>
      <c r="K88" s="1185"/>
      <c r="L88" s="1185"/>
      <c r="M88" s="1185"/>
      <c r="N88" s="1185"/>
      <c r="P88" s="3755"/>
      <c r="Q88" s="3760"/>
      <c r="R88" s="1193" t="s">
        <v>3779</v>
      </c>
      <c r="S88" s="1193" t="s">
        <v>3780</v>
      </c>
      <c r="T88" s="1193" t="s">
        <v>3713</v>
      </c>
      <c r="U88" s="1193" t="s">
        <v>3714</v>
      </c>
      <c r="V88" s="1189"/>
      <c r="W88" s="1189"/>
      <c r="X88" s="1189"/>
    </row>
    <row r="89" spans="1:24" s="2548" customFormat="1" ht="20.100000000000001" customHeight="1">
      <c r="A89" s="2604" t="s">
        <v>3781</v>
      </c>
      <c r="B89" s="2605">
        <v>3.150684931506849E-3</v>
      </c>
      <c r="C89" s="2606">
        <v>0</v>
      </c>
      <c r="D89" s="2605">
        <v>4.1095890410958961E-4</v>
      </c>
      <c r="E89" s="2605">
        <v>2.7671232876712328E-2</v>
      </c>
      <c r="F89" s="2605">
        <v>0.1336986301369863</v>
      </c>
      <c r="G89" s="2607"/>
      <c r="H89" s="2607"/>
      <c r="I89" s="2607"/>
      <c r="J89" s="2607"/>
      <c r="K89" s="2607"/>
      <c r="L89" s="2607"/>
      <c r="M89" s="2607"/>
      <c r="N89" s="2607"/>
      <c r="P89" s="2604" t="s">
        <v>3781</v>
      </c>
      <c r="Q89" s="2605">
        <v>2.054794520547945E-3</v>
      </c>
      <c r="R89" s="2605">
        <v>4.7945205479452066E-3</v>
      </c>
      <c r="S89" s="2605">
        <v>9.3150684931506845E-3</v>
      </c>
      <c r="T89" s="2605">
        <v>1.3424657534246574E-2</v>
      </c>
      <c r="U89" s="2605">
        <v>1.7260273972602738E-2</v>
      </c>
      <c r="V89" s="2607"/>
      <c r="W89" s="2607"/>
      <c r="X89" s="2607"/>
    </row>
    <row r="90" spans="1:24" s="2548" customFormat="1" ht="20.100000000000001" customHeight="1">
      <c r="A90" s="1189"/>
      <c r="B90" s="1189"/>
      <c r="C90" s="1189"/>
      <c r="D90" s="1189"/>
      <c r="E90" s="2597"/>
      <c r="F90" s="2597"/>
      <c r="G90" s="2597"/>
      <c r="H90" s="2597"/>
      <c r="P90" s="1189"/>
      <c r="Q90" s="1189"/>
      <c r="R90" s="1189"/>
      <c r="S90" s="1189"/>
      <c r="T90" s="2597"/>
      <c r="U90" s="2597"/>
      <c r="V90" s="2597"/>
      <c r="W90" s="2597"/>
      <c r="X90" s="2597"/>
    </row>
    <row r="91" spans="1:24" s="2548" customFormat="1" ht="20.100000000000001" customHeight="1">
      <c r="A91" s="1190" t="s">
        <v>3777</v>
      </c>
      <c r="B91" s="1191" t="s">
        <v>3782</v>
      </c>
      <c r="C91" s="1192"/>
      <c r="D91" s="1189"/>
      <c r="E91" s="2597"/>
      <c r="F91" s="2597"/>
      <c r="G91" s="2597"/>
      <c r="H91" s="2597"/>
      <c r="P91" s="1190" t="s">
        <v>3777</v>
      </c>
      <c r="Q91" s="1191" t="s">
        <v>3782</v>
      </c>
      <c r="R91" s="1194"/>
      <c r="S91" s="1189"/>
      <c r="T91" s="2597"/>
      <c r="U91" s="2597"/>
      <c r="V91" s="2597"/>
      <c r="W91" s="2597"/>
      <c r="X91" s="2597"/>
    </row>
    <row r="92" spans="1:24" s="2548" customFormat="1" ht="20.100000000000001" customHeight="1">
      <c r="A92" s="1187" t="s">
        <v>3776</v>
      </c>
      <c r="B92" s="2600">
        <v>0.08</v>
      </c>
      <c r="C92" s="2608"/>
      <c r="D92" s="2597"/>
      <c r="E92" s="2597"/>
      <c r="F92" s="2597"/>
      <c r="G92" s="2597"/>
      <c r="H92" s="2597"/>
      <c r="P92" s="1187" t="s">
        <v>3794</v>
      </c>
      <c r="Q92" s="2600">
        <v>0.08</v>
      </c>
      <c r="R92" s="2609"/>
      <c r="S92" s="2597"/>
      <c r="T92" s="2597"/>
      <c r="U92" s="2597"/>
      <c r="V92" s="2597"/>
      <c r="W92" s="2597"/>
      <c r="X92" s="2597"/>
    </row>
  </sheetData>
  <mergeCells count="102">
    <mergeCell ref="A63:B64"/>
    <mergeCell ref="C63:C64"/>
    <mergeCell ref="D63:G63"/>
    <mergeCell ref="P63:Q64"/>
    <mergeCell ref="R63:R64"/>
    <mergeCell ref="S63:V63"/>
    <mergeCell ref="A86:F86"/>
    <mergeCell ref="P86:U86"/>
    <mergeCell ref="A87:A88"/>
    <mergeCell ref="B87:B88"/>
    <mergeCell ref="C87:F87"/>
    <mergeCell ref="P87:P88"/>
    <mergeCell ref="Q87:Q88"/>
    <mergeCell ref="R87:U87"/>
    <mergeCell ref="Y43:AC43"/>
    <mergeCell ref="A44:B45"/>
    <mergeCell ref="C44:C45"/>
    <mergeCell ref="D44:G44"/>
    <mergeCell ref="H44:I45"/>
    <mergeCell ref="J44:J45"/>
    <mergeCell ref="K44:N44"/>
    <mergeCell ref="P44:Q45"/>
    <mergeCell ref="R44:R45"/>
    <mergeCell ref="S44:V44"/>
    <mergeCell ref="W44:X45"/>
    <mergeCell ref="Y44:Y45"/>
    <mergeCell ref="Z44:AC44"/>
    <mergeCell ref="A62:B62"/>
    <mergeCell ref="C62:G62"/>
    <mergeCell ref="P62:Q62"/>
    <mergeCell ref="R62:V62"/>
    <mergeCell ref="S25:V25"/>
    <mergeCell ref="W25:X26"/>
    <mergeCell ref="Y25:Y26"/>
    <mergeCell ref="Z25:AC25"/>
    <mergeCell ref="AE25:AF26"/>
    <mergeCell ref="A25:B26"/>
    <mergeCell ref="C25:C26"/>
    <mergeCell ref="D25:G25"/>
    <mergeCell ref="H25:I26"/>
    <mergeCell ref="J25:J26"/>
    <mergeCell ref="K25:N25"/>
    <mergeCell ref="P25:Q26"/>
    <mergeCell ref="R25:R26"/>
    <mergeCell ref="A43:B43"/>
    <mergeCell ref="C43:G43"/>
    <mergeCell ref="H43:I43"/>
    <mergeCell ref="J43:N43"/>
    <mergeCell ref="P43:Q43"/>
    <mergeCell ref="R43:V43"/>
    <mergeCell ref="W43:X43"/>
    <mergeCell ref="AG25:AG26"/>
    <mergeCell ref="AH25:AH26"/>
    <mergeCell ref="AI25:AL25"/>
    <mergeCell ref="AN25:AO26"/>
    <mergeCell ref="AP25:AP26"/>
    <mergeCell ref="AQ25:AQ26"/>
    <mergeCell ref="AR25:AU25"/>
    <mergeCell ref="AE24:AL24"/>
    <mergeCell ref="AN24:AU24"/>
    <mergeCell ref="A24:B24"/>
    <mergeCell ref="C24:G24"/>
    <mergeCell ref="H24:I24"/>
    <mergeCell ref="J24:N24"/>
    <mergeCell ref="P24:Q24"/>
    <mergeCell ref="R24:V24"/>
    <mergeCell ref="W24:X24"/>
    <mergeCell ref="Y24:AC24"/>
    <mergeCell ref="P6:Q7"/>
    <mergeCell ref="R6:R7"/>
    <mergeCell ref="S6:V6"/>
    <mergeCell ref="W6:X7"/>
    <mergeCell ref="Y6:Y7"/>
    <mergeCell ref="Z6:AC6"/>
    <mergeCell ref="A6:B7"/>
    <mergeCell ref="C6:C7"/>
    <mergeCell ref="D6:G6"/>
    <mergeCell ref="H6:I7"/>
    <mergeCell ref="J6:J7"/>
    <mergeCell ref="K6:N6"/>
    <mergeCell ref="AI6:AL6"/>
    <mergeCell ref="AN6:AO7"/>
    <mergeCell ref="AP6:AP7"/>
    <mergeCell ref="A4:N4"/>
    <mergeCell ref="P4:AC4"/>
    <mergeCell ref="AE4:AL4"/>
    <mergeCell ref="AN4:AU4"/>
    <mergeCell ref="A5:B5"/>
    <mergeCell ref="C5:G5"/>
    <mergeCell ref="H5:I5"/>
    <mergeCell ref="J5:N5"/>
    <mergeCell ref="P5:Q5"/>
    <mergeCell ref="R5:V5"/>
    <mergeCell ref="W5:X5"/>
    <mergeCell ref="Y5:AC5"/>
    <mergeCell ref="AE5:AL5"/>
    <mergeCell ref="AN5:AU5"/>
    <mergeCell ref="AQ6:AQ7"/>
    <mergeCell ref="AR6:AU6"/>
    <mergeCell ref="AE6:AF7"/>
    <mergeCell ref="AG6:AG7"/>
    <mergeCell ref="AH6:AH7"/>
  </mergeCells>
  <phoneticPr fontId="9" type="noConversion"/>
  <pageMargins left="0.70866141732283472" right="0.70866141732283472" top="0.74803149606299213" bottom="0.74803149606299213" header="0.31496062992125984" footer="0.31496062992125984"/>
  <pageSetup paperSize="9" scale="2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36">
    <pageSetUpPr fitToPage="1"/>
  </sheetPr>
  <dimension ref="A1:I40"/>
  <sheetViews>
    <sheetView view="pageBreakPreview" zoomScale="80" zoomScaleNormal="100" zoomScaleSheetLayoutView="80" workbookViewId="0">
      <pane xSplit="1" ySplit="4" topLeftCell="B5" activePane="bottomRight" state="frozen"/>
      <selection activeCell="G28" sqref="G28"/>
      <selection pane="topRight" activeCell="G28" sqref="G28"/>
      <selection pane="bottomLeft" activeCell="G28" sqref="G28"/>
      <selection pane="bottomRight" activeCell="G28" sqref="G28"/>
    </sheetView>
  </sheetViews>
  <sheetFormatPr defaultRowHeight="15.75"/>
  <cols>
    <col min="1" max="9" width="24.25" style="2443" customWidth="1"/>
    <col min="10" max="16384" width="9" style="2443"/>
  </cols>
  <sheetData>
    <row r="1" spans="1:9" ht="21">
      <c r="A1" s="2747" t="str">
        <f>+封面!A3&amp;" "&amp;封面!A2</f>
        <v xml:space="preserve">        保險股份有限公司(○○分公司) 年度(月、季、半年)報表</v>
      </c>
    </row>
    <row r="2" spans="1:9" ht="21">
      <c r="A2" s="1198" t="s">
        <v>6045</v>
      </c>
    </row>
    <row r="4" spans="1:9" ht="16.5">
      <c r="A4" s="3761" t="s">
        <v>5944</v>
      </c>
      <c r="B4" s="3761"/>
      <c r="C4" s="3761"/>
      <c r="D4" s="3761"/>
      <c r="E4" s="3761"/>
      <c r="F4" s="3761"/>
      <c r="G4" s="3761"/>
      <c r="H4" s="3761"/>
      <c r="I4" s="3761"/>
    </row>
    <row r="5" spans="1:9" ht="16.5" customHeight="1">
      <c r="A5" s="3762" t="s">
        <v>5945</v>
      </c>
      <c r="B5" s="3763" t="s">
        <v>5946</v>
      </c>
      <c r="C5" s="3764"/>
      <c r="D5" s="3765"/>
      <c r="E5" s="3766" t="s">
        <v>5947</v>
      </c>
      <c r="F5" s="3767"/>
    </row>
    <row r="6" spans="1:9" ht="16.5">
      <c r="A6" s="3762"/>
      <c r="B6" s="2610" t="s">
        <v>5948</v>
      </c>
      <c r="C6" s="2611" t="s">
        <v>5949</v>
      </c>
      <c r="D6" s="2611" t="s">
        <v>5950</v>
      </c>
      <c r="E6" s="2611" t="s">
        <v>5951</v>
      </c>
      <c r="F6" s="2611" t="s">
        <v>5952</v>
      </c>
    </row>
    <row r="7" spans="1:9">
      <c r="A7" s="2612" t="s">
        <v>5860</v>
      </c>
      <c r="B7" s="2613">
        <v>0.15</v>
      </c>
      <c r="C7" s="2613">
        <v>0.2</v>
      </c>
      <c r="D7" s="3768">
        <f>0.93%*13.74%*(16%*(B7+C7)+84%*(B8+C8))</f>
        <v>1.9499533200000003E-4</v>
      </c>
      <c r="E7" s="3769">
        <v>9.3762681249448551E-5</v>
      </c>
      <c r="F7" s="2612">
        <v>1</v>
      </c>
    </row>
    <row r="8" spans="1:9">
      <c r="A8" s="2612" t="s">
        <v>5861</v>
      </c>
      <c r="B8" s="2613">
        <v>1.4999999999999999E-2</v>
      </c>
      <c r="C8" s="2613">
        <v>0.1</v>
      </c>
      <c r="D8" s="3768"/>
      <c r="E8" s="3769"/>
      <c r="F8" s="2612">
        <v>0.25</v>
      </c>
    </row>
    <row r="9" spans="1:9">
      <c r="A9" s="2612" t="s">
        <v>5862</v>
      </c>
      <c r="B9" s="2613">
        <v>1.4999999999999999E-2</v>
      </c>
      <c r="C9" s="2613">
        <v>0.1</v>
      </c>
      <c r="D9" s="3768"/>
      <c r="E9" s="3769"/>
      <c r="F9" s="2612">
        <v>0.1</v>
      </c>
    </row>
    <row r="10" spans="1:9" ht="16.5">
      <c r="A10" s="2614"/>
      <c r="B10" s="2615"/>
      <c r="C10" s="2615"/>
      <c r="D10" s="2616"/>
      <c r="E10" s="2617"/>
      <c r="F10" s="2614"/>
      <c r="G10" s="2614"/>
      <c r="H10" s="2614"/>
    </row>
    <row r="11" spans="1:9" ht="16.5">
      <c r="A11" s="2614"/>
      <c r="B11" s="2615"/>
      <c r="C11" s="2615"/>
      <c r="D11" s="2616"/>
      <c r="E11" s="2617"/>
      <c r="F11" s="2614"/>
      <c r="G11" s="2614"/>
      <c r="H11" s="2614"/>
    </row>
    <row r="12" spans="1:9" ht="16.5">
      <c r="A12" s="3770" t="s">
        <v>5953</v>
      </c>
      <c r="B12" s="3770"/>
      <c r="C12" s="3770"/>
      <c r="D12" s="3770"/>
      <c r="E12" s="3770"/>
      <c r="F12" s="3770"/>
      <c r="G12" s="3770"/>
      <c r="H12" s="3770"/>
      <c r="I12" s="3770"/>
    </row>
    <row r="13" spans="1:9" ht="16.5">
      <c r="A13" s="3771" t="s">
        <v>5954</v>
      </c>
      <c r="B13" s="3771" t="s">
        <v>5955</v>
      </c>
      <c r="C13" s="2617"/>
      <c r="D13" s="2614"/>
      <c r="E13" s="2614"/>
      <c r="F13" s="2614"/>
    </row>
    <row r="14" spans="1:9" ht="16.5">
      <c r="A14" s="3771"/>
      <c r="B14" s="3771"/>
      <c r="C14" s="2617"/>
      <c r="D14" s="2614"/>
      <c r="E14" s="2614"/>
      <c r="F14" s="2614"/>
    </row>
    <row r="15" spans="1:9" ht="16.5">
      <c r="A15" s="2618">
        <v>1</v>
      </c>
      <c r="B15" s="2612">
        <v>0.8</v>
      </c>
      <c r="C15" s="2617"/>
      <c r="D15" s="2614"/>
      <c r="E15" s="2614"/>
      <c r="F15" s="2614"/>
    </row>
    <row r="16" spans="1:9" ht="16.5">
      <c r="A16" s="2618">
        <v>2</v>
      </c>
      <c r="B16" s="2612">
        <v>0.8</v>
      </c>
      <c r="C16" s="2617"/>
      <c r="D16" s="2614"/>
      <c r="E16" s="2614"/>
      <c r="F16" s="2614"/>
    </row>
    <row r="17" spans="1:9" ht="16.5">
      <c r="A17" s="2618">
        <v>3</v>
      </c>
      <c r="B17" s="2612">
        <v>0.8</v>
      </c>
      <c r="C17" s="2617"/>
      <c r="D17" s="2614"/>
      <c r="E17" s="2614"/>
      <c r="F17" s="2614"/>
    </row>
    <row r="18" spans="1:9" ht="16.5">
      <c r="A18" s="2618">
        <v>4</v>
      </c>
      <c r="B18" s="2612">
        <v>0.8</v>
      </c>
      <c r="C18" s="2617"/>
      <c r="D18" s="2614"/>
      <c r="E18" s="2614"/>
      <c r="F18" s="2614"/>
    </row>
    <row r="19" spans="1:9" ht="16.5">
      <c r="A19" s="2618">
        <v>5</v>
      </c>
      <c r="B19" s="2612">
        <v>2</v>
      </c>
      <c r="C19" s="2617"/>
      <c r="D19" s="2614"/>
      <c r="E19" s="2614"/>
      <c r="F19" s="2614"/>
    </row>
    <row r="20" spans="1:9" ht="16.5">
      <c r="A20" s="2618">
        <v>6</v>
      </c>
      <c r="B20" s="2612">
        <v>2</v>
      </c>
      <c r="C20" s="2617"/>
      <c r="D20" s="2614"/>
      <c r="E20" s="2614"/>
      <c r="F20" s="2614"/>
    </row>
    <row r="21" spans="1:9" ht="16.5">
      <c r="A21" s="2618">
        <v>7</v>
      </c>
      <c r="B21" s="2612">
        <v>2</v>
      </c>
      <c r="C21" s="2617"/>
      <c r="D21" s="2614"/>
      <c r="E21" s="2614"/>
      <c r="F21" s="2614"/>
    </row>
    <row r="22" spans="1:9" ht="16.5">
      <c r="A22" s="2618" t="s">
        <v>5956</v>
      </c>
      <c r="B22" s="2612">
        <v>2</v>
      </c>
      <c r="C22" s="2617"/>
      <c r="D22" s="2614"/>
      <c r="E22" s="2614"/>
      <c r="F22" s="2614"/>
    </row>
    <row r="23" spans="1:9" ht="16.5">
      <c r="A23" s="2618" t="s">
        <v>5957</v>
      </c>
      <c r="B23" s="2619"/>
      <c r="C23" s="2617"/>
      <c r="D23" s="2614"/>
      <c r="E23" s="2614"/>
      <c r="F23" s="2614"/>
    </row>
    <row r="24" spans="1:9" ht="16.5">
      <c r="A24" s="2614"/>
      <c r="B24" s="2615"/>
      <c r="C24" s="2615"/>
      <c r="D24" s="2616"/>
      <c r="E24" s="2617"/>
      <c r="F24" s="2614"/>
      <c r="G24" s="2614"/>
      <c r="H24" s="2614"/>
    </row>
    <row r="25" spans="1:9" ht="16.5">
      <c r="A25" s="2611" t="s">
        <v>5958</v>
      </c>
      <c r="B25" s="2611" t="s">
        <v>5959</v>
      </c>
      <c r="C25" s="2611" t="s">
        <v>5960</v>
      </c>
      <c r="D25" s="2611" t="s">
        <v>5961</v>
      </c>
      <c r="E25" s="2611" t="s">
        <v>5962</v>
      </c>
      <c r="F25" s="2611" t="s">
        <v>5963</v>
      </c>
      <c r="G25" s="2611" t="s">
        <v>5964</v>
      </c>
      <c r="H25" s="2611" t="s">
        <v>5965</v>
      </c>
      <c r="I25" s="2611" t="s">
        <v>5966</v>
      </c>
    </row>
    <row r="26" spans="1:9" ht="16.5">
      <c r="A26" s="2620">
        <v>1</v>
      </c>
      <c r="B26" s="2619" t="s">
        <v>5967</v>
      </c>
      <c r="C26" s="2619" t="s">
        <v>150</v>
      </c>
      <c r="D26" s="2619" t="s">
        <v>5967</v>
      </c>
      <c r="E26" s="2619" t="s">
        <v>5967</v>
      </c>
      <c r="F26" s="2619" t="s">
        <v>5967</v>
      </c>
      <c r="G26" s="2619" t="s">
        <v>5967</v>
      </c>
      <c r="H26" s="2619"/>
      <c r="I26" s="2619"/>
    </row>
    <row r="27" spans="1:9" ht="16.5">
      <c r="A27" s="2620">
        <v>2</v>
      </c>
      <c r="B27" s="2619" t="s">
        <v>5968</v>
      </c>
      <c r="C27" s="2619" t="s">
        <v>5969</v>
      </c>
      <c r="D27" s="2619" t="s">
        <v>5970</v>
      </c>
      <c r="E27" s="2619" t="s">
        <v>5971</v>
      </c>
      <c r="F27" s="2619" t="s">
        <v>5972</v>
      </c>
      <c r="G27" s="2619" t="s">
        <v>5973</v>
      </c>
      <c r="H27" s="2619" t="s">
        <v>5974</v>
      </c>
      <c r="I27" s="2619"/>
    </row>
    <row r="28" spans="1:9" ht="16.5">
      <c r="A28" s="2620">
        <v>3</v>
      </c>
      <c r="B28" s="2619" t="s">
        <v>5975</v>
      </c>
      <c r="C28" s="2619" t="s">
        <v>5976</v>
      </c>
      <c r="D28" s="2619" t="s">
        <v>5977</v>
      </c>
      <c r="E28" s="2619" t="s">
        <v>5978</v>
      </c>
      <c r="F28" s="2619" t="s">
        <v>5979</v>
      </c>
      <c r="G28" s="2619" t="s">
        <v>5980</v>
      </c>
      <c r="H28" s="2619" t="s">
        <v>518</v>
      </c>
      <c r="I28" s="2619" t="s">
        <v>5981</v>
      </c>
    </row>
    <row r="29" spans="1:9" ht="16.5">
      <c r="A29" s="2620">
        <v>4</v>
      </c>
      <c r="B29" s="2619" t="s">
        <v>5982</v>
      </c>
      <c r="C29" s="2619" t="s">
        <v>5983</v>
      </c>
      <c r="D29" s="2619" t="s">
        <v>5984</v>
      </c>
      <c r="E29" s="2619" t="s">
        <v>5985</v>
      </c>
      <c r="F29" s="2619" t="s">
        <v>5986</v>
      </c>
      <c r="G29" s="2619" t="s">
        <v>5987</v>
      </c>
      <c r="H29" s="2619" t="s">
        <v>5988</v>
      </c>
      <c r="I29" s="2619" t="s">
        <v>5989</v>
      </c>
    </row>
    <row r="30" spans="1:9" ht="16.5">
      <c r="A30" s="2620">
        <v>5</v>
      </c>
      <c r="B30" s="2619" t="s">
        <v>5990</v>
      </c>
      <c r="C30" s="2619" t="s">
        <v>520</v>
      </c>
      <c r="D30" s="2619" t="s">
        <v>5990</v>
      </c>
      <c r="E30" s="2619" t="s">
        <v>5990</v>
      </c>
      <c r="F30" s="2619" t="s">
        <v>5990</v>
      </c>
      <c r="G30" s="2619" t="s">
        <v>5990</v>
      </c>
      <c r="H30" s="2619" t="s">
        <v>521</v>
      </c>
      <c r="I30" s="2619" t="s">
        <v>5991</v>
      </c>
    </row>
    <row r="31" spans="1:9" ht="16.5">
      <c r="A31" s="2620">
        <v>6</v>
      </c>
      <c r="B31" s="2619" t="s">
        <v>5992</v>
      </c>
      <c r="C31" s="2619" t="s">
        <v>5993</v>
      </c>
      <c r="D31" s="2619" t="s">
        <v>5992</v>
      </c>
      <c r="E31" s="2619" t="s">
        <v>5994</v>
      </c>
      <c r="F31" s="2619" t="s">
        <v>5995</v>
      </c>
      <c r="G31" s="2619" t="s">
        <v>5996</v>
      </c>
      <c r="H31" s="2619" t="s">
        <v>5997</v>
      </c>
      <c r="I31" s="2619" t="s">
        <v>5998</v>
      </c>
    </row>
    <row r="32" spans="1:9" ht="16.5">
      <c r="A32" s="2620">
        <v>7</v>
      </c>
      <c r="B32" s="2619" t="s">
        <v>5999</v>
      </c>
      <c r="C32" s="2619" t="s">
        <v>6000</v>
      </c>
      <c r="D32" s="2619" t="s">
        <v>5999</v>
      </c>
      <c r="E32" s="2619" t="s">
        <v>6001</v>
      </c>
      <c r="F32" s="2619" t="s">
        <v>6002</v>
      </c>
      <c r="G32" s="2619" t="s">
        <v>6003</v>
      </c>
      <c r="H32" s="2619" t="s">
        <v>6004</v>
      </c>
      <c r="I32" s="2619" t="s">
        <v>6005</v>
      </c>
    </row>
    <row r="33" spans="1:9" ht="16.5">
      <c r="A33" s="2620" t="s">
        <v>5956</v>
      </c>
      <c r="B33" s="2619"/>
      <c r="C33" s="2619"/>
      <c r="D33" s="2619"/>
      <c r="E33" s="2619"/>
      <c r="F33" s="2619"/>
      <c r="G33" s="2619"/>
      <c r="H33" s="2619"/>
      <c r="I33" s="2619"/>
    </row>
    <row r="34" spans="1:9" ht="16.5">
      <c r="A34" s="2614"/>
      <c r="B34" s="2615"/>
      <c r="C34" s="2615"/>
      <c r="D34" s="2616"/>
      <c r="E34" s="2617"/>
      <c r="F34" s="2614"/>
      <c r="G34" s="2614"/>
      <c r="H34" s="2614"/>
    </row>
    <row r="35" spans="1:9" ht="16.5">
      <c r="A35" s="2614"/>
      <c r="B35" s="2615"/>
      <c r="C35" s="2615"/>
      <c r="D35" s="2616"/>
      <c r="E35" s="2617"/>
      <c r="F35" s="2614"/>
      <c r="G35" s="2614"/>
      <c r="H35" s="2614"/>
    </row>
    <row r="36" spans="1:9" ht="16.5" customHeight="1">
      <c r="A36" s="3772" t="s">
        <v>6006</v>
      </c>
      <c r="B36" s="3772"/>
      <c r="C36" s="3772"/>
      <c r="D36" s="3772"/>
      <c r="E36" s="3772"/>
      <c r="F36" s="3772"/>
      <c r="G36" s="3772"/>
      <c r="H36" s="3772"/>
      <c r="I36" s="3772"/>
    </row>
    <row r="37" spans="1:9">
      <c r="A37" s="3771" t="s">
        <v>6007</v>
      </c>
      <c r="B37" s="3773" t="s">
        <v>6008</v>
      </c>
      <c r="C37" s="3774" t="s">
        <v>6009</v>
      </c>
      <c r="D37" s="3773" t="s">
        <v>6010</v>
      </c>
      <c r="E37" s="3773"/>
      <c r="F37" s="3773"/>
      <c r="G37" s="3773"/>
      <c r="H37" s="3773"/>
      <c r="I37" s="3773"/>
    </row>
    <row r="38" spans="1:9">
      <c r="A38" s="3771"/>
      <c r="B38" s="3773"/>
      <c r="C38" s="3774"/>
      <c r="D38" s="2621">
        <v>0</v>
      </c>
      <c r="E38" s="2621" t="s">
        <v>6011</v>
      </c>
      <c r="F38" s="2621" t="s">
        <v>6012</v>
      </c>
      <c r="G38" s="2621" t="s">
        <v>6013</v>
      </c>
      <c r="H38" s="2621" t="s">
        <v>6014</v>
      </c>
      <c r="I38" s="2621" t="s">
        <v>6015</v>
      </c>
    </row>
    <row r="39" spans="1:9">
      <c r="A39" s="3771"/>
      <c r="B39" s="3773"/>
      <c r="C39" s="3774"/>
      <c r="D39" s="2621">
        <v>1</v>
      </c>
      <c r="E39" s="2622">
        <v>1000</v>
      </c>
      <c r="F39" s="2622">
        <v>10000</v>
      </c>
      <c r="G39" s="2622">
        <v>100000</v>
      </c>
      <c r="H39" s="2622">
        <v>1000000</v>
      </c>
      <c r="I39" s="2622">
        <v>10000000</v>
      </c>
    </row>
    <row r="40" spans="1:9" ht="22.5" customHeight="1">
      <c r="A40" s="2620">
        <v>1</v>
      </c>
      <c r="B40" s="2623" t="s">
        <v>6016</v>
      </c>
      <c r="C40" s="2624" t="s">
        <v>6017</v>
      </c>
      <c r="D40" s="2625">
        <v>1</v>
      </c>
      <c r="E40" s="2626">
        <v>0.98581966399402465</v>
      </c>
      <c r="F40" s="2626">
        <v>0.60885899753131478</v>
      </c>
      <c r="G40" s="2626">
        <v>0.18741459078232015</v>
      </c>
      <c r="H40" s="2627">
        <v>6.2E-2</v>
      </c>
      <c r="I40" s="2627">
        <v>6.2E-2</v>
      </c>
    </row>
  </sheetData>
  <mergeCells count="14">
    <mergeCell ref="A12:I12"/>
    <mergeCell ref="A13:A14"/>
    <mergeCell ref="B13:B14"/>
    <mergeCell ref="A36:I36"/>
    <mergeCell ref="A37:A39"/>
    <mergeCell ref="B37:B39"/>
    <mergeCell ref="C37:C39"/>
    <mergeCell ref="D37:I37"/>
    <mergeCell ref="A4:I4"/>
    <mergeCell ref="A5:A6"/>
    <mergeCell ref="B5:D5"/>
    <mergeCell ref="E5:F5"/>
    <mergeCell ref="D7:D9"/>
    <mergeCell ref="E7:E9"/>
  </mergeCells>
  <phoneticPr fontId="9" type="noConversion"/>
  <pageMargins left="0.7" right="0.7" top="0.75" bottom="0.75" header="0.3" footer="0.3"/>
  <pageSetup paperSize="9" scale="6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37"/>
  <dimension ref="A1:AF106"/>
  <sheetViews>
    <sheetView view="pageBreakPreview" zoomScale="70" zoomScaleNormal="70" zoomScaleSheetLayoutView="70" workbookViewId="0">
      <selection sqref="A1:XFD1048576"/>
    </sheetView>
  </sheetViews>
  <sheetFormatPr defaultRowHeight="15.75"/>
  <cols>
    <col min="1" max="1" width="9" style="3051"/>
    <col min="2" max="32" width="9" style="1189"/>
    <col min="33" max="16384" width="9" style="2428"/>
  </cols>
  <sheetData>
    <row r="1" spans="1:32" ht="21">
      <c r="A1" s="2747" t="str">
        <f>+封面!A3&amp;" "&amp;封面!A2</f>
        <v xml:space="preserve">        保險股份有限公司(○○分公司) 年度(月、季、半年)報表</v>
      </c>
    </row>
    <row r="2" spans="1:32" ht="21">
      <c r="A2" s="1175" t="s">
        <v>6063</v>
      </c>
    </row>
    <row r="3" spans="1:32">
      <c r="A3" s="2428"/>
    </row>
    <row r="4" spans="1:32" s="3047" customFormat="1">
      <c r="A4" s="3043" t="s">
        <v>3718</v>
      </c>
      <c r="B4" s="3044" t="s">
        <v>3715</v>
      </c>
      <c r="C4" s="3045" t="s">
        <v>3621</v>
      </c>
      <c r="D4" s="3045" t="s">
        <v>3623</v>
      </c>
      <c r="E4" s="3045" t="s">
        <v>3625</v>
      </c>
      <c r="F4" s="3045" t="s">
        <v>3627</v>
      </c>
      <c r="G4" s="3045" t="s">
        <v>3629</v>
      </c>
      <c r="H4" s="3045" t="s">
        <v>3631</v>
      </c>
      <c r="I4" s="3045" t="s">
        <v>3633</v>
      </c>
      <c r="J4" s="3045" t="s">
        <v>3635</v>
      </c>
      <c r="K4" s="3045" t="s">
        <v>3637</v>
      </c>
      <c r="L4" s="3045" t="s">
        <v>3639</v>
      </c>
      <c r="M4" s="3045" t="s">
        <v>3641</v>
      </c>
      <c r="N4" s="3045" t="s">
        <v>3643</v>
      </c>
      <c r="O4" s="3045" t="s">
        <v>3645</v>
      </c>
      <c r="P4" s="3045" t="s">
        <v>3716</v>
      </c>
      <c r="Q4" s="3045" t="s">
        <v>3717</v>
      </c>
      <c r="R4" s="3046" t="str">
        <f t="shared" ref="R4:AF4" si="0">C4&amp;"a"</f>
        <v>Z1a</v>
      </c>
      <c r="S4" s="3046" t="str">
        <f t="shared" si="0"/>
        <v>Z1p1a</v>
      </c>
      <c r="T4" s="3046" t="str">
        <f t="shared" si="0"/>
        <v>Z2a</v>
      </c>
      <c r="U4" s="3046" t="str">
        <f t="shared" si="0"/>
        <v>Z3a</v>
      </c>
      <c r="V4" s="3046" t="str">
        <f t="shared" si="0"/>
        <v>Z4a</v>
      </c>
      <c r="W4" s="3046" t="str">
        <f t="shared" si="0"/>
        <v>Z5a</v>
      </c>
      <c r="X4" s="3046" t="str">
        <f t="shared" si="0"/>
        <v>Z6a</v>
      </c>
      <c r="Y4" s="3046" t="str">
        <f t="shared" si="0"/>
        <v>Z7a</v>
      </c>
      <c r="Z4" s="3046" t="str">
        <f t="shared" si="0"/>
        <v>Z8a</v>
      </c>
      <c r="AA4" s="3046" t="str">
        <f t="shared" si="0"/>
        <v>Z9a</v>
      </c>
      <c r="AB4" s="3046" t="str">
        <f t="shared" si="0"/>
        <v>Z10a</v>
      </c>
      <c r="AC4" s="3046" t="str">
        <f t="shared" si="0"/>
        <v>Z11a</v>
      </c>
      <c r="AD4" s="3046" t="str">
        <f t="shared" si="0"/>
        <v>Z12a</v>
      </c>
      <c r="AE4" s="3046" t="str">
        <f t="shared" si="0"/>
        <v>Z13a</v>
      </c>
      <c r="AF4" s="3046" t="str">
        <f t="shared" si="0"/>
        <v>Z14a</v>
      </c>
    </row>
    <row r="5" spans="1:32" s="3047" customFormat="1">
      <c r="A5" s="3043">
        <v>200</v>
      </c>
      <c r="B5" s="3044">
        <v>1</v>
      </c>
      <c r="C5" s="3048">
        <v>0.19878747092812157</v>
      </c>
      <c r="D5" s="3048">
        <v>0.2909447377667726</v>
      </c>
      <c r="E5" s="3048">
        <v>0.31965418071417678</v>
      </c>
      <c r="F5" s="3048">
        <v>0.1697383389079995</v>
      </c>
      <c r="G5" s="3048">
        <v>0.17233901054230555</v>
      </c>
      <c r="H5" s="3048">
        <v>9.5078925235758421E-2</v>
      </c>
      <c r="I5" s="3048">
        <v>0.1051235456801702</v>
      </c>
      <c r="J5" s="3048">
        <v>0.17008015691138081</v>
      </c>
      <c r="K5" s="3048">
        <v>0.35797824844505344</v>
      </c>
      <c r="L5" s="3048">
        <v>9.5726904457892614E-2</v>
      </c>
      <c r="M5" s="3048">
        <v>0.36202758786685685</v>
      </c>
      <c r="N5" s="3048">
        <v>0.20027721320587533</v>
      </c>
      <c r="O5" s="3048">
        <v>0.22921879016589189</v>
      </c>
      <c r="P5" s="3048">
        <v>0.2110498903919896</v>
      </c>
      <c r="Q5" s="3048">
        <v>0.31168790894024051</v>
      </c>
      <c r="R5" s="3049">
        <f t="shared" ref="R5:AF5" si="1">C5</f>
        <v>0.19878747092812157</v>
      </c>
      <c r="S5" s="3049">
        <f t="shared" si="1"/>
        <v>0.2909447377667726</v>
      </c>
      <c r="T5" s="3049">
        <f t="shared" si="1"/>
        <v>0.31965418071417678</v>
      </c>
      <c r="U5" s="3049">
        <f t="shared" si="1"/>
        <v>0.1697383389079995</v>
      </c>
      <c r="V5" s="3049">
        <f t="shared" si="1"/>
        <v>0.17233901054230555</v>
      </c>
      <c r="W5" s="3049">
        <f t="shared" si="1"/>
        <v>9.5078925235758421E-2</v>
      </c>
      <c r="X5" s="3049">
        <f t="shared" si="1"/>
        <v>0.1051235456801702</v>
      </c>
      <c r="Y5" s="3049">
        <f t="shared" si="1"/>
        <v>0.17008015691138081</v>
      </c>
      <c r="Z5" s="3049">
        <f t="shared" si="1"/>
        <v>0.35797824844505344</v>
      </c>
      <c r="AA5" s="3049">
        <f t="shared" si="1"/>
        <v>9.5726904457892614E-2</v>
      </c>
      <c r="AB5" s="3049">
        <f t="shared" si="1"/>
        <v>0.36202758786685685</v>
      </c>
      <c r="AC5" s="3049">
        <f t="shared" si="1"/>
        <v>0.20027721320587533</v>
      </c>
      <c r="AD5" s="3049">
        <f t="shared" si="1"/>
        <v>0.22921879016589189</v>
      </c>
      <c r="AE5" s="3050">
        <f t="shared" si="1"/>
        <v>0.2110498903919896</v>
      </c>
      <c r="AF5" s="3050">
        <f t="shared" si="1"/>
        <v>0.31168790894024051</v>
      </c>
    </row>
    <row r="6" spans="1:32" s="3047" customFormat="1">
      <c r="A6" s="3043">
        <v>200</v>
      </c>
      <c r="B6" s="3044">
        <v>2</v>
      </c>
      <c r="C6" s="3048">
        <v>0.19878747092812157</v>
      </c>
      <c r="D6" s="3048">
        <v>0.29058826918995562</v>
      </c>
      <c r="E6" s="3048">
        <v>0.31606691929923814</v>
      </c>
      <c r="F6" s="3048">
        <v>0.1697383389079995</v>
      </c>
      <c r="G6" s="3048">
        <v>0.17233901054230555</v>
      </c>
      <c r="H6" s="3048">
        <v>9.5078925235758421E-2</v>
      </c>
      <c r="I6" s="3048">
        <v>0.1051235456801702</v>
      </c>
      <c r="J6" s="3048">
        <v>0.17008015691138081</v>
      </c>
      <c r="K6" s="3048">
        <v>0.35559774638866393</v>
      </c>
      <c r="L6" s="3048">
        <v>9.5726904457892614E-2</v>
      </c>
      <c r="M6" s="3048">
        <v>0.3488383109179003</v>
      </c>
      <c r="N6" s="3048">
        <v>0.20027721320587533</v>
      </c>
      <c r="O6" s="3048">
        <v>0.22921879016589189</v>
      </c>
      <c r="P6" s="3048">
        <v>0.2110498903919896</v>
      </c>
      <c r="Q6" s="3048">
        <v>0.31168790894024051</v>
      </c>
      <c r="R6" s="3049">
        <f t="shared" ref="R6:AF21" si="2">C6+R5</f>
        <v>0.39757494185624315</v>
      </c>
      <c r="S6" s="3049">
        <f t="shared" si="2"/>
        <v>0.58153300695672816</v>
      </c>
      <c r="T6" s="3049">
        <f t="shared" si="2"/>
        <v>0.63572110001341486</v>
      </c>
      <c r="U6" s="3049">
        <f t="shared" si="2"/>
        <v>0.339476677815999</v>
      </c>
      <c r="V6" s="3049">
        <f t="shared" si="2"/>
        <v>0.3446780210846111</v>
      </c>
      <c r="W6" s="3049">
        <f t="shared" si="2"/>
        <v>0.19015785047151684</v>
      </c>
      <c r="X6" s="3049">
        <f t="shared" si="2"/>
        <v>0.21024709136034039</v>
      </c>
      <c r="Y6" s="3049">
        <f t="shared" si="2"/>
        <v>0.34016031382276163</v>
      </c>
      <c r="Z6" s="3049">
        <f t="shared" si="2"/>
        <v>0.71357599483371736</v>
      </c>
      <c r="AA6" s="3049">
        <f t="shared" si="2"/>
        <v>0.19145380891578523</v>
      </c>
      <c r="AB6" s="3049">
        <f t="shared" si="2"/>
        <v>0.71086589878475714</v>
      </c>
      <c r="AC6" s="3049">
        <f t="shared" si="2"/>
        <v>0.40055442641175065</v>
      </c>
      <c r="AD6" s="3049">
        <f t="shared" si="2"/>
        <v>0.45843758033178378</v>
      </c>
      <c r="AE6" s="3050">
        <f t="shared" si="2"/>
        <v>0.42209978078397919</v>
      </c>
      <c r="AF6" s="3050">
        <f t="shared" si="2"/>
        <v>0.62337581788048102</v>
      </c>
    </row>
    <row r="7" spans="1:32" s="3047" customFormat="1">
      <c r="A7" s="3043">
        <v>200</v>
      </c>
      <c r="B7" s="3044">
        <v>3</v>
      </c>
      <c r="C7" s="3048">
        <v>0.19858796073509274</v>
      </c>
      <c r="D7" s="3048">
        <v>0.18553132552159454</v>
      </c>
      <c r="E7" s="3048">
        <v>0.200219530846595</v>
      </c>
      <c r="F7" s="3048">
        <v>0.1697383389079995</v>
      </c>
      <c r="G7" s="3048">
        <v>0.17233901054230555</v>
      </c>
      <c r="H7" s="3048">
        <v>9.5078925235758421E-2</v>
      </c>
      <c r="I7" s="3048">
        <v>0.1051235456801702</v>
      </c>
      <c r="J7" s="3048">
        <v>0.17008015691138081</v>
      </c>
      <c r="K7" s="3048">
        <v>0.20336683348106641</v>
      </c>
      <c r="L7" s="3048">
        <v>9.5726904457892614E-2</v>
      </c>
      <c r="M7" s="3048">
        <v>0.17168303046155395</v>
      </c>
      <c r="N7" s="3048">
        <v>0.20027721320587533</v>
      </c>
      <c r="O7" s="3048">
        <v>0.22816790239736168</v>
      </c>
      <c r="P7" s="3048">
        <v>0.2110498903919896</v>
      </c>
      <c r="Q7" s="3048">
        <v>0.25991664076810178</v>
      </c>
      <c r="R7" s="3049">
        <f t="shared" si="2"/>
        <v>0.59616290259133586</v>
      </c>
      <c r="S7" s="3049">
        <f t="shared" si="2"/>
        <v>0.76706433247832273</v>
      </c>
      <c r="T7" s="3049">
        <f t="shared" si="2"/>
        <v>0.83594063086000991</v>
      </c>
      <c r="U7" s="3049">
        <f t="shared" si="2"/>
        <v>0.50921501672399849</v>
      </c>
      <c r="V7" s="3049">
        <f t="shared" si="2"/>
        <v>0.5170170316269167</v>
      </c>
      <c r="W7" s="3049">
        <f t="shared" si="2"/>
        <v>0.28523677570727524</v>
      </c>
      <c r="X7" s="3049">
        <f t="shared" si="2"/>
        <v>0.3153706370405106</v>
      </c>
      <c r="Y7" s="3049">
        <f t="shared" si="2"/>
        <v>0.51024047073414247</v>
      </c>
      <c r="Z7" s="3049">
        <f t="shared" si="2"/>
        <v>0.9169428283147838</v>
      </c>
      <c r="AA7" s="3049">
        <f t="shared" si="2"/>
        <v>0.28718071337367784</v>
      </c>
      <c r="AB7" s="3049">
        <f t="shared" si="2"/>
        <v>0.88254892924631112</v>
      </c>
      <c r="AC7" s="3049">
        <f t="shared" si="2"/>
        <v>0.60083163961762598</v>
      </c>
      <c r="AD7" s="3049">
        <f t="shared" si="2"/>
        <v>0.68660548272914546</v>
      </c>
      <c r="AE7" s="3050">
        <f t="shared" si="2"/>
        <v>0.63314967117596876</v>
      </c>
      <c r="AF7" s="3050">
        <f t="shared" si="2"/>
        <v>0.88329245864858286</v>
      </c>
    </row>
    <row r="8" spans="1:32" s="3047" customFormat="1">
      <c r="A8" s="3043">
        <v>200</v>
      </c>
      <c r="B8" s="3044">
        <v>4</v>
      </c>
      <c r="C8" s="3048">
        <v>0.16225588454106729</v>
      </c>
      <c r="D8" s="3048">
        <v>9.2117991008749706E-2</v>
      </c>
      <c r="E8" s="3048">
        <v>9.7309658363194662E-2</v>
      </c>
      <c r="F8" s="3048">
        <v>0.16892928353283373</v>
      </c>
      <c r="G8" s="3048">
        <v>0.17221656032041821</v>
      </c>
      <c r="H8" s="3048">
        <v>9.5078925235758421E-2</v>
      </c>
      <c r="I8" s="3048">
        <v>0.1051235456801702</v>
      </c>
      <c r="J8" s="3048">
        <v>0.17008015691138081</v>
      </c>
      <c r="K8" s="3048">
        <v>6.592565976350355E-2</v>
      </c>
      <c r="L8" s="3048">
        <v>9.5726904457892614E-2</v>
      </c>
      <c r="M8" s="3048">
        <v>7.0380259711084858E-2</v>
      </c>
      <c r="N8" s="3048">
        <v>0.20027721320587533</v>
      </c>
      <c r="O8" s="3048">
        <v>0.15087369631746911</v>
      </c>
      <c r="P8" s="3048">
        <v>0.2110498903919896</v>
      </c>
      <c r="Q8" s="3048">
        <v>7.7793267308634423E-2</v>
      </c>
      <c r="R8" s="3049">
        <f t="shared" si="2"/>
        <v>0.75841878713240318</v>
      </c>
      <c r="S8" s="3049">
        <f t="shared" si="2"/>
        <v>0.85918232348707246</v>
      </c>
      <c r="T8" s="3049">
        <f t="shared" si="2"/>
        <v>0.93325028922320463</v>
      </c>
      <c r="U8" s="3049">
        <f t="shared" si="2"/>
        <v>0.67814430025683226</v>
      </c>
      <c r="V8" s="3049">
        <f t="shared" si="2"/>
        <v>0.68923359194733491</v>
      </c>
      <c r="W8" s="3049">
        <f t="shared" si="2"/>
        <v>0.38031570094303369</v>
      </c>
      <c r="X8" s="3049">
        <f t="shared" si="2"/>
        <v>0.42049418272068079</v>
      </c>
      <c r="Y8" s="3049">
        <f t="shared" si="2"/>
        <v>0.68032062764552326</v>
      </c>
      <c r="Z8" s="3049">
        <f t="shared" si="2"/>
        <v>0.98286848807828731</v>
      </c>
      <c r="AA8" s="3049">
        <f t="shared" si="2"/>
        <v>0.38290761783157046</v>
      </c>
      <c r="AB8" s="3049">
        <f t="shared" si="2"/>
        <v>0.95292918895739598</v>
      </c>
      <c r="AC8" s="3049">
        <f t="shared" si="2"/>
        <v>0.80110885282350131</v>
      </c>
      <c r="AD8" s="3049">
        <f t="shared" si="2"/>
        <v>0.83747917904661451</v>
      </c>
      <c r="AE8" s="3050">
        <f t="shared" si="2"/>
        <v>0.84419956156795839</v>
      </c>
      <c r="AF8" s="3050">
        <f t="shared" si="2"/>
        <v>0.96108572595721731</v>
      </c>
    </row>
    <row r="9" spans="1:32" s="3047" customFormat="1">
      <c r="A9" s="3043">
        <v>200</v>
      </c>
      <c r="B9" s="3044">
        <v>5</v>
      </c>
      <c r="C9" s="3048">
        <v>0.1037320676063628</v>
      </c>
      <c r="D9" s="3048">
        <v>6.0458459349664428E-2</v>
      </c>
      <c r="E9" s="3048">
        <v>4.2802437424124339E-2</v>
      </c>
      <c r="F9" s="3048">
        <v>0.1276904491120133</v>
      </c>
      <c r="G9" s="3048">
        <v>0.1250912228507117</v>
      </c>
      <c r="H9" s="3048">
        <v>9.5078925235758421E-2</v>
      </c>
      <c r="I9" s="3048">
        <v>0.1051235456801702</v>
      </c>
      <c r="J9" s="3048">
        <v>0.14367639692425549</v>
      </c>
      <c r="K9" s="3048">
        <v>1.5844820901886946E-2</v>
      </c>
      <c r="L9" s="3048">
        <v>9.5726904457892614E-2</v>
      </c>
      <c r="M9" s="3048">
        <v>3.0986647242475004E-2</v>
      </c>
      <c r="N9" s="3048">
        <v>0.14627908550756186</v>
      </c>
      <c r="O9" s="3048">
        <v>7.5890259033211116E-2</v>
      </c>
      <c r="P9" s="3048">
        <v>0.12864684444306931</v>
      </c>
      <c r="Q9" s="3048">
        <v>3.4038584311388391E-2</v>
      </c>
      <c r="R9" s="3049">
        <f t="shared" si="2"/>
        <v>0.86215085473876596</v>
      </c>
      <c r="S9" s="3049">
        <f t="shared" si="2"/>
        <v>0.91964078283673689</v>
      </c>
      <c r="T9" s="3049">
        <f t="shared" si="2"/>
        <v>0.97605272664732901</v>
      </c>
      <c r="U9" s="3049">
        <f t="shared" si="2"/>
        <v>0.80583474936884558</v>
      </c>
      <c r="V9" s="3049">
        <f t="shared" si="2"/>
        <v>0.81432481479804664</v>
      </c>
      <c r="W9" s="3049">
        <f t="shared" si="2"/>
        <v>0.47539462617879213</v>
      </c>
      <c r="X9" s="3049">
        <f t="shared" si="2"/>
        <v>0.52561772840085097</v>
      </c>
      <c r="Y9" s="3049">
        <f t="shared" si="2"/>
        <v>0.82399702456977875</v>
      </c>
      <c r="Z9" s="3049">
        <f t="shared" si="2"/>
        <v>0.9987133089801743</v>
      </c>
      <c r="AA9" s="3049">
        <f t="shared" si="2"/>
        <v>0.47863452228946307</v>
      </c>
      <c r="AB9" s="3049">
        <f t="shared" si="2"/>
        <v>0.983915836199871</v>
      </c>
      <c r="AC9" s="3049">
        <f t="shared" si="2"/>
        <v>0.94738793833106316</v>
      </c>
      <c r="AD9" s="3049">
        <f t="shared" si="2"/>
        <v>0.91336943807982562</v>
      </c>
      <c r="AE9" s="3050">
        <f t="shared" si="2"/>
        <v>0.97284640601102768</v>
      </c>
      <c r="AF9" s="3050">
        <f t="shared" si="2"/>
        <v>0.99512431026860571</v>
      </c>
    </row>
    <row r="10" spans="1:32" s="3047" customFormat="1">
      <c r="A10" s="3043">
        <v>200</v>
      </c>
      <c r="B10" s="3044">
        <v>6</v>
      </c>
      <c r="C10" s="3048">
        <v>6.100098662169063E-2</v>
      </c>
      <c r="D10" s="3048">
        <v>4.1502600268284763E-2</v>
      </c>
      <c r="E10" s="3048">
        <v>1.5758639046688457E-2</v>
      </c>
      <c r="F10" s="3048">
        <v>8.0629584815289812E-2</v>
      </c>
      <c r="G10" s="3048">
        <v>7.1352584198403832E-2</v>
      </c>
      <c r="H10" s="3048">
        <v>9.5078925235758421E-2</v>
      </c>
      <c r="I10" s="3048">
        <v>0.1051235456801702</v>
      </c>
      <c r="J10" s="3048">
        <v>9.0450758579154952E-2</v>
      </c>
      <c r="K10" s="3048">
        <v>1.2866910198257153E-3</v>
      </c>
      <c r="L10" s="3048">
        <v>9.5726904457892614E-2</v>
      </c>
      <c r="M10" s="3048">
        <v>1.0710061258127304E-2</v>
      </c>
      <c r="N10" s="3048">
        <v>4.5518723264786398E-2</v>
      </c>
      <c r="O10" s="3048">
        <v>3.9277705365483924E-2</v>
      </c>
      <c r="P10" s="3048">
        <v>2.7153593988972241E-2</v>
      </c>
      <c r="Q10" s="3048">
        <v>4.8756897313943816E-3</v>
      </c>
      <c r="R10" s="3049">
        <f t="shared" si="2"/>
        <v>0.92315184136045658</v>
      </c>
      <c r="S10" s="3049">
        <f t="shared" si="2"/>
        <v>0.96114338310502168</v>
      </c>
      <c r="T10" s="3049">
        <f t="shared" si="2"/>
        <v>0.99181136569401751</v>
      </c>
      <c r="U10" s="3049">
        <f t="shared" si="2"/>
        <v>0.88646433418413539</v>
      </c>
      <c r="V10" s="3049">
        <f t="shared" si="2"/>
        <v>0.88567739899645048</v>
      </c>
      <c r="W10" s="3049">
        <f t="shared" si="2"/>
        <v>0.57047355141455058</v>
      </c>
      <c r="X10" s="3049">
        <f t="shared" si="2"/>
        <v>0.63074127408102121</v>
      </c>
      <c r="Y10" s="3049">
        <f t="shared" si="2"/>
        <v>0.91444778314893371</v>
      </c>
      <c r="Z10" s="3049">
        <f t="shared" si="2"/>
        <v>1</v>
      </c>
      <c r="AA10" s="3049">
        <f t="shared" si="2"/>
        <v>0.57436142674735569</v>
      </c>
      <c r="AB10" s="3049">
        <f t="shared" si="2"/>
        <v>0.99462589745799834</v>
      </c>
      <c r="AC10" s="3049">
        <f t="shared" si="2"/>
        <v>0.9929066615958495</v>
      </c>
      <c r="AD10" s="3049">
        <f t="shared" si="2"/>
        <v>0.95264714344530954</v>
      </c>
      <c r="AE10" s="3050">
        <f t="shared" si="2"/>
        <v>0.99999999999999989</v>
      </c>
      <c r="AF10" s="3050">
        <f t="shared" si="2"/>
        <v>1</v>
      </c>
    </row>
    <row r="11" spans="1:32" s="3047" customFormat="1">
      <c r="A11" s="3043">
        <v>200</v>
      </c>
      <c r="B11" s="3044">
        <v>7</v>
      </c>
      <c r="C11" s="3048">
        <v>3.6034563991659697E-2</v>
      </c>
      <c r="D11" s="3048">
        <v>2.3631278571084935E-2</v>
      </c>
      <c r="E11" s="3048">
        <v>6.4301598127186454E-3</v>
      </c>
      <c r="F11" s="3048">
        <v>5.1070847669316452E-2</v>
      </c>
      <c r="G11" s="3048">
        <v>4.5200664350844057E-2</v>
      </c>
      <c r="H11" s="3048">
        <v>9.5078925235758421E-2</v>
      </c>
      <c r="I11" s="3048">
        <v>0.1051235456801702</v>
      </c>
      <c r="J11" s="3048">
        <v>5.1861379894981109E-2</v>
      </c>
      <c r="K11" s="3048">
        <v>0</v>
      </c>
      <c r="L11" s="3048">
        <v>9.5726904457892614E-2</v>
      </c>
      <c r="M11" s="3048">
        <v>4.9511020928020861E-3</v>
      </c>
      <c r="N11" s="3048">
        <v>7.0933384041504009E-3</v>
      </c>
      <c r="O11" s="3048">
        <v>2.2212778823131094E-2</v>
      </c>
      <c r="P11" s="3048">
        <v>0</v>
      </c>
      <c r="Q11" s="3048">
        <v>0</v>
      </c>
      <c r="R11" s="3049">
        <f t="shared" si="2"/>
        <v>0.9591864053521163</v>
      </c>
      <c r="S11" s="3049">
        <f t="shared" si="2"/>
        <v>0.98477466167610661</v>
      </c>
      <c r="T11" s="3049">
        <f t="shared" si="2"/>
        <v>0.99824152550673617</v>
      </c>
      <c r="U11" s="3049">
        <f t="shared" si="2"/>
        <v>0.93753518185345186</v>
      </c>
      <c r="V11" s="3049">
        <f t="shared" si="2"/>
        <v>0.9308780633472945</v>
      </c>
      <c r="W11" s="3049">
        <f t="shared" si="2"/>
        <v>0.66555247665030903</v>
      </c>
      <c r="X11" s="3049">
        <f t="shared" si="2"/>
        <v>0.73586481976119145</v>
      </c>
      <c r="Y11" s="3049">
        <f t="shared" si="2"/>
        <v>0.96630916304391479</v>
      </c>
      <c r="Z11" s="3049">
        <f t="shared" si="2"/>
        <v>1</v>
      </c>
      <c r="AA11" s="3049">
        <f t="shared" si="2"/>
        <v>0.67008833120524836</v>
      </c>
      <c r="AB11" s="3049">
        <f t="shared" si="2"/>
        <v>0.99957699955080048</v>
      </c>
      <c r="AC11" s="3049">
        <f t="shared" si="2"/>
        <v>0.99999999999999989</v>
      </c>
      <c r="AD11" s="3049">
        <f t="shared" si="2"/>
        <v>0.97485992226844065</v>
      </c>
      <c r="AE11" s="3050">
        <f t="shared" si="2"/>
        <v>0.99999999999999989</v>
      </c>
      <c r="AF11" s="3050">
        <f t="shared" si="2"/>
        <v>1</v>
      </c>
    </row>
    <row r="12" spans="1:32" s="3047" customFormat="1">
      <c r="A12" s="3043">
        <v>200</v>
      </c>
      <c r="B12" s="3044">
        <v>8</v>
      </c>
      <c r="C12" s="3048">
        <v>2.0267018606393222E-2</v>
      </c>
      <c r="D12" s="3048">
        <v>1.061258263738322E-2</v>
      </c>
      <c r="E12" s="3048">
        <v>1.7584744932640111E-3</v>
      </c>
      <c r="F12" s="3048">
        <v>3.1634152928364891E-2</v>
      </c>
      <c r="G12" s="3048">
        <v>2.9426338983192739E-2</v>
      </c>
      <c r="H12" s="3048">
        <v>9.2309080988365391E-2</v>
      </c>
      <c r="I12" s="3048">
        <v>9.7495581446469165E-2</v>
      </c>
      <c r="J12" s="3048">
        <v>2.4003755287764938E-2</v>
      </c>
      <c r="K12" s="3048">
        <v>0</v>
      </c>
      <c r="L12" s="3048">
        <v>9.248288303118106E-2</v>
      </c>
      <c r="M12" s="3048">
        <v>4.2300044919970151E-4</v>
      </c>
      <c r="N12" s="3048">
        <v>0</v>
      </c>
      <c r="O12" s="3048">
        <v>1.3253725478995133E-2</v>
      </c>
      <c r="P12" s="3048">
        <v>0</v>
      </c>
      <c r="Q12" s="3048">
        <v>0</v>
      </c>
      <c r="R12" s="3049">
        <f t="shared" si="2"/>
        <v>0.97945342395850954</v>
      </c>
      <c r="S12" s="3049">
        <f t="shared" si="2"/>
        <v>0.99538724431348979</v>
      </c>
      <c r="T12" s="3049">
        <f t="shared" si="2"/>
        <v>1.0000000000000002</v>
      </c>
      <c r="U12" s="3049">
        <f t="shared" si="2"/>
        <v>0.96916933478181677</v>
      </c>
      <c r="V12" s="3049">
        <f t="shared" si="2"/>
        <v>0.96030440233048719</v>
      </c>
      <c r="W12" s="3049">
        <f t="shared" si="2"/>
        <v>0.75786155763867447</v>
      </c>
      <c r="X12" s="3049">
        <f t="shared" si="2"/>
        <v>0.83336040120766064</v>
      </c>
      <c r="Y12" s="3049">
        <f t="shared" si="2"/>
        <v>0.99031291833167967</v>
      </c>
      <c r="Z12" s="3049">
        <f t="shared" si="2"/>
        <v>1</v>
      </c>
      <c r="AA12" s="3049">
        <f t="shared" si="2"/>
        <v>0.76257121423642937</v>
      </c>
      <c r="AB12" s="3049">
        <f t="shared" si="2"/>
        <v>1.0000000000000002</v>
      </c>
      <c r="AC12" s="3049">
        <f t="shared" si="2"/>
        <v>0.99999999999999989</v>
      </c>
      <c r="AD12" s="3049">
        <f t="shared" si="2"/>
        <v>0.98811364774743582</v>
      </c>
      <c r="AE12" s="3050">
        <f t="shared" si="2"/>
        <v>0.99999999999999989</v>
      </c>
      <c r="AF12" s="3050">
        <f t="shared" si="2"/>
        <v>1</v>
      </c>
    </row>
    <row r="13" spans="1:32" s="3047" customFormat="1">
      <c r="A13" s="3043">
        <v>200</v>
      </c>
      <c r="B13" s="3044">
        <v>9</v>
      </c>
      <c r="C13" s="3048">
        <v>1.0632498376521334E-2</v>
      </c>
      <c r="D13" s="3048">
        <v>3.6522834346310981E-3</v>
      </c>
      <c r="E13" s="3048">
        <v>0</v>
      </c>
      <c r="F13" s="3048">
        <v>1.7921794268175036E-2</v>
      </c>
      <c r="G13" s="3048">
        <v>1.8945189846342237E-2</v>
      </c>
      <c r="H13" s="3048">
        <v>7.4316525318266879E-2</v>
      </c>
      <c r="I13" s="3048">
        <v>7.2418338007418967E-2</v>
      </c>
      <c r="J13" s="3048">
        <v>8.6273627740823186E-3</v>
      </c>
      <c r="K13" s="3048">
        <v>0</v>
      </c>
      <c r="L13" s="3048">
        <v>7.6193557143280424E-2</v>
      </c>
      <c r="M13" s="3048">
        <v>0</v>
      </c>
      <c r="N13" s="3048">
        <v>0</v>
      </c>
      <c r="O13" s="3048">
        <v>7.2737317069942378E-3</v>
      </c>
      <c r="P13" s="3048">
        <v>0</v>
      </c>
      <c r="Q13" s="3048">
        <v>0</v>
      </c>
      <c r="R13" s="3049">
        <f t="shared" si="2"/>
        <v>0.9900859223350309</v>
      </c>
      <c r="S13" s="3049">
        <f t="shared" si="2"/>
        <v>0.99903952774812088</v>
      </c>
      <c r="T13" s="3049">
        <f t="shared" si="2"/>
        <v>1.0000000000000002</v>
      </c>
      <c r="U13" s="3049">
        <f t="shared" si="2"/>
        <v>0.98709112904999186</v>
      </c>
      <c r="V13" s="3049">
        <f t="shared" si="2"/>
        <v>0.97924959217682939</v>
      </c>
      <c r="W13" s="3049">
        <f t="shared" si="2"/>
        <v>0.8321780829569414</v>
      </c>
      <c r="X13" s="3049">
        <f t="shared" si="2"/>
        <v>0.90577873921507956</v>
      </c>
      <c r="Y13" s="3049">
        <f t="shared" si="2"/>
        <v>0.99894028110576194</v>
      </c>
      <c r="Z13" s="3049">
        <f t="shared" si="2"/>
        <v>1</v>
      </c>
      <c r="AA13" s="3049">
        <f t="shared" si="2"/>
        <v>0.83876477137970984</v>
      </c>
      <c r="AB13" s="3049">
        <f t="shared" si="2"/>
        <v>1.0000000000000002</v>
      </c>
      <c r="AC13" s="3049">
        <f t="shared" si="2"/>
        <v>0.99999999999999989</v>
      </c>
      <c r="AD13" s="3049">
        <f t="shared" si="2"/>
        <v>0.99538737945443001</v>
      </c>
      <c r="AE13" s="3050">
        <f t="shared" si="2"/>
        <v>0.99999999999999989</v>
      </c>
      <c r="AF13" s="3050">
        <f t="shared" si="2"/>
        <v>1</v>
      </c>
    </row>
    <row r="14" spans="1:32" s="3047" customFormat="1">
      <c r="A14" s="3043">
        <v>200</v>
      </c>
      <c r="B14" s="3044">
        <v>10</v>
      </c>
      <c r="C14" s="3048">
        <v>5.2360885787927957E-3</v>
      </c>
      <c r="D14" s="3048">
        <v>7.4834053416992076E-4</v>
      </c>
      <c r="E14" s="3048">
        <v>0</v>
      </c>
      <c r="F14" s="3048">
        <v>9.0286728442489604E-3</v>
      </c>
      <c r="G14" s="3048">
        <v>1.1808592341870249E-2</v>
      </c>
      <c r="H14" s="3048">
        <v>5.7185580522000137E-2</v>
      </c>
      <c r="I14" s="3048">
        <v>4.818871804331562E-2</v>
      </c>
      <c r="J14" s="3048">
        <v>1.0597188942378752E-3</v>
      </c>
      <c r="K14" s="3048">
        <v>0</v>
      </c>
      <c r="L14" s="3048">
        <v>5.907012816259602E-2</v>
      </c>
      <c r="M14" s="3048">
        <v>0</v>
      </c>
      <c r="N14" s="3048">
        <v>0</v>
      </c>
      <c r="O14" s="3048">
        <v>3.5011247320532262E-3</v>
      </c>
      <c r="P14" s="3048">
        <v>0</v>
      </c>
      <c r="Q14" s="3048">
        <v>0</v>
      </c>
      <c r="R14" s="3049">
        <f t="shared" si="2"/>
        <v>0.99532201091382366</v>
      </c>
      <c r="S14" s="3049">
        <f t="shared" si="2"/>
        <v>0.99978786828229083</v>
      </c>
      <c r="T14" s="3049">
        <f t="shared" si="2"/>
        <v>1.0000000000000002</v>
      </c>
      <c r="U14" s="3049">
        <f t="shared" si="2"/>
        <v>0.99611980189424076</v>
      </c>
      <c r="V14" s="3049">
        <f t="shared" si="2"/>
        <v>0.99105818451869965</v>
      </c>
      <c r="W14" s="3049">
        <f t="shared" si="2"/>
        <v>0.88936366347894158</v>
      </c>
      <c r="X14" s="3049">
        <f t="shared" si="2"/>
        <v>0.95396745725839516</v>
      </c>
      <c r="Y14" s="3049">
        <f t="shared" si="2"/>
        <v>0.99999999999999978</v>
      </c>
      <c r="Z14" s="3049">
        <f t="shared" si="2"/>
        <v>1</v>
      </c>
      <c r="AA14" s="3049">
        <f t="shared" si="2"/>
        <v>0.89783489954230589</v>
      </c>
      <c r="AB14" s="3049">
        <f t="shared" si="2"/>
        <v>1.0000000000000002</v>
      </c>
      <c r="AC14" s="3049">
        <f t="shared" si="2"/>
        <v>0.99999999999999989</v>
      </c>
      <c r="AD14" s="3049">
        <f t="shared" si="2"/>
        <v>0.99888850418648323</v>
      </c>
      <c r="AE14" s="3050">
        <f t="shared" si="2"/>
        <v>0.99999999999999989</v>
      </c>
      <c r="AF14" s="3050">
        <f t="shared" si="2"/>
        <v>1</v>
      </c>
    </row>
    <row r="15" spans="1:32" s="3047" customFormat="1">
      <c r="A15" s="3043">
        <v>200</v>
      </c>
      <c r="B15" s="3044">
        <v>11</v>
      </c>
      <c r="C15" s="3048">
        <v>2.5429260646967506E-3</v>
      </c>
      <c r="D15" s="3048">
        <v>2.1213171770917042E-4</v>
      </c>
      <c r="E15" s="3048">
        <v>0</v>
      </c>
      <c r="F15" s="3048">
        <v>3.4948682513510371E-3</v>
      </c>
      <c r="G15" s="3048">
        <v>7.1112080202120082E-3</v>
      </c>
      <c r="H15" s="3048">
        <v>4.1977802717791779E-2</v>
      </c>
      <c r="I15" s="3048">
        <v>2.8221685361342595E-2</v>
      </c>
      <c r="J15" s="3048">
        <v>0</v>
      </c>
      <c r="K15" s="3048">
        <v>0</v>
      </c>
      <c r="L15" s="3048">
        <v>4.4439994741799459E-2</v>
      </c>
      <c r="M15" s="3048">
        <v>0</v>
      </c>
      <c r="N15" s="3048">
        <v>0</v>
      </c>
      <c r="O15" s="3048">
        <v>1.1043203783056637E-3</v>
      </c>
      <c r="P15" s="3048">
        <v>0</v>
      </c>
      <c r="Q15" s="3048">
        <v>0</v>
      </c>
      <c r="R15" s="3049">
        <f t="shared" si="2"/>
        <v>0.99786493697852041</v>
      </c>
      <c r="S15" s="3049">
        <f t="shared" si="2"/>
        <v>1</v>
      </c>
      <c r="T15" s="3049">
        <f t="shared" si="2"/>
        <v>1.0000000000000002</v>
      </c>
      <c r="U15" s="3049">
        <f t="shared" si="2"/>
        <v>0.9996146701455918</v>
      </c>
      <c r="V15" s="3049">
        <f t="shared" si="2"/>
        <v>0.99816939253891168</v>
      </c>
      <c r="W15" s="3049">
        <f t="shared" si="2"/>
        <v>0.93134146619673341</v>
      </c>
      <c r="X15" s="3049">
        <f t="shared" si="2"/>
        <v>0.98218914261973778</v>
      </c>
      <c r="Y15" s="3049">
        <f t="shared" si="2"/>
        <v>0.99999999999999978</v>
      </c>
      <c r="Z15" s="3049">
        <f t="shared" si="2"/>
        <v>1</v>
      </c>
      <c r="AA15" s="3049">
        <f t="shared" si="2"/>
        <v>0.94227489428410538</v>
      </c>
      <c r="AB15" s="3049">
        <f t="shared" si="2"/>
        <v>1.0000000000000002</v>
      </c>
      <c r="AC15" s="3049">
        <f t="shared" si="2"/>
        <v>0.99999999999999989</v>
      </c>
      <c r="AD15" s="3049">
        <f t="shared" si="2"/>
        <v>0.99999282456478888</v>
      </c>
      <c r="AE15" s="3050">
        <f t="shared" si="2"/>
        <v>0.99999999999999989</v>
      </c>
      <c r="AF15" s="3050">
        <f t="shared" si="2"/>
        <v>1</v>
      </c>
    </row>
    <row r="16" spans="1:32" s="3047" customFormat="1">
      <c r="A16" s="3043">
        <v>200</v>
      </c>
      <c r="B16" s="3044">
        <v>12</v>
      </c>
      <c r="C16" s="3048">
        <v>1.2039683545123844E-3</v>
      </c>
      <c r="D16" s="3048">
        <v>0</v>
      </c>
      <c r="E16" s="3048">
        <v>0</v>
      </c>
      <c r="F16" s="3048">
        <v>3.8532985440824463E-4</v>
      </c>
      <c r="G16" s="3048">
        <v>1.8306074610883027E-3</v>
      </c>
      <c r="H16" s="3048">
        <v>2.9352675074196234E-2</v>
      </c>
      <c r="I16" s="3048">
        <v>1.3368863325155718E-2</v>
      </c>
      <c r="J16" s="3048">
        <v>0</v>
      </c>
      <c r="K16" s="3048">
        <v>0</v>
      </c>
      <c r="L16" s="3048">
        <v>3.1413945960492823E-2</v>
      </c>
      <c r="M16" s="3048">
        <v>0</v>
      </c>
      <c r="N16" s="3048">
        <v>0</v>
      </c>
      <c r="O16" s="3048">
        <v>7.1754352110448757E-6</v>
      </c>
      <c r="P16" s="3048">
        <v>0</v>
      </c>
      <c r="Q16" s="3048">
        <v>0</v>
      </c>
      <c r="R16" s="3049">
        <f t="shared" si="2"/>
        <v>0.99906890533303283</v>
      </c>
      <c r="S16" s="3049">
        <f t="shared" si="2"/>
        <v>1</v>
      </c>
      <c r="T16" s="3049">
        <f t="shared" si="2"/>
        <v>1.0000000000000002</v>
      </c>
      <c r="U16" s="3049">
        <f t="shared" si="2"/>
        <v>1</v>
      </c>
      <c r="V16" s="3049">
        <f t="shared" si="2"/>
        <v>1</v>
      </c>
      <c r="W16" s="3049">
        <f t="shared" si="2"/>
        <v>0.96069414127092967</v>
      </c>
      <c r="X16" s="3049">
        <f t="shared" si="2"/>
        <v>0.99555800594489352</v>
      </c>
      <c r="Y16" s="3049">
        <f t="shared" si="2"/>
        <v>0.99999999999999978</v>
      </c>
      <c r="Z16" s="3049">
        <f t="shared" si="2"/>
        <v>1</v>
      </c>
      <c r="AA16" s="3049">
        <f t="shared" si="2"/>
        <v>0.97368884024459823</v>
      </c>
      <c r="AB16" s="3049">
        <f t="shared" si="2"/>
        <v>1.0000000000000002</v>
      </c>
      <c r="AC16" s="3049">
        <f t="shared" si="2"/>
        <v>0.99999999999999989</v>
      </c>
      <c r="AD16" s="3049">
        <f t="shared" si="2"/>
        <v>0.99999999999999989</v>
      </c>
      <c r="AE16" s="3050">
        <f t="shared" si="2"/>
        <v>0.99999999999999989</v>
      </c>
      <c r="AF16" s="3050">
        <f t="shared" si="2"/>
        <v>1</v>
      </c>
    </row>
    <row r="17" spans="1:32" s="3047" customFormat="1">
      <c r="A17" s="3043">
        <v>200</v>
      </c>
      <c r="B17" s="3044">
        <v>13</v>
      </c>
      <c r="C17" s="3048">
        <v>5.1363646993883821E-4</v>
      </c>
      <c r="D17" s="3048">
        <v>0</v>
      </c>
      <c r="E17" s="3048">
        <v>0</v>
      </c>
      <c r="F17" s="3048">
        <v>0</v>
      </c>
      <c r="G17" s="3048">
        <v>0</v>
      </c>
      <c r="H17" s="3048">
        <v>1.9105966669169007E-2</v>
      </c>
      <c r="I17" s="3048">
        <v>4.3657020601720904E-3</v>
      </c>
      <c r="J17" s="3048">
        <v>0</v>
      </c>
      <c r="K17" s="3048">
        <v>0</v>
      </c>
      <c r="L17" s="3048">
        <v>1.8969765393114974E-2</v>
      </c>
      <c r="M17" s="3048">
        <v>0</v>
      </c>
      <c r="N17" s="3048">
        <v>0</v>
      </c>
      <c r="O17" s="3048">
        <v>0</v>
      </c>
      <c r="P17" s="3048">
        <v>0</v>
      </c>
      <c r="Q17" s="3048">
        <v>0</v>
      </c>
      <c r="R17" s="3049">
        <f t="shared" si="2"/>
        <v>0.99958254180297168</v>
      </c>
      <c r="S17" s="3049">
        <f t="shared" si="2"/>
        <v>1</v>
      </c>
      <c r="T17" s="3049">
        <f t="shared" si="2"/>
        <v>1.0000000000000002</v>
      </c>
      <c r="U17" s="3049">
        <f t="shared" si="2"/>
        <v>1</v>
      </c>
      <c r="V17" s="3049">
        <f t="shared" si="2"/>
        <v>1</v>
      </c>
      <c r="W17" s="3049">
        <f t="shared" si="2"/>
        <v>0.97980010794009864</v>
      </c>
      <c r="X17" s="3049">
        <f t="shared" si="2"/>
        <v>0.99992370800506558</v>
      </c>
      <c r="Y17" s="3049">
        <f t="shared" si="2"/>
        <v>0.99999999999999978</v>
      </c>
      <c r="Z17" s="3049">
        <f t="shared" si="2"/>
        <v>1</v>
      </c>
      <c r="AA17" s="3049">
        <f t="shared" si="2"/>
        <v>0.99265860563771324</v>
      </c>
      <c r="AB17" s="3049">
        <f t="shared" si="2"/>
        <v>1.0000000000000002</v>
      </c>
      <c r="AC17" s="3049">
        <f t="shared" si="2"/>
        <v>0.99999999999999989</v>
      </c>
      <c r="AD17" s="3049">
        <f t="shared" si="2"/>
        <v>0.99999999999999989</v>
      </c>
      <c r="AE17" s="3050">
        <f t="shared" si="2"/>
        <v>0.99999999999999989</v>
      </c>
      <c r="AF17" s="3050">
        <f t="shared" si="2"/>
        <v>1</v>
      </c>
    </row>
    <row r="18" spans="1:32" s="3047" customFormat="1">
      <c r="A18" s="3043">
        <v>200</v>
      </c>
      <c r="B18" s="3044">
        <v>14</v>
      </c>
      <c r="C18" s="3048">
        <v>2.4400936183384498E-4</v>
      </c>
      <c r="D18" s="3048">
        <v>0</v>
      </c>
      <c r="E18" s="3048">
        <v>0</v>
      </c>
      <c r="F18" s="3048">
        <v>0</v>
      </c>
      <c r="G18" s="3048">
        <v>0</v>
      </c>
      <c r="H18" s="3048">
        <v>1.135790316703485E-2</v>
      </c>
      <c r="I18" s="3048">
        <v>7.6291994934493887E-5</v>
      </c>
      <c r="J18" s="3048">
        <v>0</v>
      </c>
      <c r="K18" s="3048">
        <v>0</v>
      </c>
      <c r="L18" s="3048">
        <v>7.2924891615978584E-3</v>
      </c>
      <c r="M18" s="3048">
        <v>0</v>
      </c>
      <c r="N18" s="3048">
        <v>0</v>
      </c>
      <c r="O18" s="3048">
        <v>0</v>
      </c>
      <c r="P18" s="3048">
        <v>0</v>
      </c>
      <c r="Q18" s="3048">
        <v>0</v>
      </c>
      <c r="R18" s="3049">
        <f t="shared" si="2"/>
        <v>0.99982655116480557</v>
      </c>
      <c r="S18" s="3049">
        <f t="shared" si="2"/>
        <v>1</v>
      </c>
      <c r="T18" s="3049">
        <f t="shared" si="2"/>
        <v>1.0000000000000002</v>
      </c>
      <c r="U18" s="3049">
        <f t="shared" si="2"/>
        <v>1</v>
      </c>
      <c r="V18" s="3049">
        <f t="shared" si="2"/>
        <v>1</v>
      </c>
      <c r="W18" s="3049">
        <f t="shared" si="2"/>
        <v>0.99115801110713353</v>
      </c>
      <c r="X18" s="3049">
        <f t="shared" si="2"/>
        <v>1</v>
      </c>
      <c r="Y18" s="3049">
        <f t="shared" si="2"/>
        <v>0.99999999999999978</v>
      </c>
      <c r="Z18" s="3049">
        <f t="shared" si="2"/>
        <v>1</v>
      </c>
      <c r="AA18" s="3049">
        <f t="shared" si="2"/>
        <v>0.9999510947993111</v>
      </c>
      <c r="AB18" s="3049">
        <f t="shared" si="2"/>
        <v>1.0000000000000002</v>
      </c>
      <c r="AC18" s="3049">
        <f t="shared" si="2"/>
        <v>0.99999999999999989</v>
      </c>
      <c r="AD18" s="3049">
        <f t="shared" si="2"/>
        <v>0.99999999999999989</v>
      </c>
      <c r="AE18" s="3050">
        <f t="shared" si="2"/>
        <v>0.99999999999999989</v>
      </c>
      <c r="AF18" s="3050">
        <f t="shared" si="2"/>
        <v>1</v>
      </c>
    </row>
    <row r="19" spans="1:32" s="3047" customFormat="1">
      <c r="A19" s="3043">
        <v>200</v>
      </c>
      <c r="B19" s="3044">
        <v>15</v>
      </c>
      <c r="C19" s="3048">
        <v>1.7344883519449579E-4</v>
      </c>
      <c r="D19" s="3048">
        <v>0</v>
      </c>
      <c r="E19" s="3048">
        <v>0</v>
      </c>
      <c r="F19" s="3048">
        <v>0</v>
      </c>
      <c r="G19" s="3048">
        <v>0</v>
      </c>
      <c r="H19" s="3048">
        <v>5.7862663029129664E-3</v>
      </c>
      <c r="I19" s="3048">
        <v>0</v>
      </c>
      <c r="J19" s="3048">
        <v>0</v>
      </c>
      <c r="K19" s="3048">
        <v>0</v>
      </c>
      <c r="L19" s="3048">
        <v>4.8905200689054866E-5</v>
      </c>
      <c r="M19" s="3048">
        <v>0</v>
      </c>
      <c r="N19" s="3048">
        <v>0</v>
      </c>
      <c r="O19" s="3048">
        <v>0</v>
      </c>
      <c r="P19" s="3048">
        <v>0</v>
      </c>
      <c r="Q19" s="3048">
        <v>0</v>
      </c>
      <c r="R19" s="3049">
        <f t="shared" si="2"/>
        <v>1</v>
      </c>
      <c r="S19" s="3049">
        <f t="shared" si="2"/>
        <v>1</v>
      </c>
      <c r="T19" s="3049">
        <f t="shared" si="2"/>
        <v>1.0000000000000002</v>
      </c>
      <c r="U19" s="3049">
        <f t="shared" si="2"/>
        <v>1</v>
      </c>
      <c r="V19" s="3049">
        <f t="shared" si="2"/>
        <v>1</v>
      </c>
      <c r="W19" s="3049">
        <f t="shared" si="2"/>
        <v>0.99694427741004654</v>
      </c>
      <c r="X19" s="3049">
        <f t="shared" si="2"/>
        <v>1</v>
      </c>
      <c r="Y19" s="3049">
        <f t="shared" si="2"/>
        <v>0.99999999999999978</v>
      </c>
      <c r="Z19" s="3049">
        <f t="shared" si="2"/>
        <v>1</v>
      </c>
      <c r="AA19" s="3049">
        <f t="shared" si="2"/>
        <v>1.0000000000000002</v>
      </c>
      <c r="AB19" s="3049">
        <f t="shared" si="2"/>
        <v>1.0000000000000002</v>
      </c>
      <c r="AC19" s="3049">
        <f t="shared" si="2"/>
        <v>0.99999999999999989</v>
      </c>
      <c r="AD19" s="3049">
        <f t="shared" si="2"/>
        <v>0.99999999999999989</v>
      </c>
      <c r="AE19" s="3050">
        <f t="shared" si="2"/>
        <v>0.99999999999999989</v>
      </c>
      <c r="AF19" s="3050">
        <f t="shared" si="2"/>
        <v>1</v>
      </c>
    </row>
    <row r="20" spans="1:32" s="3047" customFormat="1">
      <c r="A20" s="3043">
        <v>200</v>
      </c>
      <c r="B20" s="3044">
        <v>16</v>
      </c>
      <c r="C20" s="3048">
        <v>0</v>
      </c>
      <c r="D20" s="3048">
        <v>0</v>
      </c>
      <c r="E20" s="3048">
        <v>0</v>
      </c>
      <c r="F20" s="3048">
        <v>0</v>
      </c>
      <c r="G20" s="3048">
        <v>0</v>
      </c>
      <c r="H20" s="3048">
        <v>2.6110331942985803E-3</v>
      </c>
      <c r="I20" s="3048">
        <v>0</v>
      </c>
      <c r="J20" s="3048">
        <v>0</v>
      </c>
      <c r="K20" s="3048">
        <v>0</v>
      </c>
      <c r="L20" s="3048">
        <v>0</v>
      </c>
      <c r="M20" s="3048">
        <v>0</v>
      </c>
      <c r="N20" s="3048">
        <v>0</v>
      </c>
      <c r="O20" s="3048">
        <v>0</v>
      </c>
      <c r="P20" s="3048">
        <v>0</v>
      </c>
      <c r="Q20" s="3048">
        <v>0</v>
      </c>
      <c r="R20" s="3049">
        <f t="shared" si="2"/>
        <v>1</v>
      </c>
      <c r="S20" s="3049">
        <f t="shared" si="2"/>
        <v>1</v>
      </c>
      <c r="T20" s="3049">
        <f t="shared" si="2"/>
        <v>1.0000000000000002</v>
      </c>
      <c r="U20" s="3049">
        <f t="shared" si="2"/>
        <v>1</v>
      </c>
      <c r="V20" s="3049">
        <f t="shared" si="2"/>
        <v>1</v>
      </c>
      <c r="W20" s="3049">
        <f t="shared" si="2"/>
        <v>0.9995553106043451</v>
      </c>
      <c r="X20" s="3049">
        <f t="shared" si="2"/>
        <v>1</v>
      </c>
      <c r="Y20" s="3049">
        <f t="shared" si="2"/>
        <v>0.99999999999999978</v>
      </c>
      <c r="Z20" s="3049">
        <f t="shared" si="2"/>
        <v>1</v>
      </c>
      <c r="AA20" s="3049">
        <f t="shared" si="2"/>
        <v>1.0000000000000002</v>
      </c>
      <c r="AB20" s="3049">
        <f t="shared" si="2"/>
        <v>1.0000000000000002</v>
      </c>
      <c r="AC20" s="3049">
        <f t="shared" si="2"/>
        <v>0.99999999999999989</v>
      </c>
      <c r="AD20" s="3049">
        <f t="shared" si="2"/>
        <v>0.99999999999999989</v>
      </c>
      <c r="AE20" s="3050">
        <f t="shared" si="2"/>
        <v>0.99999999999999989</v>
      </c>
      <c r="AF20" s="3050">
        <f t="shared" si="2"/>
        <v>1</v>
      </c>
    </row>
    <row r="21" spans="1:32" s="3047" customFormat="1">
      <c r="A21" s="3043">
        <v>200</v>
      </c>
      <c r="B21" s="3044">
        <v>17</v>
      </c>
      <c r="C21" s="3048">
        <v>0</v>
      </c>
      <c r="D21" s="3048">
        <v>0</v>
      </c>
      <c r="E21" s="3048">
        <v>0</v>
      </c>
      <c r="F21" s="3048">
        <v>0</v>
      </c>
      <c r="G21" s="3048">
        <v>0</v>
      </c>
      <c r="H21" s="3048">
        <v>4.446893956552377E-4</v>
      </c>
      <c r="I21" s="3048">
        <v>0</v>
      </c>
      <c r="J21" s="3048">
        <v>0</v>
      </c>
      <c r="K21" s="3048">
        <v>0</v>
      </c>
      <c r="L21" s="3048">
        <v>0</v>
      </c>
      <c r="M21" s="3048">
        <v>0</v>
      </c>
      <c r="N21" s="3048">
        <v>0</v>
      </c>
      <c r="O21" s="3048">
        <v>0</v>
      </c>
      <c r="P21" s="3048">
        <v>0</v>
      </c>
      <c r="Q21" s="3048">
        <v>0</v>
      </c>
      <c r="R21" s="3049">
        <f t="shared" si="2"/>
        <v>1</v>
      </c>
      <c r="S21" s="3049">
        <f t="shared" si="2"/>
        <v>1</v>
      </c>
      <c r="T21" s="3049">
        <f t="shared" si="2"/>
        <v>1.0000000000000002</v>
      </c>
      <c r="U21" s="3049">
        <f t="shared" si="2"/>
        <v>1</v>
      </c>
      <c r="V21" s="3049">
        <f t="shared" si="2"/>
        <v>1</v>
      </c>
      <c r="W21" s="3049">
        <f t="shared" si="2"/>
        <v>1.0000000000000004</v>
      </c>
      <c r="X21" s="3049">
        <f t="shared" si="2"/>
        <v>1</v>
      </c>
      <c r="Y21" s="3049">
        <f t="shared" si="2"/>
        <v>0.99999999999999978</v>
      </c>
      <c r="Z21" s="3049">
        <f t="shared" si="2"/>
        <v>1</v>
      </c>
      <c r="AA21" s="3049">
        <f t="shared" si="2"/>
        <v>1.0000000000000002</v>
      </c>
      <c r="AB21" s="3049">
        <f t="shared" si="2"/>
        <v>1.0000000000000002</v>
      </c>
      <c r="AC21" s="3049">
        <f t="shared" si="2"/>
        <v>0.99999999999999989</v>
      </c>
      <c r="AD21" s="3049">
        <f t="shared" si="2"/>
        <v>0.99999999999999989</v>
      </c>
      <c r="AE21" s="3050">
        <f t="shared" si="2"/>
        <v>0.99999999999999989</v>
      </c>
      <c r="AF21" s="3050">
        <f t="shared" si="2"/>
        <v>1</v>
      </c>
    </row>
    <row r="22" spans="1:32" s="3047" customFormat="1">
      <c r="A22" s="3043">
        <v>200</v>
      </c>
      <c r="B22" s="3044">
        <v>18</v>
      </c>
      <c r="C22" s="3048">
        <v>0</v>
      </c>
      <c r="D22" s="3048">
        <v>0</v>
      </c>
      <c r="E22" s="3048">
        <v>0</v>
      </c>
      <c r="F22" s="3048">
        <v>0</v>
      </c>
      <c r="G22" s="3048">
        <v>0</v>
      </c>
      <c r="H22" s="3048">
        <v>4.568178877080099E-4</v>
      </c>
      <c r="I22" s="3048">
        <v>0</v>
      </c>
      <c r="J22" s="3048">
        <v>0</v>
      </c>
      <c r="K22" s="3048">
        <v>0</v>
      </c>
      <c r="L22" s="3048">
        <v>0</v>
      </c>
      <c r="M22" s="3048">
        <v>0</v>
      </c>
      <c r="N22" s="3048">
        <v>0</v>
      </c>
      <c r="O22" s="3048">
        <v>0</v>
      </c>
      <c r="P22" s="3048">
        <v>0</v>
      </c>
      <c r="Q22" s="3048">
        <v>0</v>
      </c>
      <c r="R22" s="3049">
        <f t="shared" ref="R22:AF37" si="3">C22+R21</f>
        <v>1</v>
      </c>
      <c r="S22" s="3049">
        <f t="shared" si="3"/>
        <v>1</v>
      </c>
      <c r="T22" s="3049">
        <f t="shared" si="3"/>
        <v>1.0000000000000002</v>
      </c>
      <c r="U22" s="3049">
        <f t="shared" si="3"/>
        <v>1</v>
      </c>
      <c r="V22" s="3049">
        <f t="shared" si="3"/>
        <v>1</v>
      </c>
      <c r="W22" s="3049">
        <f t="shared" si="3"/>
        <v>1.0004568178877085</v>
      </c>
      <c r="X22" s="3049">
        <f t="shared" si="3"/>
        <v>1</v>
      </c>
      <c r="Y22" s="3049">
        <f t="shared" si="3"/>
        <v>0.99999999999999978</v>
      </c>
      <c r="Z22" s="3049">
        <f t="shared" si="3"/>
        <v>1</v>
      </c>
      <c r="AA22" s="3049">
        <f t="shared" si="3"/>
        <v>1.0000000000000002</v>
      </c>
      <c r="AB22" s="3049">
        <f t="shared" si="3"/>
        <v>1.0000000000000002</v>
      </c>
      <c r="AC22" s="3049">
        <f t="shared" si="3"/>
        <v>0.99999999999999989</v>
      </c>
      <c r="AD22" s="3049">
        <f t="shared" si="3"/>
        <v>0.99999999999999989</v>
      </c>
      <c r="AE22" s="3050">
        <f t="shared" si="3"/>
        <v>0.99999999999999989</v>
      </c>
      <c r="AF22" s="3050">
        <f t="shared" si="3"/>
        <v>1</v>
      </c>
    </row>
    <row r="23" spans="1:32" s="3047" customFormat="1">
      <c r="A23" s="3043">
        <v>200</v>
      </c>
      <c r="B23" s="3044">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1</v>
      </c>
      <c r="T23" s="3049">
        <f t="shared" si="3"/>
        <v>1.0000000000000002</v>
      </c>
      <c r="U23" s="3049">
        <f t="shared" si="3"/>
        <v>1</v>
      </c>
      <c r="V23" s="3049">
        <f t="shared" si="3"/>
        <v>1</v>
      </c>
      <c r="W23" s="3049">
        <f t="shared" si="3"/>
        <v>1.0004568178877085</v>
      </c>
      <c r="X23" s="3049">
        <f t="shared" si="3"/>
        <v>1</v>
      </c>
      <c r="Y23" s="3049">
        <f t="shared" si="3"/>
        <v>0.99999999999999978</v>
      </c>
      <c r="Z23" s="3049">
        <f t="shared" si="3"/>
        <v>1</v>
      </c>
      <c r="AA23" s="3049">
        <f t="shared" si="3"/>
        <v>1.0000000000000002</v>
      </c>
      <c r="AB23" s="3049">
        <f t="shared" si="3"/>
        <v>1.0000000000000002</v>
      </c>
      <c r="AC23" s="3049">
        <f t="shared" si="3"/>
        <v>0.99999999999999989</v>
      </c>
      <c r="AD23" s="3049">
        <f t="shared" si="3"/>
        <v>0.99999999999999989</v>
      </c>
      <c r="AE23" s="3050">
        <f t="shared" si="3"/>
        <v>0.99999999999999989</v>
      </c>
      <c r="AF23" s="3050">
        <f t="shared" si="3"/>
        <v>1</v>
      </c>
    </row>
    <row r="24" spans="1:32" s="3047" customFormat="1">
      <c r="A24" s="3043">
        <v>200</v>
      </c>
      <c r="B24" s="3044">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1</v>
      </c>
      <c r="T24" s="3049">
        <f t="shared" si="3"/>
        <v>1.0000000000000002</v>
      </c>
      <c r="U24" s="3049">
        <f t="shared" si="3"/>
        <v>1</v>
      </c>
      <c r="V24" s="3049">
        <f t="shared" si="3"/>
        <v>1</v>
      </c>
      <c r="W24" s="3049">
        <f t="shared" si="3"/>
        <v>1.0004568178877085</v>
      </c>
      <c r="X24" s="3049">
        <f t="shared" si="3"/>
        <v>1</v>
      </c>
      <c r="Y24" s="3049">
        <f t="shared" si="3"/>
        <v>0.99999999999999978</v>
      </c>
      <c r="Z24" s="3049">
        <f t="shared" si="3"/>
        <v>1</v>
      </c>
      <c r="AA24" s="3049">
        <f t="shared" si="3"/>
        <v>1.0000000000000002</v>
      </c>
      <c r="AB24" s="3049">
        <f t="shared" si="3"/>
        <v>1.0000000000000002</v>
      </c>
      <c r="AC24" s="3049">
        <f t="shared" si="3"/>
        <v>0.99999999999999989</v>
      </c>
      <c r="AD24" s="3049">
        <f t="shared" si="3"/>
        <v>0.99999999999999989</v>
      </c>
      <c r="AE24" s="3050">
        <f t="shared" si="3"/>
        <v>0.99999999999999989</v>
      </c>
      <c r="AF24" s="3050">
        <f t="shared" si="3"/>
        <v>1</v>
      </c>
    </row>
    <row r="25" spans="1:32" s="3047" customFormat="1">
      <c r="A25" s="3043">
        <v>200</v>
      </c>
      <c r="B25" s="3044">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1</v>
      </c>
      <c r="T25" s="3049">
        <f t="shared" si="3"/>
        <v>1.0000000000000002</v>
      </c>
      <c r="U25" s="3049">
        <f t="shared" si="3"/>
        <v>1</v>
      </c>
      <c r="V25" s="3049">
        <f t="shared" si="3"/>
        <v>1</v>
      </c>
      <c r="W25" s="3049">
        <f t="shared" si="3"/>
        <v>1.0004568178877085</v>
      </c>
      <c r="X25" s="3049">
        <f t="shared" si="3"/>
        <v>1</v>
      </c>
      <c r="Y25" s="3049">
        <f t="shared" si="3"/>
        <v>0.99999999999999978</v>
      </c>
      <c r="Z25" s="3049">
        <f t="shared" si="3"/>
        <v>1</v>
      </c>
      <c r="AA25" s="3049">
        <f t="shared" si="3"/>
        <v>1.0000000000000002</v>
      </c>
      <c r="AB25" s="3049">
        <f t="shared" si="3"/>
        <v>1.0000000000000002</v>
      </c>
      <c r="AC25" s="3049">
        <f t="shared" si="3"/>
        <v>0.99999999999999989</v>
      </c>
      <c r="AD25" s="3049">
        <f t="shared" si="3"/>
        <v>0.99999999999999989</v>
      </c>
      <c r="AE25" s="3050">
        <f t="shared" si="3"/>
        <v>0.99999999999999989</v>
      </c>
      <c r="AF25" s="3050">
        <f t="shared" si="3"/>
        <v>1</v>
      </c>
    </row>
    <row r="26" spans="1:32" s="3047" customFormat="1">
      <c r="A26" s="3043">
        <v>200</v>
      </c>
      <c r="B26" s="3044">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1</v>
      </c>
      <c r="T26" s="3049">
        <f t="shared" si="3"/>
        <v>1.0000000000000002</v>
      </c>
      <c r="U26" s="3049">
        <f t="shared" si="3"/>
        <v>1</v>
      </c>
      <c r="V26" s="3049">
        <f t="shared" si="3"/>
        <v>1</v>
      </c>
      <c r="W26" s="3049">
        <f t="shared" si="3"/>
        <v>1.0004568178877085</v>
      </c>
      <c r="X26" s="3049">
        <f t="shared" si="3"/>
        <v>1</v>
      </c>
      <c r="Y26" s="3049">
        <f t="shared" si="3"/>
        <v>0.99999999999999978</v>
      </c>
      <c r="Z26" s="3049">
        <f t="shared" si="3"/>
        <v>1</v>
      </c>
      <c r="AA26" s="3049">
        <f t="shared" si="3"/>
        <v>1.0000000000000002</v>
      </c>
      <c r="AB26" s="3049">
        <f t="shared" si="3"/>
        <v>1.0000000000000002</v>
      </c>
      <c r="AC26" s="3049">
        <f t="shared" si="3"/>
        <v>0.99999999999999989</v>
      </c>
      <c r="AD26" s="3049">
        <f t="shared" si="3"/>
        <v>0.99999999999999989</v>
      </c>
      <c r="AE26" s="3050">
        <f t="shared" si="3"/>
        <v>0.99999999999999989</v>
      </c>
      <c r="AF26" s="3050">
        <f t="shared" si="3"/>
        <v>1</v>
      </c>
    </row>
    <row r="27" spans="1:32" s="3047" customFormat="1">
      <c r="A27" s="3043">
        <v>200</v>
      </c>
      <c r="B27" s="3044">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1</v>
      </c>
      <c r="T27" s="3049">
        <f t="shared" si="3"/>
        <v>1.0000000000000002</v>
      </c>
      <c r="U27" s="3049">
        <f t="shared" si="3"/>
        <v>1</v>
      </c>
      <c r="V27" s="3049">
        <f t="shared" si="3"/>
        <v>1</v>
      </c>
      <c r="W27" s="3049">
        <f t="shared" si="3"/>
        <v>1.0004568178877085</v>
      </c>
      <c r="X27" s="3049">
        <f t="shared" si="3"/>
        <v>1</v>
      </c>
      <c r="Y27" s="3049">
        <f t="shared" si="3"/>
        <v>0.99999999999999978</v>
      </c>
      <c r="Z27" s="3049">
        <f t="shared" si="3"/>
        <v>1</v>
      </c>
      <c r="AA27" s="3049">
        <f t="shared" si="3"/>
        <v>1.0000000000000002</v>
      </c>
      <c r="AB27" s="3049">
        <f t="shared" si="3"/>
        <v>1.0000000000000002</v>
      </c>
      <c r="AC27" s="3049">
        <f t="shared" si="3"/>
        <v>0.99999999999999989</v>
      </c>
      <c r="AD27" s="3049">
        <f t="shared" si="3"/>
        <v>0.99999999999999989</v>
      </c>
      <c r="AE27" s="3050">
        <f t="shared" si="3"/>
        <v>0.99999999999999989</v>
      </c>
      <c r="AF27" s="3050">
        <f t="shared" si="3"/>
        <v>1</v>
      </c>
    </row>
    <row r="28" spans="1:32" s="3047" customFormat="1">
      <c r="A28" s="3043">
        <v>200</v>
      </c>
      <c r="B28" s="3044">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1</v>
      </c>
      <c r="T28" s="3049">
        <f t="shared" si="3"/>
        <v>1.0000000000000002</v>
      </c>
      <c r="U28" s="3049">
        <f t="shared" si="3"/>
        <v>1</v>
      </c>
      <c r="V28" s="3049">
        <f t="shared" si="3"/>
        <v>1</v>
      </c>
      <c r="W28" s="3049">
        <f t="shared" si="3"/>
        <v>1.0004568178877085</v>
      </c>
      <c r="X28" s="3049">
        <f t="shared" si="3"/>
        <v>1</v>
      </c>
      <c r="Y28" s="3049">
        <f t="shared" si="3"/>
        <v>0.99999999999999978</v>
      </c>
      <c r="Z28" s="3049">
        <f t="shared" si="3"/>
        <v>1</v>
      </c>
      <c r="AA28" s="3049">
        <f t="shared" si="3"/>
        <v>1.0000000000000002</v>
      </c>
      <c r="AB28" s="3049">
        <f t="shared" si="3"/>
        <v>1.0000000000000002</v>
      </c>
      <c r="AC28" s="3049">
        <f t="shared" si="3"/>
        <v>0.99999999999999989</v>
      </c>
      <c r="AD28" s="3049">
        <f t="shared" si="3"/>
        <v>0.99999999999999989</v>
      </c>
      <c r="AE28" s="3050">
        <f t="shared" si="3"/>
        <v>0.99999999999999989</v>
      </c>
      <c r="AF28" s="3050">
        <f t="shared" si="3"/>
        <v>1</v>
      </c>
    </row>
    <row r="29" spans="1:32" s="3047" customFormat="1">
      <c r="A29" s="3043">
        <v>200</v>
      </c>
      <c r="B29" s="3044">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1</v>
      </c>
      <c r="T29" s="3049">
        <f t="shared" si="3"/>
        <v>1.0000000000000002</v>
      </c>
      <c r="U29" s="3049">
        <f t="shared" si="3"/>
        <v>1</v>
      </c>
      <c r="V29" s="3049">
        <f t="shared" si="3"/>
        <v>1</v>
      </c>
      <c r="W29" s="3049">
        <f t="shared" si="3"/>
        <v>1.0004568178877085</v>
      </c>
      <c r="X29" s="3049">
        <f t="shared" si="3"/>
        <v>1</v>
      </c>
      <c r="Y29" s="3049">
        <f t="shared" si="3"/>
        <v>0.99999999999999978</v>
      </c>
      <c r="Z29" s="3049">
        <f t="shared" si="3"/>
        <v>1</v>
      </c>
      <c r="AA29" s="3049">
        <f t="shared" si="3"/>
        <v>1.0000000000000002</v>
      </c>
      <c r="AB29" s="3049">
        <f t="shared" si="3"/>
        <v>1.0000000000000002</v>
      </c>
      <c r="AC29" s="3049">
        <f t="shared" si="3"/>
        <v>0.99999999999999989</v>
      </c>
      <c r="AD29" s="3049">
        <f t="shared" si="3"/>
        <v>0.99999999999999989</v>
      </c>
      <c r="AE29" s="3050">
        <f t="shared" si="3"/>
        <v>0.99999999999999989</v>
      </c>
      <c r="AF29" s="3050">
        <f t="shared" si="3"/>
        <v>1</v>
      </c>
    </row>
    <row r="30" spans="1:32" s="3047" customFormat="1">
      <c r="A30" s="3043">
        <v>200</v>
      </c>
      <c r="B30" s="3044">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1</v>
      </c>
      <c r="T30" s="3049">
        <f t="shared" si="3"/>
        <v>1.0000000000000002</v>
      </c>
      <c r="U30" s="3049">
        <f t="shared" si="3"/>
        <v>1</v>
      </c>
      <c r="V30" s="3049">
        <f t="shared" si="3"/>
        <v>1</v>
      </c>
      <c r="W30" s="3049">
        <f t="shared" si="3"/>
        <v>1.0004568178877085</v>
      </c>
      <c r="X30" s="3049">
        <f t="shared" si="3"/>
        <v>1</v>
      </c>
      <c r="Y30" s="3049">
        <f t="shared" si="3"/>
        <v>0.99999999999999978</v>
      </c>
      <c r="Z30" s="3049">
        <f t="shared" si="3"/>
        <v>1</v>
      </c>
      <c r="AA30" s="3049">
        <f t="shared" si="3"/>
        <v>1.0000000000000002</v>
      </c>
      <c r="AB30" s="3049">
        <f t="shared" si="3"/>
        <v>1.0000000000000002</v>
      </c>
      <c r="AC30" s="3049">
        <f t="shared" si="3"/>
        <v>0.99999999999999989</v>
      </c>
      <c r="AD30" s="3049">
        <f t="shared" si="3"/>
        <v>0.99999999999999989</v>
      </c>
      <c r="AE30" s="3050">
        <f t="shared" si="3"/>
        <v>0.99999999999999989</v>
      </c>
      <c r="AF30" s="3050">
        <f t="shared" si="3"/>
        <v>1</v>
      </c>
    </row>
    <row r="31" spans="1:32" s="3047" customFormat="1">
      <c r="A31" s="3043">
        <v>200</v>
      </c>
      <c r="B31" s="3044">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1</v>
      </c>
      <c r="T31" s="3049">
        <f t="shared" si="3"/>
        <v>1.0000000000000002</v>
      </c>
      <c r="U31" s="3049">
        <f t="shared" si="3"/>
        <v>1</v>
      </c>
      <c r="V31" s="3049">
        <f t="shared" si="3"/>
        <v>1</v>
      </c>
      <c r="W31" s="3049">
        <f t="shared" si="3"/>
        <v>1.0004568178877085</v>
      </c>
      <c r="X31" s="3049">
        <f t="shared" si="3"/>
        <v>1</v>
      </c>
      <c r="Y31" s="3049">
        <f t="shared" si="3"/>
        <v>0.99999999999999978</v>
      </c>
      <c r="Z31" s="3049">
        <f t="shared" si="3"/>
        <v>1</v>
      </c>
      <c r="AA31" s="3049">
        <f t="shared" si="3"/>
        <v>1.0000000000000002</v>
      </c>
      <c r="AB31" s="3049">
        <f t="shared" si="3"/>
        <v>1.0000000000000002</v>
      </c>
      <c r="AC31" s="3049">
        <f t="shared" si="3"/>
        <v>0.99999999999999989</v>
      </c>
      <c r="AD31" s="3049">
        <f t="shared" si="3"/>
        <v>0.99999999999999989</v>
      </c>
      <c r="AE31" s="3050">
        <f t="shared" si="3"/>
        <v>0.99999999999999989</v>
      </c>
      <c r="AF31" s="3050">
        <f t="shared" si="3"/>
        <v>1</v>
      </c>
    </row>
    <row r="32" spans="1:32" s="3047" customFormat="1">
      <c r="A32" s="3043">
        <v>200</v>
      </c>
      <c r="B32" s="3044">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1</v>
      </c>
      <c r="T32" s="3049">
        <f t="shared" si="3"/>
        <v>1.0000000000000002</v>
      </c>
      <c r="U32" s="3049">
        <f t="shared" si="3"/>
        <v>1</v>
      </c>
      <c r="V32" s="3049">
        <f t="shared" si="3"/>
        <v>1</v>
      </c>
      <c r="W32" s="3049">
        <f t="shared" si="3"/>
        <v>1.0004568178877085</v>
      </c>
      <c r="X32" s="3049">
        <f t="shared" si="3"/>
        <v>1</v>
      </c>
      <c r="Y32" s="3049">
        <f t="shared" si="3"/>
        <v>0.99999999999999978</v>
      </c>
      <c r="Z32" s="3049">
        <f t="shared" si="3"/>
        <v>1</v>
      </c>
      <c r="AA32" s="3049">
        <f t="shared" si="3"/>
        <v>1.0000000000000002</v>
      </c>
      <c r="AB32" s="3049">
        <f t="shared" si="3"/>
        <v>1.0000000000000002</v>
      </c>
      <c r="AC32" s="3049">
        <f t="shared" si="3"/>
        <v>0.99999999999999989</v>
      </c>
      <c r="AD32" s="3049">
        <f t="shared" si="3"/>
        <v>0.99999999999999989</v>
      </c>
      <c r="AE32" s="3050">
        <f t="shared" si="3"/>
        <v>0.99999999999999989</v>
      </c>
      <c r="AF32" s="3050">
        <f t="shared" si="3"/>
        <v>1</v>
      </c>
    </row>
    <row r="33" spans="1:32" s="3047" customFormat="1">
      <c r="A33" s="3043">
        <v>200</v>
      </c>
      <c r="B33" s="3044">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1</v>
      </c>
      <c r="T33" s="3049">
        <f t="shared" si="3"/>
        <v>1.0000000000000002</v>
      </c>
      <c r="U33" s="3049">
        <f t="shared" si="3"/>
        <v>1</v>
      </c>
      <c r="V33" s="3049">
        <f t="shared" si="3"/>
        <v>1</v>
      </c>
      <c r="W33" s="3049">
        <f t="shared" si="3"/>
        <v>1.0004568178877085</v>
      </c>
      <c r="X33" s="3049">
        <f t="shared" si="3"/>
        <v>1</v>
      </c>
      <c r="Y33" s="3049">
        <f t="shared" si="3"/>
        <v>0.99999999999999978</v>
      </c>
      <c r="Z33" s="3049">
        <f t="shared" si="3"/>
        <v>1</v>
      </c>
      <c r="AA33" s="3049">
        <f t="shared" si="3"/>
        <v>1.0000000000000002</v>
      </c>
      <c r="AB33" s="3049">
        <f t="shared" si="3"/>
        <v>1.0000000000000002</v>
      </c>
      <c r="AC33" s="3049">
        <f t="shared" si="3"/>
        <v>0.99999999999999989</v>
      </c>
      <c r="AD33" s="3049">
        <f t="shared" si="3"/>
        <v>0.99999999999999989</v>
      </c>
      <c r="AE33" s="3050">
        <f t="shared" si="3"/>
        <v>0.99999999999999989</v>
      </c>
      <c r="AF33" s="3050">
        <f t="shared" si="3"/>
        <v>1</v>
      </c>
    </row>
    <row r="34" spans="1:32" s="3047" customFormat="1">
      <c r="A34" s="3043">
        <v>200</v>
      </c>
      <c r="B34" s="3044">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1</v>
      </c>
      <c r="T34" s="3049">
        <f t="shared" si="3"/>
        <v>1.0000000000000002</v>
      </c>
      <c r="U34" s="3049">
        <f t="shared" si="3"/>
        <v>1</v>
      </c>
      <c r="V34" s="3049">
        <f t="shared" si="3"/>
        <v>1</v>
      </c>
      <c r="W34" s="3049">
        <f t="shared" si="3"/>
        <v>1.0004568178877085</v>
      </c>
      <c r="X34" s="3049">
        <f t="shared" si="3"/>
        <v>1</v>
      </c>
      <c r="Y34" s="3049">
        <f t="shared" si="3"/>
        <v>0.99999999999999978</v>
      </c>
      <c r="Z34" s="3049">
        <f t="shared" si="3"/>
        <v>1</v>
      </c>
      <c r="AA34" s="3049">
        <f t="shared" si="3"/>
        <v>1.0000000000000002</v>
      </c>
      <c r="AB34" s="3049">
        <f t="shared" si="3"/>
        <v>1.0000000000000002</v>
      </c>
      <c r="AC34" s="3049">
        <f t="shared" si="3"/>
        <v>0.99999999999999989</v>
      </c>
      <c r="AD34" s="3049">
        <f t="shared" si="3"/>
        <v>0.99999999999999989</v>
      </c>
      <c r="AE34" s="3050">
        <f t="shared" si="3"/>
        <v>0.99999999999999989</v>
      </c>
      <c r="AF34" s="3050">
        <f t="shared" si="3"/>
        <v>1</v>
      </c>
    </row>
    <row r="35" spans="1:32" s="3047" customFormat="1">
      <c r="A35" s="3043">
        <v>200</v>
      </c>
      <c r="B35" s="3044">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1</v>
      </c>
      <c r="T35" s="3049">
        <f t="shared" si="3"/>
        <v>1.0000000000000002</v>
      </c>
      <c r="U35" s="3049">
        <f t="shared" si="3"/>
        <v>1</v>
      </c>
      <c r="V35" s="3049">
        <f t="shared" si="3"/>
        <v>1</v>
      </c>
      <c r="W35" s="3049">
        <f t="shared" si="3"/>
        <v>1.0004568178877085</v>
      </c>
      <c r="X35" s="3049">
        <f t="shared" si="3"/>
        <v>1</v>
      </c>
      <c r="Y35" s="3049">
        <f t="shared" si="3"/>
        <v>0.99999999999999978</v>
      </c>
      <c r="Z35" s="3049">
        <f t="shared" si="3"/>
        <v>1</v>
      </c>
      <c r="AA35" s="3049">
        <f t="shared" si="3"/>
        <v>1.0000000000000002</v>
      </c>
      <c r="AB35" s="3049">
        <f t="shared" si="3"/>
        <v>1.0000000000000002</v>
      </c>
      <c r="AC35" s="3049">
        <f t="shared" si="3"/>
        <v>0.99999999999999989</v>
      </c>
      <c r="AD35" s="3049">
        <f t="shared" si="3"/>
        <v>0.99999999999999989</v>
      </c>
      <c r="AE35" s="3050">
        <f t="shared" si="3"/>
        <v>0.99999999999999989</v>
      </c>
      <c r="AF35" s="3050">
        <f t="shared" si="3"/>
        <v>1</v>
      </c>
    </row>
    <row r="36" spans="1:32" s="3047" customFormat="1">
      <c r="A36" s="3043">
        <v>200</v>
      </c>
      <c r="B36" s="3044">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1</v>
      </c>
      <c r="T36" s="3049">
        <f t="shared" si="3"/>
        <v>1.0000000000000002</v>
      </c>
      <c r="U36" s="3049">
        <f t="shared" si="3"/>
        <v>1</v>
      </c>
      <c r="V36" s="3049">
        <f t="shared" si="3"/>
        <v>1</v>
      </c>
      <c r="W36" s="3049">
        <f t="shared" si="3"/>
        <v>1.0004568178877085</v>
      </c>
      <c r="X36" s="3049">
        <f t="shared" si="3"/>
        <v>1</v>
      </c>
      <c r="Y36" s="3049">
        <f t="shared" si="3"/>
        <v>0.99999999999999978</v>
      </c>
      <c r="Z36" s="3049">
        <f t="shared" si="3"/>
        <v>1</v>
      </c>
      <c r="AA36" s="3049">
        <f t="shared" si="3"/>
        <v>1.0000000000000002</v>
      </c>
      <c r="AB36" s="3049">
        <f t="shared" si="3"/>
        <v>1.0000000000000002</v>
      </c>
      <c r="AC36" s="3049">
        <f t="shared" si="3"/>
        <v>0.99999999999999989</v>
      </c>
      <c r="AD36" s="3049">
        <f t="shared" si="3"/>
        <v>0.99999999999999989</v>
      </c>
      <c r="AE36" s="3050">
        <f t="shared" si="3"/>
        <v>0.99999999999999989</v>
      </c>
      <c r="AF36" s="3050">
        <f t="shared" si="3"/>
        <v>1</v>
      </c>
    </row>
    <row r="37" spans="1:32" s="3047" customFormat="1">
      <c r="A37" s="3043">
        <v>200</v>
      </c>
      <c r="B37" s="3044">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1</v>
      </c>
      <c r="T37" s="3049">
        <f t="shared" si="3"/>
        <v>1.0000000000000002</v>
      </c>
      <c r="U37" s="3049">
        <f t="shared" si="3"/>
        <v>1</v>
      </c>
      <c r="V37" s="3049">
        <f t="shared" si="3"/>
        <v>1</v>
      </c>
      <c r="W37" s="3049">
        <f t="shared" si="3"/>
        <v>1.0004568178877085</v>
      </c>
      <c r="X37" s="3049">
        <f t="shared" si="3"/>
        <v>1</v>
      </c>
      <c r="Y37" s="3049">
        <f t="shared" si="3"/>
        <v>0.99999999999999978</v>
      </c>
      <c r="Z37" s="3049">
        <f t="shared" si="3"/>
        <v>1</v>
      </c>
      <c r="AA37" s="3049">
        <f t="shared" si="3"/>
        <v>1.0000000000000002</v>
      </c>
      <c r="AB37" s="3049">
        <f t="shared" si="3"/>
        <v>1.0000000000000002</v>
      </c>
      <c r="AC37" s="3049">
        <f t="shared" si="3"/>
        <v>0.99999999999999989</v>
      </c>
      <c r="AD37" s="3049">
        <f t="shared" si="3"/>
        <v>0.99999999999999989</v>
      </c>
      <c r="AE37" s="3050">
        <f t="shared" si="3"/>
        <v>0.99999999999999989</v>
      </c>
      <c r="AF37" s="3050">
        <f t="shared" si="3"/>
        <v>1</v>
      </c>
    </row>
    <row r="38" spans="1:32" s="3047" customFormat="1">
      <c r="A38" s="3043">
        <v>200</v>
      </c>
      <c r="B38" s="3044">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1</v>
      </c>
      <c r="T38" s="3049">
        <f t="shared" si="4"/>
        <v>1.0000000000000002</v>
      </c>
      <c r="U38" s="3049">
        <f t="shared" si="4"/>
        <v>1</v>
      </c>
      <c r="V38" s="3049">
        <f t="shared" si="4"/>
        <v>1</v>
      </c>
      <c r="W38" s="3049">
        <f t="shared" si="4"/>
        <v>1.0004568178877085</v>
      </c>
      <c r="X38" s="3049">
        <f t="shared" si="4"/>
        <v>1</v>
      </c>
      <c r="Y38" s="3049">
        <f t="shared" si="4"/>
        <v>0.99999999999999978</v>
      </c>
      <c r="Z38" s="3049">
        <f t="shared" si="4"/>
        <v>1</v>
      </c>
      <c r="AA38" s="3049">
        <f t="shared" si="4"/>
        <v>1.0000000000000002</v>
      </c>
      <c r="AB38" s="3049">
        <f t="shared" si="4"/>
        <v>1.0000000000000002</v>
      </c>
      <c r="AC38" s="3049">
        <f t="shared" si="4"/>
        <v>0.99999999999999989</v>
      </c>
      <c r="AD38" s="3049">
        <f t="shared" si="4"/>
        <v>0.99999999999999989</v>
      </c>
      <c r="AE38" s="3050">
        <f t="shared" si="4"/>
        <v>0.99999999999999989</v>
      </c>
      <c r="AF38" s="3050">
        <f t="shared" si="4"/>
        <v>1</v>
      </c>
    </row>
    <row r="39" spans="1:32" s="3047" customFormat="1">
      <c r="A39" s="3043">
        <v>200</v>
      </c>
      <c r="B39" s="3044">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1</v>
      </c>
      <c r="T39" s="3049">
        <f t="shared" si="4"/>
        <v>1.0000000000000002</v>
      </c>
      <c r="U39" s="3049">
        <f t="shared" si="4"/>
        <v>1</v>
      </c>
      <c r="V39" s="3049">
        <f t="shared" si="4"/>
        <v>1</v>
      </c>
      <c r="W39" s="3049">
        <f t="shared" si="4"/>
        <v>1.0004568178877085</v>
      </c>
      <c r="X39" s="3049">
        <f t="shared" si="4"/>
        <v>1</v>
      </c>
      <c r="Y39" s="3049">
        <f t="shared" si="4"/>
        <v>0.99999999999999978</v>
      </c>
      <c r="Z39" s="3049">
        <f t="shared" si="4"/>
        <v>1</v>
      </c>
      <c r="AA39" s="3049">
        <f t="shared" si="4"/>
        <v>1.0000000000000002</v>
      </c>
      <c r="AB39" s="3049">
        <f t="shared" si="4"/>
        <v>1.0000000000000002</v>
      </c>
      <c r="AC39" s="3049">
        <f t="shared" si="4"/>
        <v>0.99999999999999989</v>
      </c>
      <c r="AD39" s="3049">
        <f t="shared" si="4"/>
        <v>0.99999999999999989</v>
      </c>
      <c r="AE39" s="3050">
        <f t="shared" si="4"/>
        <v>0.99999999999999989</v>
      </c>
      <c r="AF39" s="3050">
        <f t="shared" si="4"/>
        <v>1</v>
      </c>
    </row>
    <row r="40" spans="1:32" s="3047" customFormat="1">
      <c r="A40" s="3043">
        <v>200</v>
      </c>
      <c r="B40" s="3044">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1</v>
      </c>
      <c r="T40" s="3049">
        <f t="shared" si="4"/>
        <v>1.0000000000000002</v>
      </c>
      <c r="U40" s="3049">
        <f t="shared" si="4"/>
        <v>1</v>
      </c>
      <c r="V40" s="3049">
        <f t="shared" si="4"/>
        <v>1</v>
      </c>
      <c r="W40" s="3049">
        <f t="shared" si="4"/>
        <v>1.0004568178877085</v>
      </c>
      <c r="X40" s="3049">
        <f t="shared" si="4"/>
        <v>1</v>
      </c>
      <c r="Y40" s="3049">
        <f t="shared" si="4"/>
        <v>0.99999999999999978</v>
      </c>
      <c r="Z40" s="3049">
        <f t="shared" si="4"/>
        <v>1</v>
      </c>
      <c r="AA40" s="3049">
        <f t="shared" si="4"/>
        <v>1.0000000000000002</v>
      </c>
      <c r="AB40" s="3049">
        <f t="shared" si="4"/>
        <v>1.0000000000000002</v>
      </c>
      <c r="AC40" s="3049">
        <f t="shared" si="4"/>
        <v>0.99999999999999989</v>
      </c>
      <c r="AD40" s="3049">
        <f t="shared" si="4"/>
        <v>0.99999999999999989</v>
      </c>
      <c r="AE40" s="3050">
        <f t="shared" si="4"/>
        <v>0.99999999999999989</v>
      </c>
      <c r="AF40" s="3050">
        <f t="shared" si="4"/>
        <v>1</v>
      </c>
    </row>
    <row r="41" spans="1:32" s="3047" customFormat="1">
      <c r="A41" s="3043">
        <v>200</v>
      </c>
      <c r="B41" s="3044">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1</v>
      </c>
      <c r="T41" s="3049">
        <f t="shared" si="4"/>
        <v>1.0000000000000002</v>
      </c>
      <c r="U41" s="3049">
        <f t="shared" si="4"/>
        <v>1</v>
      </c>
      <c r="V41" s="3049">
        <f t="shared" si="4"/>
        <v>1</v>
      </c>
      <c r="W41" s="3049">
        <f t="shared" si="4"/>
        <v>1.0004568178877085</v>
      </c>
      <c r="X41" s="3049">
        <f t="shared" si="4"/>
        <v>1</v>
      </c>
      <c r="Y41" s="3049">
        <f t="shared" si="4"/>
        <v>0.99999999999999978</v>
      </c>
      <c r="Z41" s="3049">
        <f t="shared" si="4"/>
        <v>1</v>
      </c>
      <c r="AA41" s="3049">
        <f t="shared" si="4"/>
        <v>1.0000000000000002</v>
      </c>
      <c r="AB41" s="3049">
        <f t="shared" si="4"/>
        <v>1.0000000000000002</v>
      </c>
      <c r="AC41" s="3049">
        <f t="shared" si="4"/>
        <v>0.99999999999999989</v>
      </c>
      <c r="AD41" s="3049">
        <f t="shared" si="4"/>
        <v>0.99999999999999989</v>
      </c>
      <c r="AE41" s="3050">
        <f t="shared" si="4"/>
        <v>0.99999999999999989</v>
      </c>
      <c r="AF41" s="3050">
        <f t="shared" si="4"/>
        <v>1</v>
      </c>
    </row>
    <row r="42" spans="1:32" s="3047" customFormat="1">
      <c r="A42" s="3043">
        <v>200</v>
      </c>
      <c r="B42" s="3044">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1</v>
      </c>
      <c r="T42" s="3049">
        <f t="shared" si="4"/>
        <v>1.0000000000000002</v>
      </c>
      <c r="U42" s="3049">
        <f t="shared" si="4"/>
        <v>1</v>
      </c>
      <c r="V42" s="3049">
        <f t="shared" si="4"/>
        <v>1</v>
      </c>
      <c r="W42" s="3049">
        <f t="shared" si="4"/>
        <v>1.0004568178877085</v>
      </c>
      <c r="X42" s="3049">
        <f t="shared" si="4"/>
        <v>1</v>
      </c>
      <c r="Y42" s="3049">
        <f t="shared" si="4"/>
        <v>0.99999999999999978</v>
      </c>
      <c r="Z42" s="3049">
        <f t="shared" si="4"/>
        <v>1</v>
      </c>
      <c r="AA42" s="3049">
        <f t="shared" si="4"/>
        <v>1.0000000000000002</v>
      </c>
      <c r="AB42" s="3049">
        <f t="shared" si="4"/>
        <v>1.0000000000000002</v>
      </c>
      <c r="AC42" s="3049">
        <f t="shared" si="4"/>
        <v>0.99999999999999989</v>
      </c>
      <c r="AD42" s="3049">
        <f t="shared" si="4"/>
        <v>0.99999999999999989</v>
      </c>
      <c r="AE42" s="3050">
        <f t="shared" si="4"/>
        <v>0.99999999999999989</v>
      </c>
      <c r="AF42" s="3050">
        <f t="shared" si="4"/>
        <v>1</v>
      </c>
    </row>
    <row r="43" spans="1:32" s="3047" customFormat="1">
      <c r="A43" s="3043">
        <v>200</v>
      </c>
      <c r="B43" s="3044">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1</v>
      </c>
      <c r="T43" s="3049">
        <f t="shared" si="4"/>
        <v>1.0000000000000002</v>
      </c>
      <c r="U43" s="3049">
        <f t="shared" si="4"/>
        <v>1</v>
      </c>
      <c r="V43" s="3049">
        <f t="shared" si="4"/>
        <v>1</v>
      </c>
      <c r="W43" s="3049">
        <f t="shared" si="4"/>
        <v>1.0004568178877085</v>
      </c>
      <c r="X43" s="3049">
        <f t="shared" si="4"/>
        <v>1</v>
      </c>
      <c r="Y43" s="3049">
        <f t="shared" si="4"/>
        <v>0.99999999999999978</v>
      </c>
      <c r="Z43" s="3049">
        <f t="shared" si="4"/>
        <v>1</v>
      </c>
      <c r="AA43" s="3049">
        <f t="shared" si="4"/>
        <v>1.0000000000000002</v>
      </c>
      <c r="AB43" s="3049">
        <f t="shared" si="4"/>
        <v>1.0000000000000002</v>
      </c>
      <c r="AC43" s="3049">
        <f t="shared" si="4"/>
        <v>0.99999999999999989</v>
      </c>
      <c r="AD43" s="3049">
        <f t="shared" si="4"/>
        <v>0.99999999999999989</v>
      </c>
      <c r="AE43" s="3050">
        <f t="shared" si="4"/>
        <v>0.99999999999999989</v>
      </c>
      <c r="AF43" s="3050">
        <f t="shared" si="4"/>
        <v>1</v>
      </c>
    </row>
    <row r="44" spans="1:32" s="3047" customFormat="1">
      <c r="A44" s="3043">
        <v>200</v>
      </c>
      <c r="B44" s="3044">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1</v>
      </c>
      <c r="T44" s="3049">
        <f t="shared" si="4"/>
        <v>1.0000000000000002</v>
      </c>
      <c r="U44" s="3049">
        <f t="shared" si="4"/>
        <v>1</v>
      </c>
      <c r="V44" s="3049">
        <f t="shared" si="4"/>
        <v>1</v>
      </c>
      <c r="W44" s="3049">
        <f t="shared" si="4"/>
        <v>1.0004568178877085</v>
      </c>
      <c r="X44" s="3049">
        <f t="shared" si="4"/>
        <v>1</v>
      </c>
      <c r="Y44" s="3049">
        <f t="shared" si="4"/>
        <v>0.99999999999999978</v>
      </c>
      <c r="Z44" s="3049">
        <f t="shared" si="4"/>
        <v>1</v>
      </c>
      <c r="AA44" s="3049">
        <f t="shared" si="4"/>
        <v>1.0000000000000002</v>
      </c>
      <c r="AB44" s="3049">
        <f t="shared" si="4"/>
        <v>1.0000000000000002</v>
      </c>
      <c r="AC44" s="3049">
        <f t="shared" si="4"/>
        <v>0.99999999999999989</v>
      </c>
      <c r="AD44" s="3049">
        <f t="shared" si="4"/>
        <v>0.99999999999999989</v>
      </c>
      <c r="AE44" s="3050">
        <f t="shared" si="4"/>
        <v>0.99999999999999989</v>
      </c>
      <c r="AF44" s="3050">
        <f t="shared" si="4"/>
        <v>1</v>
      </c>
    </row>
    <row r="45" spans="1:32" s="3047" customFormat="1">
      <c r="A45" s="3043">
        <v>200</v>
      </c>
      <c r="B45" s="3044">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1</v>
      </c>
      <c r="T45" s="3049">
        <f t="shared" si="4"/>
        <v>1.0000000000000002</v>
      </c>
      <c r="U45" s="3049">
        <f t="shared" si="4"/>
        <v>1</v>
      </c>
      <c r="V45" s="3049">
        <f t="shared" si="4"/>
        <v>1</v>
      </c>
      <c r="W45" s="3049">
        <f t="shared" si="4"/>
        <v>1.0004568178877085</v>
      </c>
      <c r="X45" s="3049">
        <f t="shared" si="4"/>
        <v>1</v>
      </c>
      <c r="Y45" s="3049">
        <f t="shared" si="4"/>
        <v>0.99999999999999978</v>
      </c>
      <c r="Z45" s="3049">
        <f t="shared" si="4"/>
        <v>1</v>
      </c>
      <c r="AA45" s="3049">
        <f t="shared" si="4"/>
        <v>1.0000000000000002</v>
      </c>
      <c r="AB45" s="3049">
        <f t="shared" si="4"/>
        <v>1.0000000000000002</v>
      </c>
      <c r="AC45" s="3049">
        <f t="shared" si="4"/>
        <v>0.99999999999999989</v>
      </c>
      <c r="AD45" s="3049">
        <f t="shared" si="4"/>
        <v>0.99999999999999989</v>
      </c>
      <c r="AE45" s="3050">
        <f t="shared" si="4"/>
        <v>0.99999999999999989</v>
      </c>
      <c r="AF45" s="3050">
        <f t="shared" si="4"/>
        <v>1</v>
      </c>
    </row>
    <row r="46" spans="1:32" s="3047" customFormat="1">
      <c r="A46" s="3043">
        <v>200</v>
      </c>
      <c r="B46" s="3044">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1</v>
      </c>
      <c r="T46" s="3049">
        <f t="shared" si="4"/>
        <v>1.0000000000000002</v>
      </c>
      <c r="U46" s="3049">
        <f t="shared" si="4"/>
        <v>1</v>
      </c>
      <c r="V46" s="3049">
        <f t="shared" si="4"/>
        <v>1</v>
      </c>
      <c r="W46" s="3049">
        <f t="shared" si="4"/>
        <v>1.0004568178877085</v>
      </c>
      <c r="X46" s="3049">
        <f t="shared" si="4"/>
        <v>1</v>
      </c>
      <c r="Y46" s="3049">
        <f t="shared" si="4"/>
        <v>0.99999999999999978</v>
      </c>
      <c r="Z46" s="3049">
        <f t="shared" si="4"/>
        <v>1</v>
      </c>
      <c r="AA46" s="3049">
        <f t="shared" si="4"/>
        <v>1.0000000000000002</v>
      </c>
      <c r="AB46" s="3049">
        <f t="shared" si="4"/>
        <v>1.0000000000000002</v>
      </c>
      <c r="AC46" s="3049">
        <f t="shared" si="4"/>
        <v>0.99999999999999989</v>
      </c>
      <c r="AD46" s="3049">
        <f t="shared" si="4"/>
        <v>0.99999999999999989</v>
      </c>
      <c r="AE46" s="3050">
        <f t="shared" si="4"/>
        <v>0.99999999999999989</v>
      </c>
      <c r="AF46" s="3050">
        <f t="shared" si="4"/>
        <v>1</v>
      </c>
    </row>
    <row r="47" spans="1:32" s="3047" customFormat="1">
      <c r="A47" s="3043">
        <v>200</v>
      </c>
      <c r="B47" s="3044">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1</v>
      </c>
      <c r="T47" s="3049">
        <f t="shared" si="4"/>
        <v>1.0000000000000002</v>
      </c>
      <c r="U47" s="3049">
        <f t="shared" si="4"/>
        <v>1</v>
      </c>
      <c r="V47" s="3049">
        <f t="shared" si="4"/>
        <v>1</v>
      </c>
      <c r="W47" s="3049">
        <f t="shared" si="4"/>
        <v>1.0004568178877085</v>
      </c>
      <c r="X47" s="3049">
        <f t="shared" si="4"/>
        <v>1</v>
      </c>
      <c r="Y47" s="3049">
        <f t="shared" si="4"/>
        <v>0.99999999999999978</v>
      </c>
      <c r="Z47" s="3049">
        <f t="shared" si="4"/>
        <v>1</v>
      </c>
      <c r="AA47" s="3049">
        <f t="shared" si="4"/>
        <v>1.0000000000000002</v>
      </c>
      <c r="AB47" s="3049">
        <f t="shared" si="4"/>
        <v>1.0000000000000002</v>
      </c>
      <c r="AC47" s="3049">
        <f t="shared" si="4"/>
        <v>0.99999999999999989</v>
      </c>
      <c r="AD47" s="3049">
        <f t="shared" si="4"/>
        <v>0.99999999999999989</v>
      </c>
      <c r="AE47" s="3050">
        <f t="shared" si="4"/>
        <v>0.99999999999999989</v>
      </c>
      <c r="AF47" s="3050">
        <f t="shared" si="4"/>
        <v>1</v>
      </c>
    </row>
    <row r="48" spans="1:32" s="3047" customFormat="1">
      <c r="A48" s="3043">
        <v>200</v>
      </c>
      <c r="B48" s="3044">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1</v>
      </c>
      <c r="T48" s="3049">
        <f t="shared" si="4"/>
        <v>1.0000000000000002</v>
      </c>
      <c r="U48" s="3049">
        <f t="shared" si="4"/>
        <v>1</v>
      </c>
      <c r="V48" s="3049">
        <f t="shared" si="4"/>
        <v>1</v>
      </c>
      <c r="W48" s="3049">
        <f t="shared" si="4"/>
        <v>1.0004568178877085</v>
      </c>
      <c r="X48" s="3049">
        <f t="shared" si="4"/>
        <v>1</v>
      </c>
      <c r="Y48" s="3049">
        <f t="shared" si="4"/>
        <v>0.99999999999999978</v>
      </c>
      <c r="Z48" s="3049">
        <f t="shared" si="4"/>
        <v>1</v>
      </c>
      <c r="AA48" s="3049">
        <f t="shared" si="4"/>
        <v>1.0000000000000002</v>
      </c>
      <c r="AB48" s="3049">
        <f t="shared" si="4"/>
        <v>1.0000000000000002</v>
      </c>
      <c r="AC48" s="3049">
        <f t="shared" si="4"/>
        <v>0.99999999999999989</v>
      </c>
      <c r="AD48" s="3049">
        <f t="shared" si="4"/>
        <v>0.99999999999999989</v>
      </c>
      <c r="AE48" s="3050">
        <f t="shared" si="4"/>
        <v>0.99999999999999989</v>
      </c>
      <c r="AF48" s="3050">
        <f t="shared" si="4"/>
        <v>1</v>
      </c>
    </row>
    <row r="49" spans="1:32" s="3047" customFormat="1">
      <c r="A49" s="3043">
        <v>200</v>
      </c>
      <c r="B49" s="3044">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1</v>
      </c>
      <c r="T49" s="3049">
        <f t="shared" si="4"/>
        <v>1.0000000000000002</v>
      </c>
      <c r="U49" s="3049">
        <f t="shared" si="4"/>
        <v>1</v>
      </c>
      <c r="V49" s="3049">
        <f t="shared" si="4"/>
        <v>1</v>
      </c>
      <c r="W49" s="3049">
        <f t="shared" si="4"/>
        <v>1.0004568178877085</v>
      </c>
      <c r="X49" s="3049">
        <f t="shared" si="4"/>
        <v>1</v>
      </c>
      <c r="Y49" s="3049">
        <f t="shared" si="4"/>
        <v>0.99999999999999978</v>
      </c>
      <c r="Z49" s="3049">
        <f t="shared" si="4"/>
        <v>1</v>
      </c>
      <c r="AA49" s="3049">
        <f t="shared" si="4"/>
        <v>1.0000000000000002</v>
      </c>
      <c r="AB49" s="3049">
        <f t="shared" si="4"/>
        <v>1.0000000000000002</v>
      </c>
      <c r="AC49" s="3049">
        <f t="shared" si="4"/>
        <v>0.99999999999999989</v>
      </c>
      <c r="AD49" s="3049">
        <f t="shared" si="4"/>
        <v>0.99999999999999989</v>
      </c>
      <c r="AE49" s="3050">
        <f t="shared" si="4"/>
        <v>0.99999999999999989</v>
      </c>
      <c r="AF49" s="3050">
        <f t="shared" si="4"/>
        <v>1</v>
      </c>
    </row>
    <row r="50" spans="1:32" s="3047" customFormat="1">
      <c r="A50" s="3043">
        <v>200</v>
      </c>
      <c r="B50" s="3044">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1</v>
      </c>
      <c r="T50" s="3049">
        <f t="shared" si="4"/>
        <v>1.0000000000000002</v>
      </c>
      <c r="U50" s="3049">
        <f t="shared" si="4"/>
        <v>1</v>
      </c>
      <c r="V50" s="3049">
        <f t="shared" si="4"/>
        <v>1</v>
      </c>
      <c r="W50" s="3049">
        <f t="shared" si="4"/>
        <v>1.0004568178877085</v>
      </c>
      <c r="X50" s="3049">
        <f t="shared" si="4"/>
        <v>1</v>
      </c>
      <c r="Y50" s="3049">
        <f t="shared" si="4"/>
        <v>0.99999999999999978</v>
      </c>
      <c r="Z50" s="3049">
        <f t="shared" si="4"/>
        <v>1</v>
      </c>
      <c r="AA50" s="3049">
        <f t="shared" si="4"/>
        <v>1.0000000000000002</v>
      </c>
      <c r="AB50" s="3049">
        <f t="shared" si="4"/>
        <v>1.0000000000000002</v>
      </c>
      <c r="AC50" s="3049">
        <f t="shared" si="4"/>
        <v>0.99999999999999989</v>
      </c>
      <c r="AD50" s="3049">
        <f t="shared" si="4"/>
        <v>0.99999999999999989</v>
      </c>
      <c r="AE50" s="3050">
        <f t="shared" si="4"/>
        <v>0.99999999999999989</v>
      </c>
      <c r="AF50" s="3050">
        <f t="shared" si="4"/>
        <v>1</v>
      </c>
    </row>
    <row r="51" spans="1:32" s="3047" customFormat="1">
      <c r="A51" s="3043">
        <v>200</v>
      </c>
      <c r="B51" s="3044">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1</v>
      </c>
      <c r="T51" s="3049">
        <f t="shared" si="4"/>
        <v>1.0000000000000002</v>
      </c>
      <c r="U51" s="3049">
        <f t="shared" si="4"/>
        <v>1</v>
      </c>
      <c r="V51" s="3049">
        <f t="shared" si="4"/>
        <v>1</v>
      </c>
      <c r="W51" s="3049">
        <f t="shared" si="4"/>
        <v>1.0004568178877085</v>
      </c>
      <c r="X51" s="3049">
        <f t="shared" si="4"/>
        <v>1</v>
      </c>
      <c r="Y51" s="3049">
        <f t="shared" si="4"/>
        <v>0.99999999999999978</v>
      </c>
      <c r="Z51" s="3049">
        <f t="shared" si="4"/>
        <v>1</v>
      </c>
      <c r="AA51" s="3049">
        <f t="shared" si="4"/>
        <v>1.0000000000000002</v>
      </c>
      <c r="AB51" s="3049">
        <f t="shared" si="4"/>
        <v>1.0000000000000002</v>
      </c>
      <c r="AC51" s="3049">
        <f t="shared" si="4"/>
        <v>0.99999999999999989</v>
      </c>
      <c r="AD51" s="3049">
        <f t="shared" si="4"/>
        <v>0.99999999999999989</v>
      </c>
      <c r="AE51" s="3050">
        <f t="shared" si="4"/>
        <v>0.99999999999999989</v>
      </c>
      <c r="AF51" s="3050">
        <f t="shared" si="4"/>
        <v>1</v>
      </c>
    </row>
    <row r="52" spans="1:32" s="3047" customFormat="1">
      <c r="A52" s="3043">
        <v>200</v>
      </c>
      <c r="B52" s="3044">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1</v>
      </c>
      <c r="T52" s="3049">
        <f t="shared" si="4"/>
        <v>1.0000000000000002</v>
      </c>
      <c r="U52" s="3049">
        <f t="shared" si="4"/>
        <v>1</v>
      </c>
      <c r="V52" s="3049">
        <f t="shared" si="4"/>
        <v>1</v>
      </c>
      <c r="W52" s="3049">
        <f t="shared" si="4"/>
        <v>1.0004568178877085</v>
      </c>
      <c r="X52" s="3049">
        <f t="shared" si="4"/>
        <v>1</v>
      </c>
      <c r="Y52" s="3049">
        <f t="shared" si="4"/>
        <v>0.99999999999999978</v>
      </c>
      <c r="Z52" s="3049">
        <f t="shared" si="4"/>
        <v>1</v>
      </c>
      <c r="AA52" s="3049">
        <f t="shared" si="4"/>
        <v>1.0000000000000002</v>
      </c>
      <c r="AB52" s="3049">
        <f t="shared" si="4"/>
        <v>1.0000000000000002</v>
      </c>
      <c r="AC52" s="3049">
        <f t="shared" si="4"/>
        <v>0.99999999999999989</v>
      </c>
      <c r="AD52" s="3049">
        <f t="shared" si="4"/>
        <v>0.99999999999999989</v>
      </c>
      <c r="AE52" s="3050">
        <f t="shared" si="4"/>
        <v>0.99999999999999989</v>
      </c>
      <c r="AF52" s="3050">
        <f t="shared" si="4"/>
        <v>1</v>
      </c>
    </row>
    <row r="53" spans="1:32" s="3047" customFormat="1">
      <c r="A53" s="3043">
        <v>200</v>
      </c>
      <c r="B53" s="3044">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1</v>
      </c>
      <c r="T53" s="3049">
        <f t="shared" si="4"/>
        <v>1.0000000000000002</v>
      </c>
      <c r="U53" s="3049">
        <f t="shared" si="4"/>
        <v>1</v>
      </c>
      <c r="V53" s="3049">
        <f t="shared" si="4"/>
        <v>1</v>
      </c>
      <c r="W53" s="3049">
        <f t="shared" si="4"/>
        <v>1.0004568178877085</v>
      </c>
      <c r="X53" s="3049">
        <f t="shared" si="4"/>
        <v>1</v>
      </c>
      <c r="Y53" s="3049">
        <f t="shared" si="4"/>
        <v>0.99999999999999978</v>
      </c>
      <c r="Z53" s="3049">
        <f t="shared" si="4"/>
        <v>1</v>
      </c>
      <c r="AA53" s="3049">
        <f t="shared" si="4"/>
        <v>1.0000000000000002</v>
      </c>
      <c r="AB53" s="3049">
        <f t="shared" si="4"/>
        <v>1.0000000000000002</v>
      </c>
      <c r="AC53" s="3049">
        <f t="shared" si="4"/>
        <v>0.99999999999999989</v>
      </c>
      <c r="AD53" s="3049">
        <f t="shared" si="4"/>
        <v>0.99999999999999989</v>
      </c>
      <c r="AE53" s="3050">
        <f t="shared" si="4"/>
        <v>0.99999999999999989</v>
      </c>
      <c r="AF53" s="3050">
        <f t="shared" si="4"/>
        <v>1</v>
      </c>
    </row>
    <row r="54" spans="1:32" s="3047" customFormat="1">
      <c r="A54" s="3043">
        <v>200</v>
      </c>
      <c r="B54" s="3044">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1</v>
      </c>
      <c r="T54" s="3049">
        <f t="shared" si="5"/>
        <v>1.0000000000000002</v>
      </c>
      <c r="U54" s="3049">
        <f t="shared" si="5"/>
        <v>1</v>
      </c>
      <c r="V54" s="3049">
        <f t="shared" si="5"/>
        <v>1</v>
      </c>
      <c r="W54" s="3049">
        <f t="shared" si="5"/>
        <v>1.0004568178877085</v>
      </c>
      <c r="X54" s="3049">
        <f t="shared" si="5"/>
        <v>1</v>
      </c>
      <c r="Y54" s="3049">
        <f t="shared" si="5"/>
        <v>0.99999999999999978</v>
      </c>
      <c r="Z54" s="3049">
        <f t="shared" si="5"/>
        <v>1</v>
      </c>
      <c r="AA54" s="3049">
        <f t="shared" si="5"/>
        <v>1.0000000000000002</v>
      </c>
      <c r="AB54" s="3049">
        <f t="shared" si="5"/>
        <v>1.0000000000000002</v>
      </c>
      <c r="AC54" s="3049">
        <f t="shared" si="5"/>
        <v>0.99999999999999989</v>
      </c>
      <c r="AD54" s="3049">
        <f t="shared" si="5"/>
        <v>0.99999999999999989</v>
      </c>
      <c r="AE54" s="3050">
        <f t="shared" si="5"/>
        <v>0.99999999999999989</v>
      </c>
      <c r="AF54" s="3050">
        <f t="shared" si="5"/>
        <v>1</v>
      </c>
    </row>
    <row r="55" spans="1:32" s="3047" customFormat="1">
      <c r="A55" s="3043">
        <v>200</v>
      </c>
      <c r="B55" s="3044">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1</v>
      </c>
      <c r="T55" s="3049">
        <f t="shared" si="5"/>
        <v>1.0000000000000002</v>
      </c>
      <c r="U55" s="3049">
        <f t="shared" si="5"/>
        <v>1</v>
      </c>
      <c r="V55" s="3049">
        <f t="shared" si="5"/>
        <v>1</v>
      </c>
      <c r="W55" s="3049">
        <f t="shared" si="5"/>
        <v>1.0004568178877085</v>
      </c>
      <c r="X55" s="3049">
        <f t="shared" si="5"/>
        <v>1</v>
      </c>
      <c r="Y55" s="3049">
        <f t="shared" si="5"/>
        <v>0.99999999999999978</v>
      </c>
      <c r="Z55" s="3049">
        <f t="shared" si="5"/>
        <v>1</v>
      </c>
      <c r="AA55" s="3049">
        <f t="shared" si="5"/>
        <v>1.0000000000000002</v>
      </c>
      <c r="AB55" s="3049">
        <f t="shared" si="5"/>
        <v>1.0000000000000002</v>
      </c>
      <c r="AC55" s="3049">
        <f t="shared" si="5"/>
        <v>0.99999999999999989</v>
      </c>
      <c r="AD55" s="3049">
        <f t="shared" si="5"/>
        <v>0.99999999999999989</v>
      </c>
      <c r="AE55" s="3050">
        <f t="shared" si="5"/>
        <v>0.99999999999999989</v>
      </c>
      <c r="AF55" s="3050">
        <f t="shared" si="5"/>
        <v>1</v>
      </c>
    </row>
    <row r="56" spans="1:32" s="3047" customFormat="1">
      <c r="A56" s="3043">
        <v>200</v>
      </c>
      <c r="B56" s="3044">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1</v>
      </c>
      <c r="T56" s="3049">
        <f t="shared" si="5"/>
        <v>1.0000000000000002</v>
      </c>
      <c r="U56" s="3049">
        <f t="shared" si="5"/>
        <v>1</v>
      </c>
      <c r="V56" s="3049">
        <f t="shared" si="5"/>
        <v>1</v>
      </c>
      <c r="W56" s="3049">
        <f t="shared" si="5"/>
        <v>1.0004568178877085</v>
      </c>
      <c r="X56" s="3049">
        <f t="shared" si="5"/>
        <v>1</v>
      </c>
      <c r="Y56" s="3049">
        <f t="shared" si="5"/>
        <v>0.99999999999999978</v>
      </c>
      <c r="Z56" s="3049">
        <f t="shared" si="5"/>
        <v>1</v>
      </c>
      <c r="AA56" s="3049">
        <f t="shared" si="5"/>
        <v>1.0000000000000002</v>
      </c>
      <c r="AB56" s="3049">
        <f t="shared" si="5"/>
        <v>1.0000000000000002</v>
      </c>
      <c r="AC56" s="3049">
        <f t="shared" si="5"/>
        <v>0.99999999999999989</v>
      </c>
      <c r="AD56" s="3049">
        <f t="shared" si="5"/>
        <v>0.99999999999999989</v>
      </c>
      <c r="AE56" s="3050">
        <f t="shared" si="5"/>
        <v>0.99999999999999989</v>
      </c>
      <c r="AF56" s="3050">
        <f t="shared" si="5"/>
        <v>1</v>
      </c>
    </row>
    <row r="57" spans="1:32" s="3047" customFormat="1">
      <c r="A57" s="3043">
        <v>200</v>
      </c>
      <c r="B57" s="3044">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1</v>
      </c>
      <c r="T57" s="3049">
        <f t="shared" si="5"/>
        <v>1.0000000000000002</v>
      </c>
      <c r="U57" s="3049">
        <f t="shared" si="5"/>
        <v>1</v>
      </c>
      <c r="V57" s="3049">
        <f t="shared" si="5"/>
        <v>1</v>
      </c>
      <c r="W57" s="3049">
        <f t="shared" si="5"/>
        <v>1.0004568178877085</v>
      </c>
      <c r="X57" s="3049">
        <f t="shared" si="5"/>
        <v>1</v>
      </c>
      <c r="Y57" s="3049">
        <f t="shared" si="5"/>
        <v>0.99999999999999978</v>
      </c>
      <c r="Z57" s="3049">
        <f t="shared" si="5"/>
        <v>1</v>
      </c>
      <c r="AA57" s="3049">
        <f t="shared" si="5"/>
        <v>1.0000000000000002</v>
      </c>
      <c r="AB57" s="3049">
        <f t="shared" si="5"/>
        <v>1.0000000000000002</v>
      </c>
      <c r="AC57" s="3049">
        <f t="shared" si="5"/>
        <v>0.99999999999999989</v>
      </c>
      <c r="AD57" s="3049">
        <f t="shared" si="5"/>
        <v>0.99999999999999989</v>
      </c>
      <c r="AE57" s="3050">
        <f t="shared" si="5"/>
        <v>0.99999999999999989</v>
      </c>
      <c r="AF57" s="3050">
        <f t="shared" si="5"/>
        <v>1</v>
      </c>
    </row>
    <row r="58" spans="1:32" s="3047" customFormat="1">
      <c r="A58" s="3043">
        <v>200</v>
      </c>
      <c r="B58" s="3044">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1</v>
      </c>
      <c r="T58" s="3049">
        <f t="shared" si="5"/>
        <v>1.0000000000000002</v>
      </c>
      <c r="U58" s="3049">
        <f t="shared" si="5"/>
        <v>1</v>
      </c>
      <c r="V58" s="3049">
        <f t="shared" si="5"/>
        <v>1</v>
      </c>
      <c r="W58" s="3049">
        <f t="shared" si="5"/>
        <v>1.0004568178877085</v>
      </c>
      <c r="X58" s="3049">
        <f t="shared" si="5"/>
        <v>1</v>
      </c>
      <c r="Y58" s="3049">
        <f t="shared" si="5"/>
        <v>0.99999999999999978</v>
      </c>
      <c r="Z58" s="3049">
        <f t="shared" si="5"/>
        <v>1</v>
      </c>
      <c r="AA58" s="3049">
        <f t="shared" si="5"/>
        <v>1.0000000000000002</v>
      </c>
      <c r="AB58" s="3049">
        <f t="shared" si="5"/>
        <v>1.0000000000000002</v>
      </c>
      <c r="AC58" s="3049">
        <f t="shared" si="5"/>
        <v>0.99999999999999989</v>
      </c>
      <c r="AD58" s="3049">
        <f t="shared" si="5"/>
        <v>0.99999999999999989</v>
      </c>
      <c r="AE58" s="3050">
        <f t="shared" si="5"/>
        <v>0.99999999999999989</v>
      </c>
      <c r="AF58" s="3050">
        <f t="shared" si="5"/>
        <v>1</v>
      </c>
    </row>
    <row r="59" spans="1:32" s="3047" customFormat="1">
      <c r="A59" s="3043">
        <v>200</v>
      </c>
      <c r="B59" s="3044">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1</v>
      </c>
      <c r="T59" s="3049">
        <f t="shared" si="5"/>
        <v>1.0000000000000002</v>
      </c>
      <c r="U59" s="3049">
        <f t="shared" si="5"/>
        <v>1</v>
      </c>
      <c r="V59" s="3049">
        <f t="shared" si="5"/>
        <v>1</v>
      </c>
      <c r="W59" s="3049">
        <f t="shared" si="5"/>
        <v>1.0004568178877085</v>
      </c>
      <c r="X59" s="3049">
        <f t="shared" si="5"/>
        <v>1</v>
      </c>
      <c r="Y59" s="3049">
        <f t="shared" si="5"/>
        <v>0.99999999999999978</v>
      </c>
      <c r="Z59" s="3049">
        <f t="shared" si="5"/>
        <v>1</v>
      </c>
      <c r="AA59" s="3049">
        <f t="shared" si="5"/>
        <v>1.0000000000000002</v>
      </c>
      <c r="AB59" s="3049">
        <f t="shared" si="5"/>
        <v>1.0000000000000002</v>
      </c>
      <c r="AC59" s="3049">
        <f t="shared" si="5"/>
        <v>0.99999999999999989</v>
      </c>
      <c r="AD59" s="3049">
        <f t="shared" si="5"/>
        <v>0.99999999999999989</v>
      </c>
      <c r="AE59" s="3050">
        <f t="shared" si="5"/>
        <v>0.99999999999999989</v>
      </c>
      <c r="AF59" s="3050">
        <f t="shared" si="5"/>
        <v>1</v>
      </c>
    </row>
    <row r="60" spans="1:32" s="3047" customFormat="1">
      <c r="A60" s="3043">
        <v>200</v>
      </c>
      <c r="B60" s="3044">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1</v>
      </c>
      <c r="T60" s="3049">
        <f t="shared" si="5"/>
        <v>1.0000000000000002</v>
      </c>
      <c r="U60" s="3049">
        <f t="shared" si="5"/>
        <v>1</v>
      </c>
      <c r="V60" s="3049">
        <f t="shared" si="5"/>
        <v>1</v>
      </c>
      <c r="W60" s="3049">
        <f t="shared" si="5"/>
        <v>1.0004568178877085</v>
      </c>
      <c r="X60" s="3049">
        <f t="shared" si="5"/>
        <v>1</v>
      </c>
      <c r="Y60" s="3049">
        <f t="shared" si="5"/>
        <v>0.99999999999999978</v>
      </c>
      <c r="Z60" s="3049">
        <f t="shared" si="5"/>
        <v>1</v>
      </c>
      <c r="AA60" s="3049">
        <f t="shared" si="5"/>
        <v>1.0000000000000002</v>
      </c>
      <c r="AB60" s="3049">
        <f t="shared" si="5"/>
        <v>1.0000000000000002</v>
      </c>
      <c r="AC60" s="3049">
        <f t="shared" si="5"/>
        <v>0.99999999999999989</v>
      </c>
      <c r="AD60" s="3049">
        <f t="shared" si="5"/>
        <v>0.99999999999999989</v>
      </c>
      <c r="AE60" s="3050">
        <f t="shared" si="5"/>
        <v>0.99999999999999989</v>
      </c>
      <c r="AF60" s="3050">
        <f t="shared" si="5"/>
        <v>1</v>
      </c>
    </row>
    <row r="61" spans="1:32" s="3047" customFormat="1">
      <c r="A61" s="3043">
        <v>200</v>
      </c>
      <c r="B61" s="3044">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1</v>
      </c>
      <c r="T61" s="3049">
        <f t="shared" si="5"/>
        <v>1.0000000000000002</v>
      </c>
      <c r="U61" s="3049">
        <f t="shared" si="5"/>
        <v>1</v>
      </c>
      <c r="V61" s="3049">
        <f t="shared" si="5"/>
        <v>1</v>
      </c>
      <c r="W61" s="3049">
        <f t="shared" si="5"/>
        <v>1.0004568178877085</v>
      </c>
      <c r="X61" s="3049">
        <f t="shared" si="5"/>
        <v>1</v>
      </c>
      <c r="Y61" s="3049">
        <f t="shared" si="5"/>
        <v>0.99999999999999978</v>
      </c>
      <c r="Z61" s="3049">
        <f t="shared" si="5"/>
        <v>1</v>
      </c>
      <c r="AA61" s="3049">
        <f t="shared" si="5"/>
        <v>1.0000000000000002</v>
      </c>
      <c r="AB61" s="3049">
        <f t="shared" si="5"/>
        <v>1.0000000000000002</v>
      </c>
      <c r="AC61" s="3049">
        <f t="shared" si="5"/>
        <v>0.99999999999999989</v>
      </c>
      <c r="AD61" s="3049">
        <f t="shared" si="5"/>
        <v>0.99999999999999989</v>
      </c>
      <c r="AE61" s="3050">
        <f t="shared" si="5"/>
        <v>0.99999999999999989</v>
      </c>
      <c r="AF61" s="3050">
        <f t="shared" si="5"/>
        <v>1</v>
      </c>
    </row>
    <row r="62" spans="1:32" s="3047" customFormat="1">
      <c r="A62" s="3043">
        <v>200</v>
      </c>
      <c r="B62" s="3044">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1</v>
      </c>
      <c r="T62" s="3049">
        <f t="shared" si="5"/>
        <v>1.0000000000000002</v>
      </c>
      <c r="U62" s="3049">
        <f t="shared" si="5"/>
        <v>1</v>
      </c>
      <c r="V62" s="3049">
        <f t="shared" si="5"/>
        <v>1</v>
      </c>
      <c r="W62" s="3049">
        <f t="shared" si="5"/>
        <v>1.0004568178877085</v>
      </c>
      <c r="X62" s="3049">
        <f t="shared" si="5"/>
        <v>1</v>
      </c>
      <c r="Y62" s="3049">
        <f t="shared" si="5"/>
        <v>0.99999999999999978</v>
      </c>
      <c r="Z62" s="3049">
        <f t="shared" si="5"/>
        <v>1</v>
      </c>
      <c r="AA62" s="3049">
        <f t="shared" si="5"/>
        <v>1.0000000000000002</v>
      </c>
      <c r="AB62" s="3049">
        <f t="shared" si="5"/>
        <v>1.0000000000000002</v>
      </c>
      <c r="AC62" s="3049">
        <f t="shared" si="5"/>
        <v>0.99999999999999989</v>
      </c>
      <c r="AD62" s="3049">
        <f t="shared" si="5"/>
        <v>0.99999999999999989</v>
      </c>
      <c r="AE62" s="3050">
        <f t="shared" si="5"/>
        <v>0.99999999999999989</v>
      </c>
      <c r="AF62" s="3050">
        <f t="shared" si="5"/>
        <v>1</v>
      </c>
    </row>
    <row r="63" spans="1:32" s="3047" customFormat="1">
      <c r="A63" s="3043">
        <v>200</v>
      </c>
      <c r="B63" s="3044">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1</v>
      </c>
      <c r="T63" s="3049">
        <f t="shared" si="5"/>
        <v>1.0000000000000002</v>
      </c>
      <c r="U63" s="3049">
        <f t="shared" si="5"/>
        <v>1</v>
      </c>
      <c r="V63" s="3049">
        <f t="shared" si="5"/>
        <v>1</v>
      </c>
      <c r="W63" s="3049">
        <f t="shared" si="5"/>
        <v>1.0004568178877085</v>
      </c>
      <c r="X63" s="3049">
        <f t="shared" si="5"/>
        <v>1</v>
      </c>
      <c r="Y63" s="3049">
        <f t="shared" si="5"/>
        <v>0.99999999999999978</v>
      </c>
      <c r="Z63" s="3049">
        <f t="shared" si="5"/>
        <v>1</v>
      </c>
      <c r="AA63" s="3049">
        <f t="shared" si="5"/>
        <v>1.0000000000000002</v>
      </c>
      <c r="AB63" s="3049">
        <f t="shared" si="5"/>
        <v>1.0000000000000002</v>
      </c>
      <c r="AC63" s="3049">
        <f t="shared" si="5"/>
        <v>0.99999999999999989</v>
      </c>
      <c r="AD63" s="3049">
        <f t="shared" si="5"/>
        <v>0.99999999999999989</v>
      </c>
      <c r="AE63" s="3050">
        <f t="shared" si="5"/>
        <v>0.99999999999999989</v>
      </c>
      <c r="AF63" s="3050">
        <f t="shared" si="5"/>
        <v>1</v>
      </c>
    </row>
    <row r="64" spans="1:32" s="3047" customFormat="1">
      <c r="A64" s="3043">
        <v>200</v>
      </c>
      <c r="B64" s="3044">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1</v>
      </c>
      <c r="T64" s="3049">
        <f t="shared" si="5"/>
        <v>1.0000000000000002</v>
      </c>
      <c r="U64" s="3049">
        <f t="shared" si="5"/>
        <v>1</v>
      </c>
      <c r="V64" s="3049">
        <f t="shared" si="5"/>
        <v>1</v>
      </c>
      <c r="W64" s="3049">
        <f t="shared" si="5"/>
        <v>1.0004568178877085</v>
      </c>
      <c r="X64" s="3049">
        <f t="shared" si="5"/>
        <v>1</v>
      </c>
      <c r="Y64" s="3049">
        <f t="shared" si="5"/>
        <v>0.99999999999999978</v>
      </c>
      <c r="Z64" s="3049">
        <f t="shared" si="5"/>
        <v>1</v>
      </c>
      <c r="AA64" s="3049">
        <f t="shared" si="5"/>
        <v>1.0000000000000002</v>
      </c>
      <c r="AB64" s="3049">
        <f t="shared" si="5"/>
        <v>1.0000000000000002</v>
      </c>
      <c r="AC64" s="3049">
        <f t="shared" si="5"/>
        <v>0.99999999999999989</v>
      </c>
      <c r="AD64" s="3049">
        <f t="shared" si="5"/>
        <v>0.99999999999999989</v>
      </c>
      <c r="AE64" s="3050">
        <f t="shared" si="5"/>
        <v>0.99999999999999989</v>
      </c>
      <c r="AF64" s="3050">
        <f t="shared" si="5"/>
        <v>1</v>
      </c>
    </row>
    <row r="65" spans="1:32" s="3047" customFormat="1">
      <c r="A65" s="3043">
        <v>200</v>
      </c>
      <c r="B65" s="3044">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1</v>
      </c>
      <c r="T65" s="3049">
        <f t="shared" si="5"/>
        <v>1.0000000000000002</v>
      </c>
      <c r="U65" s="3049">
        <f t="shared" si="5"/>
        <v>1</v>
      </c>
      <c r="V65" s="3049">
        <f t="shared" si="5"/>
        <v>1</v>
      </c>
      <c r="W65" s="3049">
        <f t="shared" si="5"/>
        <v>1.0004568178877085</v>
      </c>
      <c r="X65" s="3049">
        <f t="shared" si="5"/>
        <v>1</v>
      </c>
      <c r="Y65" s="3049">
        <f t="shared" si="5"/>
        <v>0.99999999999999978</v>
      </c>
      <c r="Z65" s="3049">
        <f t="shared" si="5"/>
        <v>1</v>
      </c>
      <c r="AA65" s="3049">
        <f t="shared" si="5"/>
        <v>1.0000000000000002</v>
      </c>
      <c r="AB65" s="3049">
        <f t="shared" si="5"/>
        <v>1.0000000000000002</v>
      </c>
      <c r="AC65" s="3049">
        <f t="shared" si="5"/>
        <v>0.99999999999999989</v>
      </c>
      <c r="AD65" s="3049">
        <f t="shared" si="5"/>
        <v>0.99999999999999989</v>
      </c>
      <c r="AE65" s="3050">
        <f t="shared" si="5"/>
        <v>0.99999999999999989</v>
      </c>
      <c r="AF65" s="3050">
        <f t="shared" si="5"/>
        <v>1</v>
      </c>
    </row>
    <row r="66" spans="1:32" s="3047" customFormat="1">
      <c r="A66" s="3043">
        <v>200</v>
      </c>
      <c r="B66" s="3044">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1</v>
      </c>
      <c r="T66" s="3049">
        <f t="shared" si="5"/>
        <v>1.0000000000000002</v>
      </c>
      <c r="U66" s="3049">
        <f t="shared" si="5"/>
        <v>1</v>
      </c>
      <c r="V66" s="3049">
        <f t="shared" si="5"/>
        <v>1</v>
      </c>
      <c r="W66" s="3049">
        <f t="shared" si="5"/>
        <v>1.0004568178877085</v>
      </c>
      <c r="X66" s="3049">
        <f t="shared" si="5"/>
        <v>1</v>
      </c>
      <c r="Y66" s="3049">
        <f t="shared" si="5"/>
        <v>0.99999999999999978</v>
      </c>
      <c r="Z66" s="3049">
        <f t="shared" si="5"/>
        <v>1</v>
      </c>
      <c r="AA66" s="3049">
        <f t="shared" si="5"/>
        <v>1.0000000000000002</v>
      </c>
      <c r="AB66" s="3049">
        <f t="shared" si="5"/>
        <v>1.0000000000000002</v>
      </c>
      <c r="AC66" s="3049">
        <f t="shared" si="5"/>
        <v>0.99999999999999989</v>
      </c>
      <c r="AD66" s="3049">
        <f t="shared" si="5"/>
        <v>0.99999999999999989</v>
      </c>
      <c r="AE66" s="3050">
        <f t="shared" si="5"/>
        <v>0.99999999999999989</v>
      </c>
      <c r="AF66" s="3050">
        <f t="shared" si="5"/>
        <v>1</v>
      </c>
    </row>
    <row r="67" spans="1:32" s="3047" customFormat="1">
      <c r="A67" s="3043">
        <v>200</v>
      </c>
      <c r="B67" s="3044">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1</v>
      </c>
      <c r="T67" s="3049">
        <f t="shared" si="5"/>
        <v>1.0000000000000002</v>
      </c>
      <c r="U67" s="3049">
        <f t="shared" si="5"/>
        <v>1</v>
      </c>
      <c r="V67" s="3049">
        <f t="shared" si="5"/>
        <v>1</v>
      </c>
      <c r="W67" s="3049">
        <f t="shared" si="5"/>
        <v>1.0004568178877085</v>
      </c>
      <c r="X67" s="3049">
        <f t="shared" si="5"/>
        <v>1</v>
      </c>
      <c r="Y67" s="3049">
        <f t="shared" si="5"/>
        <v>0.99999999999999978</v>
      </c>
      <c r="Z67" s="3049">
        <f t="shared" si="5"/>
        <v>1</v>
      </c>
      <c r="AA67" s="3049">
        <f t="shared" si="5"/>
        <v>1.0000000000000002</v>
      </c>
      <c r="AB67" s="3049">
        <f t="shared" si="5"/>
        <v>1.0000000000000002</v>
      </c>
      <c r="AC67" s="3049">
        <f t="shared" si="5"/>
        <v>0.99999999999999989</v>
      </c>
      <c r="AD67" s="3049">
        <f t="shared" si="5"/>
        <v>0.99999999999999989</v>
      </c>
      <c r="AE67" s="3050">
        <f t="shared" si="5"/>
        <v>0.99999999999999989</v>
      </c>
      <c r="AF67" s="3050">
        <f t="shared" si="5"/>
        <v>1</v>
      </c>
    </row>
    <row r="68" spans="1:32" s="3047" customFormat="1">
      <c r="A68" s="3043">
        <v>200</v>
      </c>
      <c r="B68" s="3044">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1</v>
      </c>
      <c r="T68" s="3049">
        <f t="shared" si="5"/>
        <v>1.0000000000000002</v>
      </c>
      <c r="U68" s="3049">
        <f t="shared" si="5"/>
        <v>1</v>
      </c>
      <c r="V68" s="3049">
        <f t="shared" si="5"/>
        <v>1</v>
      </c>
      <c r="W68" s="3049">
        <f t="shared" si="5"/>
        <v>1.0004568178877085</v>
      </c>
      <c r="X68" s="3049">
        <f t="shared" si="5"/>
        <v>1</v>
      </c>
      <c r="Y68" s="3049">
        <f t="shared" si="5"/>
        <v>0.99999999999999978</v>
      </c>
      <c r="Z68" s="3049">
        <f t="shared" si="5"/>
        <v>1</v>
      </c>
      <c r="AA68" s="3049">
        <f t="shared" si="5"/>
        <v>1.0000000000000002</v>
      </c>
      <c r="AB68" s="3049">
        <f t="shared" si="5"/>
        <v>1.0000000000000002</v>
      </c>
      <c r="AC68" s="3049">
        <f t="shared" si="5"/>
        <v>0.99999999999999989</v>
      </c>
      <c r="AD68" s="3049">
        <f t="shared" si="5"/>
        <v>0.99999999999999989</v>
      </c>
      <c r="AE68" s="3050">
        <f t="shared" si="5"/>
        <v>0.99999999999999989</v>
      </c>
      <c r="AF68" s="3050">
        <f t="shared" si="5"/>
        <v>1</v>
      </c>
    </row>
    <row r="69" spans="1:32" s="3047" customFormat="1">
      <c r="A69" s="3043">
        <v>200</v>
      </c>
      <c r="B69" s="3044">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1</v>
      </c>
      <c r="T69" s="3049">
        <f t="shared" si="5"/>
        <v>1.0000000000000002</v>
      </c>
      <c r="U69" s="3049">
        <f t="shared" si="5"/>
        <v>1</v>
      </c>
      <c r="V69" s="3049">
        <f t="shared" si="5"/>
        <v>1</v>
      </c>
      <c r="W69" s="3049">
        <f t="shared" si="5"/>
        <v>1.0004568178877085</v>
      </c>
      <c r="X69" s="3049">
        <f t="shared" si="5"/>
        <v>1</v>
      </c>
      <c r="Y69" s="3049">
        <f t="shared" si="5"/>
        <v>0.99999999999999978</v>
      </c>
      <c r="Z69" s="3049">
        <f t="shared" si="5"/>
        <v>1</v>
      </c>
      <c r="AA69" s="3049">
        <f t="shared" si="5"/>
        <v>1.0000000000000002</v>
      </c>
      <c r="AB69" s="3049">
        <f t="shared" si="5"/>
        <v>1.0000000000000002</v>
      </c>
      <c r="AC69" s="3049">
        <f t="shared" si="5"/>
        <v>0.99999999999999989</v>
      </c>
      <c r="AD69" s="3049">
        <f t="shared" si="5"/>
        <v>0.99999999999999989</v>
      </c>
      <c r="AE69" s="3050">
        <f t="shared" si="5"/>
        <v>0.99999999999999989</v>
      </c>
      <c r="AF69" s="3050">
        <f t="shared" si="5"/>
        <v>1</v>
      </c>
    </row>
    <row r="70" spans="1:32" s="3047" customFormat="1">
      <c r="A70" s="3043">
        <v>200</v>
      </c>
      <c r="B70" s="3044">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1</v>
      </c>
      <c r="T70" s="3049">
        <f t="shared" si="6"/>
        <v>1.0000000000000002</v>
      </c>
      <c r="U70" s="3049">
        <f t="shared" si="6"/>
        <v>1</v>
      </c>
      <c r="V70" s="3049">
        <f t="shared" si="6"/>
        <v>1</v>
      </c>
      <c r="W70" s="3049">
        <f t="shared" si="6"/>
        <v>1.0004568178877085</v>
      </c>
      <c r="X70" s="3049">
        <f t="shared" si="6"/>
        <v>1</v>
      </c>
      <c r="Y70" s="3049">
        <f t="shared" si="6"/>
        <v>0.99999999999999978</v>
      </c>
      <c r="Z70" s="3049">
        <f t="shared" si="6"/>
        <v>1</v>
      </c>
      <c r="AA70" s="3049">
        <f t="shared" si="6"/>
        <v>1.0000000000000002</v>
      </c>
      <c r="AB70" s="3049">
        <f t="shared" si="6"/>
        <v>1.0000000000000002</v>
      </c>
      <c r="AC70" s="3049">
        <f t="shared" si="6"/>
        <v>0.99999999999999989</v>
      </c>
      <c r="AD70" s="3049">
        <f t="shared" si="6"/>
        <v>0.99999999999999989</v>
      </c>
      <c r="AE70" s="3050">
        <f t="shared" si="6"/>
        <v>0.99999999999999989</v>
      </c>
      <c r="AF70" s="3050">
        <f t="shared" si="6"/>
        <v>1</v>
      </c>
    </row>
    <row r="71" spans="1:32" s="3047" customFormat="1">
      <c r="A71" s="3043">
        <v>200</v>
      </c>
      <c r="B71" s="3044">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1</v>
      </c>
      <c r="T71" s="3049">
        <f t="shared" si="6"/>
        <v>1.0000000000000002</v>
      </c>
      <c r="U71" s="3049">
        <f t="shared" si="6"/>
        <v>1</v>
      </c>
      <c r="V71" s="3049">
        <f t="shared" si="6"/>
        <v>1</v>
      </c>
      <c r="W71" s="3049">
        <f t="shared" si="6"/>
        <v>1.0004568178877085</v>
      </c>
      <c r="X71" s="3049">
        <f t="shared" si="6"/>
        <v>1</v>
      </c>
      <c r="Y71" s="3049">
        <f t="shared" si="6"/>
        <v>0.99999999999999978</v>
      </c>
      <c r="Z71" s="3049">
        <f t="shared" si="6"/>
        <v>1</v>
      </c>
      <c r="AA71" s="3049">
        <f t="shared" si="6"/>
        <v>1.0000000000000002</v>
      </c>
      <c r="AB71" s="3049">
        <f t="shared" si="6"/>
        <v>1.0000000000000002</v>
      </c>
      <c r="AC71" s="3049">
        <f t="shared" si="6"/>
        <v>0.99999999999999989</v>
      </c>
      <c r="AD71" s="3049">
        <f t="shared" si="6"/>
        <v>0.99999999999999989</v>
      </c>
      <c r="AE71" s="3050">
        <f t="shared" si="6"/>
        <v>0.99999999999999989</v>
      </c>
      <c r="AF71" s="3050">
        <f t="shared" si="6"/>
        <v>1</v>
      </c>
    </row>
    <row r="72" spans="1:32" s="3047" customFormat="1">
      <c r="A72" s="3043">
        <v>200</v>
      </c>
      <c r="B72" s="3044">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1</v>
      </c>
      <c r="T72" s="3049">
        <f t="shared" si="6"/>
        <v>1.0000000000000002</v>
      </c>
      <c r="U72" s="3049">
        <f t="shared" si="6"/>
        <v>1</v>
      </c>
      <c r="V72" s="3049">
        <f t="shared" si="6"/>
        <v>1</v>
      </c>
      <c r="W72" s="3049">
        <f t="shared" si="6"/>
        <v>1.0004568178877085</v>
      </c>
      <c r="X72" s="3049">
        <f t="shared" si="6"/>
        <v>1</v>
      </c>
      <c r="Y72" s="3049">
        <f t="shared" si="6"/>
        <v>0.99999999999999978</v>
      </c>
      <c r="Z72" s="3049">
        <f t="shared" si="6"/>
        <v>1</v>
      </c>
      <c r="AA72" s="3049">
        <f t="shared" si="6"/>
        <v>1.0000000000000002</v>
      </c>
      <c r="AB72" s="3049">
        <f t="shared" si="6"/>
        <v>1.0000000000000002</v>
      </c>
      <c r="AC72" s="3049">
        <f t="shared" si="6"/>
        <v>0.99999999999999989</v>
      </c>
      <c r="AD72" s="3049">
        <f t="shared" si="6"/>
        <v>0.99999999999999989</v>
      </c>
      <c r="AE72" s="3050">
        <f t="shared" si="6"/>
        <v>0.99999999999999989</v>
      </c>
      <c r="AF72" s="3050">
        <f t="shared" si="6"/>
        <v>1</v>
      </c>
    </row>
    <row r="73" spans="1:32" s="3047" customFormat="1">
      <c r="A73" s="3043">
        <v>200</v>
      </c>
      <c r="B73" s="3044">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1</v>
      </c>
      <c r="T73" s="3049">
        <f t="shared" si="6"/>
        <v>1.0000000000000002</v>
      </c>
      <c r="U73" s="3049">
        <f t="shared" si="6"/>
        <v>1</v>
      </c>
      <c r="V73" s="3049">
        <f t="shared" si="6"/>
        <v>1</v>
      </c>
      <c r="W73" s="3049">
        <f t="shared" si="6"/>
        <v>1.0004568178877085</v>
      </c>
      <c r="X73" s="3049">
        <f t="shared" si="6"/>
        <v>1</v>
      </c>
      <c r="Y73" s="3049">
        <f t="shared" si="6"/>
        <v>0.99999999999999978</v>
      </c>
      <c r="Z73" s="3049">
        <f t="shared" si="6"/>
        <v>1</v>
      </c>
      <c r="AA73" s="3049">
        <f t="shared" si="6"/>
        <v>1.0000000000000002</v>
      </c>
      <c r="AB73" s="3049">
        <f t="shared" si="6"/>
        <v>1.0000000000000002</v>
      </c>
      <c r="AC73" s="3049">
        <f t="shared" si="6"/>
        <v>0.99999999999999989</v>
      </c>
      <c r="AD73" s="3049">
        <f t="shared" si="6"/>
        <v>0.99999999999999989</v>
      </c>
      <c r="AE73" s="3050">
        <f t="shared" si="6"/>
        <v>0.99999999999999989</v>
      </c>
      <c r="AF73" s="3050">
        <f t="shared" si="6"/>
        <v>1</v>
      </c>
    </row>
    <row r="74" spans="1:32" s="3047" customFormat="1">
      <c r="A74" s="3043">
        <v>200</v>
      </c>
      <c r="B74" s="3044">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1</v>
      </c>
      <c r="T74" s="3049">
        <f t="shared" si="6"/>
        <v>1.0000000000000002</v>
      </c>
      <c r="U74" s="3049">
        <f t="shared" si="6"/>
        <v>1</v>
      </c>
      <c r="V74" s="3049">
        <f t="shared" si="6"/>
        <v>1</v>
      </c>
      <c r="W74" s="3049">
        <f t="shared" si="6"/>
        <v>1.0004568178877085</v>
      </c>
      <c r="X74" s="3049">
        <f t="shared" si="6"/>
        <v>1</v>
      </c>
      <c r="Y74" s="3049">
        <f t="shared" si="6"/>
        <v>0.99999999999999978</v>
      </c>
      <c r="Z74" s="3049">
        <f t="shared" si="6"/>
        <v>1</v>
      </c>
      <c r="AA74" s="3049">
        <f t="shared" si="6"/>
        <v>1.0000000000000002</v>
      </c>
      <c r="AB74" s="3049">
        <f t="shared" si="6"/>
        <v>1.0000000000000002</v>
      </c>
      <c r="AC74" s="3049">
        <f t="shared" si="6"/>
        <v>0.99999999999999989</v>
      </c>
      <c r="AD74" s="3049">
        <f t="shared" si="6"/>
        <v>0.99999999999999989</v>
      </c>
      <c r="AE74" s="3050">
        <f t="shared" si="6"/>
        <v>0.99999999999999989</v>
      </c>
      <c r="AF74" s="3050">
        <f t="shared" si="6"/>
        <v>1</v>
      </c>
    </row>
    <row r="75" spans="1:32" s="3047" customFormat="1">
      <c r="A75" s="3043">
        <v>200</v>
      </c>
      <c r="B75" s="3044">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1</v>
      </c>
      <c r="T75" s="3049">
        <f t="shared" si="6"/>
        <v>1.0000000000000002</v>
      </c>
      <c r="U75" s="3049">
        <f t="shared" si="6"/>
        <v>1</v>
      </c>
      <c r="V75" s="3049">
        <f t="shared" si="6"/>
        <v>1</v>
      </c>
      <c r="W75" s="3049">
        <f t="shared" si="6"/>
        <v>1.0004568178877085</v>
      </c>
      <c r="X75" s="3049">
        <f t="shared" si="6"/>
        <v>1</v>
      </c>
      <c r="Y75" s="3049">
        <f t="shared" si="6"/>
        <v>0.99999999999999978</v>
      </c>
      <c r="Z75" s="3049">
        <f t="shared" si="6"/>
        <v>1</v>
      </c>
      <c r="AA75" s="3049">
        <f t="shared" si="6"/>
        <v>1.0000000000000002</v>
      </c>
      <c r="AB75" s="3049">
        <f t="shared" si="6"/>
        <v>1.0000000000000002</v>
      </c>
      <c r="AC75" s="3049">
        <f t="shared" si="6"/>
        <v>0.99999999999999989</v>
      </c>
      <c r="AD75" s="3049">
        <f t="shared" si="6"/>
        <v>0.99999999999999989</v>
      </c>
      <c r="AE75" s="3050">
        <f t="shared" si="6"/>
        <v>0.99999999999999989</v>
      </c>
      <c r="AF75" s="3050">
        <f t="shared" si="6"/>
        <v>1</v>
      </c>
    </row>
    <row r="76" spans="1:32" s="3047" customFormat="1">
      <c r="A76" s="3043">
        <v>200</v>
      </c>
      <c r="B76" s="3044">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1</v>
      </c>
      <c r="T76" s="3049">
        <f t="shared" si="6"/>
        <v>1.0000000000000002</v>
      </c>
      <c r="U76" s="3049">
        <f t="shared" si="6"/>
        <v>1</v>
      </c>
      <c r="V76" s="3049">
        <f t="shared" si="6"/>
        <v>1</v>
      </c>
      <c r="W76" s="3049">
        <f t="shared" si="6"/>
        <v>1.0004568178877085</v>
      </c>
      <c r="X76" s="3049">
        <f t="shared" si="6"/>
        <v>1</v>
      </c>
      <c r="Y76" s="3049">
        <f t="shared" si="6"/>
        <v>0.99999999999999978</v>
      </c>
      <c r="Z76" s="3049">
        <f t="shared" si="6"/>
        <v>1</v>
      </c>
      <c r="AA76" s="3049">
        <f t="shared" si="6"/>
        <v>1.0000000000000002</v>
      </c>
      <c r="AB76" s="3049">
        <f t="shared" si="6"/>
        <v>1.0000000000000002</v>
      </c>
      <c r="AC76" s="3049">
        <f t="shared" si="6"/>
        <v>0.99999999999999989</v>
      </c>
      <c r="AD76" s="3049">
        <f t="shared" si="6"/>
        <v>0.99999999999999989</v>
      </c>
      <c r="AE76" s="3050">
        <f t="shared" si="6"/>
        <v>0.99999999999999989</v>
      </c>
      <c r="AF76" s="3050">
        <f t="shared" si="6"/>
        <v>1</v>
      </c>
    </row>
    <row r="77" spans="1:32" s="3047" customFormat="1">
      <c r="A77" s="3043">
        <v>200</v>
      </c>
      <c r="B77" s="3044">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1</v>
      </c>
      <c r="T77" s="3049">
        <f t="shared" si="6"/>
        <v>1.0000000000000002</v>
      </c>
      <c r="U77" s="3049">
        <f t="shared" si="6"/>
        <v>1</v>
      </c>
      <c r="V77" s="3049">
        <f t="shared" si="6"/>
        <v>1</v>
      </c>
      <c r="W77" s="3049">
        <f t="shared" si="6"/>
        <v>1.0004568178877085</v>
      </c>
      <c r="X77" s="3049">
        <f t="shared" si="6"/>
        <v>1</v>
      </c>
      <c r="Y77" s="3049">
        <f t="shared" si="6"/>
        <v>0.99999999999999978</v>
      </c>
      <c r="Z77" s="3049">
        <f t="shared" si="6"/>
        <v>1</v>
      </c>
      <c r="AA77" s="3049">
        <f t="shared" si="6"/>
        <v>1.0000000000000002</v>
      </c>
      <c r="AB77" s="3049">
        <f t="shared" si="6"/>
        <v>1.0000000000000002</v>
      </c>
      <c r="AC77" s="3049">
        <f t="shared" si="6"/>
        <v>0.99999999999999989</v>
      </c>
      <c r="AD77" s="3049">
        <f t="shared" si="6"/>
        <v>0.99999999999999989</v>
      </c>
      <c r="AE77" s="3050">
        <f t="shared" si="6"/>
        <v>0.99999999999999989</v>
      </c>
      <c r="AF77" s="3050">
        <f t="shared" si="6"/>
        <v>1</v>
      </c>
    </row>
    <row r="78" spans="1:32" s="3047" customFormat="1">
      <c r="A78" s="3043">
        <v>200</v>
      </c>
      <c r="B78" s="3044">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1</v>
      </c>
      <c r="T78" s="3049">
        <f t="shared" si="6"/>
        <v>1.0000000000000002</v>
      </c>
      <c r="U78" s="3049">
        <f t="shared" si="6"/>
        <v>1</v>
      </c>
      <c r="V78" s="3049">
        <f t="shared" si="6"/>
        <v>1</v>
      </c>
      <c r="W78" s="3049">
        <f t="shared" si="6"/>
        <v>1.0004568178877085</v>
      </c>
      <c r="X78" s="3049">
        <f t="shared" si="6"/>
        <v>1</v>
      </c>
      <c r="Y78" s="3049">
        <f t="shared" si="6"/>
        <v>0.99999999999999978</v>
      </c>
      <c r="Z78" s="3049">
        <f t="shared" si="6"/>
        <v>1</v>
      </c>
      <c r="AA78" s="3049">
        <f t="shared" si="6"/>
        <v>1.0000000000000002</v>
      </c>
      <c r="AB78" s="3049">
        <f t="shared" si="6"/>
        <v>1.0000000000000002</v>
      </c>
      <c r="AC78" s="3049">
        <f t="shared" si="6"/>
        <v>0.99999999999999989</v>
      </c>
      <c r="AD78" s="3049">
        <f t="shared" si="6"/>
        <v>0.99999999999999989</v>
      </c>
      <c r="AE78" s="3050">
        <f t="shared" si="6"/>
        <v>0.99999999999999989</v>
      </c>
      <c r="AF78" s="3050">
        <f t="shared" si="6"/>
        <v>1</v>
      </c>
    </row>
    <row r="79" spans="1:32" s="3047" customFormat="1">
      <c r="A79" s="3043">
        <v>200</v>
      </c>
      <c r="B79" s="3044">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1</v>
      </c>
      <c r="T79" s="3049">
        <f t="shared" si="6"/>
        <v>1.0000000000000002</v>
      </c>
      <c r="U79" s="3049">
        <f t="shared" si="6"/>
        <v>1</v>
      </c>
      <c r="V79" s="3049">
        <f t="shared" si="6"/>
        <v>1</v>
      </c>
      <c r="W79" s="3049">
        <f t="shared" si="6"/>
        <v>1.0004568178877085</v>
      </c>
      <c r="X79" s="3049">
        <f t="shared" si="6"/>
        <v>1</v>
      </c>
      <c r="Y79" s="3049">
        <f t="shared" si="6"/>
        <v>0.99999999999999978</v>
      </c>
      <c r="Z79" s="3049">
        <f t="shared" si="6"/>
        <v>1</v>
      </c>
      <c r="AA79" s="3049">
        <f t="shared" si="6"/>
        <v>1.0000000000000002</v>
      </c>
      <c r="AB79" s="3049">
        <f t="shared" si="6"/>
        <v>1.0000000000000002</v>
      </c>
      <c r="AC79" s="3049">
        <f t="shared" si="6"/>
        <v>0.99999999999999989</v>
      </c>
      <c r="AD79" s="3049">
        <f t="shared" si="6"/>
        <v>0.99999999999999989</v>
      </c>
      <c r="AE79" s="3050">
        <f t="shared" si="6"/>
        <v>0.99999999999999989</v>
      </c>
      <c r="AF79" s="3050">
        <f t="shared" si="6"/>
        <v>1</v>
      </c>
    </row>
    <row r="80" spans="1:32" s="3047" customFormat="1">
      <c r="A80" s="3043">
        <v>200</v>
      </c>
      <c r="B80" s="3044">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1</v>
      </c>
      <c r="T80" s="3049">
        <f t="shared" si="6"/>
        <v>1.0000000000000002</v>
      </c>
      <c r="U80" s="3049">
        <f t="shared" si="6"/>
        <v>1</v>
      </c>
      <c r="V80" s="3049">
        <f t="shared" si="6"/>
        <v>1</v>
      </c>
      <c r="W80" s="3049">
        <f t="shared" si="6"/>
        <v>1.0004568178877085</v>
      </c>
      <c r="X80" s="3049">
        <f t="shared" si="6"/>
        <v>1</v>
      </c>
      <c r="Y80" s="3049">
        <f t="shared" si="6"/>
        <v>0.99999999999999978</v>
      </c>
      <c r="Z80" s="3049">
        <f t="shared" si="6"/>
        <v>1</v>
      </c>
      <c r="AA80" s="3049">
        <f t="shared" si="6"/>
        <v>1.0000000000000002</v>
      </c>
      <c r="AB80" s="3049">
        <f t="shared" si="6"/>
        <v>1.0000000000000002</v>
      </c>
      <c r="AC80" s="3049">
        <f t="shared" si="6"/>
        <v>0.99999999999999989</v>
      </c>
      <c r="AD80" s="3049">
        <f t="shared" si="6"/>
        <v>0.99999999999999989</v>
      </c>
      <c r="AE80" s="3050">
        <f t="shared" si="6"/>
        <v>0.99999999999999989</v>
      </c>
      <c r="AF80" s="3050">
        <f t="shared" si="6"/>
        <v>1</v>
      </c>
    </row>
    <row r="81" spans="1:32" s="3047" customFormat="1">
      <c r="A81" s="3043">
        <v>200</v>
      </c>
      <c r="B81" s="3044">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1</v>
      </c>
      <c r="T81" s="3049">
        <f t="shared" si="6"/>
        <v>1.0000000000000002</v>
      </c>
      <c r="U81" s="3049">
        <f t="shared" si="6"/>
        <v>1</v>
      </c>
      <c r="V81" s="3049">
        <f t="shared" si="6"/>
        <v>1</v>
      </c>
      <c r="W81" s="3049">
        <f t="shared" si="6"/>
        <v>1.0004568178877085</v>
      </c>
      <c r="X81" s="3049">
        <f t="shared" si="6"/>
        <v>1</v>
      </c>
      <c r="Y81" s="3049">
        <f t="shared" si="6"/>
        <v>0.99999999999999978</v>
      </c>
      <c r="Z81" s="3049">
        <f t="shared" si="6"/>
        <v>1</v>
      </c>
      <c r="AA81" s="3049">
        <f t="shared" si="6"/>
        <v>1.0000000000000002</v>
      </c>
      <c r="AB81" s="3049">
        <f t="shared" si="6"/>
        <v>1.0000000000000002</v>
      </c>
      <c r="AC81" s="3049">
        <f t="shared" si="6"/>
        <v>0.99999999999999989</v>
      </c>
      <c r="AD81" s="3049">
        <f t="shared" si="6"/>
        <v>0.99999999999999989</v>
      </c>
      <c r="AE81" s="3050">
        <f t="shared" si="6"/>
        <v>0.99999999999999989</v>
      </c>
      <c r="AF81" s="3050">
        <f t="shared" si="6"/>
        <v>1</v>
      </c>
    </row>
    <row r="82" spans="1:32" s="3047" customFormat="1">
      <c r="A82" s="3043">
        <v>200</v>
      </c>
      <c r="B82" s="3044">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1</v>
      </c>
      <c r="T82" s="3049">
        <f t="shared" si="6"/>
        <v>1.0000000000000002</v>
      </c>
      <c r="U82" s="3049">
        <f t="shared" si="6"/>
        <v>1</v>
      </c>
      <c r="V82" s="3049">
        <f t="shared" si="6"/>
        <v>1</v>
      </c>
      <c r="W82" s="3049">
        <f t="shared" si="6"/>
        <v>1.0004568178877085</v>
      </c>
      <c r="X82" s="3049">
        <f t="shared" si="6"/>
        <v>1</v>
      </c>
      <c r="Y82" s="3049">
        <f t="shared" si="6"/>
        <v>0.99999999999999978</v>
      </c>
      <c r="Z82" s="3049">
        <f t="shared" si="6"/>
        <v>1</v>
      </c>
      <c r="AA82" s="3049">
        <f t="shared" si="6"/>
        <v>1.0000000000000002</v>
      </c>
      <c r="AB82" s="3049">
        <f t="shared" si="6"/>
        <v>1.0000000000000002</v>
      </c>
      <c r="AC82" s="3049">
        <f t="shared" si="6"/>
        <v>0.99999999999999989</v>
      </c>
      <c r="AD82" s="3049">
        <f t="shared" si="6"/>
        <v>0.99999999999999989</v>
      </c>
      <c r="AE82" s="3050">
        <f t="shared" si="6"/>
        <v>0.99999999999999989</v>
      </c>
      <c r="AF82" s="3050">
        <f t="shared" si="6"/>
        <v>1</v>
      </c>
    </row>
    <row r="83" spans="1:32" s="3047" customFormat="1">
      <c r="A83" s="3043">
        <v>200</v>
      </c>
      <c r="B83" s="3044">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1</v>
      </c>
      <c r="T83" s="3049">
        <f t="shared" si="6"/>
        <v>1.0000000000000002</v>
      </c>
      <c r="U83" s="3049">
        <f t="shared" si="6"/>
        <v>1</v>
      </c>
      <c r="V83" s="3049">
        <f t="shared" si="6"/>
        <v>1</v>
      </c>
      <c r="W83" s="3049">
        <f t="shared" si="6"/>
        <v>1.0004568178877085</v>
      </c>
      <c r="X83" s="3049">
        <f t="shared" si="6"/>
        <v>1</v>
      </c>
      <c r="Y83" s="3049">
        <f t="shared" si="6"/>
        <v>0.99999999999999978</v>
      </c>
      <c r="Z83" s="3049">
        <f t="shared" si="6"/>
        <v>1</v>
      </c>
      <c r="AA83" s="3049">
        <f t="shared" si="6"/>
        <v>1.0000000000000002</v>
      </c>
      <c r="AB83" s="3049">
        <f t="shared" si="6"/>
        <v>1.0000000000000002</v>
      </c>
      <c r="AC83" s="3049">
        <f t="shared" si="6"/>
        <v>0.99999999999999989</v>
      </c>
      <c r="AD83" s="3049">
        <f t="shared" si="6"/>
        <v>0.99999999999999989</v>
      </c>
      <c r="AE83" s="3050">
        <f t="shared" si="6"/>
        <v>0.99999999999999989</v>
      </c>
      <c r="AF83" s="3050">
        <f t="shared" si="6"/>
        <v>1</v>
      </c>
    </row>
    <row r="84" spans="1:32" s="3047" customFormat="1">
      <c r="A84" s="3043">
        <v>200</v>
      </c>
      <c r="B84" s="3044">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1</v>
      </c>
      <c r="T84" s="3049">
        <f t="shared" si="6"/>
        <v>1.0000000000000002</v>
      </c>
      <c r="U84" s="3049">
        <f t="shared" si="6"/>
        <v>1</v>
      </c>
      <c r="V84" s="3049">
        <f t="shared" si="6"/>
        <v>1</v>
      </c>
      <c r="W84" s="3049">
        <f t="shared" si="6"/>
        <v>1.0004568178877085</v>
      </c>
      <c r="X84" s="3049">
        <f t="shared" si="6"/>
        <v>1</v>
      </c>
      <c r="Y84" s="3049">
        <f t="shared" si="6"/>
        <v>0.99999999999999978</v>
      </c>
      <c r="Z84" s="3049">
        <f t="shared" si="6"/>
        <v>1</v>
      </c>
      <c r="AA84" s="3049">
        <f t="shared" si="6"/>
        <v>1.0000000000000002</v>
      </c>
      <c r="AB84" s="3049">
        <f t="shared" si="6"/>
        <v>1.0000000000000002</v>
      </c>
      <c r="AC84" s="3049">
        <f t="shared" si="6"/>
        <v>0.99999999999999989</v>
      </c>
      <c r="AD84" s="3049">
        <f t="shared" si="6"/>
        <v>0.99999999999999989</v>
      </c>
      <c r="AE84" s="3050">
        <f t="shared" si="6"/>
        <v>0.99999999999999989</v>
      </c>
      <c r="AF84" s="3050">
        <f t="shared" si="6"/>
        <v>1</v>
      </c>
    </row>
    <row r="85" spans="1:32" s="3047" customFormat="1">
      <c r="A85" s="3043">
        <v>200</v>
      </c>
      <c r="B85" s="3044">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1</v>
      </c>
      <c r="T85" s="3049">
        <f t="shared" si="6"/>
        <v>1.0000000000000002</v>
      </c>
      <c r="U85" s="3049">
        <f t="shared" si="6"/>
        <v>1</v>
      </c>
      <c r="V85" s="3049">
        <f t="shared" si="6"/>
        <v>1</v>
      </c>
      <c r="W85" s="3049">
        <f t="shared" si="6"/>
        <v>1.0004568178877085</v>
      </c>
      <c r="X85" s="3049">
        <f t="shared" si="6"/>
        <v>1</v>
      </c>
      <c r="Y85" s="3049">
        <f t="shared" si="6"/>
        <v>0.99999999999999978</v>
      </c>
      <c r="Z85" s="3049">
        <f t="shared" si="6"/>
        <v>1</v>
      </c>
      <c r="AA85" s="3049">
        <f t="shared" si="6"/>
        <v>1.0000000000000002</v>
      </c>
      <c r="AB85" s="3049">
        <f t="shared" si="6"/>
        <v>1.0000000000000002</v>
      </c>
      <c r="AC85" s="3049">
        <f t="shared" si="6"/>
        <v>0.99999999999999989</v>
      </c>
      <c r="AD85" s="3049">
        <f t="shared" si="6"/>
        <v>0.99999999999999989</v>
      </c>
      <c r="AE85" s="3050">
        <f t="shared" si="6"/>
        <v>0.99999999999999989</v>
      </c>
      <c r="AF85" s="3050">
        <f t="shared" si="6"/>
        <v>1</v>
      </c>
    </row>
    <row r="86" spans="1:32" s="3047" customFormat="1">
      <c r="A86" s="3043">
        <v>200</v>
      </c>
      <c r="B86" s="3044">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1</v>
      </c>
      <c r="T86" s="3049">
        <f t="shared" si="7"/>
        <v>1.0000000000000002</v>
      </c>
      <c r="U86" s="3049">
        <f t="shared" si="7"/>
        <v>1</v>
      </c>
      <c r="V86" s="3049">
        <f t="shared" si="7"/>
        <v>1</v>
      </c>
      <c r="W86" s="3049">
        <f t="shared" si="7"/>
        <v>1.0004568178877085</v>
      </c>
      <c r="X86" s="3049">
        <f t="shared" si="7"/>
        <v>1</v>
      </c>
      <c r="Y86" s="3049">
        <f t="shared" si="7"/>
        <v>0.99999999999999978</v>
      </c>
      <c r="Z86" s="3049">
        <f t="shared" si="7"/>
        <v>1</v>
      </c>
      <c r="AA86" s="3049">
        <f t="shared" si="7"/>
        <v>1.0000000000000002</v>
      </c>
      <c r="AB86" s="3049">
        <f t="shared" si="7"/>
        <v>1.0000000000000002</v>
      </c>
      <c r="AC86" s="3049">
        <f t="shared" si="7"/>
        <v>0.99999999999999989</v>
      </c>
      <c r="AD86" s="3049">
        <f t="shared" si="7"/>
        <v>0.99999999999999989</v>
      </c>
      <c r="AE86" s="3050">
        <f t="shared" si="7"/>
        <v>0.99999999999999989</v>
      </c>
      <c r="AF86" s="3050">
        <f t="shared" si="7"/>
        <v>1</v>
      </c>
    </row>
    <row r="87" spans="1:32" s="3047" customFormat="1">
      <c r="A87" s="3043">
        <v>200</v>
      </c>
      <c r="B87" s="3044">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1</v>
      </c>
      <c r="T87" s="3049">
        <f t="shared" si="7"/>
        <v>1.0000000000000002</v>
      </c>
      <c r="U87" s="3049">
        <f t="shared" si="7"/>
        <v>1</v>
      </c>
      <c r="V87" s="3049">
        <f t="shared" si="7"/>
        <v>1</v>
      </c>
      <c r="W87" s="3049">
        <f t="shared" si="7"/>
        <v>1.0004568178877085</v>
      </c>
      <c r="X87" s="3049">
        <f t="shared" si="7"/>
        <v>1</v>
      </c>
      <c r="Y87" s="3049">
        <f t="shared" si="7"/>
        <v>0.99999999999999978</v>
      </c>
      <c r="Z87" s="3049">
        <f t="shared" si="7"/>
        <v>1</v>
      </c>
      <c r="AA87" s="3049">
        <f t="shared" si="7"/>
        <v>1.0000000000000002</v>
      </c>
      <c r="AB87" s="3049">
        <f t="shared" si="7"/>
        <v>1.0000000000000002</v>
      </c>
      <c r="AC87" s="3049">
        <f t="shared" si="7"/>
        <v>0.99999999999999989</v>
      </c>
      <c r="AD87" s="3049">
        <f t="shared" si="7"/>
        <v>0.99999999999999989</v>
      </c>
      <c r="AE87" s="3050">
        <f t="shared" si="7"/>
        <v>0.99999999999999989</v>
      </c>
      <c r="AF87" s="3050">
        <f t="shared" si="7"/>
        <v>1</v>
      </c>
    </row>
    <row r="88" spans="1:32" s="3047" customFormat="1">
      <c r="A88" s="3043">
        <v>200</v>
      </c>
      <c r="B88" s="3044">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1</v>
      </c>
      <c r="T88" s="3049">
        <f t="shared" si="7"/>
        <v>1.0000000000000002</v>
      </c>
      <c r="U88" s="3049">
        <f t="shared" si="7"/>
        <v>1</v>
      </c>
      <c r="V88" s="3049">
        <f t="shared" si="7"/>
        <v>1</v>
      </c>
      <c r="W88" s="3049">
        <f t="shared" si="7"/>
        <v>1.0004568178877085</v>
      </c>
      <c r="X88" s="3049">
        <f t="shared" si="7"/>
        <v>1</v>
      </c>
      <c r="Y88" s="3049">
        <f t="shared" si="7"/>
        <v>0.99999999999999978</v>
      </c>
      <c r="Z88" s="3049">
        <f t="shared" si="7"/>
        <v>1</v>
      </c>
      <c r="AA88" s="3049">
        <f t="shared" si="7"/>
        <v>1.0000000000000002</v>
      </c>
      <c r="AB88" s="3049">
        <f t="shared" si="7"/>
        <v>1.0000000000000002</v>
      </c>
      <c r="AC88" s="3049">
        <f t="shared" si="7"/>
        <v>0.99999999999999989</v>
      </c>
      <c r="AD88" s="3049">
        <f t="shared" si="7"/>
        <v>0.99999999999999989</v>
      </c>
      <c r="AE88" s="3050">
        <f t="shared" si="7"/>
        <v>0.99999999999999989</v>
      </c>
      <c r="AF88" s="3050">
        <f t="shared" si="7"/>
        <v>1</v>
      </c>
    </row>
    <row r="89" spans="1:32" s="3047" customFormat="1">
      <c r="A89" s="3043">
        <v>200</v>
      </c>
      <c r="B89" s="3044">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1</v>
      </c>
      <c r="T89" s="3049">
        <f t="shared" si="7"/>
        <v>1.0000000000000002</v>
      </c>
      <c r="U89" s="3049">
        <f t="shared" si="7"/>
        <v>1</v>
      </c>
      <c r="V89" s="3049">
        <f t="shared" si="7"/>
        <v>1</v>
      </c>
      <c r="W89" s="3049">
        <f t="shared" si="7"/>
        <v>1.0004568178877085</v>
      </c>
      <c r="X89" s="3049">
        <f t="shared" si="7"/>
        <v>1</v>
      </c>
      <c r="Y89" s="3049">
        <f t="shared" si="7"/>
        <v>0.99999999999999978</v>
      </c>
      <c r="Z89" s="3049">
        <f t="shared" si="7"/>
        <v>1</v>
      </c>
      <c r="AA89" s="3049">
        <f t="shared" si="7"/>
        <v>1.0000000000000002</v>
      </c>
      <c r="AB89" s="3049">
        <f t="shared" si="7"/>
        <v>1.0000000000000002</v>
      </c>
      <c r="AC89" s="3049">
        <f t="shared" si="7"/>
        <v>0.99999999999999989</v>
      </c>
      <c r="AD89" s="3049">
        <f t="shared" si="7"/>
        <v>0.99999999999999989</v>
      </c>
      <c r="AE89" s="3050">
        <f t="shared" si="7"/>
        <v>0.99999999999999989</v>
      </c>
      <c r="AF89" s="3050">
        <f t="shared" si="7"/>
        <v>1</v>
      </c>
    </row>
    <row r="90" spans="1:32" s="3047" customFormat="1">
      <c r="A90" s="3043">
        <v>200</v>
      </c>
      <c r="B90" s="3044">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1</v>
      </c>
      <c r="T90" s="3049">
        <f t="shared" si="7"/>
        <v>1.0000000000000002</v>
      </c>
      <c r="U90" s="3049">
        <f t="shared" si="7"/>
        <v>1</v>
      </c>
      <c r="V90" s="3049">
        <f t="shared" si="7"/>
        <v>1</v>
      </c>
      <c r="W90" s="3049">
        <f t="shared" si="7"/>
        <v>1.0004568178877085</v>
      </c>
      <c r="X90" s="3049">
        <f t="shared" si="7"/>
        <v>1</v>
      </c>
      <c r="Y90" s="3049">
        <f t="shared" si="7"/>
        <v>0.99999999999999978</v>
      </c>
      <c r="Z90" s="3049">
        <f t="shared" si="7"/>
        <v>1</v>
      </c>
      <c r="AA90" s="3049">
        <f t="shared" si="7"/>
        <v>1.0000000000000002</v>
      </c>
      <c r="AB90" s="3049">
        <f t="shared" si="7"/>
        <v>1.0000000000000002</v>
      </c>
      <c r="AC90" s="3049">
        <f t="shared" si="7"/>
        <v>0.99999999999999989</v>
      </c>
      <c r="AD90" s="3049">
        <f t="shared" si="7"/>
        <v>0.99999999999999989</v>
      </c>
      <c r="AE90" s="3050">
        <f t="shared" si="7"/>
        <v>0.99999999999999989</v>
      </c>
      <c r="AF90" s="3050">
        <f t="shared" si="7"/>
        <v>1</v>
      </c>
    </row>
    <row r="91" spans="1:32" s="3047" customFormat="1">
      <c r="A91" s="3043">
        <v>200</v>
      </c>
      <c r="B91" s="3044">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1</v>
      </c>
      <c r="T91" s="3049">
        <f t="shared" si="7"/>
        <v>1.0000000000000002</v>
      </c>
      <c r="U91" s="3049">
        <f t="shared" si="7"/>
        <v>1</v>
      </c>
      <c r="V91" s="3049">
        <f t="shared" si="7"/>
        <v>1</v>
      </c>
      <c r="W91" s="3049">
        <f t="shared" si="7"/>
        <v>1.0004568178877085</v>
      </c>
      <c r="X91" s="3049">
        <f t="shared" si="7"/>
        <v>1</v>
      </c>
      <c r="Y91" s="3049">
        <f t="shared" si="7"/>
        <v>0.99999999999999978</v>
      </c>
      <c r="Z91" s="3049">
        <f t="shared" si="7"/>
        <v>1</v>
      </c>
      <c r="AA91" s="3049">
        <f t="shared" si="7"/>
        <v>1.0000000000000002</v>
      </c>
      <c r="AB91" s="3049">
        <f t="shared" si="7"/>
        <v>1.0000000000000002</v>
      </c>
      <c r="AC91" s="3049">
        <f t="shared" si="7"/>
        <v>0.99999999999999989</v>
      </c>
      <c r="AD91" s="3049">
        <f t="shared" si="7"/>
        <v>0.99999999999999989</v>
      </c>
      <c r="AE91" s="3050">
        <f t="shared" si="7"/>
        <v>0.99999999999999989</v>
      </c>
      <c r="AF91" s="3050">
        <f t="shared" si="7"/>
        <v>1</v>
      </c>
    </row>
    <row r="92" spans="1:32" s="3047" customFormat="1">
      <c r="A92" s="3043">
        <v>200</v>
      </c>
      <c r="B92" s="3044">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1</v>
      </c>
      <c r="T92" s="3049">
        <f t="shared" si="7"/>
        <v>1.0000000000000002</v>
      </c>
      <c r="U92" s="3049">
        <f t="shared" si="7"/>
        <v>1</v>
      </c>
      <c r="V92" s="3049">
        <f t="shared" si="7"/>
        <v>1</v>
      </c>
      <c r="W92" s="3049">
        <f t="shared" si="7"/>
        <v>1.0004568178877085</v>
      </c>
      <c r="X92" s="3049">
        <f t="shared" si="7"/>
        <v>1</v>
      </c>
      <c r="Y92" s="3049">
        <f t="shared" si="7"/>
        <v>0.99999999999999978</v>
      </c>
      <c r="Z92" s="3049">
        <f t="shared" si="7"/>
        <v>1</v>
      </c>
      <c r="AA92" s="3049">
        <f t="shared" si="7"/>
        <v>1.0000000000000002</v>
      </c>
      <c r="AB92" s="3049">
        <f t="shared" si="7"/>
        <v>1.0000000000000002</v>
      </c>
      <c r="AC92" s="3049">
        <f t="shared" si="7"/>
        <v>0.99999999999999989</v>
      </c>
      <c r="AD92" s="3049">
        <f t="shared" si="7"/>
        <v>0.99999999999999989</v>
      </c>
      <c r="AE92" s="3050">
        <f t="shared" si="7"/>
        <v>0.99999999999999989</v>
      </c>
      <c r="AF92" s="3050">
        <f t="shared" si="7"/>
        <v>1</v>
      </c>
    </row>
    <row r="93" spans="1:32" s="3047" customFormat="1">
      <c r="A93" s="3043">
        <v>200</v>
      </c>
      <c r="B93" s="3044">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1</v>
      </c>
      <c r="T93" s="3049">
        <f t="shared" si="7"/>
        <v>1.0000000000000002</v>
      </c>
      <c r="U93" s="3049">
        <f t="shared" si="7"/>
        <v>1</v>
      </c>
      <c r="V93" s="3049">
        <f t="shared" si="7"/>
        <v>1</v>
      </c>
      <c r="W93" s="3049">
        <f t="shared" si="7"/>
        <v>1.0004568178877085</v>
      </c>
      <c r="X93" s="3049">
        <f t="shared" si="7"/>
        <v>1</v>
      </c>
      <c r="Y93" s="3049">
        <f t="shared" si="7"/>
        <v>0.99999999999999978</v>
      </c>
      <c r="Z93" s="3049">
        <f t="shared" si="7"/>
        <v>1</v>
      </c>
      <c r="AA93" s="3049">
        <f t="shared" si="7"/>
        <v>1.0000000000000002</v>
      </c>
      <c r="AB93" s="3049">
        <f t="shared" si="7"/>
        <v>1.0000000000000002</v>
      </c>
      <c r="AC93" s="3049">
        <f t="shared" si="7"/>
        <v>0.99999999999999989</v>
      </c>
      <c r="AD93" s="3049">
        <f t="shared" si="7"/>
        <v>0.99999999999999989</v>
      </c>
      <c r="AE93" s="3050">
        <f t="shared" si="7"/>
        <v>0.99999999999999989</v>
      </c>
      <c r="AF93" s="3050">
        <f t="shared" si="7"/>
        <v>1</v>
      </c>
    </row>
    <row r="94" spans="1:32" s="3047" customFormat="1">
      <c r="A94" s="3043">
        <v>200</v>
      </c>
      <c r="B94" s="3044">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1</v>
      </c>
      <c r="T94" s="3049">
        <f t="shared" si="7"/>
        <v>1.0000000000000002</v>
      </c>
      <c r="U94" s="3049">
        <f t="shared" si="7"/>
        <v>1</v>
      </c>
      <c r="V94" s="3049">
        <f t="shared" si="7"/>
        <v>1</v>
      </c>
      <c r="W94" s="3049">
        <f t="shared" si="7"/>
        <v>1.0004568178877085</v>
      </c>
      <c r="X94" s="3049">
        <f t="shared" si="7"/>
        <v>1</v>
      </c>
      <c r="Y94" s="3049">
        <f t="shared" si="7"/>
        <v>0.99999999999999978</v>
      </c>
      <c r="Z94" s="3049">
        <f t="shared" si="7"/>
        <v>1</v>
      </c>
      <c r="AA94" s="3049">
        <f t="shared" si="7"/>
        <v>1.0000000000000002</v>
      </c>
      <c r="AB94" s="3049">
        <f t="shared" si="7"/>
        <v>1.0000000000000002</v>
      </c>
      <c r="AC94" s="3049">
        <f t="shared" si="7"/>
        <v>0.99999999999999989</v>
      </c>
      <c r="AD94" s="3049">
        <f t="shared" si="7"/>
        <v>0.99999999999999989</v>
      </c>
      <c r="AE94" s="3050">
        <f t="shared" si="7"/>
        <v>0.99999999999999989</v>
      </c>
      <c r="AF94" s="3050">
        <f t="shared" si="7"/>
        <v>1</v>
      </c>
    </row>
    <row r="95" spans="1:32" s="3047" customFormat="1">
      <c r="A95" s="3043">
        <v>200</v>
      </c>
      <c r="B95" s="3044">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1</v>
      </c>
      <c r="T95" s="3049">
        <f t="shared" si="7"/>
        <v>1.0000000000000002</v>
      </c>
      <c r="U95" s="3049">
        <f t="shared" si="7"/>
        <v>1</v>
      </c>
      <c r="V95" s="3049">
        <f t="shared" si="7"/>
        <v>1</v>
      </c>
      <c r="W95" s="3049">
        <f t="shared" si="7"/>
        <v>1.0004568178877085</v>
      </c>
      <c r="X95" s="3049">
        <f t="shared" si="7"/>
        <v>1</v>
      </c>
      <c r="Y95" s="3049">
        <f t="shared" si="7"/>
        <v>0.99999999999999978</v>
      </c>
      <c r="Z95" s="3049">
        <f t="shared" si="7"/>
        <v>1</v>
      </c>
      <c r="AA95" s="3049">
        <f t="shared" si="7"/>
        <v>1.0000000000000002</v>
      </c>
      <c r="AB95" s="3049">
        <f t="shared" si="7"/>
        <v>1.0000000000000002</v>
      </c>
      <c r="AC95" s="3049">
        <f t="shared" si="7"/>
        <v>0.99999999999999989</v>
      </c>
      <c r="AD95" s="3049">
        <f t="shared" si="7"/>
        <v>0.99999999999999989</v>
      </c>
      <c r="AE95" s="3050">
        <f t="shared" si="7"/>
        <v>0.99999999999999989</v>
      </c>
      <c r="AF95" s="3050">
        <f t="shared" si="7"/>
        <v>1</v>
      </c>
    </row>
    <row r="96" spans="1:32" s="3047" customFormat="1">
      <c r="A96" s="3043">
        <v>200</v>
      </c>
      <c r="B96" s="3044">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1</v>
      </c>
      <c r="T96" s="3049">
        <f t="shared" si="7"/>
        <v>1.0000000000000002</v>
      </c>
      <c r="U96" s="3049">
        <f t="shared" si="7"/>
        <v>1</v>
      </c>
      <c r="V96" s="3049">
        <f t="shared" si="7"/>
        <v>1</v>
      </c>
      <c r="W96" s="3049">
        <f t="shared" si="7"/>
        <v>1.0004568178877085</v>
      </c>
      <c r="X96" s="3049">
        <f t="shared" si="7"/>
        <v>1</v>
      </c>
      <c r="Y96" s="3049">
        <f t="shared" si="7"/>
        <v>0.99999999999999978</v>
      </c>
      <c r="Z96" s="3049">
        <f t="shared" si="7"/>
        <v>1</v>
      </c>
      <c r="AA96" s="3049">
        <f t="shared" si="7"/>
        <v>1.0000000000000002</v>
      </c>
      <c r="AB96" s="3049">
        <f t="shared" si="7"/>
        <v>1.0000000000000002</v>
      </c>
      <c r="AC96" s="3049">
        <f t="shared" si="7"/>
        <v>0.99999999999999989</v>
      </c>
      <c r="AD96" s="3049">
        <f t="shared" si="7"/>
        <v>0.99999999999999989</v>
      </c>
      <c r="AE96" s="3050">
        <f t="shared" si="7"/>
        <v>0.99999999999999989</v>
      </c>
      <c r="AF96" s="3050">
        <f t="shared" si="7"/>
        <v>1</v>
      </c>
    </row>
    <row r="97" spans="1:32" s="3047" customFormat="1">
      <c r="A97" s="3043">
        <v>200</v>
      </c>
      <c r="B97" s="3044">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1</v>
      </c>
      <c r="T97" s="3049">
        <f t="shared" si="7"/>
        <v>1.0000000000000002</v>
      </c>
      <c r="U97" s="3049">
        <f t="shared" si="7"/>
        <v>1</v>
      </c>
      <c r="V97" s="3049">
        <f t="shared" si="7"/>
        <v>1</v>
      </c>
      <c r="W97" s="3049">
        <f t="shared" si="7"/>
        <v>1.0004568178877085</v>
      </c>
      <c r="X97" s="3049">
        <f t="shared" si="7"/>
        <v>1</v>
      </c>
      <c r="Y97" s="3049">
        <f t="shared" si="7"/>
        <v>0.99999999999999978</v>
      </c>
      <c r="Z97" s="3049">
        <f t="shared" si="7"/>
        <v>1</v>
      </c>
      <c r="AA97" s="3049">
        <f t="shared" si="7"/>
        <v>1.0000000000000002</v>
      </c>
      <c r="AB97" s="3049">
        <f t="shared" si="7"/>
        <v>1.0000000000000002</v>
      </c>
      <c r="AC97" s="3049">
        <f t="shared" si="7"/>
        <v>0.99999999999999989</v>
      </c>
      <c r="AD97" s="3049">
        <f t="shared" si="7"/>
        <v>0.99999999999999989</v>
      </c>
      <c r="AE97" s="3050">
        <f t="shared" si="7"/>
        <v>0.99999999999999989</v>
      </c>
      <c r="AF97" s="3050">
        <f t="shared" si="7"/>
        <v>1</v>
      </c>
    </row>
    <row r="98" spans="1:32" s="3047" customFormat="1">
      <c r="A98" s="3043">
        <v>200</v>
      </c>
      <c r="B98" s="3044">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1</v>
      </c>
      <c r="T98" s="3049">
        <f t="shared" si="7"/>
        <v>1.0000000000000002</v>
      </c>
      <c r="U98" s="3049">
        <f t="shared" si="7"/>
        <v>1</v>
      </c>
      <c r="V98" s="3049">
        <f t="shared" si="7"/>
        <v>1</v>
      </c>
      <c r="W98" s="3049">
        <f t="shared" si="7"/>
        <v>1.0004568178877085</v>
      </c>
      <c r="X98" s="3049">
        <f t="shared" si="7"/>
        <v>1</v>
      </c>
      <c r="Y98" s="3049">
        <f t="shared" si="7"/>
        <v>0.99999999999999978</v>
      </c>
      <c r="Z98" s="3049">
        <f t="shared" si="7"/>
        <v>1</v>
      </c>
      <c r="AA98" s="3049">
        <f t="shared" si="7"/>
        <v>1.0000000000000002</v>
      </c>
      <c r="AB98" s="3049">
        <f t="shared" si="7"/>
        <v>1.0000000000000002</v>
      </c>
      <c r="AC98" s="3049">
        <f t="shared" si="7"/>
        <v>0.99999999999999989</v>
      </c>
      <c r="AD98" s="3049">
        <f t="shared" si="7"/>
        <v>0.99999999999999989</v>
      </c>
      <c r="AE98" s="3050">
        <f t="shared" si="7"/>
        <v>0.99999999999999989</v>
      </c>
      <c r="AF98" s="3050">
        <f t="shared" si="7"/>
        <v>1</v>
      </c>
    </row>
    <row r="99" spans="1:32" s="3047" customFormat="1">
      <c r="A99" s="3043">
        <v>200</v>
      </c>
      <c r="B99" s="3044">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1</v>
      </c>
      <c r="T99" s="3049">
        <f t="shared" si="7"/>
        <v>1.0000000000000002</v>
      </c>
      <c r="U99" s="3049">
        <f t="shared" si="7"/>
        <v>1</v>
      </c>
      <c r="V99" s="3049">
        <f t="shared" si="7"/>
        <v>1</v>
      </c>
      <c r="W99" s="3049">
        <f t="shared" si="7"/>
        <v>1.0004568178877085</v>
      </c>
      <c r="X99" s="3049">
        <f t="shared" si="7"/>
        <v>1</v>
      </c>
      <c r="Y99" s="3049">
        <f t="shared" si="7"/>
        <v>0.99999999999999978</v>
      </c>
      <c r="Z99" s="3049">
        <f t="shared" si="7"/>
        <v>1</v>
      </c>
      <c r="AA99" s="3049">
        <f t="shared" si="7"/>
        <v>1.0000000000000002</v>
      </c>
      <c r="AB99" s="3049">
        <f t="shared" si="7"/>
        <v>1.0000000000000002</v>
      </c>
      <c r="AC99" s="3049">
        <f t="shared" si="7"/>
        <v>0.99999999999999989</v>
      </c>
      <c r="AD99" s="3049">
        <f t="shared" si="7"/>
        <v>0.99999999999999989</v>
      </c>
      <c r="AE99" s="3050">
        <f t="shared" si="7"/>
        <v>0.99999999999999989</v>
      </c>
      <c r="AF99" s="3050">
        <f t="shared" si="7"/>
        <v>1</v>
      </c>
    </row>
    <row r="100" spans="1:32" s="3047" customFormat="1">
      <c r="A100" s="3043">
        <v>200</v>
      </c>
      <c r="B100" s="3044">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1</v>
      </c>
      <c r="T100" s="3049">
        <f t="shared" si="7"/>
        <v>1.0000000000000002</v>
      </c>
      <c r="U100" s="3049">
        <f t="shared" si="7"/>
        <v>1</v>
      </c>
      <c r="V100" s="3049">
        <f t="shared" si="7"/>
        <v>1</v>
      </c>
      <c r="W100" s="3049">
        <f t="shared" si="7"/>
        <v>1.0004568178877085</v>
      </c>
      <c r="X100" s="3049">
        <f t="shared" si="7"/>
        <v>1</v>
      </c>
      <c r="Y100" s="3049">
        <f t="shared" si="7"/>
        <v>0.99999999999999978</v>
      </c>
      <c r="Z100" s="3049">
        <f t="shared" si="7"/>
        <v>1</v>
      </c>
      <c r="AA100" s="3049">
        <f t="shared" si="7"/>
        <v>1.0000000000000002</v>
      </c>
      <c r="AB100" s="3049">
        <f t="shared" si="7"/>
        <v>1.0000000000000002</v>
      </c>
      <c r="AC100" s="3049">
        <f t="shared" si="7"/>
        <v>0.99999999999999989</v>
      </c>
      <c r="AD100" s="3049">
        <f t="shared" si="7"/>
        <v>0.99999999999999989</v>
      </c>
      <c r="AE100" s="3050">
        <f t="shared" si="7"/>
        <v>0.99999999999999989</v>
      </c>
      <c r="AF100" s="3050">
        <f t="shared" si="7"/>
        <v>1</v>
      </c>
    </row>
    <row r="101" spans="1:32" s="3047" customFormat="1">
      <c r="A101" s="3043">
        <v>200</v>
      </c>
      <c r="B101" s="3044">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1</v>
      </c>
      <c r="T101" s="3049">
        <f t="shared" si="7"/>
        <v>1.0000000000000002</v>
      </c>
      <c r="U101" s="3049">
        <f t="shared" si="7"/>
        <v>1</v>
      </c>
      <c r="V101" s="3049">
        <f t="shared" si="7"/>
        <v>1</v>
      </c>
      <c r="W101" s="3049">
        <f t="shared" si="7"/>
        <v>1.0004568178877085</v>
      </c>
      <c r="X101" s="3049">
        <f t="shared" si="7"/>
        <v>1</v>
      </c>
      <c r="Y101" s="3049">
        <f t="shared" si="7"/>
        <v>0.99999999999999978</v>
      </c>
      <c r="Z101" s="3049">
        <f t="shared" si="7"/>
        <v>1</v>
      </c>
      <c r="AA101" s="3049">
        <f t="shared" si="7"/>
        <v>1.0000000000000002</v>
      </c>
      <c r="AB101" s="3049">
        <f t="shared" si="7"/>
        <v>1.0000000000000002</v>
      </c>
      <c r="AC101" s="3049">
        <f t="shared" si="7"/>
        <v>0.99999999999999989</v>
      </c>
      <c r="AD101" s="3049">
        <f t="shared" si="7"/>
        <v>0.99999999999999989</v>
      </c>
      <c r="AE101" s="3050">
        <f t="shared" si="7"/>
        <v>0.99999999999999989</v>
      </c>
      <c r="AF101" s="3050">
        <f t="shared" si="7"/>
        <v>1</v>
      </c>
    </row>
    <row r="102" spans="1:32" s="3047" customFormat="1">
      <c r="A102" s="3043">
        <v>200</v>
      </c>
      <c r="B102" s="3044">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1</v>
      </c>
      <c r="T102" s="3049">
        <f t="shared" si="8"/>
        <v>1.0000000000000002</v>
      </c>
      <c r="U102" s="3049">
        <f t="shared" si="8"/>
        <v>1</v>
      </c>
      <c r="V102" s="3049">
        <f t="shared" si="8"/>
        <v>1</v>
      </c>
      <c r="W102" s="3049">
        <f t="shared" si="8"/>
        <v>1.0004568178877085</v>
      </c>
      <c r="X102" s="3049">
        <f t="shared" si="8"/>
        <v>1</v>
      </c>
      <c r="Y102" s="3049">
        <f t="shared" si="8"/>
        <v>0.99999999999999978</v>
      </c>
      <c r="Z102" s="3049">
        <f t="shared" si="8"/>
        <v>1</v>
      </c>
      <c r="AA102" s="3049">
        <f t="shared" si="8"/>
        <v>1.0000000000000002</v>
      </c>
      <c r="AB102" s="3049">
        <f t="shared" si="8"/>
        <v>1.0000000000000002</v>
      </c>
      <c r="AC102" s="3049">
        <f t="shared" si="8"/>
        <v>0.99999999999999989</v>
      </c>
      <c r="AD102" s="3049">
        <f t="shared" si="8"/>
        <v>0.99999999999999989</v>
      </c>
      <c r="AE102" s="3050">
        <f t="shared" si="8"/>
        <v>0.99999999999999989</v>
      </c>
      <c r="AF102" s="3050">
        <f t="shared" si="8"/>
        <v>1</v>
      </c>
    </row>
    <row r="103" spans="1:32" s="3047" customFormat="1">
      <c r="A103" s="3043">
        <v>200</v>
      </c>
      <c r="B103" s="3044">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1</v>
      </c>
      <c r="T103" s="3049">
        <f t="shared" si="8"/>
        <v>1.0000000000000002</v>
      </c>
      <c r="U103" s="3049">
        <f t="shared" si="8"/>
        <v>1</v>
      </c>
      <c r="V103" s="3049">
        <f t="shared" si="8"/>
        <v>1</v>
      </c>
      <c r="W103" s="3049">
        <f t="shared" si="8"/>
        <v>1.0004568178877085</v>
      </c>
      <c r="X103" s="3049">
        <f t="shared" si="8"/>
        <v>1</v>
      </c>
      <c r="Y103" s="3049">
        <f t="shared" si="8"/>
        <v>0.99999999999999978</v>
      </c>
      <c r="Z103" s="3049">
        <f t="shared" si="8"/>
        <v>1</v>
      </c>
      <c r="AA103" s="3049">
        <f t="shared" si="8"/>
        <v>1.0000000000000002</v>
      </c>
      <c r="AB103" s="3049">
        <f t="shared" si="8"/>
        <v>1.0000000000000002</v>
      </c>
      <c r="AC103" s="3049">
        <f t="shared" si="8"/>
        <v>0.99999999999999989</v>
      </c>
      <c r="AD103" s="3049">
        <f t="shared" si="8"/>
        <v>0.99999999999999989</v>
      </c>
      <c r="AE103" s="3050">
        <f t="shared" si="8"/>
        <v>0.99999999999999989</v>
      </c>
      <c r="AF103" s="3050">
        <f t="shared" si="8"/>
        <v>1</v>
      </c>
    </row>
    <row r="104" spans="1:32" s="3047" customFormat="1">
      <c r="A104" s="3043">
        <v>200</v>
      </c>
      <c r="B104" s="3044">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1</v>
      </c>
      <c r="T104" s="3049">
        <f t="shared" si="8"/>
        <v>1.0000000000000002</v>
      </c>
      <c r="U104" s="3049">
        <f t="shared" si="8"/>
        <v>1</v>
      </c>
      <c r="V104" s="3049">
        <f t="shared" si="8"/>
        <v>1</v>
      </c>
      <c r="W104" s="3049">
        <f t="shared" si="8"/>
        <v>1.0004568178877085</v>
      </c>
      <c r="X104" s="3049">
        <f t="shared" si="8"/>
        <v>1</v>
      </c>
      <c r="Y104" s="3049">
        <f t="shared" si="8"/>
        <v>0.99999999999999978</v>
      </c>
      <c r="Z104" s="3049">
        <f t="shared" si="8"/>
        <v>1</v>
      </c>
      <c r="AA104" s="3049">
        <f t="shared" si="8"/>
        <v>1.0000000000000002</v>
      </c>
      <c r="AB104" s="3049">
        <f t="shared" si="8"/>
        <v>1.0000000000000002</v>
      </c>
      <c r="AC104" s="3049">
        <f t="shared" si="8"/>
        <v>0.99999999999999989</v>
      </c>
      <c r="AD104" s="3049">
        <f t="shared" si="8"/>
        <v>0.99999999999999989</v>
      </c>
      <c r="AE104" s="3050">
        <f t="shared" si="8"/>
        <v>0.99999999999999989</v>
      </c>
      <c r="AF104" s="3050">
        <f t="shared" si="8"/>
        <v>1</v>
      </c>
    </row>
    <row r="105" spans="1:32" s="3047" customFormat="1">
      <c r="A105" s="3043"/>
      <c r="B105" s="3044"/>
      <c r="C105" s="3044"/>
      <c r="D105" s="3044"/>
      <c r="E105" s="3044"/>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row>
    <row r="106" spans="1:32" s="3047" customFormat="1">
      <c r="A106" s="3043"/>
      <c r="B106" s="3044"/>
      <c r="C106" s="3044"/>
      <c r="D106" s="3044"/>
      <c r="E106" s="3044"/>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row>
  </sheetData>
  <phoneticPr fontId="9" type="noConversion"/>
  <pageMargins left="0.7" right="0.7" top="0.75" bottom="0.75" header="0.3" footer="0.3"/>
  <pageSetup paperSize="9" scale="3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38"/>
  <dimension ref="A1:AF216"/>
  <sheetViews>
    <sheetView view="pageBreakPreview" zoomScale="70" zoomScaleNormal="70" zoomScaleSheetLayoutView="70" workbookViewId="0">
      <pane xSplit="2" ySplit="4" topLeftCell="C5" activePane="bottomRight" state="frozen"/>
      <selection activeCell="G28" sqref="G28"/>
      <selection pane="topRight" activeCell="G28" sqref="G28"/>
      <selection pane="bottomLeft" activeCell="G28" sqref="G28"/>
      <selection pane="bottomRight" sqref="A1:XFD1048576"/>
    </sheetView>
  </sheetViews>
  <sheetFormatPr defaultRowHeight="15.75"/>
  <cols>
    <col min="1" max="1" width="18.75" style="3051" customWidth="1"/>
    <col min="2" max="2" width="9" style="1189"/>
    <col min="3" max="15" width="14.875" style="1189" customWidth="1"/>
    <col min="16" max="16" width="10.625" style="1189" bestFit="1" customWidth="1"/>
    <col min="17" max="17" width="13.25" style="1189" customWidth="1"/>
    <col min="18" max="18" width="17.375" style="1189" customWidth="1"/>
    <col min="19" max="20" width="22" style="1189" customWidth="1"/>
    <col min="21" max="30" width="11.875" style="1189" bestFit="1" customWidth="1"/>
    <col min="31" max="32" width="10.625" style="2428" bestFit="1" customWidth="1"/>
    <col min="33" max="16384" width="9" style="2428"/>
  </cols>
  <sheetData>
    <row r="1" spans="1:32" ht="21">
      <c r="A1" s="2747" t="str">
        <f>+封面!A3&amp;" "&amp;封面!A2</f>
        <v xml:space="preserve">        保險股份有限公司(○○分公司) 年度(月、季、半年)報表</v>
      </c>
    </row>
    <row r="2" spans="1:32" ht="21">
      <c r="A2" s="1175" t="s">
        <v>6064</v>
      </c>
    </row>
    <row r="3" spans="1:32">
      <c r="A3" s="2428"/>
    </row>
    <row r="4" spans="1:32" s="3047" customFormat="1">
      <c r="A4" s="3043" t="s">
        <v>6599</v>
      </c>
      <c r="B4" s="3044" t="s">
        <v>3715</v>
      </c>
      <c r="C4" s="3045" t="s">
        <v>3621</v>
      </c>
      <c r="D4" s="3045" t="s">
        <v>3623</v>
      </c>
      <c r="E4" s="3045" t="s">
        <v>3625</v>
      </c>
      <c r="F4" s="3045" t="s">
        <v>3627</v>
      </c>
      <c r="G4" s="3045" t="s">
        <v>3629</v>
      </c>
      <c r="H4" s="3045" t="s">
        <v>3631</v>
      </c>
      <c r="I4" s="3045" t="s">
        <v>3633</v>
      </c>
      <c r="J4" s="3045" t="s">
        <v>3635</v>
      </c>
      <c r="K4" s="3045" t="s">
        <v>3637</v>
      </c>
      <c r="L4" s="3045" t="s">
        <v>3639</v>
      </c>
      <c r="M4" s="3045" t="s">
        <v>3641</v>
      </c>
      <c r="N4" s="3045" t="s">
        <v>3643</v>
      </c>
      <c r="O4" s="3045" t="s">
        <v>3645</v>
      </c>
      <c r="P4" s="3045" t="s">
        <v>3716</v>
      </c>
      <c r="Q4" s="3045" t="s">
        <v>3717</v>
      </c>
      <c r="R4" s="3046" t="str">
        <f t="shared" ref="R4:AF4" si="0">C4&amp;"a"</f>
        <v>Z1a</v>
      </c>
      <c r="S4" s="3046" t="str">
        <f t="shared" si="0"/>
        <v>Z1p1a</v>
      </c>
      <c r="T4" s="3046" t="str">
        <f t="shared" si="0"/>
        <v>Z2a</v>
      </c>
      <c r="U4" s="3046" t="str">
        <f t="shared" si="0"/>
        <v>Z3a</v>
      </c>
      <c r="V4" s="3046" t="str">
        <f t="shared" si="0"/>
        <v>Z4a</v>
      </c>
      <c r="W4" s="3046" t="str">
        <f t="shared" si="0"/>
        <v>Z5a</v>
      </c>
      <c r="X4" s="3046" t="str">
        <f t="shared" si="0"/>
        <v>Z6a</v>
      </c>
      <c r="Y4" s="3046" t="str">
        <f t="shared" si="0"/>
        <v>Z7a</v>
      </c>
      <c r="Z4" s="3046" t="str">
        <f t="shared" si="0"/>
        <v>Z8a</v>
      </c>
      <c r="AA4" s="3046" t="str">
        <f t="shared" si="0"/>
        <v>Z9a</v>
      </c>
      <c r="AB4" s="3046" t="str">
        <f t="shared" si="0"/>
        <v>Z10a</v>
      </c>
      <c r="AC4" s="3046" t="str">
        <f t="shared" si="0"/>
        <v>Z11a</v>
      </c>
      <c r="AD4" s="3046" t="str">
        <f t="shared" si="0"/>
        <v>Z12a</v>
      </c>
      <c r="AE4" s="3046" t="str">
        <f t="shared" si="0"/>
        <v>Z13a</v>
      </c>
      <c r="AF4" s="3046" t="str">
        <f t="shared" si="0"/>
        <v>Z14a</v>
      </c>
    </row>
    <row r="5" spans="1:32" s="3047" customFormat="1">
      <c r="A5" s="3043">
        <v>200</v>
      </c>
      <c r="B5" s="3044">
        <v>1</v>
      </c>
      <c r="C5" s="3052">
        <v>0.59138095357121889</v>
      </c>
      <c r="D5" s="3052">
        <v>0.72491882833747345</v>
      </c>
      <c r="E5" s="3052">
        <v>0.39081040315799326</v>
      </c>
      <c r="F5" s="3052">
        <v>0.46034814016889669</v>
      </c>
      <c r="G5" s="3052">
        <v>0.30412273212813079</v>
      </c>
      <c r="H5" s="3052">
        <v>0.25852107481698161</v>
      </c>
      <c r="I5" s="3052">
        <v>0.28202536126349725</v>
      </c>
      <c r="J5" s="3052">
        <v>0.30371769119708131</v>
      </c>
      <c r="K5" s="3052">
        <v>0.31554671157236508</v>
      </c>
      <c r="L5" s="3052">
        <v>0.32641149681221082</v>
      </c>
      <c r="M5" s="3052">
        <v>0.68112499063404774</v>
      </c>
      <c r="N5" s="3052">
        <v>0.39883099139862349</v>
      </c>
      <c r="O5" s="3052">
        <v>0.89994255218724795</v>
      </c>
      <c r="P5" s="3052">
        <v>0.80321895574398128</v>
      </c>
      <c r="Q5" s="3052">
        <v>0.72461012021730919</v>
      </c>
      <c r="R5" s="3053">
        <f t="shared" ref="R5:AF5" si="1">C5</f>
        <v>0.59138095357121889</v>
      </c>
      <c r="S5" s="3053">
        <f t="shared" si="1"/>
        <v>0.72491882833747345</v>
      </c>
      <c r="T5" s="3053">
        <f t="shared" si="1"/>
        <v>0.39081040315799326</v>
      </c>
      <c r="U5" s="3053">
        <f t="shared" si="1"/>
        <v>0.46034814016889669</v>
      </c>
      <c r="V5" s="3053">
        <f t="shared" si="1"/>
        <v>0.30412273212813079</v>
      </c>
      <c r="W5" s="3053">
        <f t="shared" si="1"/>
        <v>0.25852107481698161</v>
      </c>
      <c r="X5" s="3053">
        <f t="shared" si="1"/>
        <v>0.28202536126349725</v>
      </c>
      <c r="Y5" s="3053">
        <f t="shared" si="1"/>
        <v>0.30371769119708131</v>
      </c>
      <c r="Z5" s="3053">
        <f t="shared" si="1"/>
        <v>0.31554671157236508</v>
      </c>
      <c r="AA5" s="3053">
        <f t="shared" si="1"/>
        <v>0.32641149681221082</v>
      </c>
      <c r="AB5" s="3053">
        <f t="shared" si="1"/>
        <v>0.68112499063404774</v>
      </c>
      <c r="AC5" s="3053">
        <f t="shared" si="1"/>
        <v>0.39883099139862349</v>
      </c>
      <c r="AD5" s="3053">
        <f t="shared" si="1"/>
        <v>0.89994255218724795</v>
      </c>
      <c r="AE5" s="1197">
        <f t="shared" si="1"/>
        <v>0.80321895574398128</v>
      </c>
      <c r="AF5" s="1197">
        <f t="shared" si="1"/>
        <v>0.72461012021730919</v>
      </c>
    </row>
    <row r="6" spans="1:32" s="3047" customFormat="1">
      <c r="A6" s="3043">
        <v>200</v>
      </c>
      <c r="B6" s="3044">
        <v>2</v>
      </c>
      <c r="C6" s="3052">
        <v>0.30880008596492264</v>
      </c>
      <c r="D6" s="3052">
        <v>0.24798114717159006</v>
      </c>
      <c r="E6" s="3052">
        <v>0.32529524297049789</v>
      </c>
      <c r="F6" s="3052">
        <v>0.40914909670571897</v>
      </c>
      <c r="G6" s="3052">
        <v>0.30412273212813079</v>
      </c>
      <c r="H6" s="3052">
        <v>0.25852107481698161</v>
      </c>
      <c r="I6" s="3052">
        <v>0.28202536126349725</v>
      </c>
      <c r="J6" s="3052">
        <v>0.30371769119708131</v>
      </c>
      <c r="K6" s="3052">
        <v>0.31554671157236508</v>
      </c>
      <c r="L6" s="3052">
        <v>0.32641149681221082</v>
      </c>
      <c r="M6" s="3052">
        <v>0.28777015021324986</v>
      </c>
      <c r="N6" s="3052">
        <v>0.39883099139862349</v>
      </c>
      <c r="O6" s="3052">
        <v>9.9657851733870886E-2</v>
      </c>
      <c r="P6" s="3052">
        <v>0.19599516638883574</v>
      </c>
      <c r="Q6" s="3052">
        <v>0.26591403180684653</v>
      </c>
      <c r="R6" s="3053">
        <f t="shared" ref="R6:AF21" si="2">C6+R5</f>
        <v>0.90018103953614159</v>
      </c>
      <c r="S6" s="3053">
        <f t="shared" si="2"/>
        <v>0.97289997550906349</v>
      </c>
      <c r="T6" s="3053">
        <f t="shared" si="2"/>
        <v>0.71610564612849115</v>
      </c>
      <c r="U6" s="3053">
        <f t="shared" si="2"/>
        <v>0.86949723687461566</v>
      </c>
      <c r="V6" s="3053">
        <f t="shared" si="2"/>
        <v>0.60824546425626158</v>
      </c>
      <c r="W6" s="3053">
        <f t="shared" si="2"/>
        <v>0.51704214963396322</v>
      </c>
      <c r="X6" s="3053">
        <f t="shared" si="2"/>
        <v>0.56405072252699451</v>
      </c>
      <c r="Y6" s="3053">
        <f t="shared" si="2"/>
        <v>0.60743538239416262</v>
      </c>
      <c r="Z6" s="3053">
        <f t="shared" si="2"/>
        <v>0.63109342314473016</v>
      </c>
      <c r="AA6" s="3053">
        <f t="shared" si="2"/>
        <v>0.65282299362442164</v>
      </c>
      <c r="AB6" s="3053">
        <f t="shared" si="2"/>
        <v>0.96889514084729766</v>
      </c>
      <c r="AC6" s="3053">
        <f t="shared" si="2"/>
        <v>0.79766198279724698</v>
      </c>
      <c r="AD6" s="3053">
        <f t="shared" si="2"/>
        <v>0.99960040392111882</v>
      </c>
      <c r="AE6" s="1197">
        <f t="shared" si="2"/>
        <v>0.99921412213281702</v>
      </c>
      <c r="AF6" s="1197">
        <f t="shared" si="2"/>
        <v>0.99052415202415567</v>
      </c>
    </row>
    <row r="7" spans="1:32" s="3047" customFormat="1">
      <c r="A7" s="3043">
        <v>200</v>
      </c>
      <c r="B7" s="3044">
        <v>3</v>
      </c>
      <c r="C7" s="3052">
        <v>7.8151515003046387E-2</v>
      </c>
      <c r="D7" s="3052">
        <v>2.533220528817292E-2</v>
      </c>
      <c r="E7" s="3052">
        <v>0.17933522523679848</v>
      </c>
      <c r="F7" s="3052">
        <v>0.12022085432465614</v>
      </c>
      <c r="G7" s="3052">
        <v>0.24902708936690668</v>
      </c>
      <c r="H7" s="3052">
        <v>0.25852107481698161</v>
      </c>
      <c r="I7" s="3052">
        <v>0.26184325074576381</v>
      </c>
      <c r="J7" s="3052">
        <v>0.26669603412983423</v>
      </c>
      <c r="K7" s="3052">
        <v>0.27369402048733504</v>
      </c>
      <c r="L7" s="3052">
        <v>0.27502404960630306</v>
      </c>
      <c r="M7" s="3052">
        <v>3.1009517817965477E-2</v>
      </c>
      <c r="N7" s="3052">
        <v>0.18659193409773692</v>
      </c>
      <c r="O7" s="3052">
        <v>3.995960788812062E-4</v>
      </c>
      <c r="P7" s="3052">
        <v>7.8587786718294225E-4</v>
      </c>
      <c r="Q7" s="3052">
        <v>9.4758479758442378E-3</v>
      </c>
      <c r="R7" s="3053">
        <f t="shared" si="2"/>
        <v>0.97833255453918799</v>
      </c>
      <c r="S7" s="3053">
        <f t="shared" si="2"/>
        <v>0.99823218079723641</v>
      </c>
      <c r="T7" s="3053">
        <f t="shared" si="2"/>
        <v>0.8954408713652896</v>
      </c>
      <c r="U7" s="3053">
        <f t="shared" si="2"/>
        <v>0.98971809119927179</v>
      </c>
      <c r="V7" s="3053">
        <f t="shared" si="2"/>
        <v>0.85727255362316823</v>
      </c>
      <c r="W7" s="3053">
        <f t="shared" si="2"/>
        <v>0.77556322445094483</v>
      </c>
      <c r="X7" s="3053">
        <f t="shared" si="2"/>
        <v>0.82589397327275837</v>
      </c>
      <c r="Y7" s="3053">
        <f t="shared" si="2"/>
        <v>0.87413141652399684</v>
      </c>
      <c r="Z7" s="3053">
        <f t="shared" si="2"/>
        <v>0.9047874436320652</v>
      </c>
      <c r="AA7" s="3053">
        <f t="shared" si="2"/>
        <v>0.92784704323072464</v>
      </c>
      <c r="AB7" s="3053">
        <f t="shared" si="2"/>
        <v>0.99990465866526312</v>
      </c>
      <c r="AC7" s="3053">
        <f t="shared" si="2"/>
        <v>0.98425391689498387</v>
      </c>
      <c r="AD7" s="3053">
        <f t="shared" si="2"/>
        <v>1</v>
      </c>
      <c r="AE7" s="1197">
        <f t="shared" si="2"/>
        <v>1</v>
      </c>
      <c r="AF7" s="1197">
        <f t="shared" si="2"/>
        <v>0.99999999999999989</v>
      </c>
    </row>
    <row r="8" spans="1:32" s="3047" customFormat="1">
      <c r="A8" s="3043">
        <v>200</v>
      </c>
      <c r="B8" s="3044">
        <v>4</v>
      </c>
      <c r="C8" s="3052">
        <v>1.8893930728648218E-2</v>
      </c>
      <c r="D8" s="3052">
        <v>1.7678192027635112E-3</v>
      </c>
      <c r="E8" s="3052">
        <v>8.8337646124914807E-2</v>
      </c>
      <c r="F8" s="3052">
        <v>1.0281908800728212E-2</v>
      </c>
      <c r="G8" s="3052">
        <v>0.10519545079098207</v>
      </c>
      <c r="H8" s="3052">
        <v>0.18484697678003445</v>
      </c>
      <c r="I8" s="3052">
        <v>0.13474864454082422</v>
      </c>
      <c r="J8" s="3052">
        <v>0.10751772089768767</v>
      </c>
      <c r="K8" s="3052">
        <v>8.8838695072297247E-2</v>
      </c>
      <c r="L8" s="3052">
        <v>7.0746220769656518E-2</v>
      </c>
      <c r="M8" s="3052">
        <v>9.5341334736930984E-5</v>
      </c>
      <c r="N8" s="3052">
        <v>1.5746083105016122E-2</v>
      </c>
      <c r="O8" s="3052">
        <v>0</v>
      </c>
      <c r="P8" s="3052">
        <v>0</v>
      </c>
      <c r="Q8" s="3052">
        <v>0</v>
      </c>
      <c r="R8" s="3053">
        <f t="shared" si="2"/>
        <v>0.99722648526783619</v>
      </c>
      <c r="S8" s="3053">
        <f t="shared" si="2"/>
        <v>0.99999999999999989</v>
      </c>
      <c r="T8" s="3053">
        <f t="shared" si="2"/>
        <v>0.9837785174902044</v>
      </c>
      <c r="U8" s="3053">
        <f t="shared" si="2"/>
        <v>1</v>
      </c>
      <c r="V8" s="3053">
        <f t="shared" si="2"/>
        <v>0.96246800441415026</v>
      </c>
      <c r="W8" s="3053">
        <f t="shared" si="2"/>
        <v>0.96041020123097931</v>
      </c>
      <c r="X8" s="3053">
        <f t="shared" si="2"/>
        <v>0.96064261781358262</v>
      </c>
      <c r="Y8" s="3053">
        <f t="shared" si="2"/>
        <v>0.98164913742168447</v>
      </c>
      <c r="Z8" s="3053">
        <f t="shared" si="2"/>
        <v>0.99362613870436245</v>
      </c>
      <c r="AA8" s="3053">
        <f t="shared" si="2"/>
        <v>0.99859326400038118</v>
      </c>
      <c r="AB8" s="3053">
        <f t="shared" si="2"/>
        <v>1</v>
      </c>
      <c r="AC8" s="3053">
        <f t="shared" si="2"/>
        <v>1</v>
      </c>
      <c r="AD8" s="3053">
        <f t="shared" si="2"/>
        <v>1</v>
      </c>
      <c r="AE8" s="1197">
        <f t="shared" si="2"/>
        <v>1</v>
      </c>
      <c r="AF8" s="1197">
        <f t="shared" si="2"/>
        <v>0.99999999999999989</v>
      </c>
    </row>
    <row r="9" spans="1:32" s="3047" customFormat="1">
      <c r="A9" s="3043">
        <v>200</v>
      </c>
      <c r="B9" s="3044">
        <v>5</v>
      </c>
      <c r="C9" s="3052">
        <v>2.5963034252852965E-3</v>
      </c>
      <c r="D9" s="3052">
        <v>0</v>
      </c>
      <c r="E9" s="3052">
        <v>1.6221482509795576E-2</v>
      </c>
      <c r="F9" s="3052">
        <v>0</v>
      </c>
      <c r="G9" s="3052">
        <v>3.2985810855306441E-2</v>
      </c>
      <c r="H9" s="3052">
        <v>3.8875710765947792E-2</v>
      </c>
      <c r="I9" s="3052">
        <v>3.8733299545823115E-2</v>
      </c>
      <c r="J9" s="3052">
        <v>1.8350862578315513E-2</v>
      </c>
      <c r="K9" s="3052">
        <v>6.3738612956376053E-3</v>
      </c>
      <c r="L9" s="3052">
        <v>1.4067359996187713E-3</v>
      </c>
      <c r="M9" s="3052">
        <v>0</v>
      </c>
      <c r="N9" s="3052">
        <v>0</v>
      </c>
      <c r="O9" s="3052">
        <v>0</v>
      </c>
      <c r="P9" s="3052">
        <v>0</v>
      </c>
      <c r="Q9" s="3052">
        <v>0</v>
      </c>
      <c r="R9" s="3053">
        <f t="shared" si="2"/>
        <v>0.99982278869312147</v>
      </c>
      <c r="S9" s="3053">
        <f t="shared" si="2"/>
        <v>0.99999999999999989</v>
      </c>
      <c r="T9" s="3053">
        <f t="shared" si="2"/>
        <v>1</v>
      </c>
      <c r="U9" s="3053">
        <f t="shared" si="2"/>
        <v>1</v>
      </c>
      <c r="V9" s="3053">
        <f t="shared" si="2"/>
        <v>0.99545381526945675</v>
      </c>
      <c r="W9" s="3053">
        <f t="shared" si="2"/>
        <v>0.99928591199692707</v>
      </c>
      <c r="X9" s="3053">
        <f t="shared" si="2"/>
        <v>0.99937591735940579</v>
      </c>
      <c r="Y9" s="3053">
        <f t="shared" si="2"/>
        <v>1</v>
      </c>
      <c r="Z9" s="3053">
        <f t="shared" si="2"/>
        <v>1</v>
      </c>
      <c r="AA9" s="3053">
        <f t="shared" si="2"/>
        <v>1</v>
      </c>
      <c r="AB9" s="3053">
        <f t="shared" si="2"/>
        <v>1</v>
      </c>
      <c r="AC9" s="3053">
        <f t="shared" si="2"/>
        <v>1</v>
      </c>
      <c r="AD9" s="3053">
        <f t="shared" si="2"/>
        <v>1</v>
      </c>
      <c r="AE9" s="1197">
        <f t="shared" si="2"/>
        <v>1</v>
      </c>
      <c r="AF9" s="1197">
        <f t="shared" si="2"/>
        <v>0.99999999999999989</v>
      </c>
    </row>
    <row r="10" spans="1:32" s="3047" customFormat="1">
      <c r="A10" s="3043">
        <v>200</v>
      </c>
      <c r="B10" s="3044">
        <v>6</v>
      </c>
      <c r="C10" s="3052">
        <v>1.7721130687858061E-4</v>
      </c>
      <c r="D10" s="3052">
        <v>0</v>
      </c>
      <c r="E10" s="3052">
        <v>0</v>
      </c>
      <c r="F10" s="3052">
        <v>0</v>
      </c>
      <c r="G10" s="3052">
        <v>4.5461847305431945E-3</v>
      </c>
      <c r="H10" s="3052">
        <v>7.1408800307292222E-4</v>
      </c>
      <c r="I10" s="3052">
        <v>6.2408264059436334E-4</v>
      </c>
      <c r="J10" s="3052">
        <v>0</v>
      </c>
      <c r="K10" s="3052">
        <v>0</v>
      </c>
      <c r="L10" s="3052">
        <v>0</v>
      </c>
      <c r="M10" s="3052">
        <v>0</v>
      </c>
      <c r="N10" s="3052">
        <v>0</v>
      </c>
      <c r="O10" s="3052">
        <v>0</v>
      </c>
      <c r="P10" s="3052">
        <v>0</v>
      </c>
      <c r="Q10" s="3052">
        <v>0</v>
      </c>
      <c r="R10" s="3053">
        <f t="shared" si="2"/>
        <v>1</v>
      </c>
      <c r="S10" s="3053">
        <f t="shared" si="2"/>
        <v>0.99999999999999989</v>
      </c>
      <c r="T10" s="3053">
        <f t="shared" si="2"/>
        <v>1</v>
      </c>
      <c r="U10" s="3053">
        <f t="shared" si="2"/>
        <v>1</v>
      </c>
      <c r="V10" s="3053">
        <f t="shared" si="2"/>
        <v>1</v>
      </c>
      <c r="W10" s="3053">
        <f t="shared" si="2"/>
        <v>1</v>
      </c>
      <c r="X10" s="3053">
        <f t="shared" si="2"/>
        <v>1.0000000000000002</v>
      </c>
      <c r="Y10" s="3053">
        <f t="shared" si="2"/>
        <v>1</v>
      </c>
      <c r="Z10" s="3053">
        <f t="shared" si="2"/>
        <v>1</v>
      </c>
      <c r="AA10" s="3053">
        <f t="shared" si="2"/>
        <v>1</v>
      </c>
      <c r="AB10" s="3053">
        <f t="shared" si="2"/>
        <v>1</v>
      </c>
      <c r="AC10" s="3053">
        <f t="shared" si="2"/>
        <v>1</v>
      </c>
      <c r="AD10" s="3053">
        <f t="shared" si="2"/>
        <v>1</v>
      </c>
      <c r="AE10" s="1197">
        <f t="shared" si="2"/>
        <v>1</v>
      </c>
      <c r="AF10" s="1197">
        <f t="shared" si="2"/>
        <v>0.99999999999999989</v>
      </c>
    </row>
    <row r="11" spans="1:32" s="3047" customFormat="1">
      <c r="A11" s="3043">
        <v>200</v>
      </c>
      <c r="B11" s="3044">
        <v>7</v>
      </c>
      <c r="C11" s="3052">
        <v>0</v>
      </c>
      <c r="D11" s="3052">
        <v>0</v>
      </c>
      <c r="E11" s="3052">
        <v>0</v>
      </c>
      <c r="F11" s="3052">
        <v>0</v>
      </c>
      <c r="G11" s="3052">
        <v>0</v>
      </c>
      <c r="H11" s="3052">
        <v>0</v>
      </c>
      <c r="I11" s="3052">
        <v>0</v>
      </c>
      <c r="J11" s="3052">
        <v>0</v>
      </c>
      <c r="K11" s="3052">
        <v>0</v>
      </c>
      <c r="L11" s="3052">
        <v>0</v>
      </c>
      <c r="M11" s="3052">
        <v>0</v>
      </c>
      <c r="N11" s="3052">
        <v>0</v>
      </c>
      <c r="O11" s="3052">
        <v>0</v>
      </c>
      <c r="P11" s="3052">
        <v>0</v>
      </c>
      <c r="Q11" s="3052">
        <v>0</v>
      </c>
      <c r="R11" s="3053">
        <f t="shared" si="2"/>
        <v>1</v>
      </c>
      <c r="S11" s="3053">
        <f t="shared" si="2"/>
        <v>0.99999999999999989</v>
      </c>
      <c r="T11" s="3053">
        <f t="shared" si="2"/>
        <v>1</v>
      </c>
      <c r="U11" s="3053">
        <f t="shared" si="2"/>
        <v>1</v>
      </c>
      <c r="V11" s="3053">
        <f t="shared" si="2"/>
        <v>1</v>
      </c>
      <c r="W11" s="3053">
        <f t="shared" si="2"/>
        <v>1</v>
      </c>
      <c r="X11" s="3053">
        <f t="shared" si="2"/>
        <v>1.0000000000000002</v>
      </c>
      <c r="Y11" s="3053">
        <f t="shared" si="2"/>
        <v>1</v>
      </c>
      <c r="Z11" s="3053">
        <f t="shared" si="2"/>
        <v>1</v>
      </c>
      <c r="AA11" s="3053">
        <f t="shared" si="2"/>
        <v>1</v>
      </c>
      <c r="AB11" s="3053">
        <f t="shared" si="2"/>
        <v>1</v>
      </c>
      <c r="AC11" s="3053">
        <f t="shared" si="2"/>
        <v>1</v>
      </c>
      <c r="AD11" s="3053">
        <f t="shared" si="2"/>
        <v>1</v>
      </c>
      <c r="AE11" s="1197">
        <f t="shared" si="2"/>
        <v>1</v>
      </c>
      <c r="AF11" s="1197">
        <f t="shared" si="2"/>
        <v>0.99999999999999989</v>
      </c>
    </row>
    <row r="12" spans="1:32" s="3047" customFormat="1">
      <c r="A12" s="3043">
        <v>200</v>
      </c>
      <c r="B12" s="3044">
        <v>8</v>
      </c>
      <c r="C12" s="3052">
        <v>0</v>
      </c>
      <c r="D12" s="3052">
        <v>0</v>
      </c>
      <c r="E12" s="3052">
        <v>0</v>
      </c>
      <c r="F12" s="3052">
        <v>0</v>
      </c>
      <c r="G12" s="3052">
        <v>0</v>
      </c>
      <c r="H12" s="3052">
        <v>0</v>
      </c>
      <c r="I12" s="3052">
        <v>0</v>
      </c>
      <c r="J12" s="3052">
        <v>0</v>
      </c>
      <c r="K12" s="3052">
        <v>0</v>
      </c>
      <c r="L12" s="3052">
        <v>0</v>
      </c>
      <c r="M12" s="3052">
        <v>0</v>
      </c>
      <c r="N12" s="3052">
        <v>0</v>
      </c>
      <c r="O12" s="3052">
        <v>0</v>
      </c>
      <c r="P12" s="3052">
        <v>0</v>
      </c>
      <c r="Q12" s="3052">
        <v>0</v>
      </c>
      <c r="R12" s="3053">
        <f t="shared" si="2"/>
        <v>1</v>
      </c>
      <c r="S12" s="3053">
        <f t="shared" si="2"/>
        <v>0.99999999999999989</v>
      </c>
      <c r="T12" s="3053">
        <f t="shared" si="2"/>
        <v>1</v>
      </c>
      <c r="U12" s="3053">
        <f t="shared" si="2"/>
        <v>1</v>
      </c>
      <c r="V12" s="3053">
        <f t="shared" si="2"/>
        <v>1</v>
      </c>
      <c r="W12" s="3053">
        <f t="shared" si="2"/>
        <v>1</v>
      </c>
      <c r="X12" s="3053">
        <f t="shared" si="2"/>
        <v>1.0000000000000002</v>
      </c>
      <c r="Y12" s="3053">
        <f t="shared" si="2"/>
        <v>1</v>
      </c>
      <c r="Z12" s="3053">
        <f t="shared" si="2"/>
        <v>1</v>
      </c>
      <c r="AA12" s="3053">
        <f t="shared" si="2"/>
        <v>1</v>
      </c>
      <c r="AB12" s="3053">
        <f t="shared" si="2"/>
        <v>1</v>
      </c>
      <c r="AC12" s="3053">
        <f t="shared" si="2"/>
        <v>1</v>
      </c>
      <c r="AD12" s="3053">
        <f t="shared" si="2"/>
        <v>1</v>
      </c>
      <c r="AE12" s="1197">
        <f t="shared" si="2"/>
        <v>1</v>
      </c>
      <c r="AF12" s="1197">
        <f t="shared" si="2"/>
        <v>0.99999999999999989</v>
      </c>
    </row>
    <row r="13" spans="1:32" s="3047" customFormat="1">
      <c r="A13" s="3043">
        <v>200</v>
      </c>
      <c r="B13" s="3044">
        <v>9</v>
      </c>
      <c r="C13" s="3052">
        <v>0</v>
      </c>
      <c r="D13" s="3052">
        <v>0</v>
      </c>
      <c r="E13" s="3052">
        <v>0</v>
      </c>
      <c r="F13" s="3052">
        <v>0</v>
      </c>
      <c r="G13" s="3052">
        <v>0</v>
      </c>
      <c r="H13" s="3052">
        <v>0</v>
      </c>
      <c r="I13" s="3052">
        <v>0</v>
      </c>
      <c r="J13" s="3052">
        <v>0</v>
      </c>
      <c r="K13" s="3052">
        <v>0</v>
      </c>
      <c r="L13" s="3052">
        <v>0</v>
      </c>
      <c r="M13" s="3052">
        <v>0</v>
      </c>
      <c r="N13" s="3052">
        <v>0</v>
      </c>
      <c r="O13" s="3052">
        <v>0</v>
      </c>
      <c r="P13" s="3052">
        <v>0</v>
      </c>
      <c r="Q13" s="3052">
        <v>0</v>
      </c>
      <c r="R13" s="3053">
        <f t="shared" si="2"/>
        <v>1</v>
      </c>
      <c r="S13" s="3053">
        <f t="shared" si="2"/>
        <v>0.99999999999999989</v>
      </c>
      <c r="T13" s="3053">
        <f t="shared" si="2"/>
        <v>1</v>
      </c>
      <c r="U13" s="3053">
        <f t="shared" si="2"/>
        <v>1</v>
      </c>
      <c r="V13" s="3053">
        <f t="shared" si="2"/>
        <v>1</v>
      </c>
      <c r="W13" s="3053">
        <f t="shared" si="2"/>
        <v>1</v>
      </c>
      <c r="X13" s="3053">
        <f t="shared" si="2"/>
        <v>1.0000000000000002</v>
      </c>
      <c r="Y13" s="3053">
        <f t="shared" si="2"/>
        <v>1</v>
      </c>
      <c r="Z13" s="3053">
        <f t="shared" si="2"/>
        <v>1</v>
      </c>
      <c r="AA13" s="3053">
        <f t="shared" si="2"/>
        <v>1</v>
      </c>
      <c r="AB13" s="3053">
        <f t="shared" si="2"/>
        <v>1</v>
      </c>
      <c r="AC13" s="3053">
        <f t="shared" si="2"/>
        <v>1</v>
      </c>
      <c r="AD13" s="3053">
        <f t="shared" si="2"/>
        <v>1</v>
      </c>
      <c r="AE13" s="1197">
        <f t="shared" si="2"/>
        <v>1</v>
      </c>
      <c r="AF13" s="1197">
        <f t="shared" si="2"/>
        <v>0.99999999999999989</v>
      </c>
    </row>
    <row r="14" spans="1:32" s="3047" customFormat="1">
      <c r="A14" s="3043">
        <v>200</v>
      </c>
      <c r="B14" s="3044">
        <v>10</v>
      </c>
      <c r="C14" s="3052">
        <v>0</v>
      </c>
      <c r="D14" s="3052">
        <v>0</v>
      </c>
      <c r="E14" s="3052">
        <v>0</v>
      </c>
      <c r="F14" s="3052">
        <v>0</v>
      </c>
      <c r="G14" s="3052">
        <v>0</v>
      </c>
      <c r="H14" s="3052">
        <v>0</v>
      </c>
      <c r="I14" s="3052">
        <v>0</v>
      </c>
      <c r="J14" s="3052">
        <v>0</v>
      </c>
      <c r="K14" s="3052">
        <v>0</v>
      </c>
      <c r="L14" s="3052">
        <v>0</v>
      </c>
      <c r="M14" s="3052">
        <v>0</v>
      </c>
      <c r="N14" s="3052">
        <v>0</v>
      </c>
      <c r="O14" s="3052">
        <v>0</v>
      </c>
      <c r="P14" s="3052">
        <v>0</v>
      </c>
      <c r="Q14" s="3052">
        <v>0</v>
      </c>
      <c r="R14" s="3053">
        <f t="shared" si="2"/>
        <v>1</v>
      </c>
      <c r="S14" s="3053">
        <f t="shared" si="2"/>
        <v>0.99999999999999989</v>
      </c>
      <c r="T14" s="3053">
        <f t="shared" si="2"/>
        <v>1</v>
      </c>
      <c r="U14" s="3053">
        <f t="shared" si="2"/>
        <v>1</v>
      </c>
      <c r="V14" s="3053">
        <f t="shared" si="2"/>
        <v>1</v>
      </c>
      <c r="W14" s="3053">
        <f t="shared" si="2"/>
        <v>1</v>
      </c>
      <c r="X14" s="3053">
        <f t="shared" si="2"/>
        <v>1.0000000000000002</v>
      </c>
      <c r="Y14" s="3053">
        <f t="shared" si="2"/>
        <v>1</v>
      </c>
      <c r="Z14" s="3053">
        <f t="shared" si="2"/>
        <v>1</v>
      </c>
      <c r="AA14" s="3053">
        <f t="shared" si="2"/>
        <v>1</v>
      </c>
      <c r="AB14" s="3053">
        <f t="shared" si="2"/>
        <v>1</v>
      </c>
      <c r="AC14" s="3053">
        <f t="shared" si="2"/>
        <v>1</v>
      </c>
      <c r="AD14" s="3053">
        <f t="shared" si="2"/>
        <v>1</v>
      </c>
      <c r="AE14" s="1197">
        <f t="shared" si="2"/>
        <v>1</v>
      </c>
      <c r="AF14" s="1197">
        <f t="shared" si="2"/>
        <v>0.99999999999999989</v>
      </c>
    </row>
    <row r="15" spans="1:32" s="3047" customFormat="1">
      <c r="A15" s="3043">
        <v>200</v>
      </c>
      <c r="B15" s="3044">
        <v>11</v>
      </c>
      <c r="C15" s="3052">
        <v>0</v>
      </c>
      <c r="D15" s="3052">
        <v>0</v>
      </c>
      <c r="E15" s="3052">
        <v>0</v>
      </c>
      <c r="F15" s="3052">
        <v>0</v>
      </c>
      <c r="G15" s="3052">
        <v>0</v>
      </c>
      <c r="H15" s="3052">
        <v>0</v>
      </c>
      <c r="I15" s="3052">
        <v>0</v>
      </c>
      <c r="J15" s="3052">
        <v>0</v>
      </c>
      <c r="K15" s="3052">
        <v>0</v>
      </c>
      <c r="L15" s="3052">
        <v>0</v>
      </c>
      <c r="M15" s="3052">
        <v>0</v>
      </c>
      <c r="N15" s="3052">
        <v>0</v>
      </c>
      <c r="O15" s="3052">
        <v>0</v>
      </c>
      <c r="P15" s="3052">
        <v>0</v>
      </c>
      <c r="Q15" s="3052">
        <v>0</v>
      </c>
      <c r="R15" s="3053">
        <f t="shared" si="2"/>
        <v>1</v>
      </c>
      <c r="S15" s="3053">
        <f t="shared" si="2"/>
        <v>0.99999999999999989</v>
      </c>
      <c r="T15" s="3053">
        <f t="shared" si="2"/>
        <v>1</v>
      </c>
      <c r="U15" s="3053">
        <f t="shared" si="2"/>
        <v>1</v>
      </c>
      <c r="V15" s="3053">
        <f t="shared" si="2"/>
        <v>1</v>
      </c>
      <c r="W15" s="3053">
        <f t="shared" si="2"/>
        <v>1</v>
      </c>
      <c r="X15" s="3053">
        <f t="shared" si="2"/>
        <v>1.0000000000000002</v>
      </c>
      <c r="Y15" s="3053">
        <f t="shared" si="2"/>
        <v>1</v>
      </c>
      <c r="Z15" s="3053">
        <f t="shared" si="2"/>
        <v>1</v>
      </c>
      <c r="AA15" s="3053">
        <f t="shared" si="2"/>
        <v>1</v>
      </c>
      <c r="AB15" s="3053">
        <f t="shared" si="2"/>
        <v>1</v>
      </c>
      <c r="AC15" s="3053">
        <f t="shared" si="2"/>
        <v>1</v>
      </c>
      <c r="AD15" s="3053">
        <f t="shared" si="2"/>
        <v>1</v>
      </c>
      <c r="AE15" s="1197">
        <f t="shared" si="2"/>
        <v>1</v>
      </c>
      <c r="AF15" s="1197">
        <f t="shared" si="2"/>
        <v>0.99999999999999989</v>
      </c>
    </row>
    <row r="16" spans="1:32" s="3047" customFormat="1">
      <c r="A16" s="3043">
        <v>200</v>
      </c>
      <c r="B16" s="3044">
        <v>12</v>
      </c>
      <c r="C16" s="3052">
        <v>0</v>
      </c>
      <c r="D16" s="3052">
        <v>0</v>
      </c>
      <c r="E16" s="3052">
        <v>0</v>
      </c>
      <c r="F16" s="3052">
        <v>0</v>
      </c>
      <c r="G16" s="3052">
        <v>0</v>
      </c>
      <c r="H16" s="3052">
        <v>0</v>
      </c>
      <c r="I16" s="3052">
        <v>0</v>
      </c>
      <c r="J16" s="3052">
        <v>0</v>
      </c>
      <c r="K16" s="3052">
        <v>0</v>
      </c>
      <c r="L16" s="3052">
        <v>0</v>
      </c>
      <c r="M16" s="3052">
        <v>0</v>
      </c>
      <c r="N16" s="3052">
        <v>0</v>
      </c>
      <c r="O16" s="3052">
        <v>0</v>
      </c>
      <c r="P16" s="3052">
        <v>0</v>
      </c>
      <c r="Q16" s="3052">
        <v>0</v>
      </c>
      <c r="R16" s="3053">
        <f t="shared" si="2"/>
        <v>1</v>
      </c>
      <c r="S16" s="3053">
        <f t="shared" si="2"/>
        <v>0.99999999999999989</v>
      </c>
      <c r="T16" s="3053">
        <f t="shared" si="2"/>
        <v>1</v>
      </c>
      <c r="U16" s="3053">
        <f t="shared" si="2"/>
        <v>1</v>
      </c>
      <c r="V16" s="3053">
        <f t="shared" si="2"/>
        <v>1</v>
      </c>
      <c r="W16" s="3053">
        <f t="shared" si="2"/>
        <v>1</v>
      </c>
      <c r="X16" s="3053">
        <f t="shared" si="2"/>
        <v>1.0000000000000002</v>
      </c>
      <c r="Y16" s="3053">
        <f t="shared" si="2"/>
        <v>1</v>
      </c>
      <c r="Z16" s="3053">
        <f t="shared" si="2"/>
        <v>1</v>
      </c>
      <c r="AA16" s="3053">
        <f t="shared" si="2"/>
        <v>1</v>
      </c>
      <c r="AB16" s="3053">
        <f t="shared" si="2"/>
        <v>1</v>
      </c>
      <c r="AC16" s="3053">
        <f t="shared" si="2"/>
        <v>1</v>
      </c>
      <c r="AD16" s="3053">
        <f t="shared" si="2"/>
        <v>1</v>
      </c>
      <c r="AE16" s="1197">
        <f t="shared" si="2"/>
        <v>1</v>
      </c>
      <c r="AF16" s="1197">
        <f t="shared" si="2"/>
        <v>0.99999999999999989</v>
      </c>
    </row>
    <row r="17" spans="1:32" s="3047" customFormat="1">
      <c r="A17" s="3043">
        <v>200</v>
      </c>
      <c r="B17" s="3044">
        <v>13</v>
      </c>
      <c r="C17" s="3052">
        <v>0</v>
      </c>
      <c r="D17" s="3052">
        <v>0</v>
      </c>
      <c r="E17" s="3052">
        <v>0</v>
      </c>
      <c r="F17" s="3052">
        <v>0</v>
      </c>
      <c r="G17" s="3052">
        <v>0</v>
      </c>
      <c r="H17" s="3052">
        <v>0</v>
      </c>
      <c r="I17" s="3052">
        <v>0</v>
      </c>
      <c r="J17" s="3052">
        <v>0</v>
      </c>
      <c r="K17" s="3052">
        <v>0</v>
      </c>
      <c r="L17" s="3052">
        <v>0</v>
      </c>
      <c r="M17" s="3052">
        <v>0</v>
      </c>
      <c r="N17" s="3052">
        <v>0</v>
      </c>
      <c r="O17" s="3052">
        <v>0</v>
      </c>
      <c r="P17" s="3052">
        <v>0</v>
      </c>
      <c r="Q17" s="3052">
        <v>0</v>
      </c>
      <c r="R17" s="3053">
        <f t="shared" si="2"/>
        <v>1</v>
      </c>
      <c r="S17" s="3053">
        <f t="shared" si="2"/>
        <v>0.99999999999999989</v>
      </c>
      <c r="T17" s="3053">
        <f t="shared" si="2"/>
        <v>1</v>
      </c>
      <c r="U17" s="3053">
        <f t="shared" si="2"/>
        <v>1</v>
      </c>
      <c r="V17" s="3053">
        <f t="shared" si="2"/>
        <v>1</v>
      </c>
      <c r="W17" s="3053">
        <f t="shared" si="2"/>
        <v>1</v>
      </c>
      <c r="X17" s="3053">
        <f t="shared" si="2"/>
        <v>1.0000000000000002</v>
      </c>
      <c r="Y17" s="3053">
        <f t="shared" si="2"/>
        <v>1</v>
      </c>
      <c r="Z17" s="3053">
        <f t="shared" si="2"/>
        <v>1</v>
      </c>
      <c r="AA17" s="3053">
        <f t="shared" si="2"/>
        <v>1</v>
      </c>
      <c r="AB17" s="3053">
        <f t="shared" si="2"/>
        <v>1</v>
      </c>
      <c r="AC17" s="3053">
        <f t="shared" si="2"/>
        <v>1</v>
      </c>
      <c r="AD17" s="3053">
        <f t="shared" si="2"/>
        <v>1</v>
      </c>
      <c r="AE17" s="1197">
        <f t="shared" si="2"/>
        <v>1</v>
      </c>
      <c r="AF17" s="1197">
        <f t="shared" si="2"/>
        <v>0.99999999999999989</v>
      </c>
    </row>
    <row r="18" spans="1:32" s="3047" customFormat="1">
      <c r="A18" s="3043">
        <v>200</v>
      </c>
      <c r="B18" s="3044">
        <v>14</v>
      </c>
      <c r="C18" s="3052">
        <v>0</v>
      </c>
      <c r="D18" s="3052">
        <v>0</v>
      </c>
      <c r="E18" s="3052">
        <v>0</v>
      </c>
      <c r="F18" s="3052">
        <v>0</v>
      </c>
      <c r="G18" s="3052">
        <v>0</v>
      </c>
      <c r="H18" s="3052">
        <v>0</v>
      </c>
      <c r="I18" s="3052">
        <v>0</v>
      </c>
      <c r="J18" s="3052">
        <v>0</v>
      </c>
      <c r="K18" s="3052">
        <v>0</v>
      </c>
      <c r="L18" s="3052">
        <v>0</v>
      </c>
      <c r="M18" s="3052">
        <v>0</v>
      </c>
      <c r="N18" s="3052">
        <v>0</v>
      </c>
      <c r="O18" s="3052">
        <v>0</v>
      </c>
      <c r="P18" s="3052">
        <v>0</v>
      </c>
      <c r="Q18" s="3052">
        <v>0</v>
      </c>
      <c r="R18" s="3053">
        <f t="shared" si="2"/>
        <v>1</v>
      </c>
      <c r="S18" s="3053">
        <f t="shared" si="2"/>
        <v>0.99999999999999989</v>
      </c>
      <c r="T18" s="3053">
        <f t="shared" si="2"/>
        <v>1</v>
      </c>
      <c r="U18" s="3053">
        <f t="shared" si="2"/>
        <v>1</v>
      </c>
      <c r="V18" s="3053">
        <f t="shared" si="2"/>
        <v>1</v>
      </c>
      <c r="W18" s="3053">
        <f t="shared" si="2"/>
        <v>1</v>
      </c>
      <c r="X18" s="3053">
        <f t="shared" si="2"/>
        <v>1.0000000000000002</v>
      </c>
      <c r="Y18" s="3053">
        <f t="shared" si="2"/>
        <v>1</v>
      </c>
      <c r="Z18" s="3053">
        <f t="shared" si="2"/>
        <v>1</v>
      </c>
      <c r="AA18" s="3053">
        <f t="shared" si="2"/>
        <v>1</v>
      </c>
      <c r="AB18" s="3053">
        <f t="shared" si="2"/>
        <v>1</v>
      </c>
      <c r="AC18" s="3053">
        <f t="shared" si="2"/>
        <v>1</v>
      </c>
      <c r="AD18" s="3053">
        <f t="shared" si="2"/>
        <v>1</v>
      </c>
      <c r="AE18" s="1197">
        <f t="shared" si="2"/>
        <v>1</v>
      </c>
      <c r="AF18" s="1197">
        <f t="shared" si="2"/>
        <v>0.99999999999999989</v>
      </c>
    </row>
    <row r="19" spans="1:32" s="3047" customFormat="1">
      <c r="A19" s="3043">
        <v>200</v>
      </c>
      <c r="B19" s="3044">
        <v>15</v>
      </c>
      <c r="C19" s="3052">
        <v>0</v>
      </c>
      <c r="D19" s="3052">
        <v>0</v>
      </c>
      <c r="E19" s="3052">
        <v>0</v>
      </c>
      <c r="F19" s="3052">
        <v>0</v>
      </c>
      <c r="G19" s="3052">
        <v>0</v>
      </c>
      <c r="H19" s="3052">
        <v>0</v>
      </c>
      <c r="I19" s="3052">
        <v>0</v>
      </c>
      <c r="J19" s="3052">
        <v>0</v>
      </c>
      <c r="K19" s="3052">
        <v>0</v>
      </c>
      <c r="L19" s="3052">
        <v>0</v>
      </c>
      <c r="M19" s="3052">
        <v>0</v>
      </c>
      <c r="N19" s="3052">
        <v>0</v>
      </c>
      <c r="O19" s="3052">
        <v>0</v>
      </c>
      <c r="P19" s="3052">
        <v>0</v>
      </c>
      <c r="Q19" s="3052">
        <v>0</v>
      </c>
      <c r="R19" s="3053">
        <f t="shared" si="2"/>
        <v>1</v>
      </c>
      <c r="S19" s="3053">
        <f t="shared" si="2"/>
        <v>0.99999999999999989</v>
      </c>
      <c r="T19" s="3053">
        <f t="shared" si="2"/>
        <v>1</v>
      </c>
      <c r="U19" s="3053">
        <f t="shared" si="2"/>
        <v>1</v>
      </c>
      <c r="V19" s="3053">
        <f t="shared" si="2"/>
        <v>1</v>
      </c>
      <c r="W19" s="3053">
        <f t="shared" si="2"/>
        <v>1</v>
      </c>
      <c r="X19" s="3053">
        <f t="shared" si="2"/>
        <v>1.0000000000000002</v>
      </c>
      <c r="Y19" s="3053">
        <f t="shared" si="2"/>
        <v>1</v>
      </c>
      <c r="Z19" s="3053">
        <f t="shared" si="2"/>
        <v>1</v>
      </c>
      <c r="AA19" s="3053">
        <f t="shared" si="2"/>
        <v>1</v>
      </c>
      <c r="AB19" s="3053">
        <f t="shared" si="2"/>
        <v>1</v>
      </c>
      <c r="AC19" s="3053">
        <f t="shared" si="2"/>
        <v>1</v>
      </c>
      <c r="AD19" s="3053">
        <f t="shared" si="2"/>
        <v>1</v>
      </c>
      <c r="AE19" s="1197">
        <f t="shared" si="2"/>
        <v>1</v>
      </c>
      <c r="AF19" s="1197">
        <f t="shared" si="2"/>
        <v>0.99999999999999989</v>
      </c>
    </row>
    <row r="20" spans="1:32" s="3047" customFormat="1">
      <c r="A20" s="3043">
        <v>200</v>
      </c>
      <c r="B20" s="3044">
        <v>16</v>
      </c>
      <c r="C20" s="3052">
        <v>0</v>
      </c>
      <c r="D20" s="3052">
        <v>0</v>
      </c>
      <c r="E20" s="3052">
        <v>0</v>
      </c>
      <c r="F20" s="3052">
        <v>0</v>
      </c>
      <c r="G20" s="3052">
        <v>0</v>
      </c>
      <c r="H20" s="3052">
        <v>0</v>
      </c>
      <c r="I20" s="3052">
        <v>0</v>
      </c>
      <c r="J20" s="3052">
        <v>0</v>
      </c>
      <c r="K20" s="3052">
        <v>0</v>
      </c>
      <c r="L20" s="3052">
        <v>0</v>
      </c>
      <c r="M20" s="3052">
        <v>0</v>
      </c>
      <c r="N20" s="3052">
        <v>0</v>
      </c>
      <c r="O20" s="3052">
        <v>0</v>
      </c>
      <c r="P20" s="3052">
        <v>0</v>
      </c>
      <c r="Q20" s="3052">
        <v>0</v>
      </c>
      <c r="R20" s="3053">
        <f t="shared" si="2"/>
        <v>1</v>
      </c>
      <c r="S20" s="3053">
        <f t="shared" si="2"/>
        <v>0.99999999999999989</v>
      </c>
      <c r="T20" s="3053">
        <f t="shared" si="2"/>
        <v>1</v>
      </c>
      <c r="U20" s="3053">
        <f t="shared" si="2"/>
        <v>1</v>
      </c>
      <c r="V20" s="3053">
        <f t="shared" si="2"/>
        <v>1</v>
      </c>
      <c r="W20" s="3053">
        <f t="shared" si="2"/>
        <v>1</v>
      </c>
      <c r="X20" s="3053">
        <f t="shared" si="2"/>
        <v>1.0000000000000002</v>
      </c>
      <c r="Y20" s="3053">
        <f t="shared" si="2"/>
        <v>1</v>
      </c>
      <c r="Z20" s="3053">
        <f t="shared" si="2"/>
        <v>1</v>
      </c>
      <c r="AA20" s="3053">
        <f t="shared" si="2"/>
        <v>1</v>
      </c>
      <c r="AB20" s="3053">
        <f t="shared" si="2"/>
        <v>1</v>
      </c>
      <c r="AC20" s="3053">
        <f t="shared" si="2"/>
        <v>1</v>
      </c>
      <c r="AD20" s="3053">
        <f t="shared" si="2"/>
        <v>1</v>
      </c>
      <c r="AE20" s="1197">
        <f t="shared" si="2"/>
        <v>1</v>
      </c>
      <c r="AF20" s="1197">
        <f t="shared" si="2"/>
        <v>0.99999999999999989</v>
      </c>
    </row>
    <row r="21" spans="1:32" s="3047" customFormat="1">
      <c r="A21" s="3043">
        <v>200</v>
      </c>
      <c r="B21" s="3044">
        <v>17</v>
      </c>
      <c r="C21" s="3052">
        <v>0</v>
      </c>
      <c r="D21" s="3052">
        <v>0</v>
      </c>
      <c r="E21" s="3052">
        <v>0</v>
      </c>
      <c r="F21" s="3052">
        <v>0</v>
      </c>
      <c r="G21" s="3052">
        <v>0</v>
      </c>
      <c r="H21" s="3052">
        <v>0</v>
      </c>
      <c r="I21" s="3052">
        <v>0</v>
      </c>
      <c r="J21" s="3052">
        <v>0</v>
      </c>
      <c r="K21" s="3052">
        <v>0</v>
      </c>
      <c r="L21" s="3052">
        <v>0</v>
      </c>
      <c r="M21" s="3052">
        <v>0</v>
      </c>
      <c r="N21" s="3052">
        <v>0</v>
      </c>
      <c r="O21" s="3052">
        <v>0</v>
      </c>
      <c r="P21" s="3052">
        <v>0</v>
      </c>
      <c r="Q21" s="3052">
        <v>0</v>
      </c>
      <c r="R21" s="3053">
        <f t="shared" si="2"/>
        <v>1</v>
      </c>
      <c r="S21" s="3053">
        <f t="shared" si="2"/>
        <v>0.99999999999999989</v>
      </c>
      <c r="T21" s="3053">
        <f t="shared" si="2"/>
        <v>1</v>
      </c>
      <c r="U21" s="3053">
        <f t="shared" si="2"/>
        <v>1</v>
      </c>
      <c r="V21" s="3053">
        <f t="shared" si="2"/>
        <v>1</v>
      </c>
      <c r="W21" s="3053">
        <f t="shared" si="2"/>
        <v>1</v>
      </c>
      <c r="X21" s="3053">
        <f t="shared" si="2"/>
        <v>1.0000000000000002</v>
      </c>
      <c r="Y21" s="3053">
        <f t="shared" si="2"/>
        <v>1</v>
      </c>
      <c r="Z21" s="3053">
        <f t="shared" si="2"/>
        <v>1</v>
      </c>
      <c r="AA21" s="3053">
        <f t="shared" si="2"/>
        <v>1</v>
      </c>
      <c r="AB21" s="3053">
        <f t="shared" si="2"/>
        <v>1</v>
      </c>
      <c r="AC21" s="3053">
        <f t="shared" si="2"/>
        <v>1</v>
      </c>
      <c r="AD21" s="3053">
        <f t="shared" si="2"/>
        <v>1</v>
      </c>
      <c r="AE21" s="1197">
        <f t="shared" si="2"/>
        <v>1</v>
      </c>
      <c r="AF21" s="1197">
        <f t="shared" si="2"/>
        <v>0.99999999999999989</v>
      </c>
    </row>
    <row r="22" spans="1:32" s="3047" customFormat="1">
      <c r="A22" s="3043">
        <v>200</v>
      </c>
      <c r="B22" s="3044">
        <v>18</v>
      </c>
      <c r="C22" s="3052">
        <v>0</v>
      </c>
      <c r="D22" s="3052">
        <v>0</v>
      </c>
      <c r="E22" s="3052">
        <v>0</v>
      </c>
      <c r="F22" s="3052">
        <v>0</v>
      </c>
      <c r="G22" s="3052">
        <v>0</v>
      </c>
      <c r="H22" s="3052">
        <v>0</v>
      </c>
      <c r="I22" s="3052">
        <v>0</v>
      </c>
      <c r="J22" s="3052">
        <v>0</v>
      </c>
      <c r="K22" s="3052">
        <v>0</v>
      </c>
      <c r="L22" s="3052">
        <v>0</v>
      </c>
      <c r="M22" s="3052">
        <v>0</v>
      </c>
      <c r="N22" s="3052">
        <v>0</v>
      </c>
      <c r="O22" s="3052">
        <v>0</v>
      </c>
      <c r="P22" s="3052">
        <v>0</v>
      </c>
      <c r="Q22" s="3052">
        <v>0</v>
      </c>
      <c r="R22" s="3053">
        <f t="shared" ref="R22:AF37" si="3">C22+R21</f>
        <v>1</v>
      </c>
      <c r="S22" s="3053">
        <f t="shared" si="3"/>
        <v>0.99999999999999989</v>
      </c>
      <c r="T22" s="3053">
        <f t="shared" si="3"/>
        <v>1</v>
      </c>
      <c r="U22" s="3053">
        <f t="shared" si="3"/>
        <v>1</v>
      </c>
      <c r="V22" s="3053">
        <f t="shared" si="3"/>
        <v>1</v>
      </c>
      <c r="W22" s="3053">
        <f t="shared" si="3"/>
        <v>1</v>
      </c>
      <c r="X22" s="3053">
        <f t="shared" si="3"/>
        <v>1.0000000000000002</v>
      </c>
      <c r="Y22" s="3053">
        <f t="shared" si="3"/>
        <v>1</v>
      </c>
      <c r="Z22" s="3053">
        <f t="shared" si="3"/>
        <v>1</v>
      </c>
      <c r="AA22" s="3053">
        <f t="shared" si="3"/>
        <v>1</v>
      </c>
      <c r="AB22" s="3053">
        <f t="shared" si="3"/>
        <v>1</v>
      </c>
      <c r="AC22" s="3053">
        <f t="shared" si="3"/>
        <v>1</v>
      </c>
      <c r="AD22" s="3053">
        <f t="shared" si="3"/>
        <v>1</v>
      </c>
      <c r="AE22" s="1197">
        <f t="shared" si="3"/>
        <v>1</v>
      </c>
      <c r="AF22" s="1197">
        <f t="shared" si="3"/>
        <v>0.99999999999999989</v>
      </c>
    </row>
    <row r="23" spans="1:32" s="3047" customFormat="1">
      <c r="A23" s="3043">
        <v>200</v>
      </c>
      <c r="B23" s="3044">
        <v>19</v>
      </c>
      <c r="C23" s="3052">
        <v>0</v>
      </c>
      <c r="D23" s="3052">
        <v>0</v>
      </c>
      <c r="E23" s="3052">
        <v>0</v>
      </c>
      <c r="F23" s="3052">
        <v>0</v>
      </c>
      <c r="G23" s="3052">
        <v>0</v>
      </c>
      <c r="H23" s="3052">
        <v>0</v>
      </c>
      <c r="I23" s="3052">
        <v>0</v>
      </c>
      <c r="J23" s="3052">
        <v>0</v>
      </c>
      <c r="K23" s="3052">
        <v>0</v>
      </c>
      <c r="L23" s="3052">
        <v>0</v>
      </c>
      <c r="M23" s="3052">
        <v>0</v>
      </c>
      <c r="N23" s="3052">
        <v>0</v>
      </c>
      <c r="O23" s="3052">
        <v>0</v>
      </c>
      <c r="P23" s="3052">
        <v>0</v>
      </c>
      <c r="Q23" s="3052">
        <v>0</v>
      </c>
      <c r="R23" s="3053">
        <f t="shared" si="3"/>
        <v>1</v>
      </c>
      <c r="S23" s="3053">
        <f t="shared" si="3"/>
        <v>0.99999999999999989</v>
      </c>
      <c r="T23" s="3053">
        <f t="shared" si="3"/>
        <v>1</v>
      </c>
      <c r="U23" s="3053">
        <f t="shared" si="3"/>
        <v>1</v>
      </c>
      <c r="V23" s="3053">
        <f t="shared" si="3"/>
        <v>1</v>
      </c>
      <c r="W23" s="3053">
        <f t="shared" si="3"/>
        <v>1</v>
      </c>
      <c r="X23" s="3053">
        <f t="shared" si="3"/>
        <v>1.0000000000000002</v>
      </c>
      <c r="Y23" s="3053">
        <f t="shared" si="3"/>
        <v>1</v>
      </c>
      <c r="Z23" s="3053">
        <f t="shared" si="3"/>
        <v>1</v>
      </c>
      <c r="AA23" s="3053">
        <f t="shared" si="3"/>
        <v>1</v>
      </c>
      <c r="AB23" s="3053">
        <f t="shared" si="3"/>
        <v>1</v>
      </c>
      <c r="AC23" s="3053">
        <f t="shared" si="3"/>
        <v>1</v>
      </c>
      <c r="AD23" s="3053">
        <f t="shared" si="3"/>
        <v>1</v>
      </c>
      <c r="AE23" s="1197">
        <f t="shared" si="3"/>
        <v>1</v>
      </c>
      <c r="AF23" s="1197">
        <f t="shared" si="3"/>
        <v>0.99999999999999989</v>
      </c>
    </row>
    <row r="24" spans="1:32" s="3047" customFormat="1">
      <c r="A24" s="3043">
        <v>200</v>
      </c>
      <c r="B24" s="3044">
        <v>20</v>
      </c>
      <c r="C24" s="3052">
        <v>0</v>
      </c>
      <c r="D24" s="3052">
        <v>0</v>
      </c>
      <c r="E24" s="3052">
        <v>0</v>
      </c>
      <c r="F24" s="3052">
        <v>0</v>
      </c>
      <c r="G24" s="3052">
        <v>0</v>
      </c>
      <c r="H24" s="3052">
        <v>0</v>
      </c>
      <c r="I24" s="3052">
        <v>0</v>
      </c>
      <c r="J24" s="3052">
        <v>0</v>
      </c>
      <c r="K24" s="3052">
        <v>0</v>
      </c>
      <c r="L24" s="3052">
        <v>0</v>
      </c>
      <c r="M24" s="3052">
        <v>0</v>
      </c>
      <c r="N24" s="3052">
        <v>0</v>
      </c>
      <c r="O24" s="3052">
        <v>0</v>
      </c>
      <c r="P24" s="3052">
        <v>0</v>
      </c>
      <c r="Q24" s="3052">
        <v>0</v>
      </c>
      <c r="R24" s="3053">
        <f t="shared" si="3"/>
        <v>1</v>
      </c>
      <c r="S24" s="3053">
        <f t="shared" si="3"/>
        <v>0.99999999999999989</v>
      </c>
      <c r="T24" s="3053">
        <f t="shared" si="3"/>
        <v>1</v>
      </c>
      <c r="U24" s="3053">
        <f t="shared" si="3"/>
        <v>1</v>
      </c>
      <c r="V24" s="3053">
        <f t="shared" si="3"/>
        <v>1</v>
      </c>
      <c r="W24" s="3053">
        <f t="shared" si="3"/>
        <v>1</v>
      </c>
      <c r="X24" s="3053">
        <f t="shared" si="3"/>
        <v>1.0000000000000002</v>
      </c>
      <c r="Y24" s="3053">
        <f t="shared" si="3"/>
        <v>1</v>
      </c>
      <c r="Z24" s="3053">
        <f t="shared" si="3"/>
        <v>1</v>
      </c>
      <c r="AA24" s="3053">
        <f t="shared" si="3"/>
        <v>1</v>
      </c>
      <c r="AB24" s="3053">
        <f t="shared" si="3"/>
        <v>1</v>
      </c>
      <c r="AC24" s="3053">
        <f t="shared" si="3"/>
        <v>1</v>
      </c>
      <c r="AD24" s="3053">
        <f t="shared" si="3"/>
        <v>1</v>
      </c>
      <c r="AE24" s="1197">
        <f t="shared" si="3"/>
        <v>1</v>
      </c>
      <c r="AF24" s="1197">
        <f t="shared" si="3"/>
        <v>0.99999999999999989</v>
      </c>
    </row>
    <row r="25" spans="1:32" s="3047" customFormat="1">
      <c r="A25" s="3043">
        <v>200</v>
      </c>
      <c r="B25" s="3044">
        <v>21</v>
      </c>
      <c r="C25" s="3052">
        <v>0</v>
      </c>
      <c r="D25" s="3052">
        <v>0</v>
      </c>
      <c r="E25" s="3052">
        <v>0</v>
      </c>
      <c r="F25" s="3052">
        <v>0</v>
      </c>
      <c r="G25" s="3052">
        <v>0</v>
      </c>
      <c r="H25" s="3052">
        <v>0</v>
      </c>
      <c r="I25" s="3052">
        <v>0</v>
      </c>
      <c r="J25" s="3052">
        <v>0</v>
      </c>
      <c r="K25" s="3052">
        <v>0</v>
      </c>
      <c r="L25" s="3052">
        <v>0</v>
      </c>
      <c r="M25" s="3052">
        <v>0</v>
      </c>
      <c r="N25" s="3052">
        <v>0</v>
      </c>
      <c r="O25" s="3052">
        <v>0</v>
      </c>
      <c r="P25" s="3052">
        <v>0</v>
      </c>
      <c r="Q25" s="3052">
        <v>0</v>
      </c>
      <c r="R25" s="3053">
        <f t="shared" si="3"/>
        <v>1</v>
      </c>
      <c r="S25" s="3053">
        <f t="shared" si="3"/>
        <v>0.99999999999999989</v>
      </c>
      <c r="T25" s="3053">
        <f t="shared" si="3"/>
        <v>1</v>
      </c>
      <c r="U25" s="3053">
        <f t="shared" si="3"/>
        <v>1</v>
      </c>
      <c r="V25" s="3053">
        <f t="shared" si="3"/>
        <v>1</v>
      </c>
      <c r="W25" s="3053">
        <f t="shared" si="3"/>
        <v>1</v>
      </c>
      <c r="X25" s="3053">
        <f t="shared" si="3"/>
        <v>1.0000000000000002</v>
      </c>
      <c r="Y25" s="3053">
        <f t="shared" si="3"/>
        <v>1</v>
      </c>
      <c r="Z25" s="3053">
        <f t="shared" si="3"/>
        <v>1</v>
      </c>
      <c r="AA25" s="3053">
        <f t="shared" si="3"/>
        <v>1</v>
      </c>
      <c r="AB25" s="3053">
        <f t="shared" si="3"/>
        <v>1</v>
      </c>
      <c r="AC25" s="3053">
        <f t="shared" si="3"/>
        <v>1</v>
      </c>
      <c r="AD25" s="3053">
        <f t="shared" si="3"/>
        <v>1</v>
      </c>
      <c r="AE25" s="1197">
        <f t="shared" si="3"/>
        <v>1</v>
      </c>
      <c r="AF25" s="1197">
        <f t="shared" si="3"/>
        <v>0.99999999999999989</v>
      </c>
    </row>
    <row r="26" spans="1:32" s="3047" customFormat="1">
      <c r="A26" s="3043">
        <v>200</v>
      </c>
      <c r="B26" s="3044">
        <v>22</v>
      </c>
      <c r="C26" s="3052">
        <v>0</v>
      </c>
      <c r="D26" s="3052">
        <v>0</v>
      </c>
      <c r="E26" s="3052">
        <v>0</v>
      </c>
      <c r="F26" s="3052">
        <v>0</v>
      </c>
      <c r="G26" s="3052">
        <v>0</v>
      </c>
      <c r="H26" s="3052">
        <v>0</v>
      </c>
      <c r="I26" s="3052">
        <v>0</v>
      </c>
      <c r="J26" s="3052">
        <v>0</v>
      </c>
      <c r="K26" s="3052">
        <v>0</v>
      </c>
      <c r="L26" s="3052">
        <v>0</v>
      </c>
      <c r="M26" s="3052">
        <v>0</v>
      </c>
      <c r="N26" s="3052">
        <v>0</v>
      </c>
      <c r="O26" s="3052">
        <v>0</v>
      </c>
      <c r="P26" s="3052">
        <v>0</v>
      </c>
      <c r="Q26" s="3052">
        <v>0</v>
      </c>
      <c r="R26" s="3053">
        <f t="shared" si="3"/>
        <v>1</v>
      </c>
      <c r="S26" s="3053">
        <f t="shared" si="3"/>
        <v>0.99999999999999989</v>
      </c>
      <c r="T26" s="3053">
        <f t="shared" si="3"/>
        <v>1</v>
      </c>
      <c r="U26" s="3053">
        <f t="shared" si="3"/>
        <v>1</v>
      </c>
      <c r="V26" s="3053">
        <f t="shared" si="3"/>
        <v>1</v>
      </c>
      <c r="W26" s="3053">
        <f t="shared" si="3"/>
        <v>1</v>
      </c>
      <c r="X26" s="3053">
        <f t="shared" si="3"/>
        <v>1.0000000000000002</v>
      </c>
      <c r="Y26" s="3053">
        <f t="shared" si="3"/>
        <v>1</v>
      </c>
      <c r="Z26" s="3053">
        <f t="shared" si="3"/>
        <v>1</v>
      </c>
      <c r="AA26" s="3053">
        <f t="shared" si="3"/>
        <v>1</v>
      </c>
      <c r="AB26" s="3053">
        <f t="shared" si="3"/>
        <v>1</v>
      </c>
      <c r="AC26" s="3053">
        <f t="shared" si="3"/>
        <v>1</v>
      </c>
      <c r="AD26" s="3053">
        <f t="shared" si="3"/>
        <v>1</v>
      </c>
      <c r="AE26" s="1197">
        <f t="shared" si="3"/>
        <v>1</v>
      </c>
      <c r="AF26" s="1197">
        <f t="shared" si="3"/>
        <v>0.99999999999999989</v>
      </c>
    </row>
    <row r="27" spans="1:32" s="3047" customFormat="1">
      <c r="A27" s="3043">
        <v>200</v>
      </c>
      <c r="B27" s="3044">
        <v>23</v>
      </c>
      <c r="C27" s="3052">
        <v>0</v>
      </c>
      <c r="D27" s="3052">
        <v>0</v>
      </c>
      <c r="E27" s="3052">
        <v>0</v>
      </c>
      <c r="F27" s="3052">
        <v>0</v>
      </c>
      <c r="G27" s="3052">
        <v>0</v>
      </c>
      <c r="H27" s="3052">
        <v>0</v>
      </c>
      <c r="I27" s="3052">
        <v>0</v>
      </c>
      <c r="J27" s="3052">
        <v>0</v>
      </c>
      <c r="K27" s="3052">
        <v>0</v>
      </c>
      <c r="L27" s="3052">
        <v>0</v>
      </c>
      <c r="M27" s="3052">
        <v>0</v>
      </c>
      <c r="N27" s="3052">
        <v>0</v>
      </c>
      <c r="O27" s="3052">
        <v>0</v>
      </c>
      <c r="P27" s="3052">
        <v>0</v>
      </c>
      <c r="Q27" s="3052">
        <v>0</v>
      </c>
      <c r="R27" s="3053">
        <f t="shared" si="3"/>
        <v>1</v>
      </c>
      <c r="S27" s="3053">
        <f t="shared" si="3"/>
        <v>0.99999999999999989</v>
      </c>
      <c r="T27" s="3053">
        <f t="shared" si="3"/>
        <v>1</v>
      </c>
      <c r="U27" s="3053">
        <f t="shared" si="3"/>
        <v>1</v>
      </c>
      <c r="V27" s="3053">
        <f t="shared" si="3"/>
        <v>1</v>
      </c>
      <c r="W27" s="3053">
        <f t="shared" si="3"/>
        <v>1</v>
      </c>
      <c r="X27" s="3053">
        <f t="shared" si="3"/>
        <v>1.0000000000000002</v>
      </c>
      <c r="Y27" s="3053">
        <f t="shared" si="3"/>
        <v>1</v>
      </c>
      <c r="Z27" s="3053">
        <f t="shared" si="3"/>
        <v>1</v>
      </c>
      <c r="AA27" s="3053">
        <f t="shared" si="3"/>
        <v>1</v>
      </c>
      <c r="AB27" s="3053">
        <f t="shared" si="3"/>
        <v>1</v>
      </c>
      <c r="AC27" s="3053">
        <f t="shared" si="3"/>
        <v>1</v>
      </c>
      <c r="AD27" s="3053">
        <f t="shared" si="3"/>
        <v>1</v>
      </c>
      <c r="AE27" s="1197">
        <f t="shared" si="3"/>
        <v>1</v>
      </c>
      <c r="AF27" s="1197">
        <f t="shared" si="3"/>
        <v>0.99999999999999989</v>
      </c>
    </row>
    <row r="28" spans="1:32" s="3047" customFormat="1">
      <c r="A28" s="3043">
        <v>200</v>
      </c>
      <c r="B28" s="3044">
        <v>24</v>
      </c>
      <c r="C28" s="3052">
        <v>0</v>
      </c>
      <c r="D28" s="3052">
        <v>0</v>
      </c>
      <c r="E28" s="3052">
        <v>0</v>
      </c>
      <c r="F28" s="3052">
        <v>0</v>
      </c>
      <c r="G28" s="3052">
        <v>0</v>
      </c>
      <c r="H28" s="3052">
        <v>0</v>
      </c>
      <c r="I28" s="3052">
        <v>0</v>
      </c>
      <c r="J28" s="3052">
        <v>0</v>
      </c>
      <c r="K28" s="3052">
        <v>0</v>
      </c>
      <c r="L28" s="3052">
        <v>0</v>
      </c>
      <c r="M28" s="3052">
        <v>0</v>
      </c>
      <c r="N28" s="3052">
        <v>0</v>
      </c>
      <c r="O28" s="3052">
        <v>0</v>
      </c>
      <c r="P28" s="3052">
        <v>0</v>
      </c>
      <c r="Q28" s="3052">
        <v>0</v>
      </c>
      <c r="R28" s="3053">
        <f t="shared" si="3"/>
        <v>1</v>
      </c>
      <c r="S28" s="3053">
        <f t="shared" si="3"/>
        <v>0.99999999999999989</v>
      </c>
      <c r="T28" s="3053">
        <f t="shared" si="3"/>
        <v>1</v>
      </c>
      <c r="U28" s="3053">
        <f t="shared" si="3"/>
        <v>1</v>
      </c>
      <c r="V28" s="3053">
        <f t="shared" si="3"/>
        <v>1</v>
      </c>
      <c r="W28" s="3053">
        <f t="shared" si="3"/>
        <v>1</v>
      </c>
      <c r="X28" s="3053">
        <f t="shared" si="3"/>
        <v>1.0000000000000002</v>
      </c>
      <c r="Y28" s="3053">
        <f t="shared" si="3"/>
        <v>1</v>
      </c>
      <c r="Z28" s="3053">
        <f t="shared" si="3"/>
        <v>1</v>
      </c>
      <c r="AA28" s="3053">
        <f t="shared" si="3"/>
        <v>1</v>
      </c>
      <c r="AB28" s="3053">
        <f t="shared" si="3"/>
        <v>1</v>
      </c>
      <c r="AC28" s="3053">
        <f t="shared" si="3"/>
        <v>1</v>
      </c>
      <c r="AD28" s="3053">
        <f t="shared" si="3"/>
        <v>1</v>
      </c>
      <c r="AE28" s="1197">
        <f t="shared" si="3"/>
        <v>1</v>
      </c>
      <c r="AF28" s="1197">
        <f t="shared" si="3"/>
        <v>0.99999999999999989</v>
      </c>
    </row>
    <row r="29" spans="1:32" s="3047" customFormat="1">
      <c r="A29" s="3043">
        <v>200</v>
      </c>
      <c r="B29" s="3044">
        <v>25</v>
      </c>
      <c r="C29" s="3052">
        <v>0</v>
      </c>
      <c r="D29" s="3052">
        <v>0</v>
      </c>
      <c r="E29" s="3052">
        <v>0</v>
      </c>
      <c r="F29" s="3052">
        <v>0</v>
      </c>
      <c r="G29" s="3052">
        <v>0</v>
      </c>
      <c r="H29" s="3052">
        <v>0</v>
      </c>
      <c r="I29" s="3052">
        <v>0</v>
      </c>
      <c r="J29" s="3052">
        <v>0</v>
      </c>
      <c r="K29" s="3052">
        <v>0</v>
      </c>
      <c r="L29" s="3052">
        <v>0</v>
      </c>
      <c r="M29" s="3052">
        <v>0</v>
      </c>
      <c r="N29" s="3052">
        <v>0</v>
      </c>
      <c r="O29" s="3052">
        <v>0</v>
      </c>
      <c r="P29" s="3052">
        <v>0</v>
      </c>
      <c r="Q29" s="3052">
        <v>0</v>
      </c>
      <c r="R29" s="3053">
        <f t="shared" si="3"/>
        <v>1</v>
      </c>
      <c r="S29" s="3053">
        <f t="shared" si="3"/>
        <v>0.99999999999999989</v>
      </c>
      <c r="T29" s="3053">
        <f t="shared" si="3"/>
        <v>1</v>
      </c>
      <c r="U29" s="3053">
        <f t="shared" si="3"/>
        <v>1</v>
      </c>
      <c r="V29" s="3053">
        <f t="shared" si="3"/>
        <v>1</v>
      </c>
      <c r="W29" s="3053">
        <f t="shared" si="3"/>
        <v>1</v>
      </c>
      <c r="X29" s="3053">
        <f t="shared" si="3"/>
        <v>1.0000000000000002</v>
      </c>
      <c r="Y29" s="3053">
        <f t="shared" si="3"/>
        <v>1</v>
      </c>
      <c r="Z29" s="3053">
        <f t="shared" si="3"/>
        <v>1</v>
      </c>
      <c r="AA29" s="3053">
        <f t="shared" si="3"/>
        <v>1</v>
      </c>
      <c r="AB29" s="3053">
        <f t="shared" si="3"/>
        <v>1</v>
      </c>
      <c r="AC29" s="3053">
        <f t="shared" si="3"/>
        <v>1</v>
      </c>
      <c r="AD29" s="3053">
        <f t="shared" si="3"/>
        <v>1</v>
      </c>
      <c r="AE29" s="1197">
        <f t="shared" si="3"/>
        <v>1</v>
      </c>
      <c r="AF29" s="1197">
        <f t="shared" si="3"/>
        <v>0.99999999999999989</v>
      </c>
    </row>
    <row r="30" spans="1:32" s="3047" customFormat="1">
      <c r="A30" s="3043">
        <v>200</v>
      </c>
      <c r="B30" s="3044">
        <v>26</v>
      </c>
      <c r="C30" s="3052">
        <v>0</v>
      </c>
      <c r="D30" s="3052">
        <v>0</v>
      </c>
      <c r="E30" s="3052">
        <v>0</v>
      </c>
      <c r="F30" s="3052">
        <v>0</v>
      </c>
      <c r="G30" s="3052">
        <v>0</v>
      </c>
      <c r="H30" s="3052">
        <v>0</v>
      </c>
      <c r="I30" s="3052">
        <v>0</v>
      </c>
      <c r="J30" s="3052">
        <v>0</v>
      </c>
      <c r="K30" s="3052">
        <v>0</v>
      </c>
      <c r="L30" s="3052">
        <v>0</v>
      </c>
      <c r="M30" s="3052">
        <v>0</v>
      </c>
      <c r="N30" s="3052">
        <v>0</v>
      </c>
      <c r="O30" s="3052">
        <v>0</v>
      </c>
      <c r="P30" s="3052">
        <v>0</v>
      </c>
      <c r="Q30" s="3052">
        <v>0</v>
      </c>
      <c r="R30" s="3053">
        <f t="shared" si="3"/>
        <v>1</v>
      </c>
      <c r="S30" s="3053">
        <f t="shared" si="3"/>
        <v>0.99999999999999989</v>
      </c>
      <c r="T30" s="3053">
        <f t="shared" si="3"/>
        <v>1</v>
      </c>
      <c r="U30" s="3053">
        <f t="shared" si="3"/>
        <v>1</v>
      </c>
      <c r="V30" s="3053">
        <f t="shared" si="3"/>
        <v>1</v>
      </c>
      <c r="W30" s="3053">
        <f t="shared" si="3"/>
        <v>1</v>
      </c>
      <c r="X30" s="3053">
        <f t="shared" si="3"/>
        <v>1.0000000000000002</v>
      </c>
      <c r="Y30" s="3053">
        <f t="shared" si="3"/>
        <v>1</v>
      </c>
      <c r="Z30" s="3053">
        <f t="shared" si="3"/>
        <v>1</v>
      </c>
      <c r="AA30" s="3053">
        <f t="shared" si="3"/>
        <v>1</v>
      </c>
      <c r="AB30" s="3053">
        <f t="shared" si="3"/>
        <v>1</v>
      </c>
      <c r="AC30" s="3053">
        <f t="shared" si="3"/>
        <v>1</v>
      </c>
      <c r="AD30" s="3053">
        <f t="shared" si="3"/>
        <v>1</v>
      </c>
      <c r="AE30" s="1197">
        <f t="shared" si="3"/>
        <v>1</v>
      </c>
      <c r="AF30" s="1197">
        <f t="shared" si="3"/>
        <v>0.99999999999999989</v>
      </c>
    </row>
    <row r="31" spans="1:32" s="3047" customFormat="1">
      <c r="A31" s="3043">
        <v>200</v>
      </c>
      <c r="B31" s="3044">
        <v>27</v>
      </c>
      <c r="C31" s="3052">
        <v>0</v>
      </c>
      <c r="D31" s="3052">
        <v>0</v>
      </c>
      <c r="E31" s="3052">
        <v>0</v>
      </c>
      <c r="F31" s="3052">
        <v>0</v>
      </c>
      <c r="G31" s="3052">
        <v>0</v>
      </c>
      <c r="H31" s="3052">
        <v>0</v>
      </c>
      <c r="I31" s="3052">
        <v>0</v>
      </c>
      <c r="J31" s="3052">
        <v>0</v>
      </c>
      <c r="K31" s="3052">
        <v>0</v>
      </c>
      <c r="L31" s="3052">
        <v>0</v>
      </c>
      <c r="M31" s="3052">
        <v>0</v>
      </c>
      <c r="N31" s="3052">
        <v>0</v>
      </c>
      <c r="O31" s="3052">
        <v>0</v>
      </c>
      <c r="P31" s="3052">
        <v>0</v>
      </c>
      <c r="Q31" s="3052">
        <v>0</v>
      </c>
      <c r="R31" s="3053">
        <f t="shared" si="3"/>
        <v>1</v>
      </c>
      <c r="S31" s="3053">
        <f t="shared" si="3"/>
        <v>0.99999999999999989</v>
      </c>
      <c r="T31" s="3053">
        <f t="shared" si="3"/>
        <v>1</v>
      </c>
      <c r="U31" s="3053">
        <f t="shared" si="3"/>
        <v>1</v>
      </c>
      <c r="V31" s="3053">
        <f t="shared" si="3"/>
        <v>1</v>
      </c>
      <c r="W31" s="3053">
        <f t="shared" si="3"/>
        <v>1</v>
      </c>
      <c r="X31" s="3053">
        <f t="shared" si="3"/>
        <v>1.0000000000000002</v>
      </c>
      <c r="Y31" s="3053">
        <f t="shared" si="3"/>
        <v>1</v>
      </c>
      <c r="Z31" s="3053">
        <f t="shared" si="3"/>
        <v>1</v>
      </c>
      <c r="AA31" s="3053">
        <f t="shared" si="3"/>
        <v>1</v>
      </c>
      <c r="AB31" s="3053">
        <f t="shared" si="3"/>
        <v>1</v>
      </c>
      <c r="AC31" s="3053">
        <f t="shared" si="3"/>
        <v>1</v>
      </c>
      <c r="AD31" s="3053">
        <f t="shared" si="3"/>
        <v>1</v>
      </c>
      <c r="AE31" s="1197">
        <f t="shared" si="3"/>
        <v>1</v>
      </c>
      <c r="AF31" s="1197">
        <f t="shared" si="3"/>
        <v>0.99999999999999989</v>
      </c>
    </row>
    <row r="32" spans="1:32" s="3047" customFormat="1">
      <c r="A32" s="3043">
        <v>200</v>
      </c>
      <c r="B32" s="3044">
        <v>28</v>
      </c>
      <c r="C32" s="3052">
        <v>0</v>
      </c>
      <c r="D32" s="3052">
        <v>0</v>
      </c>
      <c r="E32" s="3052">
        <v>0</v>
      </c>
      <c r="F32" s="3052">
        <v>0</v>
      </c>
      <c r="G32" s="3052">
        <v>0</v>
      </c>
      <c r="H32" s="3052">
        <v>0</v>
      </c>
      <c r="I32" s="3052">
        <v>0</v>
      </c>
      <c r="J32" s="3052">
        <v>0</v>
      </c>
      <c r="K32" s="3052">
        <v>0</v>
      </c>
      <c r="L32" s="3052">
        <v>0</v>
      </c>
      <c r="M32" s="3052">
        <v>0</v>
      </c>
      <c r="N32" s="3052">
        <v>0</v>
      </c>
      <c r="O32" s="3052">
        <v>0</v>
      </c>
      <c r="P32" s="3052">
        <v>0</v>
      </c>
      <c r="Q32" s="3052">
        <v>0</v>
      </c>
      <c r="R32" s="3053">
        <f t="shared" si="3"/>
        <v>1</v>
      </c>
      <c r="S32" s="3053">
        <f t="shared" si="3"/>
        <v>0.99999999999999989</v>
      </c>
      <c r="T32" s="3053">
        <f t="shared" si="3"/>
        <v>1</v>
      </c>
      <c r="U32" s="3053">
        <f t="shared" si="3"/>
        <v>1</v>
      </c>
      <c r="V32" s="3053">
        <f t="shared" si="3"/>
        <v>1</v>
      </c>
      <c r="W32" s="3053">
        <f t="shared" si="3"/>
        <v>1</v>
      </c>
      <c r="X32" s="3053">
        <f t="shared" si="3"/>
        <v>1.0000000000000002</v>
      </c>
      <c r="Y32" s="3053">
        <f t="shared" si="3"/>
        <v>1</v>
      </c>
      <c r="Z32" s="3053">
        <f t="shared" si="3"/>
        <v>1</v>
      </c>
      <c r="AA32" s="3053">
        <f t="shared" si="3"/>
        <v>1</v>
      </c>
      <c r="AB32" s="3053">
        <f t="shared" si="3"/>
        <v>1</v>
      </c>
      <c r="AC32" s="3053">
        <f t="shared" si="3"/>
        <v>1</v>
      </c>
      <c r="AD32" s="3053">
        <f t="shared" si="3"/>
        <v>1</v>
      </c>
      <c r="AE32" s="1197">
        <f t="shared" si="3"/>
        <v>1</v>
      </c>
      <c r="AF32" s="1197">
        <f t="shared" si="3"/>
        <v>0.99999999999999989</v>
      </c>
    </row>
    <row r="33" spans="1:32" s="3047" customFormat="1">
      <c r="A33" s="3043">
        <v>200</v>
      </c>
      <c r="B33" s="3044">
        <v>29</v>
      </c>
      <c r="C33" s="3052">
        <v>0</v>
      </c>
      <c r="D33" s="3052">
        <v>0</v>
      </c>
      <c r="E33" s="3052">
        <v>0</v>
      </c>
      <c r="F33" s="3052">
        <v>0</v>
      </c>
      <c r="G33" s="3052">
        <v>0</v>
      </c>
      <c r="H33" s="3052">
        <v>0</v>
      </c>
      <c r="I33" s="3052">
        <v>0</v>
      </c>
      <c r="J33" s="3052">
        <v>0</v>
      </c>
      <c r="K33" s="3052">
        <v>0</v>
      </c>
      <c r="L33" s="3052">
        <v>0</v>
      </c>
      <c r="M33" s="3052">
        <v>0</v>
      </c>
      <c r="N33" s="3052">
        <v>0</v>
      </c>
      <c r="O33" s="3052">
        <v>0</v>
      </c>
      <c r="P33" s="3052">
        <v>0</v>
      </c>
      <c r="Q33" s="3052">
        <v>0</v>
      </c>
      <c r="R33" s="3053">
        <f t="shared" si="3"/>
        <v>1</v>
      </c>
      <c r="S33" s="3053">
        <f t="shared" si="3"/>
        <v>0.99999999999999989</v>
      </c>
      <c r="T33" s="3053">
        <f t="shared" si="3"/>
        <v>1</v>
      </c>
      <c r="U33" s="3053">
        <f t="shared" si="3"/>
        <v>1</v>
      </c>
      <c r="V33" s="3053">
        <f t="shared" si="3"/>
        <v>1</v>
      </c>
      <c r="W33" s="3053">
        <f t="shared" si="3"/>
        <v>1</v>
      </c>
      <c r="X33" s="3053">
        <f t="shared" si="3"/>
        <v>1.0000000000000002</v>
      </c>
      <c r="Y33" s="3053">
        <f t="shared" si="3"/>
        <v>1</v>
      </c>
      <c r="Z33" s="3053">
        <f t="shared" si="3"/>
        <v>1</v>
      </c>
      <c r="AA33" s="3053">
        <f t="shared" si="3"/>
        <v>1</v>
      </c>
      <c r="AB33" s="3053">
        <f t="shared" si="3"/>
        <v>1</v>
      </c>
      <c r="AC33" s="3053">
        <f t="shared" si="3"/>
        <v>1</v>
      </c>
      <c r="AD33" s="3053">
        <f t="shared" si="3"/>
        <v>1</v>
      </c>
      <c r="AE33" s="1197">
        <f t="shared" si="3"/>
        <v>1</v>
      </c>
      <c r="AF33" s="1197">
        <f t="shared" si="3"/>
        <v>0.99999999999999989</v>
      </c>
    </row>
    <row r="34" spans="1:32" s="3047" customFormat="1">
      <c r="A34" s="3043">
        <v>200</v>
      </c>
      <c r="B34" s="3044">
        <v>30</v>
      </c>
      <c r="C34" s="3052">
        <v>0</v>
      </c>
      <c r="D34" s="3052">
        <v>0</v>
      </c>
      <c r="E34" s="3052">
        <v>0</v>
      </c>
      <c r="F34" s="3052">
        <v>0</v>
      </c>
      <c r="G34" s="3052">
        <v>0</v>
      </c>
      <c r="H34" s="3052">
        <v>0</v>
      </c>
      <c r="I34" s="3052">
        <v>0</v>
      </c>
      <c r="J34" s="3052">
        <v>0</v>
      </c>
      <c r="K34" s="3052">
        <v>0</v>
      </c>
      <c r="L34" s="3052">
        <v>0</v>
      </c>
      <c r="M34" s="3052">
        <v>0</v>
      </c>
      <c r="N34" s="3052">
        <v>0</v>
      </c>
      <c r="O34" s="3052">
        <v>0</v>
      </c>
      <c r="P34" s="3052">
        <v>0</v>
      </c>
      <c r="Q34" s="3052">
        <v>0</v>
      </c>
      <c r="R34" s="3053">
        <f t="shared" si="3"/>
        <v>1</v>
      </c>
      <c r="S34" s="3053">
        <f t="shared" si="3"/>
        <v>0.99999999999999989</v>
      </c>
      <c r="T34" s="3053">
        <f t="shared" si="3"/>
        <v>1</v>
      </c>
      <c r="U34" s="3053">
        <f t="shared" si="3"/>
        <v>1</v>
      </c>
      <c r="V34" s="3053">
        <f t="shared" si="3"/>
        <v>1</v>
      </c>
      <c r="W34" s="3053">
        <f t="shared" si="3"/>
        <v>1</v>
      </c>
      <c r="X34" s="3053">
        <f t="shared" si="3"/>
        <v>1.0000000000000002</v>
      </c>
      <c r="Y34" s="3053">
        <f t="shared" si="3"/>
        <v>1</v>
      </c>
      <c r="Z34" s="3053">
        <f t="shared" si="3"/>
        <v>1</v>
      </c>
      <c r="AA34" s="3053">
        <f t="shared" si="3"/>
        <v>1</v>
      </c>
      <c r="AB34" s="3053">
        <f t="shared" si="3"/>
        <v>1</v>
      </c>
      <c r="AC34" s="3053">
        <f t="shared" si="3"/>
        <v>1</v>
      </c>
      <c r="AD34" s="3053">
        <f t="shared" si="3"/>
        <v>1</v>
      </c>
      <c r="AE34" s="1197">
        <f t="shared" si="3"/>
        <v>1</v>
      </c>
      <c r="AF34" s="1197">
        <f t="shared" si="3"/>
        <v>0.99999999999999989</v>
      </c>
    </row>
    <row r="35" spans="1:32" s="3047" customFormat="1">
      <c r="A35" s="3043">
        <v>200</v>
      </c>
      <c r="B35" s="3044">
        <v>31</v>
      </c>
      <c r="C35" s="3052">
        <v>0</v>
      </c>
      <c r="D35" s="3052">
        <v>0</v>
      </c>
      <c r="E35" s="3052">
        <v>0</v>
      </c>
      <c r="F35" s="3052">
        <v>0</v>
      </c>
      <c r="G35" s="3052">
        <v>0</v>
      </c>
      <c r="H35" s="3052">
        <v>0</v>
      </c>
      <c r="I35" s="3052">
        <v>0</v>
      </c>
      <c r="J35" s="3052">
        <v>0</v>
      </c>
      <c r="K35" s="3052">
        <v>0</v>
      </c>
      <c r="L35" s="3052">
        <v>0</v>
      </c>
      <c r="M35" s="3052">
        <v>0</v>
      </c>
      <c r="N35" s="3052">
        <v>0</v>
      </c>
      <c r="O35" s="3052">
        <v>0</v>
      </c>
      <c r="P35" s="3052">
        <v>0</v>
      </c>
      <c r="Q35" s="3052">
        <v>0</v>
      </c>
      <c r="R35" s="3053">
        <f t="shared" si="3"/>
        <v>1</v>
      </c>
      <c r="S35" s="3053">
        <f t="shared" si="3"/>
        <v>0.99999999999999989</v>
      </c>
      <c r="T35" s="3053">
        <f t="shared" si="3"/>
        <v>1</v>
      </c>
      <c r="U35" s="3053">
        <f t="shared" si="3"/>
        <v>1</v>
      </c>
      <c r="V35" s="3053">
        <f t="shared" si="3"/>
        <v>1</v>
      </c>
      <c r="W35" s="3053">
        <f t="shared" si="3"/>
        <v>1</v>
      </c>
      <c r="X35" s="3053">
        <f t="shared" si="3"/>
        <v>1.0000000000000002</v>
      </c>
      <c r="Y35" s="3053">
        <f t="shared" si="3"/>
        <v>1</v>
      </c>
      <c r="Z35" s="3053">
        <f t="shared" si="3"/>
        <v>1</v>
      </c>
      <c r="AA35" s="3053">
        <f t="shared" si="3"/>
        <v>1</v>
      </c>
      <c r="AB35" s="3053">
        <f t="shared" si="3"/>
        <v>1</v>
      </c>
      <c r="AC35" s="3053">
        <f t="shared" si="3"/>
        <v>1</v>
      </c>
      <c r="AD35" s="3053">
        <f t="shared" si="3"/>
        <v>1</v>
      </c>
      <c r="AE35" s="1197">
        <f t="shared" si="3"/>
        <v>1</v>
      </c>
      <c r="AF35" s="1197">
        <f t="shared" si="3"/>
        <v>0.99999999999999989</v>
      </c>
    </row>
    <row r="36" spans="1:32" s="3047" customFormat="1">
      <c r="A36" s="3043">
        <v>200</v>
      </c>
      <c r="B36" s="3044">
        <v>32</v>
      </c>
      <c r="C36" s="3052">
        <v>0</v>
      </c>
      <c r="D36" s="3052">
        <v>0</v>
      </c>
      <c r="E36" s="3052">
        <v>0</v>
      </c>
      <c r="F36" s="3052">
        <v>0</v>
      </c>
      <c r="G36" s="3052">
        <v>0</v>
      </c>
      <c r="H36" s="3052">
        <v>0</v>
      </c>
      <c r="I36" s="3052">
        <v>0</v>
      </c>
      <c r="J36" s="3052">
        <v>0</v>
      </c>
      <c r="K36" s="3052">
        <v>0</v>
      </c>
      <c r="L36" s="3052">
        <v>0</v>
      </c>
      <c r="M36" s="3052">
        <v>0</v>
      </c>
      <c r="N36" s="3052">
        <v>0</v>
      </c>
      <c r="O36" s="3052">
        <v>0</v>
      </c>
      <c r="P36" s="3052">
        <v>0</v>
      </c>
      <c r="Q36" s="3052">
        <v>0</v>
      </c>
      <c r="R36" s="3053">
        <f t="shared" si="3"/>
        <v>1</v>
      </c>
      <c r="S36" s="3053">
        <f t="shared" si="3"/>
        <v>0.99999999999999989</v>
      </c>
      <c r="T36" s="3053">
        <f t="shared" si="3"/>
        <v>1</v>
      </c>
      <c r="U36" s="3053">
        <f t="shared" si="3"/>
        <v>1</v>
      </c>
      <c r="V36" s="3053">
        <f t="shared" si="3"/>
        <v>1</v>
      </c>
      <c r="W36" s="3053">
        <f t="shared" si="3"/>
        <v>1</v>
      </c>
      <c r="X36" s="3053">
        <f t="shared" si="3"/>
        <v>1.0000000000000002</v>
      </c>
      <c r="Y36" s="3053">
        <f t="shared" si="3"/>
        <v>1</v>
      </c>
      <c r="Z36" s="3053">
        <f t="shared" si="3"/>
        <v>1</v>
      </c>
      <c r="AA36" s="3053">
        <f t="shared" si="3"/>
        <v>1</v>
      </c>
      <c r="AB36" s="3053">
        <f t="shared" si="3"/>
        <v>1</v>
      </c>
      <c r="AC36" s="3053">
        <f t="shared" si="3"/>
        <v>1</v>
      </c>
      <c r="AD36" s="3053">
        <f t="shared" si="3"/>
        <v>1</v>
      </c>
      <c r="AE36" s="1197">
        <f t="shared" si="3"/>
        <v>1</v>
      </c>
      <c r="AF36" s="1197">
        <f t="shared" si="3"/>
        <v>0.99999999999999989</v>
      </c>
    </row>
    <row r="37" spans="1:32" s="3047" customFormat="1">
      <c r="A37" s="3043">
        <v>200</v>
      </c>
      <c r="B37" s="3044">
        <v>33</v>
      </c>
      <c r="C37" s="3052">
        <v>0</v>
      </c>
      <c r="D37" s="3052">
        <v>0</v>
      </c>
      <c r="E37" s="3052">
        <v>0</v>
      </c>
      <c r="F37" s="3052">
        <v>0</v>
      </c>
      <c r="G37" s="3052">
        <v>0</v>
      </c>
      <c r="H37" s="3052">
        <v>0</v>
      </c>
      <c r="I37" s="3052">
        <v>0</v>
      </c>
      <c r="J37" s="3052">
        <v>0</v>
      </c>
      <c r="K37" s="3052">
        <v>0</v>
      </c>
      <c r="L37" s="3052">
        <v>0</v>
      </c>
      <c r="M37" s="3052">
        <v>0</v>
      </c>
      <c r="N37" s="3052">
        <v>0</v>
      </c>
      <c r="O37" s="3052">
        <v>0</v>
      </c>
      <c r="P37" s="3052">
        <v>0</v>
      </c>
      <c r="Q37" s="3052">
        <v>0</v>
      </c>
      <c r="R37" s="3053">
        <f t="shared" si="3"/>
        <v>1</v>
      </c>
      <c r="S37" s="3053">
        <f t="shared" si="3"/>
        <v>0.99999999999999989</v>
      </c>
      <c r="T37" s="3053">
        <f t="shared" si="3"/>
        <v>1</v>
      </c>
      <c r="U37" s="3053">
        <f t="shared" si="3"/>
        <v>1</v>
      </c>
      <c r="V37" s="3053">
        <f t="shared" si="3"/>
        <v>1</v>
      </c>
      <c r="W37" s="3053">
        <f t="shared" si="3"/>
        <v>1</v>
      </c>
      <c r="X37" s="3053">
        <f t="shared" si="3"/>
        <v>1.0000000000000002</v>
      </c>
      <c r="Y37" s="3053">
        <f t="shared" si="3"/>
        <v>1</v>
      </c>
      <c r="Z37" s="3053">
        <f t="shared" si="3"/>
        <v>1</v>
      </c>
      <c r="AA37" s="3053">
        <f t="shared" si="3"/>
        <v>1</v>
      </c>
      <c r="AB37" s="3053">
        <f t="shared" si="3"/>
        <v>1</v>
      </c>
      <c r="AC37" s="3053">
        <f t="shared" si="3"/>
        <v>1</v>
      </c>
      <c r="AD37" s="3053">
        <f t="shared" si="3"/>
        <v>1</v>
      </c>
      <c r="AE37" s="1197">
        <f t="shared" si="3"/>
        <v>1</v>
      </c>
      <c r="AF37" s="1197">
        <f t="shared" si="3"/>
        <v>0.99999999999999989</v>
      </c>
    </row>
    <row r="38" spans="1:32" s="3047" customFormat="1">
      <c r="A38" s="3043">
        <v>200</v>
      </c>
      <c r="B38" s="3044">
        <v>34</v>
      </c>
      <c r="C38" s="3052">
        <v>0</v>
      </c>
      <c r="D38" s="3052">
        <v>0</v>
      </c>
      <c r="E38" s="3052">
        <v>0</v>
      </c>
      <c r="F38" s="3052">
        <v>0</v>
      </c>
      <c r="G38" s="3052">
        <v>0</v>
      </c>
      <c r="H38" s="3052">
        <v>0</v>
      </c>
      <c r="I38" s="3052">
        <v>0</v>
      </c>
      <c r="J38" s="3052">
        <v>0</v>
      </c>
      <c r="K38" s="3052">
        <v>0</v>
      </c>
      <c r="L38" s="3052">
        <v>0</v>
      </c>
      <c r="M38" s="3052">
        <v>0</v>
      </c>
      <c r="N38" s="3052">
        <v>0</v>
      </c>
      <c r="O38" s="3052">
        <v>0</v>
      </c>
      <c r="P38" s="3052">
        <v>0</v>
      </c>
      <c r="Q38" s="3052">
        <v>0</v>
      </c>
      <c r="R38" s="3053">
        <f t="shared" ref="R38:AF53" si="4">C38+R37</f>
        <v>1</v>
      </c>
      <c r="S38" s="3053">
        <f t="shared" si="4"/>
        <v>0.99999999999999989</v>
      </c>
      <c r="T38" s="3053">
        <f t="shared" si="4"/>
        <v>1</v>
      </c>
      <c r="U38" s="3053">
        <f t="shared" si="4"/>
        <v>1</v>
      </c>
      <c r="V38" s="3053">
        <f t="shared" si="4"/>
        <v>1</v>
      </c>
      <c r="W38" s="3053">
        <f t="shared" si="4"/>
        <v>1</v>
      </c>
      <c r="X38" s="3053">
        <f t="shared" si="4"/>
        <v>1.0000000000000002</v>
      </c>
      <c r="Y38" s="3053">
        <f t="shared" si="4"/>
        <v>1</v>
      </c>
      <c r="Z38" s="3053">
        <f t="shared" si="4"/>
        <v>1</v>
      </c>
      <c r="AA38" s="3053">
        <f t="shared" si="4"/>
        <v>1</v>
      </c>
      <c r="AB38" s="3053">
        <f t="shared" si="4"/>
        <v>1</v>
      </c>
      <c r="AC38" s="3053">
        <f t="shared" si="4"/>
        <v>1</v>
      </c>
      <c r="AD38" s="3053">
        <f t="shared" si="4"/>
        <v>1</v>
      </c>
      <c r="AE38" s="1197">
        <f t="shared" si="4"/>
        <v>1</v>
      </c>
      <c r="AF38" s="1197">
        <f t="shared" si="4"/>
        <v>0.99999999999999989</v>
      </c>
    </row>
    <row r="39" spans="1:32" s="3047" customFormat="1">
      <c r="A39" s="3043">
        <v>200</v>
      </c>
      <c r="B39" s="3044">
        <v>35</v>
      </c>
      <c r="C39" s="3052">
        <v>0</v>
      </c>
      <c r="D39" s="3052">
        <v>0</v>
      </c>
      <c r="E39" s="3052">
        <v>0</v>
      </c>
      <c r="F39" s="3052">
        <v>0</v>
      </c>
      <c r="G39" s="3052">
        <v>0</v>
      </c>
      <c r="H39" s="3052">
        <v>0</v>
      </c>
      <c r="I39" s="3052">
        <v>0</v>
      </c>
      <c r="J39" s="3052">
        <v>0</v>
      </c>
      <c r="K39" s="3052">
        <v>0</v>
      </c>
      <c r="L39" s="3052">
        <v>0</v>
      </c>
      <c r="M39" s="3052">
        <v>0</v>
      </c>
      <c r="N39" s="3052">
        <v>0</v>
      </c>
      <c r="O39" s="3052">
        <v>0</v>
      </c>
      <c r="P39" s="3052">
        <v>0</v>
      </c>
      <c r="Q39" s="3052">
        <v>0</v>
      </c>
      <c r="R39" s="3053">
        <f t="shared" si="4"/>
        <v>1</v>
      </c>
      <c r="S39" s="3053">
        <f t="shared" si="4"/>
        <v>0.99999999999999989</v>
      </c>
      <c r="T39" s="3053">
        <f t="shared" si="4"/>
        <v>1</v>
      </c>
      <c r="U39" s="3053">
        <f t="shared" si="4"/>
        <v>1</v>
      </c>
      <c r="V39" s="3053">
        <f t="shared" si="4"/>
        <v>1</v>
      </c>
      <c r="W39" s="3053">
        <f t="shared" si="4"/>
        <v>1</v>
      </c>
      <c r="X39" s="3053">
        <f t="shared" si="4"/>
        <v>1.0000000000000002</v>
      </c>
      <c r="Y39" s="3053">
        <f t="shared" si="4"/>
        <v>1</v>
      </c>
      <c r="Z39" s="3053">
        <f t="shared" si="4"/>
        <v>1</v>
      </c>
      <c r="AA39" s="3053">
        <f t="shared" si="4"/>
        <v>1</v>
      </c>
      <c r="AB39" s="3053">
        <f t="shared" si="4"/>
        <v>1</v>
      </c>
      <c r="AC39" s="3053">
        <f t="shared" si="4"/>
        <v>1</v>
      </c>
      <c r="AD39" s="3053">
        <f t="shared" si="4"/>
        <v>1</v>
      </c>
      <c r="AE39" s="1197">
        <f t="shared" si="4"/>
        <v>1</v>
      </c>
      <c r="AF39" s="1197">
        <f t="shared" si="4"/>
        <v>0.99999999999999989</v>
      </c>
    </row>
    <row r="40" spans="1:32" s="3047" customFormat="1">
      <c r="A40" s="3043">
        <v>200</v>
      </c>
      <c r="B40" s="3044">
        <v>36</v>
      </c>
      <c r="C40" s="3052">
        <v>0</v>
      </c>
      <c r="D40" s="3052">
        <v>0</v>
      </c>
      <c r="E40" s="3052">
        <v>0</v>
      </c>
      <c r="F40" s="3052">
        <v>0</v>
      </c>
      <c r="G40" s="3052">
        <v>0</v>
      </c>
      <c r="H40" s="3052">
        <v>0</v>
      </c>
      <c r="I40" s="3052">
        <v>0</v>
      </c>
      <c r="J40" s="3052">
        <v>0</v>
      </c>
      <c r="K40" s="3052">
        <v>0</v>
      </c>
      <c r="L40" s="3052">
        <v>0</v>
      </c>
      <c r="M40" s="3052">
        <v>0</v>
      </c>
      <c r="N40" s="3052">
        <v>0</v>
      </c>
      <c r="O40" s="3052">
        <v>0</v>
      </c>
      <c r="P40" s="3052">
        <v>0</v>
      </c>
      <c r="Q40" s="3052">
        <v>0</v>
      </c>
      <c r="R40" s="3053">
        <f t="shared" si="4"/>
        <v>1</v>
      </c>
      <c r="S40" s="3053">
        <f t="shared" si="4"/>
        <v>0.99999999999999989</v>
      </c>
      <c r="T40" s="3053">
        <f t="shared" si="4"/>
        <v>1</v>
      </c>
      <c r="U40" s="3053">
        <f t="shared" si="4"/>
        <v>1</v>
      </c>
      <c r="V40" s="3053">
        <f t="shared" si="4"/>
        <v>1</v>
      </c>
      <c r="W40" s="3053">
        <f t="shared" si="4"/>
        <v>1</v>
      </c>
      <c r="X40" s="3053">
        <f t="shared" si="4"/>
        <v>1.0000000000000002</v>
      </c>
      <c r="Y40" s="3053">
        <f t="shared" si="4"/>
        <v>1</v>
      </c>
      <c r="Z40" s="3053">
        <f t="shared" si="4"/>
        <v>1</v>
      </c>
      <c r="AA40" s="3053">
        <f t="shared" si="4"/>
        <v>1</v>
      </c>
      <c r="AB40" s="3053">
        <f t="shared" si="4"/>
        <v>1</v>
      </c>
      <c r="AC40" s="3053">
        <f t="shared" si="4"/>
        <v>1</v>
      </c>
      <c r="AD40" s="3053">
        <f t="shared" si="4"/>
        <v>1</v>
      </c>
      <c r="AE40" s="1197">
        <f t="shared" si="4"/>
        <v>1</v>
      </c>
      <c r="AF40" s="1197">
        <f t="shared" si="4"/>
        <v>0.99999999999999989</v>
      </c>
    </row>
    <row r="41" spans="1:32" s="3047" customFormat="1">
      <c r="A41" s="3043">
        <v>200</v>
      </c>
      <c r="B41" s="3044">
        <v>37</v>
      </c>
      <c r="C41" s="3052">
        <v>0</v>
      </c>
      <c r="D41" s="3052">
        <v>0</v>
      </c>
      <c r="E41" s="3052">
        <v>0</v>
      </c>
      <c r="F41" s="3052">
        <v>0</v>
      </c>
      <c r="G41" s="3052">
        <v>0</v>
      </c>
      <c r="H41" s="3052">
        <v>0</v>
      </c>
      <c r="I41" s="3052">
        <v>0</v>
      </c>
      <c r="J41" s="3052">
        <v>0</v>
      </c>
      <c r="K41" s="3052">
        <v>0</v>
      </c>
      <c r="L41" s="3052">
        <v>0</v>
      </c>
      <c r="M41" s="3052">
        <v>0</v>
      </c>
      <c r="N41" s="3052">
        <v>0</v>
      </c>
      <c r="O41" s="3052">
        <v>0</v>
      </c>
      <c r="P41" s="3052">
        <v>0</v>
      </c>
      <c r="Q41" s="3052">
        <v>0</v>
      </c>
      <c r="R41" s="3053">
        <f t="shared" si="4"/>
        <v>1</v>
      </c>
      <c r="S41" s="3053">
        <f t="shared" si="4"/>
        <v>0.99999999999999989</v>
      </c>
      <c r="T41" s="3053">
        <f t="shared" si="4"/>
        <v>1</v>
      </c>
      <c r="U41" s="3053">
        <f t="shared" si="4"/>
        <v>1</v>
      </c>
      <c r="V41" s="3053">
        <f t="shared" si="4"/>
        <v>1</v>
      </c>
      <c r="W41" s="3053">
        <f t="shared" si="4"/>
        <v>1</v>
      </c>
      <c r="X41" s="3053">
        <f t="shared" si="4"/>
        <v>1.0000000000000002</v>
      </c>
      <c r="Y41" s="3053">
        <f t="shared" si="4"/>
        <v>1</v>
      </c>
      <c r="Z41" s="3053">
        <f t="shared" si="4"/>
        <v>1</v>
      </c>
      <c r="AA41" s="3053">
        <f t="shared" si="4"/>
        <v>1</v>
      </c>
      <c r="AB41" s="3053">
        <f t="shared" si="4"/>
        <v>1</v>
      </c>
      <c r="AC41" s="3053">
        <f t="shared" si="4"/>
        <v>1</v>
      </c>
      <c r="AD41" s="3053">
        <f t="shared" si="4"/>
        <v>1</v>
      </c>
      <c r="AE41" s="1197">
        <f t="shared" si="4"/>
        <v>1</v>
      </c>
      <c r="AF41" s="1197">
        <f t="shared" si="4"/>
        <v>0.99999999999999989</v>
      </c>
    </row>
    <row r="42" spans="1:32" s="3047" customFormat="1">
      <c r="A42" s="3043">
        <v>200</v>
      </c>
      <c r="B42" s="3044">
        <v>38</v>
      </c>
      <c r="C42" s="3052">
        <v>0</v>
      </c>
      <c r="D42" s="3052">
        <v>0</v>
      </c>
      <c r="E42" s="3052">
        <v>0</v>
      </c>
      <c r="F42" s="3052">
        <v>0</v>
      </c>
      <c r="G42" s="3052">
        <v>0</v>
      </c>
      <c r="H42" s="3052">
        <v>0</v>
      </c>
      <c r="I42" s="3052">
        <v>0</v>
      </c>
      <c r="J42" s="3052">
        <v>0</v>
      </c>
      <c r="K42" s="3052">
        <v>0</v>
      </c>
      <c r="L42" s="3052">
        <v>0</v>
      </c>
      <c r="M42" s="3052">
        <v>0</v>
      </c>
      <c r="N42" s="3052">
        <v>0</v>
      </c>
      <c r="O42" s="3052">
        <v>0</v>
      </c>
      <c r="P42" s="3052">
        <v>0</v>
      </c>
      <c r="Q42" s="3052">
        <v>0</v>
      </c>
      <c r="R42" s="3053">
        <f t="shared" si="4"/>
        <v>1</v>
      </c>
      <c r="S42" s="3053">
        <f t="shared" si="4"/>
        <v>0.99999999999999989</v>
      </c>
      <c r="T42" s="3053">
        <f t="shared" si="4"/>
        <v>1</v>
      </c>
      <c r="U42" s="3053">
        <f t="shared" si="4"/>
        <v>1</v>
      </c>
      <c r="V42" s="3053">
        <f t="shared" si="4"/>
        <v>1</v>
      </c>
      <c r="W42" s="3053">
        <f t="shared" si="4"/>
        <v>1</v>
      </c>
      <c r="X42" s="3053">
        <f t="shared" si="4"/>
        <v>1.0000000000000002</v>
      </c>
      <c r="Y42" s="3053">
        <f t="shared" si="4"/>
        <v>1</v>
      </c>
      <c r="Z42" s="3053">
        <f t="shared" si="4"/>
        <v>1</v>
      </c>
      <c r="AA42" s="3053">
        <f t="shared" si="4"/>
        <v>1</v>
      </c>
      <c r="AB42" s="3053">
        <f t="shared" si="4"/>
        <v>1</v>
      </c>
      <c r="AC42" s="3053">
        <f t="shared" si="4"/>
        <v>1</v>
      </c>
      <c r="AD42" s="3053">
        <f t="shared" si="4"/>
        <v>1</v>
      </c>
      <c r="AE42" s="1197">
        <f t="shared" si="4"/>
        <v>1</v>
      </c>
      <c r="AF42" s="1197">
        <f t="shared" si="4"/>
        <v>0.99999999999999989</v>
      </c>
    </row>
    <row r="43" spans="1:32" s="3047" customFormat="1">
      <c r="A43" s="3043">
        <v>200</v>
      </c>
      <c r="B43" s="3044">
        <v>39</v>
      </c>
      <c r="C43" s="3052">
        <v>0</v>
      </c>
      <c r="D43" s="3052">
        <v>0</v>
      </c>
      <c r="E43" s="3052">
        <v>0</v>
      </c>
      <c r="F43" s="3052">
        <v>0</v>
      </c>
      <c r="G43" s="3052">
        <v>0</v>
      </c>
      <c r="H43" s="3052">
        <v>0</v>
      </c>
      <c r="I43" s="3052">
        <v>0</v>
      </c>
      <c r="J43" s="3052">
        <v>0</v>
      </c>
      <c r="K43" s="3052">
        <v>0</v>
      </c>
      <c r="L43" s="3052">
        <v>0</v>
      </c>
      <c r="M43" s="3052">
        <v>0</v>
      </c>
      <c r="N43" s="3052">
        <v>0</v>
      </c>
      <c r="O43" s="3052">
        <v>0</v>
      </c>
      <c r="P43" s="3052">
        <v>0</v>
      </c>
      <c r="Q43" s="3052">
        <v>0</v>
      </c>
      <c r="R43" s="3053">
        <f t="shared" si="4"/>
        <v>1</v>
      </c>
      <c r="S43" s="3053">
        <f t="shared" si="4"/>
        <v>0.99999999999999989</v>
      </c>
      <c r="T43" s="3053">
        <f t="shared" si="4"/>
        <v>1</v>
      </c>
      <c r="U43" s="3053">
        <f t="shared" si="4"/>
        <v>1</v>
      </c>
      <c r="V43" s="3053">
        <f t="shared" si="4"/>
        <v>1</v>
      </c>
      <c r="W43" s="3053">
        <f t="shared" si="4"/>
        <v>1</v>
      </c>
      <c r="X43" s="3053">
        <f t="shared" si="4"/>
        <v>1.0000000000000002</v>
      </c>
      <c r="Y43" s="3053">
        <f t="shared" si="4"/>
        <v>1</v>
      </c>
      <c r="Z43" s="3053">
        <f t="shared" si="4"/>
        <v>1</v>
      </c>
      <c r="AA43" s="3053">
        <f t="shared" si="4"/>
        <v>1</v>
      </c>
      <c r="AB43" s="3053">
        <f t="shared" si="4"/>
        <v>1</v>
      </c>
      <c r="AC43" s="3053">
        <f t="shared" si="4"/>
        <v>1</v>
      </c>
      <c r="AD43" s="3053">
        <f t="shared" si="4"/>
        <v>1</v>
      </c>
      <c r="AE43" s="1197">
        <f t="shared" si="4"/>
        <v>1</v>
      </c>
      <c r="AF43" s="1197">
        <f t="shared" si="4"/>
        <v>0.99999999999999989</v>
      </c>
    </row>
    <row r="44" spans="1:32" s="3047" customFormat="1">
      <c r="A44" s="3043">
        <v>200</v>
      </c>
      <c r="B44" s="3044">
        <v>40</v>
      </c>
      <c r="C44" s="3052">
        <v>0</v>
      </c>
      <c r="D44" s="3052">
        <v>0</v>
      </c>
      <c r="E44" s="3052">
        <v>0</v>
      </c>
      <c r="F44" s="3052">
        <v>0</v>
      </c>
      <c r="G44" s="3052">
        <v>0</v>
      </c>
      <c r="H44" s="3052">
        <v>0</v>
      </c>
      <c r="I44" s="3052">
        <v>0</v>
      </c>
      <c r="J44" s="3052">
        <v>0</v>
      </c>
      <c r="K44" s="3052">
        <v>0</v>
      </c>
      <c r="L44" s="3052">
        <v>0</v>
      </c>
      <c r="M44" s="3052">
        <v>0</v>
      </c>
      <c r="N44" s="3052">
        <v>0</v>
      </c>
      <c r="O44" s="3052">
        <v>0</v>
      </c>
      <c r="P44" s="3052">
        <v>0</v>
      </c>
      <c r="Q44" s="3052">
        <v>0</v>
      </c>
      <c r="R44" s="3053">
        <f t="shared" si="4"/>
        <v>1</v>
      </c>
      <c r="S44" s="3053">
        <f t="shared" si="4"/>
        <v>0.99999999999999989</v>
      </c>
      <c r="T44" s="3053">
        <f t="shared" si="4"/>
        <v>1</v>
      </c>
      <c r="U44" s="3053">
        <f t="shared" si="4"/>
        <v>1</v>
      </c>
      <c r="V44" s="3053">
        <f t="shared" si="4"/>
        <v>1</v>
      </c>
      <c r="W44" s="3053">
        <f t="shared" si="4"/>
        <v>1</v>
      </c>
      <c r="X44" s="3053">
        <f t="shared" si="4"/>
        <v>1.0000000000000002</v>
      </c>
      <c r="Y44" s="3053">
        <f t="shared" si="4"/>
        <v>1</v>
      </c>
      <c r="Z44" s="3053">
        <f t="shared" si="4"/>
        <v>1</v>
      </c>
      <c r="AA44" s="3053">
        <f t="shared" si="4"/>
        <v>1</v>
      </c>
      <c r="AB44" s="3053">
        <f t="shared" si="4"/>
        <v>1</v>
      </c>
      <c r="AC44" s="3053">
        <f t="shared" si="4"/>
        <v>1</v>
      </c>
      <c r="AD44" s="3053">
        <f t="shared" si="4"/>
        <v>1</v>
      </c>
      <c r="AE44" s="1197">
        <f t="shared" si="4"/>
        <v>1</v>
      </c>
      <c r="AF44" s="1197">
        <f t="shared" si="4"/>
        <v>0.99999999999999989</v>
      </c>
    </row>
    <row r="45" spans="1:32" s="3047" customFormat="1">
      <c r="A45" s="3043">
        <v>200</v>
      </c>
      <c r="B45" s="3044">
        <v>41</v>
      </c>
      <c r="C45" s="3052">
        <v>0</v>
      </c>
      <c r="D45" s="3052">
        <v>0</v>
      </c>
      <c r="E45" s="3052">
        <v>0</v>
      </c>
      <c r="F45" s="3052">
        <v>0</v>
      </c>
      <c r="G45" s="3052">
        <v>0</v>
      </c>
      <c r="H45" s="3052">
        <v>0</v>
      </c>
      <c r="I45" s="3052">
        <v>0</v>
      </c>
      <c r="J45" s="3052">
        <v>0</v>
      </c>
      <c r="K45" s="3052">
        <v>0</v>
      </c>
      <c r="L45" s="3052">
        <v>0</v>
      </c>
      <c r="M45" s="3052">
        <v>0</v>
      </c>
      <c r="N45" s="3052">
        <v>0</v>
      </c>
      <c r="O45" s="3052">
        <v>0</v>
      </c>
      <c r="P45" s="3052">
        <v>0</v>
      </c>
      <c r="Q45" s="3052">
        <v>0</v>
      </c>
      <c r="R45" s="3053">
        <f t="shared" si="4"/>
        <v>1</v>
      </c>
      <c r="S45" s="3053">
        <f t="shared" si="4"/>
        <v>0.99999999999999989</v>
      </c>
      <c r="T45" s="3053">
        <f t="shared" si="4"/>
        <v>1</v>
      </c>
      <c r="U45" s="3053">
        <f t="shared" si="4"/>
        <v>1</v>
      </c>
      <c r="V45" s="3053">
        <f t="shared" si="4"/>
        <v>1</v>
      </c>
      <c r="W45" s="3053">
        <f t="shared" si="4"/>
        <v>1</v>
      </c>
      <c r="X45" s="3053">
        <f t="shared" si="4"/>
        <v>1.0000000000000002</v>
      </c>
      <c r="Y45" s="3053">
        <f t="shared" si="4"/>
        <v>1</v>
      </c>
      <c r="Z45" s="3053">
        <f t="shared" si="4"/>
        <v>1</v>
      </c>
      <c r="AA45" s="3053">
        <f t="shared" si="4"/>
        <v>1</v>
      </c>
      <c r="AB45" s="3053">
        <f t="shared" si="4"/>
        <v>1</v>
      </c>
      <c r="AC45" s="3053">
        <f t="shared" si="4"/>
        <v>1</v>
      </c>
      <c r="AD45" s="3053">
        <f t="shared" si="4"/>
        <v>1</v>
      </c>
      <c r="AE45" s="1197">
        <f t="shared" si="4"/>
        <v>1</v>
      </c>
      <c r="AF45" s="1197">
        <f t="shared" si="4"/>
        <v>0.99999999999999989</v>
      </c>
    </row>
    <row r="46" spans="1:32" s="3047" customFormat="1">
      <c r="A46" s="3043">
        <v>200</v>
      </c>
      <c r="B46" s="3044">
        <v>42</v>
      </c>
      <c r="C46" s="3052">
        <v>0</v>
      </c>
      <c r="D46" s="3052">
        <v>0</v>
      </c>
      <c r="E46" s="3052">
        <v>0</v>
      </c>
      <c r="F46" s="3052">
        <v>0</v>
      </c>
      <c r="G46" s="3052">
        <v>0</v>
      </c>
      <c r="H46" s="3052">
        <v>0</v>
      </c>
      <c r="I46" s="3052">
        <v>0</v>
      </c>
      <c r="J46" s="3052">
        <v>0</v>
      </c>
      <c r="K46" s="3052">
        <v>0</v>
      </c>
      <c r="L46" s="3052">
        <v>0</v>
      </c>
      <c r="M46" s="3052">
        <v>0</v>
      </c>
      <c r="N46" s="3052">
        <v>0</v>
      </c>
      <c r="O46" s="3052">
        <v>0</v>
      </c>
      <c r="P46" s="3052">
        <v>0</v>
      </c>
      <c r="Q46" s="3052">
        <v>0</v>
      </c>
      <c r="R46" s="3053">
        <f t="shared" si="4"/>
        <v>1</v>
      </c>
      <c r="S46" s="3053">
        <f t="shared" si="4"/>
        <v>0.99999999999999989</v>
      </c>
      <c r="T46" s="3053">
        <f t="shared" si="4"/>
        <v>1</v>
      </c>
      <c r="U46" s="3053">
        <f t="shared" si="4"/>
        <v>1</v>
      </c>
      <c r="V46" s="3053">
        <f t="shared" si="4"/>
        <v>1</v>
      </c>
      <c r="W46" s="3053">
        <f t="shared" si="4"/>
        <v>1</v>
      </c>
      <c r="X46" s="3053">
        <f t="shared" si="4"/>
        <v>1.0000000000000002</v>
      </c>
      <c r="Y46" s="3053">
        <f t="shared" si="4"/>
        <v>1</v>
      </c>
      <c r="Z46" s="3053">
        <f t="shared" si="4"/>
        <v>1</v>
      </c>
      <c r="AA46" s="3053">
        <f t="shared" si="4"/>
        <v>1</v>
      </c>
      <c r="AB46" s="3053">
        <f t="shared" si="4"/>
        <v>1</v>
      </c>
      <c r="AC46" s="3053">
        <f t="shared" si="4"/>
        <v>1</v>
      </c>
      <c r="AD46" s="3053">
        <f t="shared" si="4"/>
        <v>1</v>
      </c>
      <c r="AE46" s="1197">
        <f t="shared" si="4"/>
        <v>1</v>
      </c>
      <c r="AF46" s="1197">
        <f t="shared" si="4"/>
        <v>0.99999999999999989</v>
      </c>
    </row>
    <row r="47" spans="1:32" s="3047" customFormat="1">
      <c r="A47" s="3043">
        <v>200</v>
      </c>
      <c r="B47" s="3044">
        <v>43</v>
      </c>
      <c r="C47" s="3052">
        <v>0</v>
      </c>
      <c r="D47" s="3052">
        <v>0</v>
      </c>
      <c r="E47" s="3052">
        <v>0</v>
      </c>
      <c r="F47" s="3052">
        <v>0</v>
      </c>
      <c r="G47" s="3052">
        <v>0</v>
      </c>
      <c r="H47" s="3052">
        <v>0</v>
      </c>
      <c r="I47" s="3052">
        <v>0</v>
      </c>
      <c r="J47" s="3052">
        <v>0</v>
      </c>
      <c r="K47" s="3052">
        <v>0</v>
      </c>
      <c r="L47" s="3052">
        <v>0</v>
      </c>
      <c r="M47" s="3052">
        <v>0</v>
      </c>
      <c r="N47" s="3052">
        <v>0</v>
      </c>
      <c r="O47" s="3052">
        <v>0</v>
      </c>
      <c r="P47" s="3052">
        <v>0</v>
      </c>
      <c r="Q47" s="3052">
        <v>0</v>
      </c>
      <c r="R47" s="3053">
        <f t="shared" si="4"/>
        <v>1</v>
      </c>
      <c r="S47" s="3053">
        <f t="shared" si="4"/>
        <v>0.99999999999999989</v>
      </c>
      <c r="T47" s="3053">
        <f t="shared" si="4"/>
        <v>1</v>
      </c>
      <c r="U47" s="3053">
        <f t="shared" si="4"/>
        <v>1</v>
      </c>
      <c r="V47" s="3053">
        <f t="shared" si="4"/>
        <v>1</v>
      </c>
      <c r="W47" s="3053">
        <f t="shared" si="4"/>
        <v>1</v>
      </c>
      <c r="X47" s="3053">
        <f t="shared" si="4"/>
        <v>1.0000000000000002</v>
      </c>
      <c r="Y47" s="3053">
        <f t="shared" si="4"/>
        <v>1</v>
      </c>
      <c r="Z47" s="3053">
        <f t="shared" si="4"/>
        <v>1</v>
      </c>
      <c r="AA47" s="3053">
        <f t="shared" si="4"/>
        <v>1</v>
      </c>
      <c r="AB47" s="3053">
        <f t="shared" si="4"/>
        <v>1</v>
      </c>
      <c r="AC47" s="3053">
        <f t="shared" si="4"/>
        <v>1</v>
      </c>
      <c r="AD47" s="3053">
        <f t="shared" si="4"/>
        <v>1</v>
      </c>
      <c r="AE47" s="1197">
        <f t="shared" si="4"/>
        <v>1</v>
      </c>
      <c r="AF47" s="1197">
        <f t="shared" si="4"/>
        <v>0.99999999999999989</v>
      </c>
    </row>
    <row r="48" spans="1:32" s="3047" customFormat="1">
      <c r="A48" s="3043">
        <v>200</v>
      </c>
      <c r="B48" s="3044">
        <v>44</v>
      </c>
      <c r="C48" s="3052">
        <v>0</v>
      </c>
      <c r="D48" s="3052">
        <v>0</v>
      </c>
      <c r="E48" s="3052">
        <v>0</v>
      </c>
      <c r="F48" s="3052">
        <v>0</v>
      </c>
      <c r="G48" s="3052">
        <v>0</v>
      </c>
      <c r="H48" s="3052">
        <v>0</v>
      </c>
      <c r="I48" s="3052">
        <v>0</v>
      </c>
      <c r="J48" s="3052">
        <v>0</v>
      </c>
      <c r="K48" s="3052">
        <v>0</v>
      </c>
      <c r="L48" s="3052">
        <v>0</v>
      </c>
      <c r="M48" s="3052">
        <v>0</v>
      </c>
      <c r="N48" s="3052">
        <v>0</v>
      </c>
      <c r="O48" s="3052">
        <v>0</v>
      </c>
      <c r="P48" s="3052">
        <v>0</v>
      </c>
      <c r="Q48" s="3052">
        <v>0</v>
      </c>
      <c r="R48" s="3053">
        <f t="shared" si="4"/>
        <v>1</v>
      </c>
      <c r="S48" s="3053">
        <f t="shared" si="4"/>
        <v>0.99999999999999989</v>
      </c>
      <c r="T48" s="3053">
        <f t="shared" si="4"/>
        <v>1</v>
      </c>
      <c r="U48" s="3053">
        <f t="shared" si="4"/>
        <v>1</v>
      </c>
      <c r="V48" s="3053">
        <f t="shared" si="4"/>
        <v>1</v>
      </c>
      <c r="W48" s="3053">
        <f t="shared" si="4"/>
        <v>1</v>
      </c>
      <c r="X48" s="3053">
        <f t="shared" si="4"/>
        <v>1.0000000000000002</v>
      </c>
      <c r="Y48" s="3053">
        <f t="shared" si="4"/>
        <v>1</v>
      </c>
      <c r="Z48" s="3053">
        <f t="shared" si="4"/>
        <v>1</v>
      </c>
      <c r="AA48" s="3053">
        <f t="shared" si="4"/>
        <v>1</v>
      </c>
      <c r="AB48" s="3053">
        <f t="shared" si="4"/>
        <v>1</v>
      </c>
      <c r="AC48" s="3053">
        <f t="shared" si="4"/>
        <v>1</v>
      </c>
      <c r="AD48" s="3053">
        <f t="shared" si="4"/>
        <v>1</v>
      </c>
      <c r="AE48" s="1197">
        <f t="shared" si="4"/>
        <v>1</v>
      </c>
      <c r="AF48" s="1197">
        <f t="shared" si="4"/>
        <v>0.99999999999999989</v>
      </c>
    </row>
    <row r="49" spans="1:32" s="3047" customFormat="1">
      <c r="A49" s="3043">
        <v>200</v>
      </c>
      <c r="B49" s="3044">
        <v>45</v>
      </c>
      <c r="C49" s="3052">
        <v>0</v>
      </c>
      <c r="D49" s="3052">
        <v>0</v>
      </c>
      <c r="E49" s="3052">
        <v>0</v>
      </c>
      <c r="F49" s="3052">
        <v>0</v>
      </c>
      <c r="G49" s="3052">
        <v>0</v>
      </c>
      <c r="H49" s="3052">
        <v>0</v>
      </c>
      <c r="I49" s="3052">
        <v>0</v>
      </c>
      <c r="J49" s="3052">
        <v>0</v>
      </c>
      <c r="K49" s="3052">
        <v>0</v>
      </c>
      <c r="L49" s="3052">
        <v>0</v>
      </c>
      <c r="M49" s="3052">
        <v>0</v>
      </c>
      <c r="N49" s="3052">
        <v>0</v>
      </c>
      <c r="O49" s="3052">
        <v>0</v>
      </c>
      <c r="P49" s="3052">
        <v>0</v>
      </c>
      <c r="Q49" s="3052">
        <v>0</v>
      </c>
      <c r="R49" s="3053">
        <f t="shared" si="4"/>
        <v>1</v>
      </c>
      <c r="S49" s="3053">
        <f t="shared" si="4"/>
        <v>0.99999999999999989</v>
      </c>
      <c r="T49" s="3053">
        <f t="shared" si="4"/>
        <v>1</v>
      </c>
      <c r="U49" s="3053">
        <f t="shared" si="4"/>
        <v>1</v>
      </c>
      <c r="V49" s="3053">
        <f t="shared" si="4"/>
        <v>1</v>
      </c>
      <c r="W49" s="3053">
        <f t="shared" si="4"/>
        <v>1</v>
      </c>
      <c r="X49" s="3053">
        <f t="shared" si="4"/>
        <v>1.0000000000000002</v>
      </c>
      <c r="Y49" s="3053">
        <f t="shared" si="4"/>
        <v>1</v>
      </c>
      <c r="Z49" s="3053">
        <f t="shared" si="4"/>
        <v>1</v>
      </c>
      <c r="AA49" s="3053">
        <f t="shared" si="4"/>
        <v>1</v>
      </c>
      <c r="AB49" s="3053">
        <f t="shared" si="4"/>
        <v>1</v>
      </c>
      <c r="AC49" s="3053">
        <f t="shared" si="4"/>
        <v>1</v>
      </c>
      <c r="AD49" s="3053">
        <f t="shared" si="4"/>
        <v>1</v>
      </c>
      <c r="AE49" s="1197">
        <f t="shared" si="4"/>
        <v>1</v>
      </c>
      <c r="AF49" s="1197">
        <f t="shared" si="4"/>
        <v>0.99999999999999989</v>
      </c>
    </row>
    <row r="50" spans="1:32" s="3047" customFormat="1">
      <c r="A50" s="3043">
        <v>200</v>
      </c>
      <c r="B50" s="3044">
        <v>46</v>
      </c>
      <c r="C50" s="3052">
        <v>0</v>
      </c>
      <c r="D50" s="3052">
        <v>0</v>
      </c>
      <c r="E50" s="3052">
        <v>0</v>
      </c>
      <c r="F50" s="3052">
        <v>0</v>
      </c>
      <c r="G50" s="3052">
        <v>0</v>
      </c>
      <c r="H50" s="3052">
        <v>0</v>
      </c>
      <c r="I50" s="3052">
        <v>0</v>
      </c>
      <c r="J50" s="3052">
        <v>0</v>
      </c>
      <c r="K50" s="3052">
        <v>0</v>
      </c>
      <c r="L50" s="3052">
        <v>0</v>
      </c>
      <c r="M50" s="3052">
        <v>0</v>
      </c>
      <c r="N50" s="3052">
        <v>0</v>
      </c>
      <c r="O50" s="3052">
        <v>0</v>
      </c>
      <c r="P50" s="3052">
        <v>0</v>
      </c>
      <c r="Q50" s="3052">
        <v>0</v>
      </c>
      <c r="R50" s="3053">
        <f t="shared" si="4"/>
        <v>1</v>
      </c>
      <c r="S50" s="3053">
        <f t="shared" si="4"/>
        <v>0.99999999999999989</v>
      </c>
      <c r="T50" s="3053">
        <f t="shared" si="4"/>
        <v>1</v>
      </c>
      <c r="U50" s="3053">
        <f t="shared" si="4"/>
        <v>1</v>
      </c>
      <c r="V50" s="3053">
        <f t="shared" si="4"/>
        <v>1</v>
      </c>
      <c r="W50" s="3053">
        <f t="shared" si="4"/>
        <v>1</v>
      </c>
      <c r="X50" s="3053">
        <f t="shared" si="4"/>
        <v>1.0000000000000002</v>
      </c>
      <c r="Y50" s="3053">
        <f t="shared" si="4"/>
        <v>1</v>
      </c>
      <c r="Z50" s="3053">
        <f t="shared" si="4"/>
        <v>1</v>
      </c>
      <c r="AA50" s="3053">
        <f t="shared" si="4"/>
        <v>1</v>
      </c>
      <c r="AB50" s="3053">
        <f t="shared" si="4"/>
        <v>1</v>
      </c>
      <c r="AC50" s="3053">
        <f t="shared" si="4"/>
        <v>1</v>
      </c>
      <c r="AD50" s="3053">
        <f t="shared" si="4"/>
        <v>1</v>
      </c>
      <c r="AE50" s="1197">
        <f t="shared" si="4"/>
        <v>1</v>
      </c>
      <c r="AF50" s="1197">
        <f t="shared" si="4"/>
        <v>0.99999999999999989</v>
      </c>
    </row>
    <row r="51" spans="1:32" s="3047" customFormat="1">
      <c r="A51" s="3043">
        <v>200</v>
      </c>
      <c r="B51" s="3044">
        <v>47</v>
      </c>
      <c r="C51" s="3052">
        <v>0</v>
      </c>
      <c r="D51" s="3052">
        <v>0</v>
      </c>
      <c r="E51" s="3052">
        <v>0</v>
      </c>
      <c r="F51" s="3052">
        <v>0</v>
      </c>
      <c r="G51" s="3052">
        <v>0</v>
      </c>
      <c r="H51" s="3052">
        <v>0</v>
      </c>
      <c r="I51" s="3052">
        <v>0</v>
      </c>
      <c r="J51" s="3052">
        <v>0</v>
      </c>
      <c r="K51" s="3052">
        <v>0</v>
      </c>
      <c r="L51" s="3052">
        <v>0</v>
      </c>
      <c r="M51" s="3052">
        <v>0</v>
      </c>
      <c r="N51" s="3052">
        <v>0</v>
      </c>
      <c r="O51" s="3052">
        <v>0</v>
      </c>
      <c r="P51" s="3052">
        <v>0</v>
      </c>
      <c r="Q51" s="3052">
        <v>0</v>
      </c>
      <c r="R51" s="3053">
        <f t="shared" si="4"/>
        <v>1</v>
      </c>
      <c r="S51" s="3053">
        <f t="shared" si="4"/>
        <v>0.99999999999999989</v>
      </c>
      <c r="T51" s="3053">
        <f t="shared" si="4"/>
        <v>1</v>
      </c>
      <c r="U51" s="3053">
        <f t="shared" si="4"/>
        <v>1</v>
      </c>
      <c r="V51" s="3053">
        <f t="shared" si="4"/>
        <v>1</v>
      </c>
      <c r="W51" s="3053">
        <f t="shared" si="4"/>
        <v>1</v>
      </c>
      <c r="X51" s="3053">
        <f t="shared" si="4"/>
        <v>1.0000000000000002</v>
      </c>
      <c r="Y51" s="3053">
        <f t="shared" si="4"/>
        <v>1</v>
      </c>
      <c r="Z51" s="3053">
        <f t="shared" si="4"/>
        <v>1</v>
      </c>
      <c r="AA51" s="3053">
        <f t="shared" si="4"/>
        <v>1</v>
      </c>
      <c r="AB51" s="3053">
        <f t="shared" si="4"/>
        <v>1</v>
      </c>
      <c r="AC51" s="3053">
        <f t="shared" si="4"/>
        <v>1</v>
      </c>
      <c r="AD51" s="3053">
        <f t="shared" si="4"/>
        <v>1</v>
      </c>
      <c r="AE51" s="1197">
        <f t="shared" si="4"/>
        <v>1</v>
      </c>
      <c r="AF51" s="1197">
        <f t="shared" si="4"/>
        <v>0.99999999999999989</v>
      </c>
    </row>
    <row r="52" spans="1:32" s="3047" customFormat="1">
      <c r="A52" s="3043">
        <v>200</v>
      </c>
      <c r="B52" s="3044">
        <v>48</v>
      </c>
      <c r="C52" s="3052">
        <v>0</v>
      </c>
      <c r="D52" s="3052">
        <v>0</v>
      </c>
      <c r="E52" s="3052">
        <v>0</v>
      </c>
      <c r="F52" s="3052">
        <v>0</v>
      </c>
      <c r="G52" s="3052">
        <v>0</v>
      </c>
      <c r="H52" s="3052">
        <v>0</v>
      </c>
      <c r="I52" s="3052">
        <v>0</v>
      </c>
      <c r="J52" s="3052">
        <v>0</v>
      </c>
      <c r="K52" s="3052">
        <v>0</v>
      </c>
      <c r="L52" s="3052">
        <v>0</v>
      </c>
      <c r="M52" s="3052">
        <v>0</v>
      </c>
      <c r="N52" s="3052">
        <v>0</v>
      </c>
      <c r="O52" s="3052">
        <v>0</v>
      </c>
      <c r="P52" s="3052">
        <v>0</v>
      </c>
      <c r="Q52" s="3052">
        <v>0</v>
      </c>
      <c r="R52" s="3053">
        <f t="shared" si="4"/>
        <v>1</v>
      </c>
      <c r="S52" s="3053">
        <f t="shared" si="4"/>
        <v>0.99999999999999989</v>
      </c>
      <c r="T52" s="3053">
        <f t="shared" si="4"/>
        <v>1</v>
      </c>
      <c r="U52" s="3053">
        <f t="shared" si="4"/>
        <v>1</v>
      </c>
      <c r="V52" s="3053">
        <f t="shared" si="4"/>
        <v>1</v>
      </c>
      <c r="W52" s="3053">
        <f t="shared" si="4"/>
        <v>1</v>
      </c>
      <c r="X52" s="3053">
        <f t="shared" si="4"/>
        <v>1.0000000000000002</v>
      </c>
      <c r="Y52" s="3053">
        <f t="shared" si="4"/>
        <v>1</v>
      </c>
      <c r="Z52" s="3053">
        <f t="shared" si="4"/>
        <v>1</v>
      </c>
      <c r="AA52" s="3053">
        <f t="shared" si="4"/>
        <v>1</v>
      </c>
      <c r="AB52" s="3053">
        <f t="shared" si="4"/>
        <v>1</v>
      </c>
      <c r="AC52" s="3053">
        <f t="shared" si="4"/>
        <v>1</v>
      </c>
      <c r="AD52" s="3053">
        <f t="shared" si="4"/>
        <v>1</v>
      </c>
      <c r="AE52" s="1197">
        <f t="shared" si="4"/>
        <v>1</v>
      </c>
      <c r="AF52" s="1197">
        <f t="shared" si="4"/>
        <v>0.99999999999999989</v>
      </c>
    </row>
    <row r="53" spans="1:32" s="3047" customFormat="1">
      <c r="A53" s="3043">
        <v>200</v>
      </c>
      <c r="B53" s="3044">
        <v>49</v>
      </c>
      <c r="C53" s="3052">
        <v>0</v>
      </c>
      <c r="D53" s="3052">
        <v>0</v>
      </c>
      <c r="E53" s="3052">
        <v>0</v>
      </c>
      <c r="F53" s="3052">
        <v>0</v>
      </c>
      <c r="G53" s="3052">
        <v>0</v>
      </c>
      <c r="H53" s="3052">
        <v>0</v>
      </c>
      <c r="I53" s="3052">
        <v>0</v>
      </c>
      <c r="J53" s="3052">
        <v>0</v>
      </c>
      <c r="K53" s="3052">
        <v>0</v>
      </c>
      <c r="L53" s="3052">
        <v>0</v>
      </c>
      <c r="M53" s="3052">
        <v>0</v>
      </c>
      <c r="N53" s="3052">
        <v>0</v>
      </c>
      <c r="O53" s="3052">
        <v>0</v>
      </c>
      <c r="P53" s="3052">
        <v>0</v>
      </c>
      <c r="Q53" s="3052">
        <v>0</v>
      </c>
      <c r="R53" s="3053">
        <f t="shared" si="4"/>
        <v>1</v>
      </c>
      <c r="S53" s="3053">
        <f t="shared" si="4"/>
        <v>0.99999999999999989</v>
      </c>
      <c r="T53" s="3053">
        <f t="shared" si="4"/>
        <v>1</v>
      </c>
      <c r="U53" s="3053">
        <f t="shared" si="4"/>
        <v>1</v>
      </c>
      <c r="V53" s="3053">
        <f t="shared" si="4"/>
        <v>1</v>
      </c>
      <c r="W53" s="3053">
        <f t="shared" si="4"/>
        <v>1</v>
      </c>
      <c r="X53" s="3053">
        <f t="shared" si="4"/>
        <v>1.0000000000000002</v>
      </c>
      <c r="Y53" s="3053">
        <f t="shared" si="4"/>
        <v>1</v>
      </c>
      <c r="Z53" s="3053">
        <f t="shared" si="4"/>
        <v>1</v>
      </c>
      <c r="AA53" s="3053">
        <f t="shared" si="4"/>
        <v>1</v>
      </c>
      <c r="AB53" s="3053">
        <f t="shared" si="4"/>
        <v>1</v>
      </c>
      <c r="AC53" s="3053">
        <f t="shared" si="4"/>
        <v>1</v>
      </c>
      <c r="AD53" s="3053">
        <f t="shared" si="4"/>
        <v>1</v>
      </c>
      <c r="AE53" s="1197">
        <f t="shared" si="4"/>
        <v>1</v>
      </c>
      <c r="AF53" s="1197">
        <f t="shared" si="4"/>
        <v>0.99999999999999989</v>
      </c>
    </row>
    <row r="54" spans="1:32" s="3047" customFormat="1">
      <c r="A54" s="3043">
        <v>200</v>
      </c>
      <c r="B54" s="3044">
        <v>50</v>
      </c>
      <c r="C54" s="3052">
        <v>0</v>
      </c>
      <c r="D54" s="3052">
        <v>0</v>
      </c>
      <c r="E54" s="3052">
        <v>0</v>
      </c>
      <c r="F54" s="3052">
        <v>0</v>
      </c>
      <c r="G54" s="3052">
        <v>0</v>
      </c>
      <c r="H54" s="3052">
        <v>0</v>
      </c>
      <c r="I54" s="3052">
        <v>0</v>
      </c>
      <c r="J54" s="3052">
        <v>0</v>
      </c>
      <c r="K54" s="3052">
        <v>0</v>
      </c>
      <c r="L54" s="3052">
        <v>0</v>
      </c>
      <c r="M54" s="3052">
        <v>0</v>
      </c>
      <c r="N54" s="3052">
        <v>0</v>
      </c>
      <c r="O54" s="3052">
        <v>0</v>
      </c>
      <c r="P54" s="3052">
        <v>0</v>
      </c>
      <c r="Q54" s="3052">
        <v>0</v>
      </c>
      <c r="R54" s="3053">
        <f t="shared" ref="R54:AF69" si="5">C54+R53</f>
        <v>1</v>
      </c>
      <c r="S54" s="3053">
        <f t="shared" si="5"/>
        <v>0.99999999999999989</v>
      </c>
      <c r="T54" s="3053">
        <f t="shared" si="5"/>
        <v>1</v>
      </c>
      <c r="U54" s="3053">
        <f t="shared" si="5"/>
        <v>1</v>
      </c>
      <c r="V54" s="3053">
        <f t="shared" si="5"/>
        <v>1</v>
      </c>
      <c r="W54" s="3053">
        <f t="shared" si="5"/>
        <v>1</v>
      </c>
      <c r="X54" s="3053">
        <f t="shared" si="5"/>
        <v>1.0000000000000002</v>
      </c>
      <c r="Y54" s="3053">
        <f t="shared" si="5"/>
        <v>1</v>
      </c>
      <c r="Z54" s="3053">
        <f t="shared" si="5"/>
        <v>1</v>
      </c>
      <c r="AA54" s="3053">
        <f t="shared" si="5"/>
        <v>1</v>
      </c>
      <c r="AB54" s="3053">
        <f t="shared" si="5"/>
        <v>1</v>
      </c>
      <c r="AC54" s="3053">
        <f t="shared" si="5"/>
        <v>1</v>
      </c>
      <c r="AD54" s="3053">
        <f t="shared" si="5"/>
        <v>1</v>
      </c>
      <c r="AE54" s="1197">
        <f t="shared" si="5"/>
        <v>1</v>
      </c>
      <c r="AF54" s="1197">
        <f t="shared" si="5"/>
        <v>0.99999999999999989</v>
      </c>
    </row>
    <row r="55" spans="1:32" s="3047" customFormat="1">
      <c r="A55" s="3043">
        <v>200</v>
      </c>
      <c r="B55" s="3044">
        <v>51</v>
      </c>
      <c r="C55" s="3052">
        <v>0</v>
      </c>
      <c r="D55" s="3052">
        <v>0</v>
      </c>
      <c r="E55" s="3052">
        <v>0</v>
      </c>
      <c r="F55" s="3052">
        <v>0</v>
      </c>
      <c r="G55" s="3052">
        <v>0</v>
      </c>
      <c r="H55" s="3052">
        <v>0</v>
      </c>
      <c r="I55" s="3052">
        <v>0</v>
      </c>
      <c r="J55" s="3052">
        <v>0</v>
      </c>
      <c r="K55" s="3052">
        <v>0</v>
      </c>
      <c r="L55" s="3052">
        <v>0</v>
      </c>
      <c r="M55" s="3052">
        <v>0</v>
      </c>
      <c r="N55" s="3052">
        <v>0</v>
      </c>
      <c r="O55" s="3052">
        <v>0</v>
      </c>
      <c r="P55" s="3052">
        <v>0</v>
      </c>
      <c r="Q55" s="3052">
        <v>0</v>
      </c>
      <c r="R55" s="3053">
        <f t="shared" si="5"/>
        <v>1</v>
      </c>
      <c r="S55" s="3053">
        <f t="shared" si="5"/>
        <v>0.99999999999999989</v>
      </c>
      <c r="T55" s="3053">
        <f t="shared" si="5"/>
        <v>1</v>
      </c>
      <c r="U55" s="3053">
        <f t="shared" si="5"/>
        <v>1</v>
      </c>
      <c r="V55" s="3053">
        <f t="shared" si="5"/>
        <v>1</v>
      </c>
      <c r="W55" s="3053">
        <f t="shared" si="5"/>
        <v>1</v>
      </c>
      <c r="X55" s="3053">
        <f t="shared" si="5"/>
        <v>1.0000000000000002</v>
      </c>
      <c r="Y55" s="3053">
        <f t="shared" si="5"/>
        <v>1</v>
      </c>
      <c r="Z55" s="3053">
        <f t="shared" si="5"/>
        <v>1</v>
      </c>
      <c r="AA55" s="3053">
        <f t="shared" si="5"/>
        <v>1</v>
      </c>
      <c r="AB55" s="3053">
        <f t="shared" si="5"/>
        <v>1</v>
      </c>
      <c r="AC55" s="3053">
        <f t="shared" si="5"/>
        <v>1</v>
      </c>
      <c r="AD55" s="3053">
        <f t="shared" si="5"/>
        <v>1</v>
      </c>
      <c r="AE55" s="1197">
        <f t="shared" si="5"/>
        <v>1</v>
      </c>
      <c r="AF55" s="1197">
        <f t="shared" si="5"/>
        <v>0.99999999999999989</v>
      </c>
    </row>
    <row r="56" spans="1:32" s="3047" customFormat="1">
      <c r="A56" s="3043">
        <v>200</v>
      </c>
      <c r="B56" s="3044">
        <v>52</v>
      </c>
      <c r="C56" s="3052">
        <v>0</v>
      </c>
      <c r="D56" s="3052">
        <v>0</v>
      </c>
      <c r="E56" s="3052">
        <v>0</v>
      </c>
      <c r="F56" s="3052">
        <v>0</v>
      </c>
      <c r="G56" s="3052">
        <v>0</v>
      </c>
      <c r="H56" s="3052">
        <v>0</v>
      </c>
      <c r="I56" s="3052">
        <v>0</v>
      </c>
      <c r="J56" s="3052">
        <v>0</v>
      </c>
      <c r="K56" s="3052">
        <v>0</v>
      </c>
      <c r="L56" s="3052">
        <v>0</v>
      </c>
      <c r="M56" s="3052">
        <v>0</v>
      </c>
      <c r="N56" s="3052">
        <v>0</v>
      </c>
      <c r="O56" s="3052">
        <v>0</v>
      </c>
      <c r="P56" s="3052">
        <v>0</v>
      </c>
      <c r="Q56" s="3052">
        <v>0</v>
      </c>
      <c r="R56" s="3053">
        <f t="shared" si="5"/>
        <v>1</v>
      </c>
      <c r="S56" s="3053">
        <f t="shared" si="5"/>
        <v>0.99999999999999989</v>
      </c>
      <c r="T56" s="3053">
        <f t="shared" si="5"/>
        <v>1</v>
      </c>
      <c r="U56" s="3053">
        <f t="shared" si="5"/>
        <v>1</v>
      </c>
      <c r="V56" s="3053">
        <f t="shared" si="5"/>
        <v>1</v>
      </c>
      <c r="W56" s="3053">
        <f t="shared" si="5"/>
        <v>1</v>
      </c>
      <c r="X56" s="3053">
        <f t="shared" si="5"/>
        <v>1.0000000000000002</v>
      </c>
      <c r="Y56" s="3053">
        <f t="shared" si="5"/>
        <v>1</v>
      </c>
      <c r="Z56" s="3053">
        <f t="shared" si="5"/>
        <v>1</v>
      </c>
      <c r="AA56" s="3053">
        <f t="shared" si="5"/>
        <v>1</v>
      </c>
      <c r="AB56" s="3053">
        <f t="shared" si="5"/>
        <v>1</v>
      </c>
      <c r="AC56" s="3053">
        <f t="shared" si="5"/>
        <v>1</v>
      </c>
      <c r="AD56" s="3053">
        <f t="shared" si="5"/>
        <v>1</v>
      </c>
      <c r="AE56" s="1197">
        <f t="shared" si="5"/>
        <v>1</v>
      </c>
      <c r="AF56" s="1197">
        <f t="shared" si="5"/>
        <v>0.99999999999999989</v>
      </c>
    </row>
    <row r="57" spans="1:32" s="3047" customFormat="1">
      <c r="A57" s="3043">
        <v>200</v>
      </c>
      <c r="B57" s="3044">
        <v>53</v>
      </c>
      <c r="C57" s="3052">
        <v>0</v>
      </c>
      <c r="D57" s="3052">
        <v>0</v>
      </c>
      <c r="E57" s="3052">
        <v>0</v>
      </c>
      <c r="F57" s="3052">
        <v>0</v>
      </c>
      <c r="G57" s="3052">
        <v>0</v>
      </c>
      <c r="H57" s="3052">
        <v>0</v>
      </c>
      <c r="I57" s="3052">
        <v>0</v>
      </c>
      <c r="J57" s="3052">
        <v>0</v>
      </c>
      <c r="K57" s="3052">
        <v>0</v>
      </c>
      <c r="L57" s="3052">
        <v>0</v>
      </c>
      <c r="M57" s="3052">
        <v>0</v>
      </c>
      <c r="N57" s="3052">
        <v>0</v>
      </c>
      <c r="O57" s="3052">
        <v>0</v>
      </c>
      <c r="P57" s="3052">
        <v>0</v>
      </c>
      <c r="Q57" s="3052">
        <v>0</v>
      </c>
      <c r="R57" s="3053">
        <f t="shared" si="5"/>
        <v>1</v>
      </c>
      <c r="S57" s="3053">
        <f t="shared" si="5"/>
        <v>0.99999999999999989</v>
      </c>
      <c r="T57" s="3053">
        <f t="shared" si="5"/>
        <v>1</v>
      </c>
      <c r="U57" s="3053">
        <f t="shared" si="5"/>
        <v>1</v>
      </c>
      <c r="V57" s="3053">
        <f t="shared" si="5"/>
        <v>1</v>
      </c>
      <c r="W57" s="3053">
        <f t="shared" si="5"/>
        <v>1</v>
      </c>
      <c r="X57" s="3053">
        <f t="shared" si="5"/>
        <v>1.0000000000000002</v>
      </c>
      <c r="Y57" s="3053">
        <f t="shared" si="5"/>
        <v>1</v>
      </c>
      <c r="Z57" s="3053">
        <f t="shared" si="5"/>
        <v>1</v>
      </c>
      <c r="AA57" s="3053">
        <f t="shared" si="5"/>
        <v>1</v>
      </c>
      <c r="AB57" s="3053">
        <f t="shared" si="5"/>
        <v>1</v>
      </c>
      <c r="AC57" s="3053">
        <f t="shared" si="5"/>
        <v>1</v>
      </c>
      <c r="AD57" s="3053">
        <f t="shared" si="5"/>
        <v>1</v>
      </c>
      <c r="AE57" s="1197">
        <f t="shared" si="5"/>
        <v>1</v>
      </c>
      <c r="AF57" s="1197">
        <f t="shared" si="5"/>
        <v>0.99999999999999989</v>
      </c>
    </row>
    <row r="58" spans="1:32" s="3047" customFormat="1">
      <c r="A58" s="3043">
        <v>200</v>
      </c>
      <c r="B58" s="3044">
        <v>54</v>
      </c>
      <c r="C58" s="3052">
        <v>0</v>
      </c>
      <c r="D58" s="3052">
        <v>0</v>
      </c>
      <c r="E58" s="3052">
        <v>0</v>
      </c>
      <c r="F58" s="3052">
        <v>0</v>
      </c>
      <c r="G58" s="3052">
        <v>0</v>
      </c>
      <c r="H58" s="3052">
        <v>0</v>
      </c>
      <c r="I58" s="3052">
        <v>0</v>
      </c>
      <c r="J58" s="3052">
        <v>0</v>
      </c>
      <c r="K58" s="3052">
        <v>0</v>
      </c>
      <c r="L58" s="3052">
        <v>0</v>
      </c>
      <c r="M58" s="3052">
        <v>0</v>
      </c>
      <c r="N58" s="3052">
        <v>0</v>
      </c>
      <c r="O58" s="3052">
        <v>0</v>
      </c>
      <c r="P58" s="3052">
        <v>0</v>
      </c>
      <c r="Q58" s="3052">
        <v>0</v>
      </c>
      <c r="R58" s="3053">
        <f t="shared" si="5"/>
        <v>1</v>
      </c>
      <c r="S58" s="3053">
        <f t="shared" si="5"/>
        <v>0.99999999999999989</v>
      </c>
      <c r="T58" s="3053">
        <f t="shared" si="5"/>
        <v>1</v>
      </c>
      <c r="U58" s="3053">
        <f t="shared" si="5"/>
        <v>1</v>
      </c>
      <c r="V58" s="3053">
        <f t="shared" si="5"/>
        <v>1</v>
      </c>
      <c r="W58" s="3053">
        <f t="shared" si="5"/>
        <v>1</v>
      </c>
      <c r="X58" s="3053">
        <f t="shared" si="5"/>
        <v>1.0000000000000002</v>
      </c>
      <c r="Y58" s="3053">
        <f t="shared" si="5"/>
        <v>1</v>
      </c>
      <c r="Z58" s="3053">
        <f t="shared" si="5"/>
        <v>1</v>
      </c>
      <c r="AA58" s="3053">
        <f t="shared" si="5"/>
        <v>1</v>
      </c>
      <c r="AB58" s="3053">
        <f t="shared" si="5"/>
        <v>1</v>
      </c>
      <c r="AC58" s="3053">
        <f t="shared" si="5"/>
        <v>1</v>
      </c>
      <c r="AD58" s="3053">
        <f t="shared" si="5"/>
        <v>1</v>
      </c>
      <c r="AE58" s="1197">
        <f t="shared" si="5"/>
        <v>1</v>
      </c>
      <c r="AF58" s="1197">
        <f t="shared" si="5"/>
        <v>0.99999999999999989</v>
      </c>
    </row>
    <row r="59" spans="1:32" s="3047" customFormat="1">
      <c r="A59" s="3043">
        <v>200</v>
      </c>
      <c r="B59" s="3044">
        <v>55</v>
      </c>
      <c r="C59" s="3052">
        <v>0</v>
      </c>
      <c r="D59" s="3052">
        <v>0</v>
      </c>
      <c r="E59" s="3052">
        <v>0</v>
      </c>
      <c r="F59" s="3052">
        <v>0</v>
      </c>
      <c r="G59" s="3052">
        <v>0</v>
      </c>
      <c r="H59" s="3052">
        <v>0</v>
      </c>
      <c r="I59" s="3052">
        <v>0</v>
      </c>
      <c r="J59" s="3052">
        <v>0</v>
      </c>
      <c r="K59" s="3052">
        <v>0</v>
      </c>
      <c r="L59" s="3052">
        <v>0</v>
      </c>
      <c r="M59" s="3052">
        <v>0</v>
      </c>
      <c r="N59" s="3052">
        <v>0</v>
      </c>
      <c r="O59" s="3052">
        <v>0</v>
      </c>
      <c r="P59" s="3052">
        <v>0</v>
      </c>
      <c r="Q59" s="3052">
        <v>0</v>
      </c>
      <c r="R59" s="3053">
        <f t="shared" si="5"/>
        <v>1</v>
      </c>
      <c r="S59" s="3053">
        <f t="shared" si="5"/>
        <v>0.99999999999999989</v>
      </c>
      <c r="T59" s="3053">
        <f t="shared" si="5"/>
        <v>1</v>
      </c>
      <c r="U59" s="3053">
        <f t="shared" si="5"/>
        <v>1</v>
      </c>
      <c r="V59" s="3053">
        <f t="shared" si="5"/>
        <v>1</v>
      </c>
      <c r="W59" s="3053">
        <f t="shared" si="5"/>
        <v>1</v>
      </c>
      <c r="X59" s="3053">
        <f t="shared" si="5"/>
        <v>1.0000000000000002</v>
      </c>
      <c r="Y59" s="3053">
        <f t="shared" si="5"/>
        <v>1</v>
      </c>
      <c r="Z59" s="3053">
        <f t="shared" si="5"/>
        <v>1</v>
      </c>
      <c r="AA59" s="3053">
        <f t="shared" si="5"/>
        <v>1</v>
      </c>
      <c r="AB59" s="3053">
        <f t="shared" si="5"/>
        <v>1</v>
      </c>
      <c r="AC59" s="3053">
        <f t="shared" si="5"/>
        <v>1</v>
      </c>
      <c r="AD59" s="3053">
        <f t="shared" si="5"/>
        <v>1</v>
      </c>
      <c r="AE59" s="1197">
        <f t="shared" si="5"/>
        <v>1</v>
      </c>
      <c r="AF59" s="1197">
        <f t="shared" si="5"/>
        <v>0.99999999999999989</v>
      </c>
    </row>
    <row r="60" spans="1:32" s="3047" customFormat="1">
      <c r="A60" s="3043">
        <v>200</v>
      </c>
      <c r="B60" s="3044">
        <v>56</v>
      </c>
      <c r="C60" s="3052">
        <v>0</v>
      </c>
      <c r="D60" s="3052">
        <v>0</v>
      </c>
      <c r="E60" s="3052">
        <v>0</v>
      </c>
      <c r="F60" s="3052">
        <v>0</v>
      </c>
      <c r="G60" s="3052">
        <v>0</v>
      </c>
      <c r="H60" s="3052">
        <v>0</v>
      </c>
      <c r="I60" s="3052">
        <v>0</v>
      </c>
      <c r="J60" s="3052">
        <v>0</v>
      </c>
      <c r="K60" s="3052">
        <v>0</v>
      </c>
      <c r="L60" s="3052">
        <v>0</v>
      </c>
      <c r="M60" s="3052">
        <v>0</v>
      </c>
      <c r="N60" s="3052">
        <v>0</v>
      </c>
      <c r="O60" s="3052">
        <v>0</v>
      </c>
      <c r="P60" s="3052">
        <v>0</v>
      </c>
      <c r="Q60" s="3052">
        <v>0</v>
      </c>
      <c r="R60" s="3053">
        <f t="shared" si="5"/>
        <v>1</v>
      </c>
      <c r="S60" s="3053">
        <f t="shared" si="5"/>
        <v>0.99999999999999989</v>
      </c>
      <c r="T60" s="3053">
        <f t="shared" si="5"/>
        <v>1</v>
      </c>
      <c r="U60" s="3053">
        <f t="shared" si="5"/>
        <v>1</v>
      </c>
      <c r="V60" s="3053">
        <f t="shared" si="5"/>
        <v>1</v>
      </c>
      <c r="W60" s="3053">
        <f t="shared" si="5"/>
        <v>1</v>
      </c>
      <c r="X60" s="3053">
        <f t="shared" si="5"/>
        <v>1.0000000000000002</v>
      </c>
      <c r="Y60" s="3053">
        <f t="shared" si="5"/>
        <v>1</v>
      </c>
      <c r="Z60" s="3053">
        <f t="shared" si="5"/>
        <v>1</v>
      </c>
      <c r="AA60" s="3053">
        <f t="shared" si="5"/>
        <v>1</v>
      </c>
      <c r="AB60" s="3053">
        <f t="shared" si="5"/>
        <v>1</v>
      </c>
      <c r="AC60" s="3053">
        <f t="shared" si="5"/>
        <v>1</v>
      </c>
      <c r="AD60" s="3053">
        <f t="shared" si="5"/>
        <v>1</v>
      </c>
      <c r="AE60" s="1197">
        <f t="shared" si="5"/>
        <v>1</v>
      </c>
      <c r="AF60" s="1197">
        <f t="shared" si="5"/>
        <v>0.99999999999999989</v>
      </c>
    </row>
    <row r="61" spans="1:32" s="3047" customFormat="1">
      <c r="A61" s="3043">
        <v>200</v>
      </c>
      <c r="B61" s="3044">
        <v>57</v>
      </c>
      <c r="C61" s="3052">
        <v>0</v>
      </c>
      <c r="D61" s="3052">
        <v>0</v>
      </c>
      <c r="E61" s="3052">
        <v>0</v>
      </c>
      <c r="F61" s="3052">
        <v>0</v>
      </c>
      <c r="G61" s="3052">
        <v>0</v>
      </c>
      <c r="H61" s="3052">
        <v>0</v>
      </c>
      <c r="I61" s="3052">
        <v>0</v>
      </c>
      <c r="J61" s="3052">
        <v>0</v>
      </c>
      <c r="K61" s="3052">
        <v>0</v>
      </c>
      <c r="L61" s="3052">
        <v>0</v>
      </c>
      <c r="M61" s="3052">
        <v>0</v>
      </c>
      <c r="N61" s="3052">
        <v>0</v>
      </c>
      <c r="O61" s="3052">
        <v>0</v>
      </c>
      <c r="P61" s="3052">
        <v>0</v>
      </c>
      <c r="Q61" s="3052">
        <v>0</v>
      </c>
      <c r="R61" s="3053">
        <f t="shared" si="5"/>
        <v>1</v>
      </c>
      <c r="S61" s="3053">
        <f t="shared" si="5"/>
        <v>0.99999999999999989</v>
      </c>
      <c r="T61" s="3053">
        <f t="shared" si="5"/>
        <v>1</v>
      </c>
      <c r="U61" s="3053">
        <f t="shared" si="5"/>
        <v>1</v>
      </c>
      <c r="V61" s="3053">
        <f t="shared" si="5"/>
        <v>1</v>
      </c>
      <c r="W61" s="3053">
        <f t="shared" si="5"/>
        <v>1</v>
      </c>
      <c r="X61" s="3053">
        <f t="shared" si="5"/>
        <v>1.0000000000000002</v>
      </c>
      <c r="Y61" s="3053">
        <f t="shared" si="5"/>
        <v>1</v>
      </c>
      <c r="Z61" s="3053">
        <f t="shared" si="5"/>
        <v>1</v>
      </c>
      <c r="AA61" s="3053">
        <f t="shared" si="5"/>
        <v>1</v>
      </c>
      <c r="AB61" s="3053">
        <f t="shared" si="5"/>
        <v>1</v>
      </c>
      <c r="AC61" s="3053">
        <f t="shared" si="5"/>
        <v>1</v>
      </c>
      <c r="AD61" s="3053">
        <f t="shared" si="5"/>
        <v>1</v>
      </c>
      <c r="AE61" s="1197">
        <f t="shared" si="5"/>
        <v>1</v>
      </c>
      <c r="AF61" s="1197">
        <f t="shared" si="5"/>
        <v>0.99999999999999989</v>
      </c>
    </row>
    <row r="62" spans="1:32" s="3047" customFormat="1">
      <c r="A62" s="3043">
        <v>200</v>
      </c>
      <c r="B62" s="3044">
        <v>58</v>
      </c>
      <c r="C62" s="3052">
        <v>0</v>
      </c>
      <c r="D62" s="3052">
        <v>0</v>
      </c>
      <c r="E62" s="3052">
        <v>0</v>
      </c>
      <c r="F62" s="3052">
        <v>0</v>
      </c>
      <c r="G62" s="3052">
        <v>0</v>
      </c>
      <c r="H62" s="3052">
        <v>0</v>
      </c>
      <c r="I62" s="3052">
        <v>0</v>
      </c>
      <c r="J62" s="3052">
        <v>0</v>
      </c>
      <c r="K62" s="3052">
        <v>0</v>
      </c>
      <c r="L62" s="3052">
        <v>0</v>
      </c>
      <c r="M62" s="3052">
        <v>0</v>
      </c>
      <c r="N62" s="3052">
        <v>0</v>
      </c>
      <c r="O62" s="3052">
        <v>0</v>
      </c>
      <c r="P62" s="3052">
        <v>0</v>
      </c>
      <c r="Q62" s="3052">
        <v>0</v>
      </c>
      <c r="R62" s="3053">
        <f t="shared" si="5"/>
        <v>1</v>
      </c>
      <c r="S62" s="3053">
        <f t="shared" si="5"/>
        <v>0.99999999999999989</v>
      </c>
      <c r="T62" s="3053">
        <f t="shared" si="5"/>
        <v>1</v>
      </c>
      <c r="U62" s="3053">
        <f t="shared" si="5"/>
        <v>1</v>
      </c>
      <c r="V62" s="3053">
        <f t="shared" si="5"/>
        <v>1</v>
      </c>
      <c r="W62" s="3053">
        <f t="shared" si="5"/>
        <v>1</v>
      </c>
      <c r="X62" s="3053">
        <f t="shared" si="5"/>
        <v>1.0000000000000002</v>
      </c>
      <c r="Y62" s="3053">
        <f t="shared" si="5"/>
        <v>1</v>
      </c>
      <c r="Z62" s="3053">
        <f t="shared" si="5"/>
        <v>1</v>
      </c>
      <c r="AA62" s="3053">
        <f t="shared" si="5"/>
        <v>1</v>
      </c>
      <c r="AB62" s="3053">
        <f t="shared" si="5"/>
        <v>1</v>
      </c>
      <c r="AC62" s="3053">
        <f t="shared" si="5"/>
        <v>1</v>
      </c>
      <c r="AD62" s="3053">
        <f t="shared" si="5"/>
        <v>1</v>
      </c>
      <c r="AE62" s="1197">
        <f t="shared" si="5"/>
        <v>1</v>
      </c>
      <c r="AF62" s="1197">
        <f t="shared" si="5"/>
        <v>0.99999999999999989</v>
      </c>
    </row>
    <row r="63" spans="1:32" s="3047" customFormat="1">
      <c r="A63" s="3043">
        <v>200</v>
      </c>
      <c r="B63" s="3044">
        <v>59</v>
      </c>
      <c r="C63" s="3052">
        <v>0</v>
      </c>
      <c r="D63" s="3052">
        <v>0</v>
      </c>
      <c r="E63" s="3052">
        <v>0</v>
      </c>
      <c r="F63" s="3052">
        <v>0</v>
      </c>
      <c r="G63" s="3052">
        <v>0</v>
      </c>
      <c r="H63" s="3052">
        <v>0</v>
      </c>
      <c r="I63" s="3052">
        <v>0</v>
      </c>
      <c r="J63" s="3052">
        <v>0</v>
      </c>
      <c r="K63" s="3052">
        <v>0</v>
      </c>
      <c r="L63" s="3052">
        <v>0</v>
      </c>
      <c r="M63" s="3052">
        <v>0</v>
      </c>
      <c r="N63" s="3052">
        <v>0</v>
      </c>
      <c r="O63" s="3052">
        <v>0</v>
      </c>
      <c r="P63" s="3052">
        <v>0</v>
      </c>
      <c r="Q63" s="3052">
        <v>0</v>
      </c>
      <c r="R63" s="3053">
        <f t="shared" si="5"/>
        <v>1</v>
      </c>
      <c r="S63" s="3053">
        <f t="shared" si="5"/>
        <v>0.99999999999999989</v>
      </c>
      <c r="T63" s="3053">
        <f t="shared" si="5"/>
        <v>1</v>
      </c>
      <c r="U63" s="3053">
        <f t="shared" si="5"/>
        <v>1</v>
      </c>
      <c r="V63" s="3053">
        <f t="shared" si="5"/>
        <v>1</v>
      </c>
      <c r="W63" s="3053">
        <f t="shared" si="5"/>
        <v>1</v>
      </c>
      <c r="X63" s="3053">
        <f t="shared" si="5"/>
        <v>1.0000000000000002</v>
      </c>
      <c r="Y63" s="3053">
        <f t="shared" si="5"/>
        <v>1</v>
      </c>
      <c r="Z63" s="3053">
        <f t="shared" si="5"/>
        <v>1</v>
      </c>
      <c r="AA63" s="3053">
        <f t="shared" si="5"/>
        <v>1</v>
      </c>
      <c r="AB63" s="3053">
        <f t="shared" si="5"/>
        <v>1</v>
      </c>
      <c r="AC63" s="3053">
        <f t="shared" si="5"/>
        <v>1</v>
      </c>
      <c r="AD63" s="3053">
        <f t="shared" si="5"/>
        <v>1</v>
      </c>
      <c r="AE63" s="1197">
        <f t="shared" si="5"/>
        <v>1</v>
      </c>
      <c r="AF63" s="1197">
        <f t="shared" si="5"/>
        <v>0.99999999999999989</v>
      </c>
    </row>
    <row r="64" spans="1:32" s="3047" customFormat="1">
      <c r="A64" s="3043">
        <v>200</v>
      </c>
      <c r="B64" s="3044">
        <v>60</v>
      </c>
      <c r="C64" s="3052">
        <v>0</v>
      </c>
      <c r="D64" s="3052">
        <v>0</v>
      </c>
      <c r="E64" s="3052">
        <v>0</v>
      </c>
      <c r="F64" s="3052">
        <v>0</v>
      </c>
      <c r="G64" s="3052">
        <v>0</v>
      </c>
      <c r="H64" s="3052">
        <v>0</v>
      </c>
      <c r="I64" s="3052">
        <v>0</v>
      </c>
      <c r="J64" s="3052">
        <v>0</v>
      </c>
      <c r="K64" s="3052">
        <v>0</v>
      </c>
      <c r="L64" s="3052">
        <v>0</v>
      </c>
      <c r="M64" s="3052">
        <v>0</v>
      </c>
      <c r="N64" s="3052">
        <v>0</v>
      </c>
      <c r="O64" s="3052">
        <v>0</v>
      </c>
      <c r="P64" s="3052">
        <v>0</v>
      </c>
      <c r="Q64" s="3052">
        <v>0</v>
      </c>
      <c r="R64" s="3053">
        <f t="shared" si="5"/>
        <v>1</v>
      </c>
      <c r="S64" s="3053">
        <f t="shared" si="5"/>
        <v>0.99999999999999989</v>
      </c>
      <c r="T64" s="3053">
        <f t="shared" si="5"/>
        <v>1</v>
      </c>
      <c r="U64" s="3053">
        <f t="shared" si="5"/>
        <v>1</v>
      </c>
      <c r="V64" s="3053">
        <f t="shared" si="5"/>
        <v>1</v>
      </c>
      <c r="W64" s="3053">
        <f t="shared" si="5"/>
        <v>1</v>
      </c>
      <c r="X64" s="3053">
        <f t="shared" si="5"/>
        <v>1.0000000000000002</v>
      </c>
      <c r="Y64" s="3053">
        <f t="shared" si="5"/>
        <v>1</v>
      </c>
      <c r="Z64" s="3053">
        <f t="shared" si="5"/>
        <v>1</v>
      </c>
      <c r="AA64" s="3053">
        <f t="shared" si="5"/>
        <v>1</v>
      </c>
      <c r="AB64" s="3053">
        <f t="shared" si="5"/>
        <v>1</v>
      </c>
      <c r="AC64" s="3053">
        <f t="shared" si="5"/>
        <v>1</v>
      </c>
      <c r="AD64" s="3053">
        <f t="shared" si="5"/>
        <v>1</v>
      </c>
      <c r="AE64" s="1197">
        <f t="shared" si="5"/>
        <v>1</v>
      </c>
      <c r="AF64" s="1197">
        <f t="shared" si="5"/>
        <v>0.99999999999999989</v>
      </c>
    </row>
    <row r="65" spans="1:32" s="3047" customFormat="1">
      <c r="A65" s="3043">
        <v>200</v>
      </c>
      <c r="B65" s="3044">
        <v>61</v>
      </c>
      <c r="C65" s="3052">
        <v>0</v>
      </c>
      <c r="D65" s="3052">
        <v>0</v>
      </c>
      <c r="E65" s="3052">
        <v>0</v>
      </c>
      <c r="F65" s="3052">
        <v>0</v>
      </c>
      <c r="G65" s="3052">
        <v>0</v>
      </c>
      <c r="H65" s="3052">
        <v>0</v>
      </c>
      <c r="I65" s="3052">
        <v>0</v>
      </c>
      <c r="J65" s="3052">
        <v>0</v>
      </c>
      <c r="K65" s="3052">
        <v>0</v>
      </c>
      <c r="L65" s="3052">
        <v>0</v>
      </c>
      <c r="M65" s="3052">
        <v>0</v>
      </c>
      <c r="N65" s="3052">
        <v>0</v>
      </c>
      <c r="O65" s="3052">
        <v>0</v>
      </c>
      <c r="P65" s="3052">
        <v>0</v>
      </c>
      <c r="Q65" s="3052">
        <v>0</v>
      </c>
      <c r="R65" s="3053">
        <f t="shared" si="5"/>
        <v>1</v>
      </c>
      <c r="S65" s="3053">
        <f t="shared" si="5"/>
        <v>0.99999999999999989</v>
      </c>
      <c r="T65" s="3053">
        <f t="shared" si="5"/>
        <v>1</v>
      </c>
      <c r="U65" s="3053">
        <f t="shared" si="5"/>
        <v>1</v>
      </c>
      <c r="V65" s="3053">
        <f t="shared" si="5"/>
        <v>1</v>
      </c>
      <c r="W65" s="3053">
        <f t="shared" si="5"/>
        <v>1</v>
      </c>
      <c r="X65" s="3053">
        <f t="shared" si="5"/>
        <v>1.0000000000000002</v>
      </c>
      <c r="Y65" s="3053">
        <f t="shared" si="5"/>
        <v>1</v>
      </c>
      <c r="Z65" s="3053">
        <f t="shared" si="5"/>
        <v>1</v>
      </c>
      <c r="AA65" s="3053">
        <f t="shared" si="5"/>
        <v>1</v>
      </c>
      <c r="AB65" s="3053">
        <f t="shared" si="5"/>
        <v>1</v>
      </c>
      <c r="AC65" s="3053">
        <f t="shared" si="5"/>
        <v>1</v>
      </c>
      <c r="AD65" s="3053">
        <f t="shared" si="5"/>
        <v>1</v>
      </c>
      <c r="AE65" s="1197">
        <f t="shared" si="5"/>
        <v>1</v>
      </c>
      <c r="AF65" s="1197">
        <f t="shared" si="5"/>
        <v>0.99999999999999989</v>
      </c>
    </row>
    <row r="66" spans="1:32" s="3047" customFormat="1">
      <c r="A66" s="3043">
        <v>200</v>
      </c>
      <c r="B66" s="3044">
        <v>62</v>
      </c>
      <c r="C66" s="3052">
        <v>0</v>
      </c>
      <c r="D66" s="3052">
        <v>0</v>
      </c>
      <c r="E66" s="3052">
        <v>0</v>
      </c>
      <c r="F66" s="3052">
        <v>0</v>
      </c>
      <c r="G66" s="3052">
        <v>0</v>
      </c>
      <c r="H66" s="3052">
        <v>0</v>
      </c>
      <c r="I66" s="3052">
        <v>0</v>
      </c>
      <c r="J66" s="3052">
        <v>0</v>
      </c>
      <c r="K66" s="3052">
        <v>0</v>
      </c>
      <c r="L66" s="3052">
        <v>0</v>
      </c>
      <c r="M66" s="3052">
        <v>0</v>
      </c>
      <c r="N66" s="3052">
        <v>0</v>
      </c>
      <c r="O66" s="3052">
        <v>0</v>
      </c>
      <c r="P66" s="3052">
        <v>0</v>
      </c>
      <c r="Q66" s="3052">
        <v>0</v>
      </c>
      <c r="R66" s="3053">
        <f t="shared" si="5"/>
        <v>1</v>
      </c>
      <c r="S66" s="3053">
        <f t="shared" si="5"/>
        <v>0.99999999999999989</v>
      </c>
      <c r="T66" s="3053">
        <f t="shared" si="5"/>
        <v>1</v>
      </c>
      <c r="U66" s="3053">
        <f t="shared" si="5"/>
        <v>1</v>
      </c>
      <c r="V66" s="3053">
        <f t="shared" si="5"/>
        <v>1</v>
      </c>
      <c r="W66" s="3053">
        <f t="shared" si="5"/>
        <v>1</v>
      </c>
      <c r="X66" s="3053">
        <f t="shared" si="5"/>
        <v>1.0000000000000002</v>
      </c>
      <c r="Y66" s="3053">
        <f t="shared" si="5"/>
        <v>1</v>
      </c>
      <c r="Z66" s="3053">
        <f t="shared" si="5"/>
        <v>1</v>
      </c>
      <c r="AA66" s="3053">
        <f t="shared" si="5"/>
        <v>1</v>
      </c>
      <c r="AB66" s="3053">
        <f t="shared" si="5"/>
        <v>1</v>
      </c>
      <c r="AC66" s="3053">
        <f t="shared" si="5"/>
        <v>1</v>
      </c>
      <c r="AD66" s="3053">
        <f t="shared" si="5"/>
        <v>1</v>
      </c>
      <c r="AE66" s="1197">
        <f t="shared" si="5"/>
        <v>1</v>
      </c>
      <c r="AF66" s="1197">
        <f t="shared" si="5"/>
        <v>0.99999999999999989</v>
      </c>
    </row>
    <row r="67" spans="1:32" s="3047" customFormat="1">
      <c r="A67" s="3043">
        <v>200</v>
      </c>
      <c r="B67" s="3044">
        <v>63</v>
      </c>
      <c r="C67" s="3052">
        <v>0</v>
      </c>
      <c r="D67" s="3052">
        <v>0</v>
      </c>
      <c r="E67" s="3052">
        <v>0</v>
      </c>
      <c r="F67" s="3052">
        <v>0</v>
      </c>
      <c r="G67" s="3052">
        <v>0</v>
      </c>
      <c r="H67" s="3052">
        <v>0</v>
      </c>
      <c r="I67" s="3052">
        <v>0</v>
      </c>
      <c r="J67" s="3052">
        <v>0</v>
      </c>
      <c r="K67" s="3052">
        <v>0</v>
      </c>
      <c r="L67" s="3052">
        <v>0</v>
      </c>
      <c r="M67" s="3052">
        <v>0</v>
      </c>
      <c r="N67" s="3052">
        <v>0</v>
      </c>
      <c r="O67" s="3052">
        <v>0</v>
      </c>
      <c r="P67" s="3052">
        <v>0</v>
      </c>
      <c r="Q67" s="3052">
        <v>0</v>
      </c>
      <c r="R67" s="3053">
        <f t="shared" si="5"/>
        <v>1</v>
      </c>
      <c r="S67" s="3053">
        <f t="shared" si="5"/>
        <v>0.99999999999999989</v>
      </c>
      <c r="T67" s="3053">
        <f t="shared" si="5"/>
        <v>1</v>
      </c>
      <c r="U67" s="3053">
        <f t="shared" si="5"/>
        <v>1</v>
      </c>
      <c r="V67" s="3053">
        <f t="shared" si="5"/>
        <v>1</v>
      </c>
      <c r="W67" s="3053">
        <f t="shared" si="5"/>
        <v>1</v>
      </c>
      <c r="X67" s="3053">
        <f t="shared" si="5"/>
        <v>1.0000000000000002</v>
      </c>
      <c r="Y67" s="3053">
        <f t="shared" si="5"/>
        <v>1</v>
      </c>
      <c r="Z67" s="3053">
        <f t="shared" si="5"/>
        <v>1</v>
      </c>
      <c r="AA67" s="3053">
        <f t="shared" si="5"/>
        <v>1</v>
      </c>
      <c r="AB67" s="3053">
        <f t="shared" si="5"/>
        <v>1</v>
      </c>
      <c r="AC67" s="3053">
        <f t="shared" si="5"/>
        <v>1</v>
      </c>
      <c r="AD67" s="3053">
        <f t="shared" si="5"/>
        <v>1</v>
      </c>
      <c r="AE67" s="1197">
        <f t="shared" si="5"/>
        <v>1</v>
      </c>
      <c r="AF67" s="1197">
        <f t="shared" si="5"/>
        <v>0.99999999999999989</v>
      </c>
    </row>
    <row r="68" spans="1:32" s="3047" customFormat="1">
      <c r="A68" s="3043">
        <v>200</v>
      </c>
      <c r="B68" s="3044">
        <v>64</v>
      </c>
      <c r="C68" s="3052">
        <v>0</v>
      </c>
      <c r="D68" s="3052">
        <v>0</v>
      </c>
      <c r="E68" s="3052">
        <v>0</v>
      </c>
      <c r="F68" s="3052">
        <v>0</v>
      </c>
      <c r="G68" s="3052">
        <v>0</v>
      </c>
      <c r="H68" s="3052">
        <v>0</v>
      </c>
      <c r="I68" s="3052">
        <v>0</v>
      </c>
      <c r="J68" s="3052">
        <v>0</v>
      </c>
      <c r="K68" s="3052">
        <v>0</v>
      </c>
      <c r="L68" s="3052">
        <v>0</v>
      </c>
      <c r="M68" s="3052">
        <v>0</v>
      </c>
      <c r="N68" s="3052">
        <v>0</v>
      </c>
      <c r="O68" s="3052">
        <v>0</v>
      </c>
      <c r="P68" s="3052">
        <v>0</v>
      </c>
      <c r="Q68" s="3052">
        <v>0</v>
      </c>
      <c r="R68" s="3053">
        <f t="shared" si="5"/>
        <v>1</v>
      </c>
      <c r="S68" s="3053">
        <f t="shared" si="5"/>
        <v>0.99999999999999989</v>
      </c>
      <c r="T68" s="3053">
        <f t="shared" si="5"/>
        <v>1</v>
      </c>
      <c r="U68" s="3053">
        <f t="shared" si="5"/>
        <v>1</v>
      </c>
      <c r="V68" s="3053">
        <f t="shared" si="5"/>
        <v>1</v>
      </c>
      <c r="W68" s="3053">
        <f t="shared" si="5"/>
        <v>1</v>
      </c>
      <c r="X68" s="3053">
        <f t="shared" si="5"/>
        <v>1.0000000000000002</v>
      </c>
      <c r="Y68" s="3053">
        <f t="shared" si="5"/>
        <v>1</v>
      </c>
      <c r="Z68" s="3053">
        <f t="shared" si="5"/>
        <v>1</v>
      </c>
      <c r="AA68" s="3053">
        <f t="shared" si="5"/>
        <v>1</v>
      </c>
      <c r="AB68" s="3053">
        <f t="shared" si="5"/>
        <v>1</v>
      </c>
      <c r="AC68" s="3053">
        <f t="shared" si="5"/>
        <v>1</v>
      </c>
      <c r="AD68" s="3053">
        <f t="shared" si="5"/>
        <v>1</v>
      </c>
      <c r="AE68" s="1197">
        <f t="shared" si="5"/>
        <v>1</v>
      </c>
      <c r="AF68" s="1197">
        <f t="shared" si="5"/>
        <v>0.99999999999999989</v>
      </c>
    </row>
    <row r="69" spans="1:32" s="3047" customFormat="1">
      <c r="A69" s="3043">
        <v>200</v>
      </c>
      <c r="B69" s="3044">
        <v>65</v>
      </c>
      <c r="C69" s="3052">
        <v>0</v>
      </c>
      <c r="D69" s="3052">
        <v>0</v>
      </c>
      <c r="E69" s="3052">
        <v>0</v>
      </c>
      <c r="F69" s="3052">
        <v>0</v>
      </c>
      <c r="G69" s="3052">
        <v>0</v>
      </c>
      <c r="H69" s="3052">
        <v>0</v>
      </c>
      <c r="I69" s="3052">
        <v>0</v>
      </c>
      <c r="J69" s="3052">
        <v>0</v>
      </c>
      <c r="K69" s="3052">
        <v>0</v>
      </c>
      <c r="L69" s="3052">
        <v>0</v>
      </c>
      <c r="M69" s="3052">
        <v>0</v>
      </c>
      <c r="N69" s="3052">
        <v>0</v>
      </c>
      <c r="O69" s="3052">
        <v>0</v>
      </c>
      <c r="P69" s="3052">
        <v>0</v>
      </c>
      <c r="Q69" s="3052">
        <v>0</v>
      </c>
      <c r="R69" s="3053">
        <f t="shared" si="5"/>
        <v>1</v>
      </c>
      <c r="S69" s="3053">
        <f t="shared" si="5"/>
        <v>0.99999999999999989</v>
      </c>
      <c r="T69" s="3053">
        <f t="shared" si="5"/>
        <v>1</v>
      </c>
      <c r="U69" s="3053">
        <f t="shared" si="5"/>
        <v>1</v>
      </c>
      <c r="V69" s="3053">
        <f t="shared" si="5"/>
        <v>1</v>
      </c>
      <c r="W69" s="3053">
        <f t="shared" si="5"/>
        <v>1</v>
      </c>
      <c r="X69" s="3053">
        <f t="shared" si="5"/>
        <v>1.0000000000000002</v>
      </c>
      <c r="Y69" s="3053">
        <f t="shared" si="5"/>
        <v>1</v>
      </c>
      <c r="Z69" s="3053">
        <f t="shared" si="5"/>
        <v>1</v>
      </c>
      <c r="AA69" s="3053">
        <f t="shared" si="5"/>
        <v>1</v>
      </c>
      <c r="AB69" s="3053">
        <f t="shared" si="5"/>
        <v>1</v>
      </c>
      <c r="AC69" s="3053">
        <f t="shared" si="5"/>
        <v>1</v>
      </c>
      <c r="AD69" s="3053">
        <f t="shared" si="5"/>
        <v>1</v>
      </c>
      <c r="AE69" s="1197">
        <f t="shared" si="5"/>
        <v>1</v>
      </c>
      <c r="AF69" s="1197">
        <f t="shared" si="5"/>
        <v>0.99999999999999989</v>
      </c>
    </row>
    <row r="70" spans="1:32" s="3047" customFormat="1">
      <c r="A70" s="3043">
        <v>200</v>
      </c>
      <c r="B70" s="3044">
        <v>66</v>
      </c>
      <c r="C70" s="3052">
        <v>0</v>
      </c>
      <c r="D70" s="3052">
        <v>0</v>
      </c>
      <c r="E70" s="3052">
        <v>0</v>
      </c>
      <c r="F70" s="3052">
        <v>0</v>
      </c>
      <c r="G70" s="3052">
        <v>0</v>
      </c>
      <c r="H70" s="3052">
        <v>0</v>
      </c>
      <c r="I70" s="3052">
        <v>0</v>
      </c>
      <c r="J70" s="3052">
        <v>0</v>
      </c>
      <c r="K70" s="3052">
        <v>0</v>
      </c>
      <c r="L70" s="3052">
        <v>0</v>
      </c>
      <c r="M70" s="3052">
        <v>0</v>
      </c>
      <c r="N70" s="3052">
        <v>0</v>
      </c>
      <c r="O70" s="3052">
        <v>0</v>
      </c>
      <c r="P70" s="3052">
        <v>0</v>
      </c>
      <c r="Q70" s="3052">
        <v>0</v>
      </c>
      <c r="R70" s="3053">
        <f t="shared" ref="R70:AF85" si="6">C70+R69</f>
        <v>1</v>
      </c>
      <c r="S70" s="3053">
        <f t="shared" si="6"/>
        <v>0.99999999999999989</v>
      </c>
      <c r="T70" s="3053">
        <f t="shared" si="6"/>
        <v>1</v>
      </c>
      <c r="U70" s="3053">
        <f t="shared" si="6"/>
        <v>1</v>
      </c>
      <c r="V70" s="3053">
        <f t="shared" si="6"/>
        <v>1</v>
      </c>
      <c r="W70" s="3053">
        <f t="shared" si="6"/>
        <v>1</v>
      </c>
      <c r="X70" s="3053">
        <f t="shared" si="6"/>
        <v>1.0000000000000002</v>
      </c>
      <c r="Y70" s="3053">
        <f t="shared" si="6"/>
        <v>1</v>
      </c>
      <c r="Z70" s="3053">
        <f t="shared" si="6"/>
        <v>1</v>
      </c>
      <c r="AA70" s="3053">
        <f t="shared" si="6"/>
        <v>1</v>
      </c>
      <c r="AB70" s="3053">
        <f t="shared" si="6"/>
        <v>1</v>
      </c>
      <c r="AC70" s="3053">
        <f t="shared" si="6"/>
        <v>1</v>
      </c>
      <c r="AD70" s="3053">
        <f t="shared" si="6"/>
        <v>1</v>
      </c>
      <c r="AE70" s="1197">
        <f t="shared" si="6"/>
        <v>1</v>
      </c>
      <c r="AF70" s="1197">
        <f t="shared" si="6"/>
        <v>0.99999999999999989</v>
      </c>
    </row>
    <row r="71" spans="1:32" s="3047" customFormat="1">
      <c r="A71" s="3043">
        <v>200</v>
      </c>
      <c r="B71" s="3044">
        <v>67</v>
      </c>
      <c r="C71" s="3052">
        <v>0</v>
      </c>
      <c r="D71" s="3052">
        <v>0</v>
      </c>
      <c r="E71" s="3052">
        <v>0</v>
      </c>
      <c r="F71" s="3052">
        <v>0</v>
      </c>
      <c r="G71" s="3052">
        <v>0</v>
      </c>
      <c r="H71" s="3052">
        <v>0</v>
      </c>
      <c r="I71" s="3052">
        <v>0</v>
      </c>
      <c r="J71" s="3052">
        <v>0</v>
      </c>
      <c r="K71" s="3052">
        <v>0</v>
      </c>
      <c r="L71" s="3052">
        <v>0</v>
      </c>
      <c r="M71" s="3052">
        <v>0</v>
      </c>
      <c r="N71" s="3052">
        <v>0</v>
      </c>
      <c r="O71" s="3052">
        <v>0</v>
      </c>
      <c r="P71" s="3052">
        <v>0</v>
      </c>
      <c r="Q71" s="3052">
        <v>0</v>
      </c>
      <c r="R71" s="3053">
        <f t="shared" si="6"/>
        <v>1</v>
      </c>
      <c r="S71" s="3053">
        <f t="shared" si="6"/>
        <v>0.99999999999999989</v>
      </c>
      <c r="T71" s="3053">
        <f t="shared" si="6"/>
        <v>1</v>
      </c>
      <c r="U71" s="3053">
        <f t="shared" si="6"/>
        <v>1</v>
      </c>
      <c r="V71" s="3053">
        <f t="shared" si="6"/>
        <v>1</v>
      </c>
      <c r="W71" s="3053">
        <f t="shared" si="6"/>
        <v>1</v>
      </c>
      <c r="X71" s="3053">
        <f t="shared" si="6"/>
        <v>1.0000000000000002</v>
      </c>
      <c r="Y71" s="3053">
        <f t="shared" si="6"/>
        <v>1</v>
      </c>
      <c r="Z71" s="3053">
        <f t="shared" si="6"/>
        <v>1</v>
      </c>
      <c r="AA71" s="3053">
        <f t="shared" si="6"/>
        <v>1</v>
      </c>
      <c r="AB71" s="3053">
        <f t="shared" si="6"/>
        <v>1</v>
      </c>
      <c r="AC71" s="3053">
        <f t="shared" si="6"/>
        <v>1</v>
      </c>
      <c r="AD71" s="3053">
        <f t="shared" si="6"/>
        <v>1</v>
      </c>
      <c r="AE71" s="1197">
        <f t="shared" si="6"/>
        <v>1</v>
      </c>
      <c r="AF71" s="1197">
        <f t="shared" si="6"/>
        <v>0.99999999999999989</v>
      </c>
    </row>
    <row r="72" spans="1:32" s="3047" customFormat="1">
      <c r="A72" s="3043">
        <v>200</v>
      </c>
      <c r="B72" s="3044">
        <v>68</v>
      </c>
      <c r="C72" s="3052">
        <v>0</v>
      </c>
      <c r="D72" s="3052">
        <v>0</v>
      </c>
      <c r="E72" s="3052">
        <v>0</v>
      </c>
      <c r="F72" s="3052">
        <v>0</v>
      </c>
      <c r="G72" s="3052">
        <v>0</v>
      </c>
      <c r="H72" s="3052">
        <v>0</v>
      </c>
      <c r="I72" s="3052">
        <v>0</v>
      </c>
      <c r="J72" s="3052">
        <v>0</v>
      </c>
      <c r="K72" s="3052">
        <v>0</v>
      </c>
      <c r="L72" s="3052">
        <v>0</v>
      </c>
      <c r="M72" s="3052">
        <v>0</v>
      </c>
      <c r="N72" s="3052">
        <v>0</v>
      </c>
      <c r="O72" s="3052">
        <v>0</v>
      </c>
      <c r="P72" s="3052">
        <v>0</v>
      </c>
      <c r="Q72" s="3052">
        <v>0</v>
      </c>
      <c r="R72" s="3053">
        <f t="shared" si="6"/>
        <v>1</v>
      </c>
      <c r="S72" s="3053">
        <f t="shared" si="6"/>
        <v>0.99999999999999989</v>
      </c>
      <c r="T72" s="3053">
        <f t="shared" si="6"/>
        <v>1</v>
      </c>
      <c r="U72" s="3053">
        <f t="shared" si="6"/>
        <v>1</v>
      </c>
      <c r="V72" s="3053">
        <f t="shared" si="6"/>
        <v>1</v>
      </c>
      <c r="W72" s="3053">
        <f t="shared" si="6"/>
        <v>1</v>
      </c>
      <c r="X72" s="3053">
        <f t="shared" si="6"/>
        <v>1.0000000000000002</v>
      </c>
      <c r="Y72" s="3053">
        <f t="shared" si="6"/>
        <v>1</v>
      </c>
      <c r="Z72" s="3053">
        <f t="shared" si="6"/>
        <v>1</v>
      </c>
      <c r="AA72" s="3053">
        <f t="shared" si="6"/>
        <v>1</v>
      </c>
      <c r="AB72" s="3053">
        <f t="shared" si="6"/>
        <v>1</v>
      </c>
      <c r="AC72" s="3053">
        <f t="shared" si="6"/>
        <v>1</v>
      </c>
      <c r="AD72" s="3053">
        <f t="shared" si="6"/>
        <v>1</v>
      </c>
      <c r="AE72" s="1197">
        <f t="shared" si="6"/>
        <v>1</v>
      </c>
      <c r="AF72" s="1197">
        <f t="shared" si="6"/>
        <v>0.99999999999999989</v>
      </c>
    </row>
    <row r="73" spans="1:32" s="3047" customFormat="1">
      <c r="A73" s="3043">
        <v>200</v>
      </c>
      <c r="B73" s="3044">
        <v>69</v>
      </c>
      <c r="C73" s="3052">
        <v>0</v>
      </c>
      <c r="D73" s="3052">
        <v>0</v>
      </c>
      <c r="E73" s="3052">
        <v>0</v>
      </c>
      <c r="F73" s="3052">
        <v>0</v>
      </c>
      <c r="G73" s="3052">
        <v>0</v>
      </c>
      <c r="H73" s="3052">
        <v>0</v>
      </c>
      <c r="I73" s="3052">
        <v>0</v>
      </c>
      <c r="J73" s="3052">
        <v>0</v>
      </c>
      <c r="K73" s="3052">
        <v>0</v>
      </c>
      <c r="L73" s="3052">
        <v>0</v>
      </c>
      <c r="M73" s="3052">
        <v>0</v>
      </c>
      <c r="N73" s="3052">
        <v>0</v>
      </c>
      <c r="O73" s="3052">
        <v>0</v>
      </c>
      <c r="P73" s="3052">
        <v>0</v>
      </c>
      <c r="Q73" s="3052">
        <v>0</v>
      </c>
      <c r="R73" s="3053">
        <f t="shared" si="6"/>
        <v>1</v>
      </c>
      <c r="S73" s="3053">
        <f t="shared" si="6"/>
        <v>0.99999999999999989</v>
      </c>
      <c r="T73" s="3053">
        <f t="shared" si="6"/>
        <v>1</v>
      </c>
      <c r="U73" s="3053">
        <f t="shared" si="6"/>
        <v>1</v>
      </c>
      <c r="V73" s="3053">
        <f t="shared" si="6"/>
        <v>1</v>
      </c>
      <c r="W73" s="3053">
        <f t="shared" si="6"/>
        <v>1</v>
      </c>
      <c r="X73" s="3053">
        <f t="shared" si="6"/>
        <v>1.0000000000000002</v>
      </c>
      <c r="Y73" s="3053">
        <f t="shared" si="6"/>
        <v>1</v>
      </c>
      <c r="Z73" s="3053">
        <f t="shared" si="6"/>
        <v>1</v>
      </c>
      <c r="AA73" s="3053">
        <f t="shared" si="6"/>
        <v>1</v>
      </c>
      <c r="AB73" s="3053">
        <f t="shared" si="6"/>
        <v>1</v>
      </c>
      <c r="AC73" s="3053">
        <f t="shared" si="6"/>
        <v>1</v>
      </c>
      <c r="AD73" s="3053">
        <f t="shared" si="6"/>
        <v>1</v>
      </c>
      <c r="AE73" s="1197">
        <f t="shared" si="6"/>
        <v>1</v>
      </c>
      <c r="AF73" s="1197">
        <f t="shared" si="6"/>
        <v>0.99999999999999989</v>
      </c>
    </row>
    <row r="74" spans="1:32" s="3047" customFormat="1">
      <c r="A74" s="3043">
        <v>200</v>
      </c>
      <c r="B74" s="3044">
        <v>70</v>
      </c>
      <c r="C74" s="3052">
        <v>0</v>
      </c>
      <c r="D74" s="3052">
        <v>0</v>
      </c>
      <c r="E74" s="3052">
        <v>0</v>
      </c>
      <c r="F74" s="3052">
        <v>0</v>
      </c>
      <c r="G74" s="3052">
        <v>0</v>
      </c>
      <c r="H74" s="3052">
        <v>0</v>
      </c>
      <c r="I74" s="3052">
        <v>0</v>
      </c>
      <c r="J74" s="3052">
        <v>0</v>
      </c>
      <c r="K74" s="3052">
        <v>0</v>
      </c>
      <c r="L74" s="3052">
        <v>0</v>
      </c>
      <c r="M74" s="3052">
        <v>0</v>
      </c>
      <c r="N74" s="3052">
        <v>0</v>
      </c>
      <c r="O74" s="3052">
        <v>0</v>
      </c>
      <c r="P74" s="3052">
        <v>0</v>
      </c>
      <c r="Q74" s="3052">
        <v>0</v>
      </c>
      <c r="R74" s="3053">
        <f t="shared" si="6"/>
        <v>1</v>
      </c>
      <c r="S74" s="3053">
        <f t="shared" si="6"/>
        <v>0.99999999999999989</v>
      </c>
      <c r="T74" s="3053">
        <f t="shared" si="6"/>
        <v>1</v>
      </c>
      <c r="U74" s="3053">
        <f t="shared" si="6"/>
        <v>1</v>
      </c>
      <c r="V74" s="3053">
        <f t="shared" si="6"/>
        <v>1</v>
      </c>
      <c r="W74" s="3053">
        <f t="shared" si="6"/>
        <v>1</v>
      </c>
      <c r="X74" s="3053">
        <f t="shared" si="6"/>
        <v>1.0000000000000002</v>
      </c>
      <c r="Y74" s="3053">
        <f t="shared" si="6"/>
        <v>1</v>
      </c>
      <c r="Z74" s="3053">
        <f t="shared" si="6"/>
        <v>1</v>
      </c>
      <c r="AA74" s="3053">
        <f t="shared" si="6"/>
        <v>1</v>
      </c>
      <c r="AB74" s="3053">
        <f t="shared" si="6"/>
        <v>1</v>
      </c>
      <c r="AC74" s="3053">
        <f t="shared" si="6"/>
        <v>1</v>
      </c>
      <c r="AD74" s="3053">
        <f t="shared" si="6"/>
        <v>1</v>
      </c>
      <c r="AE74" s="1197">
        <f t="shared" si="6"/>
        <v>1</v>
      </c>
      <c r="AF74" s="1197">
        <f t="shared" si="6"/>
        <v>0.99999999999999989</v>
      </c>
    </row>
    <row r="75" spans="1:32" s="3047" customFormat="1">
      <c r="A75" s="3043">
        <v>200</v>
      </c>
      <c r="B75" s="3044">
        <v>71</v>
      </c>
      <c r="C75" s="3052">
        <v>0</v>
      </c>
      <c r="D75" s="3052">
        <v>0</v>
      </c>
      <c r="E75" s="3052">
        <v>0</v>
      </c>
      <c r="F75" s="3052">
        <v>0</v>
      </c>
      <c r="G75" s="3052">
        <v>0</v>
      </c>
      <c r="H75" s="3052">
        <v>0</v>
      </c>
      <c r="I75" s="3052">
        <v>0</v>
      </c>
      <c r="J75" s="3052">
        <v>0</v>
      </c>
      <c r="K75" s="3052">
        <v>0</v>
      </c>
      <c r="L75" s="3052">
        <v>0</v>
      </c>
      <c r="M75" s="3052">
        <v>0</v>
      </c>
      <c r="N75" s="3052">
        <v>0</v>
      </c>
      <c r="O75" s="3052">
        <v>0</v>
      </c>
      <c r="P75" s="3052">
        <v>0</v>
      </c>
      <c r="Q75" s="3052">
        <v>0</v>
      </c>
      <c r="R75" s="3053">
        <f t="shared" si="6"/>
        <v>1</v>
      </c>
      <c r="S75" s="3053">
        <f t="shared" si="6"/>
        <v>0.99999999999999989</v>
      </c>
      <c r="T75" s="3053">
        <f t="shared" si="6"/>
        <v>1</v>
      </c>
      <c r="U75" s="3053">
        <f t="shared" si="6"/>
        <v>1</v>
      </c>
      <c r="V75" s="3053">
        <f t="shared" si="6"/>
        <v>1</v>
      </c>
      <c r="W75" s="3053">
        <f t="shared" si="6"/>
        <v>1</v>
      </c>
      <c r="X75" s="3053">
        <f t="shared" si="6"/>
        <v>1.0000000000000002</v>
      </c>
      <c r="Y75" s="3053">
        <f t="shared" si="6"/>
        <v>1</v>
      </c>
      <c r="Z75" s="3053">
        <f t="shared" si="6"/>
        <v>1</v>
      </c>
      <c r="AA75" s="3053">
        <f t="shared" si="6"/>
        <v>1</v>
      </c>
      <c r="AB75" s="3053">
        <f t="shared" si="6"/>
        <v>1</v>
      </c>
      <c r="AC75" s="3053">
        <f t="shared" si="6"/>
        <v>1</v>
      </c>
      <c r="AD75" s="3053">
        <f t="shared" si="6"/>
        <v>1</v>
      </c>
      <c r="AE75" s="1197">
        <f t="shared" si="6"/>
        <v>1</v>
      </c>
      <c r="AF75" s="1197">
        <f t="shared" si="6"/>
        <v>0.99999999999999989</v>
      </c>
    </row>
    <row r="76" spans="1:32" s="3047" customFormat="1">
      <c r="A76" s="3043">
        <v>200</v>
      </c>
      <c r="B76" s="3044">
        <v>72</v>
      </c>
      <c r="C76" s="3052">
        <v>0</v>
      </c>
      <c r="D76" s="3052">
        <v>0</v>
      </c>
      <c r="E76" s="3052">
        <v>0</v>
      </c>
      <c r="F76" s="3052">
        <v>0</v>
      </c>
      <c r="G76" s="3052">
        <v>0</v>
      </c>
      <c r="H76" s="3052">
        <v>0</v>
      </c>
      <c r="I76" s="3052">
        <v>0</v>
      </c>
      <c r="J76" s="3052">
        <v>0</v>
      </c>
      <c r="K76" s="3052">
        <v>0</v>
      </c>
      <c r="L76" s="3052">
        <v>0</v>
      </c>
      <c r="M76" s="3052">
        <v>0</v>
      </c>
      <c r="N76" s="3052">
        <v>0</v>
      </c>
      <c r="O76" s="3052">
        <v>0</v>
      </c>
      <c r="P76" s="3052">
        <v>0</v>
      </c>
      <c r="Q76" s="3052">
        <v>0</v>
      </c>
      <c r="R76" s="3053">
        <f t="shared" si="6"/>
        <v>1</v>
      </c>
      <c r="S76" s="3053">
        <f t="shared" si="6"/>
        <v>0.99999999999999989</v>
      </c>
      <c r="T76" s="3053">
        <f t="shared" si="6"/>
        <v>1</v>
      </c>
      <c r="U76" s="3053">
        <f t="shared" si="6"/>
        <v>1</v>
      </c>
      <c r="V76" s="3053">
        <f t="shared" si="6"/>
        <v>1</v>
      </c>
      <c r="W76" s="3053">
        <f t="shared" si="6"/>
        <v>1</v>
      </c>
      <c r="X76" s="3053">
        <f t="shared" si="6"/>
        <v>1.0000000000000002</v>
      </c>
      <c r="Y76" s="3053">
        <f t="shared" si="6"/>
        <v>1</v>
      </c>
      <c r="Z76" s="3053">
        <f t="shared" si="6"/>
        <v>1</v>
      </c>
      <c r="AA76" s="3053">
        <f t="shared" si="6"/>
        <v>1</v>
      </c>
      <c r="AB76" s="3053">
        <f t="shared" si="6"/>
        <v>1</v>
      </c>
      <c r="AC76" s="3053">
        <f t="shared" si="6"/>
        <v>1</v>
      </c>
      <c r="AD76" s="3053">
        <f t="shared" si="6"/>
        <v>1</v>
      </c>
      <c r="AE76" s="1197">
        <f t="shared" si="6"/>
        <v>1</v>
      </c>
      <c r="AF76" s="1197">
        <f t="shared" si="6"/>
        <v>0.99999999999999989</v>
      </c>
    </row>
    <row r="77" spans="1:32" s="3047" customFormat="1">
      <c r="A77" s="3043">
        <v>200</v>
      </c>
      <c r="B77" s="3044">
        <v>73</v>
      </c>
      <c r="C77" s="3052">
        <v>0</v>
      </c>
      <c r="D77" s="3052">
        <v>0</v>
      </c>
      <c r="E77" s="3052">
        <v>0</v>
      </c>
      <c r="F77" s="3052">
        <v>0</v>
      </c>
      <c r="G77" s="3052">
        <v>0</v>
      </c>
      <c r="H77" s="3052">
        <v>0</v>
      </c>
      <c r="I77" s="3052">
        <v>0</v>
      </c>
      <c r="J77" s="3052">
        <v>0</v>
      </c>
      <c r="K77" s="3052">
        <v>0</v>
      </c>
      <c r="L77" s="3052">
        <v>0</v>
      </c>
      <c r="M77" s="3052">
        <v>0</v>
      </c>
      <c r="N77" s="3052">
        <v>0</v>
      </c>
      <c r="O77" s="3052">
        <v>0</v>
      </c>
      <c r="P77" s="3052">
        <v>0</v>
      </c>
      <c r="Q77" s="3052">
        <v>0</v>
      </c>
      <c r="R77" s="3053">
        <f t="shared" si="6"/>
        <v>1</v>
      </c>
      <c r="S77" s="3053">
        <f t="shared" si="6"/>
        <v>0.99999999999999989</v>
      </c>
      <c r="T77" s="3053">
        <f t="shared" si="6"/>
        <v>1</v>
      </c>
      <c r="U77" s="3053">
        <f t="shared" si="6"/>
        <v>1</v>
      </c>
      <c r="V77" s="3053">
        <f t="shared" si="6"/>
        <v>1</v>
      </c>
      <c r="W77" s="3053">
        <f t="shared" si="6"/>
        <v>1</v>
      </c>
      <c r="X77" s="3053">
        <f t="shared" si="6"/>
        <v>1.0000000000000002</v>
      </c>
      <c r="Y77" s="3053">
        <f t="shared" si="6"/>
        <v>1</v>
      </c>
      <c r="Z77" s="3053">
        <f t="shared" si="6"/>
        <v>1</v>
      </c>
      <c r="AA77" s="3053">
        <f t="shared" si="6"/>
        <v>1</v>
      </c>
      <c r="AB77" s="3053">
        <f t="shared" si="6"/>
        <v>1</v>
      </c>
      <c r="AC77" s="3053">
        <f t="shared" si="6"/>
        <v>1</v>
      </c>
      <c r="AD77" s="3053">
        <f t="shared" si="6"/>
        <v>1</v>
      </c>
      <c r="AE77" s="1197">
        <f t="shared" si="6"/>
        <v>1</v>
      </c>
      <c r="AF77" s="1197">
        <f t="shared" si="6"/>
        <v>0.99999999999999989</v>
      </c>
    </row>
    <row r="78" spans="1:32" s="3047" customFormat="1">
      <c r="A78" s="3043">
        <v>200</v>
      </c>
      <c r="B78" s="3044">
        <v>74</v>
      </c>
      <c r="C78" s="3052">
        <v>0</v>
      </c>
      <c r="D78" s="3052">
        <v>0</v>
      </c>
      <c r="E78" s="3052">
        <v>0</v>
      </c>
      <c r="F78" s="3052">
        <v>0</v>
      </c>
      <c r="G78" s="3052">
        <v>0</v>
      </c>
      <c r="H78" s="3052">
        <v>0</v>
      </c>
      <c r="I78" s="3052">
        <v>0</v>
      </c>
      <c r="J78" s="3052">
        <v>0</v>
      </c>
      <c r="K78" s="3052">
        <v>0</v>
      </c>
      <c r="L78" s="3052">
        <v>0</v>
      </c>
      <c r="M78" s="3052">
        <v>0</v>
      </c>
      <c r="N78" s="3052">
        <v>0</v>
      </c>
      <c r="O78" s="3052">
        <v>0</v>
      </c>
      <c r="P78" s="3052">
        <v>0</v>
      </c>
      <c r="Q78" s="3052">
        <v>0</v>
      </c>
      <c r="R78" s="3053">
        <f t="shared" si="6"/>
        <v>1</v>
      </c>
      <c r="S78" s="3053">
        <f t="shared" si="6"/>
        <v>0.99999999999999989</v>
      </c>
      <c r="T78" s="3053">
        <f t="shared" si="6"/>
        <v>1</v>
      </c>
      <c r="U78" s="3053">
        <f t="shared" si="6"/>
        <v>1</v>
      </c>
      <c r="V78" s="3053">
        <f t="shared" si="6"/>
        <v>1</v>
      </c>
      <c r="W78" s="3053">
        <f t="shared" si="6"/>
        <v>1</v>
      </c>
      <c r="X78" s="3053">
        <f t="shared" si="6"/>
        <v>1.0000000000000002</v>
      </c>
      <c r="Y78" s="3053">
        <f t="shared" si="6"/>
        <v>1</v>
      </c>
      <c r="Z78" s="3053">
        <f t="shared" si="6"/>
        <v>1</v>
      </c>
      <c r="AA78" s="3053">
        <f t="shared" si="6"/>
        <v>1</v>
      </c>
      <c r="AB78" s="3053">
        <f t="shared" si="6"/>
        <v>1</v>
      </c>
      <c r="AC78" s="3053">
        <f t="shared" si="6"/>
        <v>1</v>
      </c>
      <c r="AD78" s="3053">
        <f t="shared" si="6"/>
        <v>1</v>
      </c>
      <c r="AE78" s="1197">
        <f t="shared" si="6"/>
        <v>1</v>
      </c>
      <c r="AF78" s="1197">
        <f t="shared" si="6"/>
        <v>0.99999999999999989</v>
      </c>
    </row>
    <row r="79" spans="1:32" s="3047" customFormat="1">
      <c r="A79" s="3043">
        <v>200</v>
      </c>
      <c r="B79" s="3044">
        <v>75</v>
      </c>
      <c r="C79" s="3052">
        <v>0</v>
      </c>
      <c r="D79" s="3052">
        <v>0</v>
      </c>
      <c r="E79" s="3052">
        <v>0</v>
      </c>
      <c r="F79" s="3052">
        <v>0</v>
      </c>
      <c r="G79" s="3052">
        <v>0</v>
      </c>
      <c r="H79" s="3052">
        <v>0</v>
      </c>
      <c r="I79" s="3052">
        <v>0</v>
      </c>
      <c r="J79" s="3052">
        <v>0</v>
      </c>
      <c r="K79" s="3052">
        <v>0</v>
      </c>
      <c r="L79" s="3052">
        <v>0</v>
      </c>
      <c r="M79" s="3052">
        <v>0</v>
      </c>
      <c r="N79" s="3052">
        <v>0</v>
      </c>
      <c r="O79" s="3052">
        <v>0</v>
      </c>
      <c r="P79" s="3052">
        <v>0</v>
      </c>
      <c r="Q79" s="3052">
        <v>0</v>
      </c>
      <c r="R79" s="3053">
        <f t="shared" si="6"/>
        <v>1</v>
      </c>
      <c r="S79" s="3053">
        <f t="shared" si="6"/>
        <v>0.99999999999999989</v>
      </c>
      <c r="T79" s="3053">
        <f t="shared" si="6"/>
        <v>1</v>
      </c>
      <c r="U79" s="3053">
        <f t="shared" si="6"/>
        <v>1</v>
      </c>
      <c r="V79" s="3053">
        <f t="shared" si="6"/>
        <v>1</v>
      </c>
      <c r="W79" s="3053">
        <f t="shared" si="6"/>
        <v>1</v>
      </c>
      <c r="X79" s="3053">
        <f t="shared" si="6"/>
        <v>1.0000000000000002</v>
      </c>
      <c r="Y79" s="3053">
        <f t="shared" si="6"/>
        <v>1</v>
      </c>
      <c r="Z79" s="3053">
        <f t="shared" si="6"/>
        <v>1</v>
      </c>
      <c r="AA79" s="3053">
        <f t="shared" si="6"/>
        <v>1</v>
      </c>
      <c r="AB79" s="3053">
        <f t="shared" si="6"/>
        <v>1</v>
      </c>
      <c r="AC79" s="3053">
        <f t="shared" si="6"/>
        <v>1</v>
      </c>
      <c r="AD79" s="3053">
        <f t="shared" si="6"/>
        <v>1</v>
      </c>
      <c r="AE79" s="1197">
        <f t="shared" si="6"/>
        <v>1</v>
      </c>
      <c r="AF79" s="1197">
        <f t="shared" si="6"/>
        <v>0.99999999999999989</v>
      </c>
    </row>
    <row r="80" spans="1:32" s="3047" customFormat="1">
      <c r="A80" s="3043">
        <v>200</v>
      </c>
      <c r="B80" s="3044">
        <v>76</v>
      </c>
      <c r="C80" s="3052">
        <v>0</v>
      </c>
      <c r="D80" s="3052">
        <v>0</v>
      </c>
      <c r="E80" s="3052">
        <v>0</v>
      </c>
      <c r="F80" s="3052">
        <v>0</v>
      </c>
      <c r="G80" s="3052">
        <v>0</v>
      </c>
      <c r="H80" s="3052">
        <v>0</v>
      </c>
      <c r="I80" s="3052">
        <v>0</v>
      </c>
      <c r="J80" s="3052">
        <v>0</v>
      </c>
      <c r="K80" s="3052">
        <v>0</v>
      </c>
      <c r="L80" s="3052">
        <v>0</v>
      </c>
      <c r="M80" s="3052">
        <v>0</v>
      </c>
      <c r="N80" s="3052">
        <v>0</v>
      </c>
      <c r="O80" s="3052">
        <v>0</v>
      </c>
      <c r="P80" s="3052">
        <v>0</v>
      </c>
      <c r="Q80" s="3052">
        <v>0</v>
      </c>
      <c r="R80" s="3053">
        <f t="shared" si="6"/>
        <v>1</v>
      </c>
      <c r="S80" s="3053">
        <f t="shared" si="6"/>
        <v>0.99999999999999989</v>
      </c>
      <c r="T80" s="3053">
        <f t="shared" si="6"/>
        <v>1</v>
      </c>
      <c r="U80" s="3053">
        <f t="shared" si="6"/>
        <v>1</v>
      </c>
      <c r="V80" s="3053">
        <f t="shared" si="6"/>
        <v>1</v>
      </c>
      <c r="W80" s="3053">
        <f t="shared" si="6"/>
        <v>1</v>
      </c>
      <c r="X80" s="3053">
        <f t="shared" si="6"/>
        <v>1.0000000000000002</v>
      </c>
      <c r="Y80" s="3053">
        <f t="shared" si="6"/>
        <v>1</v>
      </c>
      <c r="Z80" s="3053">
        <f t="shared" si="6"/>
        <v>1</v>
      </c>
      <c r="AA80" s="3053">
        <f t="shared" si="6"/>
        <v>1</v>
      </c>
      <c r="AB80" s="3053">
        <f t="shared" si="6"/>
        <v>1</v>
      </c>
      <c r="AC80" s="3053">
        <f t="shared" si="6"/>
        <v>1</v>
      </c>
      <c r="AD80" s="3053">
        <f t="shared" si="6"/>
        <v>1</v>
      </c>
      <c r="AE80" s="1197">
        <f t="shared" si="6"/>
        <v>1</v>
      </c>
      <c r="AF80" s="1197">
        <f t="shared" si="6"/>
        <v>0.99999999999999989</v>
      </c>
    </row>
    <row r="81" spans="1:32" s="3047" customFormat="1">
      <c r="A81" s="3043">
        <v>200</v>
      </c>
      <c r="B81" s="3044">
        <v>77</v>
      </c>
      <c r="C81" s="3052">
        <v>0</v>
      </c>
      <c r="D81" s="3052">
        <v>0</v>
      </c>
      <c r="E81" s="3052">
        <v>0</v>
      </c>
      <c r="F81" s="3052">
        <v>0</v>
      </c>
      <c r="G81" s="3052">
        <v>0</v>
      </c>
      <c r="H81" s="3052">
        <v>0</v>
      </c>
      <c r="I81" s="3052">
        <v>0</v>
      </c>
      <c r="J81" s="3052">
        <v>0</v>
      </c>
      <c r="K81" s="3052">
        <v>0</v>
      </c>
      <c r="L81" s="3052">
        <v>0</v>
      </c>
      <c r="M81" s="3052">
        <v>0</v>
      </c>
      <c r="N81" s="3052">
        <v>0</v>
      </c>
      <c r="O81" s="3052">
        <v>0</v>
      </c>
      <c r="P81" s="3052">
        <v>0</v>
      </c>
      <c r="Q81" s="3052">
        <v>0</v>
      </c>
      <c r="R81" s="3053">
        <f t="shared" si="6"/>
        <v>1</v>
      </c>
      <c r="S81" s="3053">
        <f t="shared" si="6"/>
        <v>0.99999999999999989</v>
      </c>
      <c r="T81" s="3053">
        <f t="shared" si="6"/>
        <v>1</v>
      </c>
      <c r="U81" s="3053">
        <f t="shared" si="6"/>
        <v>1</v>
      </c>
      <c r="V81" s="3053">
        <f t="shared" si="6"/>
        <v>1</v>
      </c>
      <c r="W81" s="3053">
        <f t="shared" si="6"/>
        <v>1</v>
      </c>
      <c r="X81" s="3053">
        <f t="shared" si="6"/>
        <v>1.0000000000000002</v>
      </c>
      <c r="Y81" s="3053">
        <f t="shared" si="6"/>
        <v>1</v>
      </c>
      <c r="Z81" s="3053">
        <f t="shared" si="6"/>
        <v>1</v>
      </c>
      <c r="AA81" s="3053">
        <f t="shared" si="6"/>
        <v>1</v>
      </c>
      <c r="AB81" s="3053">
        <f t="shared" si="6"/>
        <v>1</v>
      </c>
      <c r="AC81" s="3053">
        <f t="shared" si="6"/>
        <v>1</v>
      </c>
      <c r="AD81" s="3053">
        <f t="shared" si="6"/>
        <v>1</v>
      </c>
      <c r="AE81" s="1197">
        <f t="shared" si="6"/>
        <v>1</v>
      </c>
      <c r="AF81" s="1197">
        <f t="shared" si="6"/>
        <v>0.99999999999999989</v>
      </c>
    </row>
    <row r="82" spans="1:32" s="3047" customFormat="1">
      <c r="A82" s="3043">
        <v>200</v>
      </c>
      <c r="B82" s="3044">
        <v>78</v>
      </c>
      <c r="C82" s="3052">
        <v>0</v>
      </c>
      <c r="D82" s="3052">
        <v>0</v>
      </c>
      <c r="E82" s="3052">
        <v>0</v>
      </c>
      <c r="F82" s="3052">
        <v>0</v>
      </c>
      <c r="G82" s="3052">
        <v>0</v>
      </c>
      <c r="H82" s="3052">
        <v>0</v>
      </c>
      <c r="I82" s="3052">
        <v>0</v>
      </c>
      <c r="J82" s="3052">
        <v>0</v>
      </c>
      <c r="K82" s="3052">
        <v>0</v>
      </c>
      <c r="L82" s="3052">
        <v>0</v>
      </c>
      <c r="M82" s="3052">
        <v>0</v>
      </c>
      <c r="N82" s="3052">
        <v>0</v>
      </c>
      <c r="O82" s="3052">
        <v>0</v>
      </c>
      <c r="P82" s="3052">
        <v>0</v>
      </c>
      <c r="Q82" s="3052">
        <v>0</v>
      </c>
      <c r="R82" s="3053">
        <f t="shared" si="6"/>
        <v>1</v>
      </c>
      <c r="S82" s="3053">
        <f t="shared" si="6"/>
        <v>0.99999999999999989</v>
      </c>
      <c r="T82" s="3053">
        <f t="shared" si="6"/>
        <v>1</v>
      </c>
      <c r="U82" s="3053">
        <f t="shared" si="6"/>
        <v>1</v>
      </c>
      <c r="V82" s="3053">
        <f t="shared" si="6"/>
        <v>1</v>
      </c>
      <c r="W82" s="3053">
        <f t="shared" si="6"/>
        <v>1</v>
      </c>
      <c r="X82" s="3053">
        <f t="shared" si="6"/>
        <v>1.0000000000000002</v>
      </c>
      <c r="Y82" s="3053">
        <f t="shared" si="6"/>
        <v>1</v>
      </c>
      <c r="Z82" s="3053">
        <f t="shared" si="6"/>
        <v>1</v>
      </c>
      <c r="AA82" s="3053">
        <f t="shared" si="6"/>
        <v>1</v>
      </c>
      <c r="AB82" s="3053">
        <f t="shared" si="6"/>
        <v>1</v>
      </c>
      <c r="AC82" s="3053">
        <f t="shared" si="6"/>
        <v>1</v>
      </c>
      <c r="AD82" s="3053">
        <f t="shared" si="6"/>
        <v>1</v>
      </c>
      <c r="AE82" s="1197">
        <f t="shared" si="6"/>
        <v>1</v>
      </c>
      <c r="AF82" s="1197">
        <f t="shared" si="6"/>
        <v>0.99999999999999989</v>
      </c>
    </row>
    <row r="83" spans="1:32" s="3047" customFormat="1">
      <c r="A83" s="3043">
        <v>200</v>
      </c>
      <c r="B83" s="3044">
        <v>79</v>
      </c>
      <c r="C83" s="3052">
        <v>0</v>
      </c>
      <c r="D83" s="3052">
        <v>0</v>
      </c>
      <c r="E83" s="3052">
        <v>0</v>
      </c>
      <c r="F83" s="3052">
        <v>0</v>
      </c>
      <c r="G83" s="3052">
        <v>0</v>
      </c>
      <c r="H83" s="3052">
        <v>0</v>
      </c>
      <c r="I83" s="3052">
        <v>0</v>
      </c>
      <c r="J83" s="3052">
        <v>0</v>
      </c>
      <c r="K83" s="3052">
        <v>0</v>
      </c>
      <c r="L83" s="3052">
        <v>0</v>
      </c>
      <c r="M83" s="3052">
        <v>0</v>
      </c>
      <c r="N83" s="3052">
        <v>0</v>
      </c>
      <c r="O83" s="3052">
        <v>0</v>
      </c>
      <c r="P83" s="3052">
        <v>0</v>
      </c>
      <c r="Q83" s="3052">
        <v>0</v>
      </c>
      <c r="R83" s="3053">
        <f t="shared" si="6"/>
        <v>1</v>
      </c>
      <c r="S83" s="3053">
        <f t="shared" si="6"/>
        <v>0.99999999999999989</v>
      </c>
      <c r="T83" s="3053">
        <f t="shared" si="6"/>
        <v>1</v>
      </c>
      <c r="U83" s="3053">
        <f t="shared" si="6"/>
        <v>1</v>
      </c>
      <c r="V83" s="3053">
        <f t="shared" si="6"/>
        <v>1</v>
      </c>
      <c r="W83" s="3053">
        <f t="shared" si="6"/>
        <v>1</v>
      </c>
      <c r="X83" s="3053">
        <f t="shared" si="6"/>
        <v>1.0000000000000002</v>
      </c>
      <c r="Y83" s="3053">
        <f t="shared" si="6"/>
        <v>1</v>
      </c>
      <c r="Z83" s="3053">
        <f t="shared" si="6"/>
        <v>1</v>
      </c>
      <c r="AA83" s="3053">
        <f t="shared" si="6"/>
        <v>1</v>
      </c>
      <c r="AB83" s="3053">
        <f t="shared" si="6"/>
        <v>1</v>
      </c>
      <c r="AC83" s="3053">
        <f t="shared" si="6"/>
        <v>1</v>
      </c>
      <c r="AD83" s="3053">
        <f t="shared" si="6"/>
        <v>1</v>
      </c>
      <c r="AE83" s="1197">
        <f t="shared" si="6"/>
        <v>1</v>
      </c>
      <c r="AF83" s="1197">
        <f t="shared" si="6"/>
        <v>0.99999999999999989</v>
      </c>
    </row>
    <row r="84" spans="1:32" s="3047" customFormat="1">
      <c r="A84" s="3043">
        <v>200</v>
      </c>
      <c r="B84" s="3044">
        <v>80</v>
      </c>
      <c r="C84" s="3052">
        <v>0</v>
      </c>
      <c r="D84" s="3052">
        <v>0</v>
      </c>
      <c r="E84" s="3052">
        <v>0</v>
      </c>
      <c r="F84" s="3052">
        <v>0</v>
      </c>
      <c r="G84" s="3052">
        <v>0</v>
      </c>
      <c r="H84" s="3052">
        <v>0</v>
      </c>
      <c r="I84" s="3052">
        <v>0</v>
      </c>
      <c r="J84" s="3052">
        <v>0</v>
      </c>
      <c r="K84" s="3052">
        <v>0</v>
      </c>
      <c r="L84" s="3052">
        <v>0</v>
      </c>
      <c r="M84" s="3052">
        <v>0</v>
      </c>
      <c r="N84" s="3052">
        <v>0</v>
      </c>
      <c r="O84" s="3052">
        <v>0</v>
      </c>
      <c r="P84" s="3052">
        <v>0</v>
      </c>
      <c r="Q84" s="3052">
        <v>0</v>
      </c>
      <c r="R84" s="3053">
        <f t="shared" si="6"/>
        <v>1</v>
      </c>
      <c r="S84" s="3053">
        <f t="shared" si="6"/>
        <v>0.99999999999999989</v>
      </c>
      <c r="T84" s="3053">
        <f t="shared" si="6"/>
        <v>1</v>
      </c>
      <c r="U84" s="3053">
        <f t="shared" si="6"/>
        <v>1</v>
      </c>
      <c r="V84" s="3053">
        <f t="shared" si="6"/>
        <v>1</v>
      </c>
      <c r="W84" s="3053">
        <f t="shared" si="6"/>
        <v>1</v>
      </c>
      <c r="X84" s="3053">
        <f t="shared" si="6"/>
        <v>1.0000000000000002</v>
      </c>
      <c r="Y84" s="3053">
        <f t="shared" si="6"/>
        <v>1</v>
      </c>
      <c r="Z84" s="3053">
        <f t="shared" si="6"/>
        <v>1</v>
      </c>
      <c r="AA84" s="3053">
        <f t="shared" si="6"/>
        <v>1</v>
      </c>
      <c r="AB84" s="3053">
        <f t="shared" si="6"/>
        <v>1</v>
      </c>
      <c r="AC84" s="3053">
        <f t="shared" si="6"/>
        <v>1</v>
      </c>
      <c r="AD84" s="3053">
        <f t="shared" si="6"/>
        <v>1</v>
      </c>
      <c r="AE84" s="1197">
        <f t="shared" si="6"/>
        <v>1</v>
      </c>
      <c r="AF84" s="1197">
        <f t="shared" si="6"/>
        <v>0.99999999999999989</v>
      </c>
    </row>
    <row r="85" spans="1:32" s="3047" customFormat="1">
      <c r="A85" s="3043">
        <v>200</v>
      </c>
      <c r="B85" s="3044">
        <v>81</v>
      </c>
      <c r="C85" s="3052">
        <v>0</v>
      </c>
      <c r="D85" s="3052">
        <v>0</v>
      </c>
      <c r="E85" s="3052">
        <v>0</v>
      </c>
      <c r="F85" s="3052">
        <v>0</v>
      </c>
      <c r="G85" s="3052">
        <v>0</v>
      </c>
      <c r="H85" s="3052">
        <v>0</v>
      </c>
      <c r="I85" s="3052">
        <v>0</v>
      </c>
      <c r="J85" s="3052">
        <v>0</v>
      </c>
      <c r="K85" s="3052">
        <v>0</v>
      </c>
      <c r="L85" s="3052">
        <v>0</v>
      </c>
      <c r="M85" s="3052">
        <v>0</v>
      </c>
      <c r="N85" s="3052">
        <v>0</v>
      </c>
      <c r="O85" s="3052">
        <v>0</v>
      </c>
      <c r="P85" s="3052">
        <v>0</v>
      </c>
      <c r="Q85" s="3052">
        <v>0</v>
      </c>
      <c r="R85" s="3053">
        <f t="shared" si="6"/>
        <v>1</v>
      </c>
      <c r="S85" s="3053">
        <f t="shared" si="6"/>
        <v>0.99999999999999989</v>
      </c>
      <c r="T85" s="3053">
        <f t="shared" si="6"/>
        <v>1</v>
      </c>
      <c r="U85" s="3053">
        <f t="shared" si="6"/>
        <v>1</v>
      </c>
      <c r="V85" s="3053">
        <f t="shared" si="6"/>
        <v>1</v>
      </c>
      <c r="W85" s="3053">
        <f t="shared" si="6"/>
        <v>1</v>
      </c>
      <c r="X85" s="3053">
        <f t="shared" si="6"/>
        <v>1.0000000000000002</v>
      </c>
      <c r="Y85" s="3053">
        <f t="shared" si="6"/>
        <v>1</v>
      </c>
      <c r="Z85" s="3053">
        <f t="shared" si="6"/>
        <v>1</v>
      </c>
      <c r="AA85" s="3053">
        <f t="shared" si="6"/>
        <v>1</v>
      </c>
      <c r="AB85" s="3053">
        <f t="shared" si="6"/>
        <v>1</v>
      </c>
      <c r="AC85" s="3053">
        <f t="shared" si="6"/>
        <v>1</v>
      </c>
      <c r="AD85" s="3053">
        <f t="shared" si="6"/>
        <v>1</v>
      </c>
      <c r="AE85" s="1197">
        <f t="shared" si="6"/>
        <v>1</v>
      </c>
      <c r="AF85" s="1197">
        <f t="shared" si="6"/>
        <v>0.99999999999999989</v>
      </c>
    </row>
    <row r="86" spans="1:32" s="3047" customFormat="1">
      <c r="A86" s="3043">
        <v>200</v>
      </c>
      <c r="B86" s="3044">
        <v>82</v>
      </c>
      <c r="C86" s="3052">
        <v>0</v>
      </c>
      <c r="D86" s="3052">
        <v>0</v>
      </c>
      <c r="E86" s="3052">
        <v>0</v>
      </c>
      <c r="F86" s="3052">
        <v>0</v>
      </c>
      <c r="G86" s="3052">
        <v>0</v>
      </c>
      <c r="H86" s="3052">
        <v>0</v>
      </c>
      <c r="I86" s="3052">
        <v>0</v>
      </c>
      <c r="J86" s="3052">
        <v>0</v>
      </c>
      <c r="K86" s="3052">
        <v>0</v>
      </c>
      <c r="L86" s="3052">
        <v>0</v>
      </c>
      <c r="M86" s="3052">
        <v>0</v>
      </c>
      <c r="N86" s="3052">
        <v>0</v>
      </c>
      <c r="O86" s="3052">
        <v>0</v>
      </c>
      <c r="P86" s="3052">
        <v>0</v>
      </c>
      <c r="Q86" s="3052">
        <v>0</v>
      </c>
      <c r="R86" s="3053">
        <f t="shared" ref="R86:AF101" si="7">C86+R85</f>
        <v>1</v>
      </c>
      <c r="S86" s="3053">
        <f t="shared" si="7"/>
        <v>0.99999999999999989</v>
      </c>
      <c r="T86" s="3053">
        <f t="shared" si="7"/>
        <v>1</v>
      </c>
      <c r="U86" s="3053">
        <f t="shared" si="7"/>
        <v>1</v>
      </c>
      <c r="V86" s="3053">
        <f t="shared" si="7"/>
        <v>1</v>
      </c>
      <c r="W86" s="3053">
        <f t="shared" si="7"/>
        <v>1</v>
      </c>
      <c r="X86" s="3053">
        <f t="shared" si="7"/>
        <v>1.0000000000000002</v>
      </c>
      <c r="Y86" s="3053">
        <f t="shared" si="7"/>
        <v>1</v>
      </c>
      <c r="Z86" s="3053">
        <f t="shared" si="7"/>
        <v>1</v>
      </c>
      <c r="AA86" s="3053">
        <f t="shared" si="7"/>
        <v>1</v>
      </c>
      <c r="AB86" s="3053">
        <f t="shared" si="7"/>
        <v>1</v>
      </c>
      <c r="AC86" s="3053">
        <f t="shared" si="7"/>
        <v>1</v>
      </c>
      <c r="AD86" s="3053">
        <f t="shared" si="7"/>
        <v>1</v>
      </c>
      <c r="AE86" s="1197">
        <f t="shared" si="7"/>
        <v>1</v>
      </c>
      <c r="AF86" s="1197">
        <f t="shared" si="7"/>
        <v>0.99999999999999989</v>
      </c>
    </row>
    <row r="87" spans="1:32" s="3047" customFormat="1">
      <c r="A87" s="3043">
        <v>200</v>
      </c>
      <c r="B87" s="3044">
        <v>83</v>
      </c>
      <c r="C87" s="3052">
        <v>0</v>
      </c>
      <c r="D87" s="3052">
        <v>0</v>
      </c>
      <c r="E87" s="3052">
        <v>0</v>
      </c>
      <c r="F87" s="3052">
        <v>0</v>
      </c>
      <c r="G87" s="3052">
        <v>0</v>
      </c>
      <c r="H87" s="3052">
        <v>0</v>
      </c>
      <c r="I87" s="3052">
        <v>0</v>
      </c>
      <c r="J87" s="3052">
        <v>0</v>
      </c>
      <c r="K87" s="3052">
        <v>0</v>
      </c>
      <c r="L87" s="3052">
        <v>0</v>
      </c>
      <c r="M87" s="3052">
        <v>0</v>
      </c>
      <c r="N87" s="3052">
        <v>0</v>
      </c>
      <c r="O87" s="3052">
        <v>0</v>
      </c>
      <c r="P87" s="3052">
        <v>0</v>
      </c>
      <c r="Q87" s="3052">
        <v>0</v>
      </c>
      <c r="R87" s="3053">
        <f t="shared" si="7"/>
        <v>1</v>
      </c>
      <c r="S87" s="3053">
        <f t="shared" si="7"/>
        <v>0.99999999999999989</v>
      </c>
      <c r="T87" s="3053">
        <f t="shared" si="7"/>
        <v>1</v>
      </c>
      <c r="U87" s="3053">
        <f t="shared" si="7"/>
        <v>1</v>
      </c>
      <c r="V87" s="3053">
        <f t="shared" si="7"/>
        <v>1</v>
      </c>
      <c r="W87" s="3053">
        <f t="shared" si="7"/>
        <v>1</v>
      </c>
      <c r="X87" s="3053">
        <f t="shared" si="7"/>
        <v>1.0000000000000002</v>
      </c>
      <c r="Y87" s="3053">
        <f t="shared" si="7"/>
        <v>1</v>
      </c>
      <c r="Z87" s="3053">
        <f t="shared" si="7"/>
        <v>1</v>
      </c>
      <c r="AA87" s="3053">
        <f t="shared" si="7"/>
        <v>1</v>
      </c>
      <c r="AB87" s="3053">
        <f t="shared" si="7"/>
        <v>1</v>
      </c>
      <c r="AC87" s="3053">
        <f t="shared" si="7"/>
        <v>1</v>
      </c>
      <c r="AD87" s="3053">
        <f t="shared" si="7"/>
        <v>1</v>
      </c>
      <c r="AE87" s="1197">
        <f t="shared" si="7"/>
        <v>1</v>
      </c>
      <c r="AF87" s="1197">
        <f t="shared" si="7"/>
        <v>0.99999999999999989</v>
      </c>
    </row>
    <row r="88" spans="1:32" s="3047" customFormat="1">
      <c r="A88" s="3043">
        <v>200</v>
      </c>
      <c r="B88" s="3044">
        <v>84</v>
      </c>
      <c r="C88" s="3052">
        <v>0</v>
      </c>
      <c r="D88" s="3052">
        <v>0</v>
      </c>
      <c r="E88" s="3052">
        <v>0</v>
      </c>
      <c r="F88" s="3052">
        <v>0</v>
      </c>
      <c r="G88" s="3052">
        <v>0</v>
      </c>
      <c r="H88" s="3052">
        <v>0</v>
      </c>
      <c r="I88" s="3052">
        <v>0</v>
      </c>
      <c r="J88" s="3052">
        <v>0</v>
      </c>
      <c r="K88" s="3052">
        <v>0</v>
      </c>
      <c r="L88" s="3052">
        <v>0</v>
      </c>
      <c r="M88" s="3052">
        <v>0</v>
      </c>
      <c r="N88" s="3052">
        <v>0</v>
      </c>
      <c r="O88" s="3052">
        <v>0</v>
      </c>
      <c r="P88" s="3052">
        <v>0</v>
      </c>
      <c r="Q88" s="3052">
        <v>0</v>
      </c>
      <c r="R88" s="3053">
        <f t="shared" si="7"/>
        <v>1</v>
      </c>
      <c r="S88" s="3053">
        <f t="shared" si="7"/>
        <v>0.99999999999999989</v>
      </c>
      <c r="T88" s="3053">
        <f t="shared" si="7"/>
        <v>1</v>
      </c>
      <c r="U88" s="3053">
        <f t="shared" si="7"/>
        <v>1</v>
      </c>
      <c r="V88" s="3053">
        <f t="shared" si="7"/>
        <v>1</v>
      </c>
      <c r="W88" s="3053">
        <f t="shared" si="7"/>
        <v>1</v>
      </c>
      <c r="X88" s="3053">
        <f t="shared" si="7"/>
        <v>1.0000000000000002</v>
      </c>
      <c r="Y88" s="3053">
        <f t="shared" si="7"/>
        <v>1</v>
      </c>
      <c r="Z88" s="3053">
        <f t="shared" si="7"/>
        <v>1</v>
      </c>
      <c r="AA88" s="3053">
        <f t="shared" si="7"/>
        <v>1</v>
      </c>
      <c r="AB88" s="3053">
        <f t="shared" si="7"/>
        <v>1</v>
      </c>
      <c r="AC88" s="3053">
        <f t="shared" si="7"/>
        <v>1</v>
      </c>
      <c r="AD88" s="3053">
        <f t="shared" si="7"/>
        <v>1</v>
      </c>
      <c r="AE88" s="1197">
        <f t="shared" si="7"/>
        <v>1</v>
      </c>
      <c r="AF88" s="1197">
        <f t="shared" si="7"/>
        <v>0.99999999999999989</v>
      </c>
    </row>
    <row r="89" spans="1:32" s="3047" customFormat="1">
      <c r="A89" s="3043">
        <v>200</v>
      </c>
      <c r="B89" s="3044">
        <v>85</v>
      </c>
      <c r="C89" s="3052">
        <v>0</v>
      </c>
      <c r="D89" s="3052">
        <v>0</v>
      </c>
      <c r="E89" s="3052">
        <v>0</v>
      </c>
      <c r="F89" s="3052">
        <v>0</v>
      </c>
      <c r="G89" s="3052">
        <v>0</v>
      </c>
      <c r="H89" s="3052">
        <v>0</v>
      </c>
      <c r="I89" s="3052">
        <v>0</v>
      </c>
      <c r="J89" s="3052">
        <v>0</v>
      </c>
      <c r="K89" s="3052">
        <v>0</v>
      </c>
      <c r="L89" s="3052">
        <v>0</v>
      </c>
      <c r="M89" s="3052">
        <v>0</v>
      </c>
      <c r="N89" s="3052">
        <v>0</v>
      </c>
      <c r="O89" s="3052">
        <v>0</v>
      </c>
      <c r="P89" s="3052">
        <v>0</v>
      </c>
      <c r="Q89" s="3052">
        <v>0</v>
      </c>
      <c r="R89" s="3053">
        <f t="shared" si="7"/>
        <v>1</v>
      </c>
      <c r="S89" s="3053">
        <f t="shared" si="7"/>
        <v>0.99999999999999989</v>
      </c>
      <c r="T89" s="3053">
        <f t="shared" si="7"/>
        <v>1</v>
      </c>
      <c r="U89" s="3053">
        <f t="shared" si="7"/>
        <v>1</v>
      </c>
      <c r="V89" s="3053">
        <f t="shared" si="7"/>
        <v>1</v>
      </c>
      <c r="W89" s="3053">
        <f t="shared" si="7"/>
        <v>1</v>
      </c>
      <c r="X89" s="3053">
        <f t="shared" si="7"/>
        <v>1.0000000000000002</v>
      </c>
      <c r="Y89" s="3053">
        <f t="shared" si="7"/>
        <v>1</v>
      </c>
      <c r="Z89" s="3053">
        <f t="shared" si="7"/>
        <v>1</v>
      </c>
      <c r="AA89" s="3053">
        <f t="shared" si="7"/>
        <v>1</v>
      </c>
      <c r="AB89" s="3053">
        <f t="shared" si="7"/>
        <v>1</v>
      </c>
      <c r="AC89" s="3053">
        <f t="shared" si="7"/>
        <v>1</v>
      </c>
      <c r="AD89" s="3053">
        <f t="shared" si="7"/>
        <v>1</v>
      </c>
      <c r="AE89" s="1197">
        <f t="shared" si="7"/>
        <v>1</v>
      </c>
      <c r="AF89" s="1197">
        <f t="shared" si="7"/>
        <v>0.99999999999999989</v>
      </c>
    </row>
    <row r="90" spans="1:32" s="3047" customFormat="1">
      <c r="A90" s="3043">
        <v>200</v>
      </c>
      <c r="B90" s="3044">
        <v>86</v>
      </c>
      <c r="C90" s="3052">
        <v>0</v>
      </c>
      <c r="D90" s="3052">
        <v>0</v>
      </c>
      <c r="E90" s="3052">
        <v>0</v>
      </c>
      <c r="F90" s="3052">
        <v>0</v>
      </c>
      <c r="G90" s="3052">
        <v>0</v>
      </c>
      <c r="H90" s="3052">
        <v>0</v>
      </c>
      <c r="I90" s="3052">
        <v>0</v>
      </c>
      <c r="J90" s="3052">
        <v>0</v>
      </c>
      <c r="K90" s="3052">
        <v>0</v>
      </c>
      <c r="L90" s="3052">
        <v>0</v>
      </c>
      <c r="M90" s="3052">
        <v>0</v>
      </c>
      <c r="N90" s="3052">
        <v>0</v>
      </c>
      <c r="O90" s="3052">
        <v>0</v>
      </c>
      <c r="P90" s="3052">
        <v>0</v>
      </c>
      <c r="Q90" s="3052">
        <v>0</v>
      </c>
      <c r="R90" s="3053">
        <f t="shared" si="7"/>
        <v>1</v>
      </c>
      <c r="S90" s="3053">
        <f t="shared" si="7"/>
        <v>0.99999999999999989</v>
      </c>
      <c r="T90" s="3053">
        <f t="shared" si="7"/>
        <v>1</v>
      </c>
      <c r="U90" s="3053">
        <f t="shared" si="7"/>
        <v>1</v>
      </c>
      <c r="V90" s="3053">
        <f t="shared" si="7"/>
        <v>1</v>
      </c>
      <c r="W90" s="3053">
        <f t="shared" si="7"/>
        <v>1</v>
      </c>
      <c r="X90" s="3053">
        <f t="shared" si="7"/>
        <v>1.0000000000000002</v>
      </c>
      <c r="Y90" s="3053">
        <f t="shared" si="7"/>
        <v>1</v>
      </c>
      <c r="Z90" s="3053">
        <f t="shared" si="7"/>
        <v>1</v>
      </c>
      <c r="AA90" s="3053">
        <f t="shared" si="7"/>
        <v>1</v>
      </c>
      <c r="AB90" s="3053">
        <f t="shared" si="7"/>
        <v>1</v>
      </c>
      <c r="AC90" s="3053">
        <f t="shared" si="7"/>
        <v>1</v>
      </c>
      <c r="AD90" s="3053">
        <f t="shared" si="7"/>
        <v>1</v>
      </c>
      <c r="AE90" s="1197">
        <f t="shared" si="7"/>
        <v>1</v>
      </c>
      <c r="AF90" s="1197">
        <f t="shared" si="7"/>
        <v>0.99999999999999989</v>
      </c>
    </row>
    <row r="91" spans="1:32" s="3047" customFormat="1">
      <c r="A91" s="3043">
        <v>200</v>
      </c>
      <c r="B91" s="3044">
        <v>87</v>
      </c>
      <c r="C91" s="3052">
        <v>0</v>
      </c>
      <c r="D91" s="3052">
        <v>0</v>
      </c>
      <c r="E91" s="3052">
        <v>0</v>
      </c>
      <c r="F91" s="3052">
        <v>0</v>
      </c>
      <c r="G91" s="3052">
        <v>0</v>
      </c>
      <c r="H91" s="3052">
        <v>0</v>
      </c>
      <c r="I91" s="3052">
        <v>0</v>
      </c>
      <c r="J91" s="3052">
        <v>0</v>
      </c>
      <c r="K91" s="3052">
        <v>0</v>
      </c>
      <c r="L91" s="3052">
        <v>0</v>
      </c>
      <c r="M91" s="3052">
        <v>0</v>
      </c>
      <c r="N91" s="3052">
        <v>0</v>
      </c>
      <c r="O91" s="3052">
        <v>0</v>
      </c>
      <c r="P91" s="3052">
        <v>0</v>
      </c>
      <c r="Q91" s="3052">
        <v>0</v>
      </c>
      <c r="R91" s="3053">
        <f t="shared" si="7"/>
        <v>1</v>
      </c>
      <c r="S91" s="3053">
        <f t="shared" si="7"/>
        <v>0.99999999999999989</v>
      </c>
      <c r="T91" s="3053">
        <f t="shared" si="7"/>
        <v>1</v>
      </c>
      <c r="U91" s="3053">
        <f t="shared" si="7"/>
        <v>1</v>
      </c>
      <c r="V91" s="3053">
        <f t="shared" si="7"/>
        <v>1</v>
      </c>
      <c r="W91" s="3053">
        <f t="shared" si="7"/>
        <v>1</v>
      </c>
      <c r="X91" s="3053">
        <f t="shared" si="7"/>
        <v>1.0000000000000002</v>
      </c>
      <c r="Y91" s="3053">
        <f t="shared" si="7"/>
        <v>1</v>
      </c>
      <c r="Z91" s="3053">
        <f t="shared" si="7"/>
        <v>1</v>
      </c>
      <c r="AA91" s="3053">
        <f t="shared" si="7"/>
        <v>1</v>
      </c>
      <c r="AB91" s="3053">
        <f t="shared" si="7"/>
        <v>1</v>
      </c>
      <c r="AC91" s="3053">
        <f t="shared" si="7"/>
        <v>1</v>
      </c>
      <c r="AD91" s="3053">
        <f t="shared" si="7"/>
        <v>1</v>
      </c>
      <c r="AE91" s="1197">
        <f t="shared" si="7"/>
        <v>1</v>
      </c>
      <c r="AF91" s="1197">
        <f t="shared" si="7"/>
        <v>0.99999999999999989</v>
      </c>
    </row>
    <row r="92" spans="1:32" s="3047" customFormat="1">
      <c r="A92" s="3043">
        <v>200</v>
      </c>
      <c r="B92" s="3044">
        <v>88</v>
      </c>
      <c r="C92" s="3052">
        <v>0</v>
      </c>
      <c r="D92" s="3052">
        <v>0</v>
      </c>
      <c r="E92" s="3052">
        <v>0</v>
      </c>
      <c r="F92" s="3052">
        <v>0</v>
      </c>
      <c r="G92" s="3052">
        <v>0</v>
      </c>
      <c r="H92" s="3052">
        <v>0</v>
      </c>
      <c r="I92" s="3052">
        <v>0</v>
      </c>
      <c r="J92" s="3052">
        <v>0</v>
      </c>
      <c r="K92" s="3052">
        <v>0</v>
      </c>
      <c r="L92" s="3052">
        <v>0</v>
      </c>
      <c r="M92" s="3052">
        <v>0</v>
      </c>
      <c r="N92" s="3052">
        <v>0</v>
      </c>
      <c r="O92" s="3052">
        <v>0</v>
      </c>
      <c r="P92" s="3052">
        <v>0</v>
      </c>
      <c r="Q92" s="3052">
        <v>0</v>
      </c>
      <c r="R92" s="3053">
        <f t="shared" si="7"/>
        <v>1</v>
      </c>
      <c r="S92" s="3053">
        <f t="shared" si="7"/>
        <v>0.99999999999999989</v>
      </c>
      <c r="T92" s="3053">
        <f t="shared" si="7"/>
        <v>1</v>
      </c>
      <c r="U92" s="3053">
        <f t="shared" si="7"/>
        <v>1</v>
      </c>
      <c r="V92" s="3053">
        <f t="shared" si="7"/>
        <v>1</v>
      </c>
      <c r="W92" s="3053">
        <f t="shared" si="7"/>
        <v>1</v>
      </c>
      <c r="X92" s="3053">
        <f t="shared" si="7"/>
        <v>1.0000000000000002</v>
      </c>
      <c r="Y92" s="3053">
        <f t="shared" si="7"/>
        <v>1</v>
      </c>
      <c r="Z92" s="3053">
        <f t="shared" si="7"/>
        <v>1</v>
      </c>
      <c r="AA92" s="3053">
        <f t="shared" si="7"/>
        <v>1</v>
      </c>
      <c r="AB92" s="3053">
        <f t="shared" si="7"/>
        <v>1</v>
      </c>
      <c r="AC92" s="3053">
        <f t="shared" si="7"/>
        <v>1</v>
      </c>
      <c r="AD92" s="3053">
        <f t="shared" si="7"/>
        <v>1</v>
      </c>
      <c r="AE92" s="1197">
        <f t="shared" si="7"/>
        <v>1</v>
      </c>
      <c r="AF92" s="1197">
        <f t="shared" si="7"/>
        <v>0.99999999999999989</v>
      </c>
    </row>
    <row r="93" spans="1:32" s="3047" customFormat="1">
      <c r="A93" s="3043">
        <v>200</v>
      </c>
      <c r="B93" s="3044">
        <v>89</v>
      </c>
      <c r="C93" s="3052">
        <v>0</v>
      </c>
      <c r="D93" s="3052">
        <v>0</v>
      </c>
      <c r="E93" s="3052">
        <v>0</v>
      </c>
      <c r="F93" s="3052">
        <v>0</v>
      </c>
      <c r="G93" s="3052">
        <v>0</v>
      </c>
      <c r="H93" s="3052">
        <v>0</v>
      </c>
      <c r="I93" s="3052">
        <v>0</v>
      </c>
      <c r="J93" s="3052">
        <v>0</v>
      </c>
      <c r="K93" s="3052">
        <v>0</v>
      </c>
      <c r="L93" s="3052">
        <v>0</v>
      </c>
      <c r="M93" s="3052">
        <v>0</v>
      </c>
      <c r="N93" s="3052">
        <v>0</v>
      </c>
      <c r="O93" s="3052">
        <v>0</v>
      </c>
      <c r="P93" s="3052">
        <v>0</v>
      </c>
      <c r="Q93" s="3052">
        <v>0</v>
      </c>
      <c r="R93" s="3053">
        <f t="shared" si="7"/>
        <v>1</v>
      </c>
      <c r="S93" s="3053">
        <f t="shared" si="7"/>
        <v>0.99999999999999989</v>
      </c>
      <c r="T93" s="3053">
        <f t="shared" si="7"/>
        <v>1</v>
      </c>
      <c r="U93" s="3053">
        <f t="shared" si="7"/>
        <v>1</v>
      </c>
      <c r="V93" s="3053">
        <f t="shared" si="7"/>
        <v>1</v>
      </c>
      <c r="W93" s="3053">
        <f t="shared" si="7"/>
        <v>1</v>
      </c>
      <c r="X93" s="3053">
        <f t="shared" si="7"/>
        <v>1.0000000000000002</v>
      </c>
      <c r="Y93" s="3053">
        <f t="shared" si="7"/>
        <v>1</v>
      </c>
      <c r="Z93" s="3053">
        <f t="shared" si="7"/>
        <v>1</v>
      </c>
      <c r="AA93" s="3053">
        <f t="shared" si="7"/>
        <v>1</v>
      </c>
      <c r="AB93" s="3053">
        <f t="shared" si="7"/>
        <v>1</v>
      </c>
      <c r="AC93" s="3053">
        <f t="shared" si="7"/>
        <v>1</v>
      </c>
      <c r="AD93" s="3053">
        <f t="shared" si="7"/>
        <v>1</v>
      </c>
      <c r="AE93" s="1197">
        <f t="shared" si="7"/>
        <v>1</v>
      </c>
      <c r="AF93" s="1197">
        <f t="shared" si="7"/>
        <v>0.99999999999999989</v>
      </c>
    </row>
    <row r="94" spans="1:32" s="3047" customFormat="1">
      <c r="A94" s="3043">
        <v>200</v>
      </c>
      <c r="B94" s="3044">
        <v>90</v>
      </c>
      <c r="C94" s="3052">
        <v>0</v>
      </c>
      <c r="D94" s="3052">
        <v>0</v>
      </c>
      <c r="E94" s="3052">
        <v>0</v>
      </c>
      <c r="F94" s="3052">
        <v>0</v>
      </c>
      <c r="G94" s="3052">
        <v>0</v>
      </c>
      <c r="H94" s="3052">
        <v>0</v>
      </c>
      <c r="I94" s="3052">
        <v>0</v>
      </c>
      <c r="J94" s="3052">
        <v>0</v>
      </c>
      <c r="K94" s="3052">
        <v>0</v>
      </c>
      <c r="L94" s="3052">
        <v>0</v>
      </c>
      <c r="M94" s="3052">
        <v>0</v>
      </c>
      <c r="N94" s="3052">
        <v>0</v>
      </c>
      <c r="O94" s="3052">
        <v>0</v>
      </c>
      <c r="P94" s="3052">
        <v>0</v>
      </c>
      <c r="Q94" s="3052">
        <v>0</v>
      </c>
      <c r="R94" s="3053">
        <f t="shared" si="7"/>
        <v>1</v>
      </c>
      <c r="S94" s="3053">
        <f t="shared" si="7"/>
        <v>0.99999999999999989</v>
      </c>
      <c r="T94" s="3053">
        <f t="shared" si="7"/>
        <v>1</v>
      </c>
      <c r="U94" s="3053">
        <f t="shared" si="7"/>
        <v>1</v>
      </c>
      <c r="V94" s="3053">
        <f t="shared" si="7"/>
        <v>1</v>
      </c>
      <c r="W94" s="3053">
        <f t="shared" si="7"/>
        <v>1</v>
      </c>
      <c r="X94" s="3053">
        <f t="shared" si="7"/>
        <v>1.0000000000000002</v>
      </c>
      <c r="Y94" s="3053">
        <f t="shared" si="7"/>
        <v>1</v>
      </c>
      <c r="Z94" s="3053">
        <f t="shared" si="7"/>
        <v>1</v>
      </c>
      <c r="AA94" s="3053">
        <f t="shared" si="7"/>
        <v>1</v>
      </c>
      <c r="AB94" s="3053">
        <f t="shared" si="7"/>
        <v>1</v>
      </c>
      <c r="AC94" s="3053">
        <f t="shared" si="7"/>
        <v>1</v>
      </c>
      <c r="AD94" s="3053">
        <f t="shared" si="7"/>
        <v>1</v>
      </c>
      <c r="AE94" s="1197">
        <f t="shared" si="7"/>
        <v>1</v>
      </c>
      <c r="AF94" s="1197">
        <f t="shared" si="7"/>
        <v>0.99999999999999989</v>
      </c>
    </row>
    <row r="95" spans="1:32" s="3047" customFormat="1">
      <c r="A95" s="3043">
        <v>200</v>
      </c>
      <c r="B95" s="3044">
        <v>91</v>
      </c>
      <c r="C95" s="3052">
        <v>0</v>
      </c>
      <c r="D95" s="3052">
        <v>0</v>
      </c>
      <c r="E95" s="3052">
        <v>0</v>
      </c>
      <c r="F95" s="3052">
        <v>0</v>
      </c>
      <c r="G95" s="3052">
        <v>0</v>
      </c>
      <c r="H95" s="3052">
        <v>0</v>
      </c>
      <c r="I95" s="3052">
        <v>0</v>
      </c>
      <c r="J95" s="3052">
        <v>0</v>
      </c>
      <c r="K95" s="3052">
        <v>0</v>
      </c>
      <c r="L95" s="3052">
        <v>0</v>
      </c>
      <c r="M95" s="3052">
        <v>0</v>
      </c>
      <c r="N95" s="3052">
        <v>0</v>
      </c>
      <c r="O95" s="3052">
        <v>0</v>
      </c>
      <c r="P95" s="3052">
        <v>0</v>
      </c>
      <c r="Q95" s="3052">
        <v>0</v>
      </c>
      <c r="R95" s="3053">
        <f t="shared" si="7"/>
        <v>1</v>
      </c>
      <c r="S95" s="3053">
        <f t="shared" si="7"/>
        <v>0.99999999999999989</v>
      </c>
      <c r="T95" s="3053">
        <f t="shared" si="7"/>
        <v>1</v>
      </c>
      <c r="U95" s="3053">
        <f t="shared" si="7"/>
        <v>1</v>
      </c>
      <c r="V95" s="3053">
        <f t="shared" si="7"/>
        <v>1</v>
      </c>
      <c r="W95" s="3053">
        <f t="shared" si="7"/>
        <v>1</v>
      </c>
      <c r="X95" s="3053">
        <f t="shared" si="7"/>
        <v>1.0000000000000002</v>
      </c>
      <c r="Y95" s="3053">
        <f t="shared" si="7"/>
        <v>1</v>
      </c>
      <c r="Z95" s="3053">
        <f t="shared" si="7"/>
        <v>1</v>
      </c>
      <c r="AA95" s="3053">
        <f t="shared" si="7"/>
        <v>1</v>
      </c>
      <c r="AB95" s="3053">
        <f t="shared" si="7"/>
        <v>1</v>
      </c>
      <c r="AC95" s="3053">
        <f t="shared" si="7"/>
        <v>1</v>
      </c>
      <c r="AD95" s="3053">
        <f t="shared" si="7"/>
        <v>1</v>
      </c>
      <c r="AE95" s="1197">
        <f t="shared" si="7"/>
        <v>1</v>
      </c>
      <c r="AF95" s="1197">
        <f t="shared" si="7"/>
        <v>0.99999999999999989</v>
      </c>
    </row>
    <row r="96" spans="1:32" s="3047" customFormat="1">
      <c r="A96" s="3043">
        <v>200</v>
      </c>
      <c r="B96" s="3044">
        <v>92</v>
      </c>
      <c r="C96" s="3052">
        <v>0</v>
      </c>
      <c r="D96" s="3052">
        <v>0</v>
      </c>
      <c r="E96" s="3052">
        <v>0</v>
      </c>
      <c r="F96" s="3052">
        <v>0</v>
      </c>
      <c r="G96" s="3052">
        <v>0</v>
      </c>
      <c r="H96" s="3052">
        <v>0</v>
      </c>
      <c r="I96" s="3052">
        <v>0</v>
      </c>
      <c r="J96" s="3052">
        <v>0</v>
      </c>
      <c r="K96" s="3052">
        <v>0</v>
      </c>
      <c r="L96" s="3052">
        <v>0</v>
      </c>
      <c r="M96" s="3052">
        <v>0</v>
      </c>
      <c r="N96" s="3052">
        <v>0</v>
      </c>
      <c r="O96" s="3052">
        <v>0</v>
      </c>
      <c r="P96" s="3052">
        <v>0</v>
      </c>
      <c r="Q96" s="3052">
        <v>0</v>
      </c>
      <c r="R96" s="3053">
        <f t="shared" si="7"/>
        <v>1</v>
      </c>
      <c r="S96" s="3053">
        <f t="shared" si="7"/>
        <v>0.99999999999999989</v>
      </c>
      <c r="T96" s="3053">
        <f t="shared" si="7"/>
        <v>1</v>
      </c>
      <c r="U96" s="3053">
        <f t="shared" si="7"/>
        <v>1</v>
      </c>
      <c r="V96" s="3053">
        <f t="shared" si="7"/>
        <v>1</v>
      </c>
      <c r="W96" s="3053">
        <f t="shared" si="7"/>
        <v>1</v>
      </c>
      <c r="X96" s="3053">
        <f t="shared" si="7"/>
        <v>1.0000000000000002</v>
      </c>
      <c r="Y96" s="3053">
        <f t="shared" si="7"/>
        <v>1</v>
      </c>
      <c r="Z96" s="3053">
        <f t="shared" si="7"/>
        <v>1</v>
      </c>
      <c r="AA96" s="3053">
        <f t="shared" si="7"/>
        <v>1</v>
      </c>
      <c r="AB96" s="3053">
        <f t="shared" si="7"/>
        <v>1</v>
      </c>
      <c r="AC96" s="3053">
        <f t="shared" si="7"/>
        <v>1</v>
      </c>
      <c r="AD96" s="3053">
        <f t="shared" si="7"/>
        <v>1</v>
      </c>
      <c r="AE96" s="1197">
        <f t="shared" si="7"/>
        <v>1</v>
      </c>
      <c r="AF96" s="1197">
        <f t="shared" si="7"/>
        <v>0.99999999999999989</v>
      </c>
    </row>
    <row r="97" spans="1:32" s="3047" customFormat="1">
      <c r="A97" s="3043">
        <v>200</v>
      </c>
      <c r="B97" s="3044">
        <v>93</v>
      </c>
      <c r="C97" s="3052">
        <v>0</v>
      </c>
      <c r="D97" s="3052">
        <v>0</v>
      </c>
      <c r="E97" s="3052">
        <v>0</v>
      </c>
      <c r="F97" s="3052">
        <v>0</v>
      </c>
      <c r="G97" s="3052">
        <v>0</v>
      </c>
      <c r="H97" s="3052">
        <v>0</v>
      </c>
      <c r="I97" s="3052">
        <v>0</v>
      </c>
      <c r="J97" s="3052">
        <v>0</v>
      </c>
      <c r="K97" s="3052">
        <v>0</v>
      </c>
      <c r="L97" s="3052">
        <v>0</v>
      </c>
      <c r="M97" s="3052">
        <v>0</v>
      </c>
      <c r="N97" s="3052">
        <v>0</v>
      </c>
      <c r="O97" s="3052">
        <v>0</v>
      </c>
      <c r="P97" s="3052">
        <v>0</v>
      </c>
      <c r="Q97" s="3052">
        <v>0</v>
      </c>
      <c r="R97" s="3053">
        <f t="shared" si="7"/>
        <v>1</v>
      </c>
      <c r="S97" s="3053">
        <f t="shared" si="7"/>
        <v>0.99999999999999989</v>
      </c>
      <c r="T97" s="3053">
        <f t="shared" si="7"/>
        <v>1</v>
      </c>
      <c r="U97" s="3053">
        <f t="shared" si="7"/>
        <v>1</v>
      </c>
      <c r="V97" s="3053">
        <f t="shared" si="7"/>
        <v>1</v>
      </c>
      <c r="W97" s="3053">
        <f t="shared" si="7"/>
        <v>1</v>
      </c>
      <c r="X97" s="3053">
        <f t="shared" si="7"/>
        <v>1.0000000000000002</v>
      </c>
      <c r="Y97" s="3053">
        <f t="shared" si="7"/>
        <v>1</v>
      </c>
      <c r="Z97" s="3053">
        <f t="shared" si="7"/>
        <v>1</v>
      </c>
      <c r="AA97" s="3053">
        <f t="shared" si="7"/>
        <v>1</v>
      </c>
      <c r="AB97" s="3053">
        <f t="shared" si="7"/>
        <v>1</v>
      </c>
      <c r="AC97" s="3053">
        <f t="shared" si="7"/>
        <v>1</v>
      </c>
      <c r="AD97" s="3053">
        <f t="shared" si="7"/>
        <v>1</v>
      </c>
      <c r="AE97" s="1197">
        <f t="shared" si="7"/>
        <v>1</v>
      </c>
      <c r="AF97" s="1197">
        <f t="shared" si="7"/>
        <v>0.99999999999999989</v>
      </c>
    </row>
    <row r="98" spans="1:32" s="3047" customFormat="1">
      <c r="A98" s="3043">
        <v>200</v>
      </c>
      <c r="B98" s="3044">
        <v>94</v>
      </c>
      <c r="C98" s="3052">
        <v>0</v>
      </c>
      <c r="D98" s="3052">
        <v>0</v>
      </c>
      <c r="E98" s="3052">
        <v>0</v>
      </c>
      <c r="F98" s="3052">
        <v>0</v>
      </c>
      <c r="G98" s="3052">
        <v>0</v>
      </c>
      <c r="H98" s="3052">
        <v>0</v>
      </c>
      <c r="I98" s="3052">
        <v>0</v>
      </c>
      <c r="J98" s="3052">
        <v>0</v>
      </c>
      <c r="K98" s="3052">
        <v>0</v>
      </c>
      <c r="L98" s="3052">
        <v>0</v>
      </c>
      <c r="M98" s="3052">
        <v>0</v>
      </c>
      <c r="N98" s="3052">
        <v>0</v>
      </c>
      <c r="O98" s="3052">
        <v>0</v>
      </c>
      <c r="P98" s="3052">
        <v>0</v>
      </c>
      <c r="Q98" s="3052">
        <v>0</v>
      </c>
      <c r="R98" s="3053">
        <f t="shared" si="7"/>
        <v>1</v>
      </c>
      <c r="S98" s="3053">
        <f t="shared" si="7"/>
        <v>0.99999999999999989</v>
      </c>
      <c r="T98" s="3053">
        <f t="shared" si="7"/>
        <v>1</v>
      </c>
      <c r="U98" s="3053">
        <f t="shared" si="7"/>
        <v>1</v>
      </c>
      <c r="V98" s="3053">
        <f t="shared" si="7"/>
        <v>1</v>
      </c>
      <c r="W98" s="3053">
        <f t="shared" si="7"/>
        <v>1</v>
      </c>
      <c r="X98" s="3053">
        <f t="shared" si="7"/>
        <v>1.0000000000000002</v>
      </c>
      <c r="Y98" s="3053">
        <f t="shared" si="7"/>
        <v>1</v>
      </c>
      <c r="Z98" s="3053">
        <f t="shared" si="7"/>
        <v>1</v>
      </c>
      <c r="AA98" s="3053">
        <f t="shared" si="7"/>
        <v>1</v>
      </c>
      <c r="AB98" s="3053">
        <f t="shared" si="7"/>
        <v>1</v>
      </c>
      <c r="AC98" s="3053">
        <f t="shared" si="7"/>
        <v>1</v>
      </c>
      <c r="AD98" s="3053">
        <f t="shared" si="7"/>
        <v>1</v>
      </c>
      <c r="AE98" s="1197">
        <f t="shared" si="7"/>
        <v>1</v>
      </c>
      <c r="AF98" s="1197">
        <f t="shared" si="7"/>
        <v>0.99999999999999989</v>
      </c>
    </row>
    <row r="99" spans="1:32" s="3047" customFormat="1">
      <c r="A99" s="3043">
        <v>200</v>
      </c>
      <c r="B99" s="3044">
        <v>95</v>
      </c>
      <c r="C99" s="3052">
        <v>0</v>
      </c>
      <c r="D99" s="3052">
        <v>0</v>
      </c>
      <c r="E99" s="3052">
        <v>0</v>
      </c>
      <c r="F99" s="3052">
        <v>0</v>
      </c>
      <c r="G99" s="3052">
        <v>0</v>
      </c>
      <c r="H99" s="3052">
        <v>0</v>
      </c>
      <c r="I99" s="3052">
        <v>0</v>
      </c>
      <c r="J99" s="3052">
        <v>0</v>
      </c>
      <c r="K99" s="3052">
        <v>0</v>
      </c>
      <c r="L99" s="3052">
        <v>0</v>
      </c>
      <c r="M99" s="3052">
        <v>0</v>
      </c>
      <c r="N99" s="3052">
        <v>0</v>
      </c>
      <c r="O99" s="3052">
        <v>0</v>
      </c>
      <c r="P99" s="3052">
        <v>0</v>
      </c>
      <c r="Q99" s="3052">
        <v>0</v>
      </c>
      <c r="R99" s="3053">
        <f t="shared" si="7"/>
        <v>1</v>
      </c>
      <c r="S99" s="3053">
        <f t="shared" si="7"/>
        <v>0.99999999999999989</v>
      </c>
      <c r="T99" s="3053">
        <f t="shared" si="7"/>
        <v>1</v>
      </c>
      <c r="U99" s="3053">
        <f t="shared" si="7"/>
        <v>1</v>
      </c>
      <c r="V99" s="3053">
        <f t="shared" si="7"/>
        <v>1</v>
      </c>
      <c r="W99" s="3053">
        <f t="shared" si="7"/>
        <v>1</v>
      </c>
      <c r="X99" s="3053">
        <f t="shared" si="7"/>
        <v>1.0000000000000002</v>
      </c>
      <c r="Y99" s="3053">
        <f t="shared" si="7"/>
        <v>1</v>
      </c>
      <c r="Z99" s="3053">
        <f t="shared" si="7"/>
        <v>1</v>
      </c>
      <c r="AA99" s="3053">
        <f t="shared" si="7"/>
        <v>1</v>
      </c>
      <c r="AB99" s="3053">
        <f t="shared" si="7"/>
        <v>1</v>
      </c>
      <c r="AC99" s="3053">
        <f t="shared" si="7"/>
        <v>1</v>
      </c>
      <c r="AD99" s="3053">
        <f t="shared" si="7"/>
        <v>1</v>
      </c>
      <c r="AE99" s="1197">
        <f t="shared" si="7"/>
        <v>1</v>
      </c>
      <c r="AF99" s="1197">
        <f t="shared" si="7"/>
        <v>0.99999999999999989</v>
      </c>
    </row>
    <row r="100" spans="1:32" s="3047" customFormat="1">
      <c r="A100" s="3043">
        <v>200</v>
      </c>
      <c r="B100" s="3044">
        <v>96</v>
      </c>
      <c r="C100" s="3052">
        <v>0</v>
      </c>
      <c r="D100" s="3052">
        <v>0</v>
      </c>
      <c r="E100" s="3052">
        <v>0</v>
      </c>
      <c r="F100" s="3052">
        <v>0</v>
      </c>
      <c r="G100" s="3052">
        <v>0</v>
      </c>
      <c r="H100" s="3052">
        <v>0</v>
      </c>
      <c r="I100" s="3052">
        <v>0</v>
      </c>
      <c r="J100" s="3052">
        <v>0</v>
      </c>
      <c r="K100" s="3052">
        <v>0</v>
      </c>
      <c r="L100" s="3052">
        <v>0</v>
      </c>
      <c r="M100" s="3052">
        <v>0</v>
      </c>
      <c r="N100" s="3052">
        <v>0</v>
      </c>
      <c r="O100" s="3052">
        <v>0</v>
      </c>
      <c r="P100" s="3052">
        <v>0</v>
      </c>
      <c r="Q100" s="3052">
        <v>0</v>
      </c>
      <c r="R100" s="3053">
        <f t="shared" si="7"/>
        <v>1</v>
      </c>
      <c r="S100" s="3053">
        <f t="shared" si="7"/>
        <v>0.99999999999999989</v>
      </c>
      <c r="T100" s="3053">
        <f t="shared" si="7"/>
        <v>1</v>
      </c>
      <c r="U100" s="3053">
        <f t="shared" si="7"/>
        <v>1</v>
      </c>
      <c r="V100" s="3053">
        <f t="shared" si="7"/>
        <v>1</v>
      </c>
      <c r="W100" s="3053">
        <f t="shared" si="7"/>
        <v>1</v>
      </c>
      <c r="X100" s="3053">
        <f t="shared" si="7"/>
        <v>1.0000000000000002</v>
      </c>
      <c r="Y100" s="3053">
        <f t="shared" si="7"/>
        <v>1</v>
      </c>
      <c r="Z100" s="3053">
        <f t="shared" si="7"/>
        <v>1</v>
      </c>
      <c r="AA100" s="3053">
        <f t="shared" si="7"/>
        <v>1</v>
      </c>
      <c r="AB100" s="3053">
        <f t="shared" si="7"/>
        <v>1</v>
      </c>
      <c r="AC100" s="3053">
        <f t="shared" si="7"/>
        <v>1</v>
      </c>
      <c r="AD100" s="3053">
        <f t="shared" si="7"/>
        <v>1</v>
      </c>
      <c r="AE100" s="1197">
        <f t="shared" si="7"/>
        <v>1</v>
      </c>
      <c r="AF100" s="1197">
        <f t="shared" si="7"/>
        <v>0.99999999999999989</v>
      </c>
    </row>
    <row r="101" spans="1:32" s="3047" customFormat="1">
      <c r="A101" s="3043">
        <v>200</v>
      </c>
      <c r="B101" s="3044">
        <v>97</v>
      </c>
      <c r="C101" s="3052">
        <v>0</v>
      </c>
      <c r="D101" s="3052">
        <v>0</v>
      </c>
      <c r="E101" s="3052">
        <v>0</v>
      </c>
      <c r="F101" s="3052">
        <v>0</v>
      </c>
      <c r="G101" s="3052">
        <v>0</v>
      </c>
      <c r="H101" s="3052">
        <v>0</v>
      </c>
      <c r="I101" s="3052">
        <v>0</v>
      </c>
      <c r="J101" s="3052">
        <v>0</v>
      </c>
      <c r="K101" s="3052">
        <v>0</v>
      </c>
      <c r="L101" s="3052">
        <v>0</v>
      </c>
      <c r="M101" s="3052">
        <v>0</v>
      </c>
      <c r="N101" s="3052">
        <v>0</v>
      </c>
      <c r="O101" s="3052">
        <v>0</v>
      </c>
      <c r="P101" s="3052">
        <v>0</v>
      </c>
      <c r="Q101" s="3052">
        <v>0</v>
      </c>
      <c r="R101" s="3053">
        <f t="shared" si="7"/>
        <v>1</v>
      </c>
      <c r="S101" s="3053">
        <f t="shared" si="7"/>
        <v>0.99999999999999989</v>
      </c>
      <c r="T101" s="3053">
        <f t="shared" si="7"/>
        <v>1</v>
      </c>
      <c r="U101" s="3053">
        <f t="shared" si="7"/>
        <v>1</v>
      </c>
      <c r="V101" s="3053">
        <f t="shared" si="7"/>
        <v>1</v>
      </c>
      <c r="W101" s="3053">
        <f t="shared" si="7"/>
        <v>1</v>
      </c>
      <c r="X101" s="3053">
        <f t="shared" si="7"/>
        <v>1.0000000000000002</v>
      </c>
      <c r="Y101" s="3053">
        <f t="shared" si="7"/>
        <v>1</v>
      </c>
      <c r="Z101" s="3053">
        <f t="shared" si="7"/>
        <v>1</v>
      </c>
      <c r="AA101" s="3053">
        <f t="shared" si="7"/>
        <v>1</v>
      </c>
      <c r="AB101" s="3053">
        <f t="shared" si="7"/>
        <v>1</v>
      </c>
      <c r="AC101" s="3053">
        <f t="shared" si="7"/>
        <v>1</v>
      </c>
      <c r="AD101" s="3053">
        <f t="shared" si="7"/>
        <v>1</v>
      </c>
      <c r="AE101" s="1197">
        <f t="shared" si="7"/>
        <v>1</v>
      </c>
      <c r="AF101" s="1197">
        <f t="shared" si="7"/>
        <v>0.99999999999999989</v>
      </c>
    </row>
    <row r="102" spans="1:32" s="3047" customFormat="1">
      <c r="A102" s="3043">
        <v>200</v>
      </c>
      <c r="B102" s="3044">
        <v>98</v>
      </c>
      <c r="C102" s="3052">
        <v>0</v>
      </c>
      <c r="D102" s="3052">
        <v>0</v>
      </c>
      <c r="E102" s="3052">
        <v>0</v>
      </c>
      <c r="F102" s="3052">
        <v>0</v>
      </c>
      <c r="G102" s="3052">
        <v>0</v>
      </c>
      <c r="H102" s="3052">
        <v>0</v>
      </c>
      <c r="I102" s="3052">
        <v>0</v>
      </c>
      <c r="J102" s="3052">
        <v>0</v>
      </c>
      <c r="K102" s="3052">
        <v>0</v>
      </c>
      <c r="L102" s="3052">
        <v>0</v>
      </c>
      <c r="M102" s="3052">
        <v>0</v>
      </c>
      <c r="N102" s="3052">
        <v>0</v>
      </c>
      <c r="O102" s="3052">
        <v>0</v>
      </c>
      <c r="P102" s="3052">
        <v>0</v>
      </c>
      <c r="Q102" s="3052">
        <v>0</v>
      </c>
      <c r="R102" s="3053">
        <f t="shared" ref="R102:AF104" si="8">C102+R101</f>
        <v>1</v>
      </c>
      <c r="S102" s="3053">
        <f t="shared" si="8"/>
        <v>0.99999999999999989</v>
      </c>
      <c r="T102" s="3053">
        <f t="shared" si="8"/>
        <v>1</v>
      </c>
      <c r="U102" s="3053">
        <f t="shared" si="8"/>
        <v>1</v>
      </c>
      <c r="V102" s="3053">
        <f t="shared" si="8"/>
        <v>1</v>
      </c>
      <c r="W102" s="3053">
        <f t="shared" si="8"/>
        <v>1</v>
      </c>
      <c r="X102" s="3053">
        <f t="shared" si="8"/>
        <v>1.0000000000000002</v>
      </c>
      <c r="Y102" s="3053">
        <f t="shared" si="8"/>
        <v>1</v>
      </c>
      <c r="Z102" s="3053">
        <f t="shared" si="8"/>
        <v>1</v>
      </c>
      <c r="AA102" s="3053">
        <f t="shared" si="8"/>
        <v>1</v>
      </c>
      <c r="AB102" s="3053">
        <f t="shared" si="8"/>
        <v>1</v>
      </c>
      <c r="AC102" s="3053">
        <f t="shared" si="8"/>
        <v>1</v>
      </c>
      <c r="AD102" s="3053">
        <f t="shared" si="8"/>
        <v>1</v>
      </c>
      <c r="AE102" s="1197">
        <f t="shared" si="8"/>
        <v>1</v>
      </c>
      <c r="AF102" s="1197">
        <f t="shared" si="8"/>
        <v>0.99999999999999989</v>
      </c>
    </row>
    <row r="103" spans="1:32" s="3047" customFormat="1">
      <c r="A103" s="3043">
        <v>200</v>
      </c>
      <c r="B103" s="3044">
        <v>99</v>
      </c>
      <c r="C103" s="3052">
        <v>0</v>
      </c>
      <c r="D103" s="3052">
        <v>0</v>
      </c>
      <c r="E103" s="3052">
        <v>0</v>
      </c>
      <c r="F103" s="3052">
        <v>0</v>
      </c>
      <c r="G103" s="3052">
        <v>0</v>
      </c>
      <c r="H103" s="3052">
        <v>0</v>
      </c>
      <c r="I103" s="3052">
        <v>0</v>
      </c>
      <c r="J103" s="3052">
        <v>0</v>
      </c>
      <c r="K103" s="3052">
        <v>0</v>
      </c>
      <c r="L103" s="3052">
        <v>0</v>
      </c>
      <c r="M103" s="3052">
        <v>0</v>
      </c>
      <c r="N103" s="3052">
        <v>0</v>
      </c>
      <c r="O103" s="3052">
        <v>0</v>
      </c>
      <c r="P103" s="3052">
        <v>0</v>
      </c>
      <c r="Q103" s="3052">
        <v>0</v>
      </c>
      <c r="R103" s="3053">
        <f t="shared" si="8"/>
        <v>1</v>
      </c>
      <c r="S103" s="3053">
        <f t="shared" si="8"/>
        <v>0.99999999999999989</v>
      </c>
      <c r="T103" s="3053">
        <f t="shared" si="8"/>
        <v>1</v>
      </c>
      <c r="U103" s="3053">
        <f t="shared" si="8"/>
        <v>1</v>
      </c>
      <c r="V103" s="3053">
        <f t="shared" si="8"/>
        <v>1</v>
      </c>
      <c r="W103" s="3053">
        <f t="shared" si="8"/>
        <v>1</v>
      </c>
      <c r="X103" s="3053">
        <f t="shared" si="8"/>
        <v>1.0000000000000002</v>
      </c>
      <c r="Y103" s="3053">
        <f t="shared" si="8"/>
        <v>1</v>
      </c>
      <c r="Z103" s="3053">
        <f t="shared" si="8"/>
        <v>1</v>
      </c>
      <c r="AA103" s="3053">
        <f t="shared" si="8"/>
        <v>1</v>
      </c>
      <c r="AB103" s="3053">
        <f t="shared" si="8"/>
        <v>1</v>
      </c>
      <c r="AC103" s="3053">
        <f t="shared" si="8"/>
        <v>1</v>
      </c>
      <c r="AD103" s="3053">
        <f t="shared" si="8"/>
        <v>1</v>
      </c>
      <c r="AE103" s="1197">
        <f t="shared" si="8"/>
        <v>1</v>
      </c>
      <c r="AF103" s="1197">
        <f t="shared" si="8"/>
        <v>0.99999999999999989</v>
      </c>
    </row>
    <row r="104" spans="1:32" s="3047" customFormat="1">
      <c r="A104" s="3043">
        <v>200</v>
      </c>
      <c r="B104" s="3044">
        <v>100</v>
      </c>
      <c r="C104" s="3052">
        <v>0</v>
      </c>
      <c r="D104" s="3052">
        <v>0</v>
      </c>
      <c r="E104" s="3052">
        <v>0</v>
      </c>
      <c r="F104" s="3052">
        <v>0</v>
      </c>
      <c r="G104" s="3052">
        <v>0</v>
      </c>
      <c r="H104" s="3052">
        <v>0</v>
      </c>
      <c r="I104" s="3052">
        <v>0</v>
      </c>
      <c r="J104" s="3052">
        <v>0</v>
      </c>
      <c r="K104" s="3052">
        <v>0</v>
      </c>
      <c r="L104" s="3052">
        <v>0</v>
      </c>
      <c r="M104" s="3052">
        <v>0</v>
      </c>
      <c r="N104" s="3052">
        <v>0</v>
      </c>
      <c r="O104" s="3052">
        <v>0</v>
      </c>
      <c r="P104" s="3052">
        <v>0</v>
      </c>
      <c r="Q104" s="3052">
        <v>0</v>
      </c>
      <c r="R104" s="3053">
        <f t="shared" si="8"/>
        <v>1</v>
      </c>
      <c r="S104" s="3053">
        <f t="shared" si="8"/>
        <v>0.99999999999999989</v>
      </c>
      <c r="T104" s="3053">
        <f t="shared" si="8"/>
        <v>1</v>
      </c>
      <c r="U104" s="3053">
        <f t="shared" si="8"/>
        <v>1</v>
      </c>
      <c r="V104" s="3053">
        <f t="shared" si="8"/>
        <v>1</v>
      </c>
      <c r="W104" s="3053">
        <f t="shared" si="8"/>
        <v>1</v>
      </c>
      <c r="X104" s="3053">
        <f t="shared" si="8"/>
        <v>1.0000000000000002</v>
      </c>
      <c r="Y104" s="3053">
        <f t="shared" si="8"/>
        <v>1</v>
      </c>
      <c r="Z104" s="3053">
        <f t="shared" si="8"/>
        <v>1</v>
      </c>
      <c r="AA104" s="3053">
        <f t="shared" si="8"/>
        <v>1</v>
      </c>
      <c r="AB104" s="3053">
        <f t="shared" si="8"/>
        <v>1</v>
      </c>
      <c r="AC104" s="3053">
        <f t="shared" si="8"/>
        <v>1</v>
      </c>
      <c r="AD104" s="3053">
        <f t="shared" si="8"/>
        <v>1</v>
      </c>
      <c r="AE104" s="1197">
        <f t="shared" si="8"/>
        <v>1</v>
      </c>
      <c r="AF104" s="1197">
        <f t="shared" si="8"/>
        <v>0.99999999999999989</v>
      </c>
    </row>
    <row r="105" spans="1:32" s="3047" customFormat="1">
      <c r="A105" s="3043"/>
      <c r="B105" s="3044"/>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s="3047" customFormat="1">
      <c r="A106" s="3043"/>
      <c r="B106" s="3044"/>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s="3047" customFormat="1">
      <c r="A107" s="3051"/>
      <c r="B107" s="1189"/>
      <c r="C107" s="3054"/>
      <c r="D107" s="3054"/>
      <c r="E107" s="3054"/>
      <c r="F107" s="3054"/>
      <c r="G107" s="3054"/>
      <c r="H107" s="3054"/>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54"/>
      <c r="AD107" s="3054"/>
      <c r="AE107" s="3054"/>
      <c r="AF107" s="3054"/>
    </row>
    <row r="108" spans="1:32" s="3047" customFormat="1">
      <c r="A108" s="3051"/>
      <c r="B108" s="1189"/>
      <c r="C108" s="3054"/>
      <c r="D108" s="3054"/>
      <c r="E108" s="3054"/>
      <c r="F108" s="3054"/>
      <c r="G108" s="3054"/>
      <c r="H108" s="3054"/>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54"/>
      <c r="AD108" s="3054"/>
      <c r="AE108" s="3054"/>
      <c r="AF108" s="3054"/>
    </row>
    <row r="109" spans="1:32" s="3047" customFormat="1">
      <c r="A109" s="3051"/>
      <c r="B109" s="1189"/>
      <c r="C109" s="3054"/>
      <c r="D109" s="3054"/>
      <c r="E109" s="3054"/>
      <c r="F109" s="3054"/>
      <c r="G109" s="3054"/>
      <c r="H109" s="3054"/>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54"/>
      <c r="AD109" s="3054"/>
      <c r="AE109" s="3054"/>
      <c r="AF109" s="3054"/>
    </row>
    <row r="110" spans="1:32" s="3047" customFormat="1">
      <c r="A110" s="3051"/>
      <c r="B110" s="1189"/>
      <c r="C110" s="3054"/>
      <c r="D110" s="3054"/>
      <c r="E110" s="3054"/>
      <c r="F110" s="3054"/>
      <c r="G110" s="3054"/>
      <c r="H110" s="3054"/>
      <c r="I110" s="3054"/>
      <c r="J110" s="3054"/>
      <c r="K110" s="3054"/>
      <c r="L110" s="3054"/>
      <c r="M110" s="3054"/>
      <c r="N110" s="3054"/>
      <c r="O110" s="3054"/>
      <c r="P110" s="3054"/>
      <c r="Q110" s="3054"/>
      <c r="R110" s="3054"/>
      <c r="S110" s="3054"/>
      <c r="T110" s="3054"/>
      <c r="U110" s="3054"/>
      <c r="V110" s="3054"/>
      <c r="W110" s="3054"/>
      <c r="X110" s="3054"/>
      <c r="Y110" s="3054"/>
      <c r="Z110" s="3054"/>
      <c r="AA110" s="3054"/>
      <c r="AB110" s="3054"/>
      <c r="AC110" s="3054"/>
      <c r="AD110" s="3054"/>
      <c r="AE110" s="3054"/>
      <c r="AF110" s="3054"/>
    </row>
    <row r="111" spans="1:32">
      <c r="C111" s="3054"/>
      <c r="D111" s="3054"/>
      <c r="E111" s="3054"/>
      <c r="F111" s="3054"/>
      <c r="G111" s="3054"/>
      <c r="H111" s="3054"/>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54"/>
      <c r="AD111" s="3054"/>
      <c r="AE111" s="3054"/>
      <c r="AF111" s="3054"/>
    </row>
    <row r="112" spans="1:32">
      <c r="C112" s="3054"/>
      <c r="D112" s="3054"/>
      <c r="E112" s="3054"/>
      <c r="F112" s="3054"/>
      <c r="G112" s="3054"/>
      <c r="H112" s="3054"/>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54"/>
      <c r="AD112" s="3054"/>
      <c r="AE112" s="3054"/>
      <c r="AF112" s="3054"/>
    </row>
    <row r="113" spans="1:32">
      <c r="C113" s="3054"/>
      <c r="D113" s="3054"/>
      <c r="E113" s="3054"/>
      <c r="F113" s="3054"/>
      <c r="G113" s="3054"/>
      <c r="H113" s="3054"/>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54"/>
      <c r="AD113" s="3054"/>
      <c r="AE113" s="3054"/>
      <c r="AF113" s="3054"/>
    </row>
    <row r="114" spans="1:32">
      <c r="A114" s="3043" t="s">
        <v>6600</v>
      </c>
      <c r="B114" s="3044" t="s">
        <v>3715</v>
      </c>
      <c r="C114" s="3055" t="s">
        <v>3621</v>
      </c>
      <c r="D114" s="3055" t="s">
        <v>3623</v>
      </c>
      <c r="E114" s="3055" t="s">
        <v>3625</v>
      </c>
      <c r="F114" s="3055" t="s">
        <v>3627</v>
      </c>
      <c r="G114" s="3055" t="s">
        <v>3629</v>
      </c>
      <c r="H114" s="3055" t="s">
        <v>3631</v>
      </c>
      <c r="I114" s="3055" t="s">
        <v>3633</v>
      </c>
      <c r="J114" s="3055" t="s">
        <v>3635</v>
      </c>
      <c r="K114" s="3055" t="s">
        <v>3637</v>
      </c>
      <c r="L114" s="3055" t="s">
        <v>3639</v>
      </c>
      <c r="M114" s="3055" t="s">
        <v>3641</v>
      </c>
      <c r="N114" s="3055" t="s">
        <v>3643</v>
      </c>
      <c r="O114" s="3055" t="s">
        <v>3645</v>
      </c>
      <c r="P114" s="3055" t="s">
        <v>3716</v>
      </c>
      <c r="Q114" s="3055" t="s">
        <v>3717</v>
      </c>
      <c r="R114" s="3056" t="str">
        <f t="shared" ref="R114:AF114" si="9">C114&amp;"a"</f>
        <v>Z1a</v>
      </c>
      <c r="S114" s="3056" t="str">
        <f t="shared" si="9"/>
        <v>Z1p1a</v>
      </c>
      <c r="T114" s="3056" t="str">
        <f t="shared" si="9"/>
        <v>Z2a</v>
      </c>
      <c r="U114" s="3056" t="str">
        <f t="shared" si="9"/>
        <v>Z3a</v>
      </c>
      <c r="V114" s="3056" t="str">
        <f t="shared" si="9"/>
        <v>Z4a</v>
      </c>
      <c r="W114" s="3056" t="str">
        <f t="shared" si="9"/>
        <v>Z5a</v>
      </c>
      <c r="X114" s="3056" t="str">
        <f t="shared" si="9"/>
        <v>Z6a</v>
      </c>
      <c r="Y114" s="3056" t="str">
        <f t="shared" si="9"/>
        <v>Z7a</v>
      </c>
      <c r="Z114" s="3056" t="str">
        <f t="shared" si="9"/>
        <v>Z8a</v>
      </c>
      <c r="AA114" s="3056" t="str">
        <f t="shared" si="9"/>
        <v>Z9a</v>
      </c>
      <c r="AB114" s="3056" t="str">
        <f t="shared" si="9"/>
        <v>Z10a</v>
      </c>
      <c r="AC114" s="3056" t="str">
        <f t="shared" si="9"/>
        <v>Z11a</v>
      </c>
      <c r="AD114" s="3056" t="str">
        <f t="shared" si="9"/>
        <v>Z12a</v>
      </c>
      <c r="AE114" s="3056" t="str">
        <f t="shared" si="9"/>
        <v>Z13a</v>
      </c>
      <c r="AF114" s="3056" t="str">
        <f t="shared" si="9"/>
        <v>Z14a</v>
      </c>
    </row>
    <row r="115" spans="1:32">
      <c r="A115" s="3043">
        <v>200</v>
      </c>
      <c r="B115" s="3044">
        <v>1</v>
      </c>
      <c r="C115" s="3052">
        <v>0.64283471452470864</v>
      </c>
      <c r="D115" s="3052">
        <v>0.76249886398978106</v>
      </c>
      <c r="E115" s="3052">
        <v>0.41809728638334137</v>
      </c>
      <c r="F115" s="3052">
        <v>0.451928211256101</v>
      </c>
      <c r="G115" s="3052">
        <v>0.29704011437067052</v>
      </c>
      <c r="H115" s="3052">
        <v>0.24851343410422022</v>
      </c>
      <c r="I115" s="3052">
        <v>0.25497967571678182</v>
      </c>
      <c r="J115" s="3052">
        <v>0.29614419810794801</v>
      </c>
      <c r="K115" s="3052">
        <v>0.32864471404939422</v>
      </c>
      <c r="L115" s="3052">
        <v>0.32383727979534876</v>
      </c>
      <c r="M115" s="3052">
        <v>0.706108572004845</v>
      </c>
      <c r="N115" s="3052">
        <v>0.36033801996823589</v>
      </c>
      <c r="O115" s="3052">
        <v>1</v>
      </c>
      <c r="P115" s="3052">
        <v>1</v>
      </c>
      <c r="Q115" s="3052">
        <v>0.74990201534219891</v>
      </c>
      <c r="R115" s="3053">
        <f t="shared" ref="R115:AF115" si="10">C115</f>
        <v>0.64283471452470864</v>
      </c>
      <c r="S115" s="3053">
        <f t="shared" si="10"/>
        <v>0.76249886398978106</v>
      </c>
      <c r="T115" s="3053">
        <f t="shared" si="10"/>
        <v>0.41809728638334137</v>
      </c>
      <c r="U115" s="3053">
        <f t="shared" si="10"/>
        <v>0.451928211256101</v>
      </c>
      <c r="V115" s="3053">
        <f t="shared" si="10"/>
        <v>0.29704011437067052</v>
      </c>
      <c r="W115" s="3053">
        <f t="shared" si="10"/>
        <v>0.24851343410422022</v>
      </c>
      <c r="X115" s="3053">
        <f t="shared" si="10"/>
        <v>0.25497967571678182</v>
      </c>
      <c r="Y115" s="3053">
        <f t="shared" si="10"/>
        <v>0.29614419810794801</v>
      </c>
      <c r="Z115" s="3053">
        <f t="shared" si="10"/>
        <v>0.32864471404939422</v>
      </c>
      <c r="AA115" s="3053">
        <f t="shared" si="10"/>
        <v>0.32383727979534876</v>
      </c>
      <c r="AB115" s="3053">
        <f t="shared" si="10"/>
        <v>0.706108572004845</v>
      </c>
      <c r="AC115" s="3053">
        <f t="shared" si="10"/>
        <v>0.36033801996823589</v>
      </c>
      <c r="AD115" s="3053">
        <f t="shared" si="10"/>
        <v>1</v>
      </c>
      <c r="AE115" s="1197">
        <f t="shared" si="10"/>
        <v>1</v>
      </c>
      <c r="AF115" s="1197">
        <f t="shared" si="10"/>
        <v>0.74990201534219891</v>
      </c>
    </row>
    <row r="116" spans="1:32">
      <c r="A116" s="3043">
        <v>200</v>
      </c>
      <c r="B116" s="3044">
        <v>2</v>
      </c>
      <c r="C116" s="3052">
        <v>0.25421095960866336</v>
      </c>
      <c r="D116" s="3052">
        <v>0.20826644368895617</v>
      </c>
      <c r="E116" s="3052">
        <v>0.31801048263453346</v>
      </c>
      <c r="F116" s="3052">
        <v>0.40503859575270212</v>
      </c>
      <c r="G116" s="3052">
        <v>0.29704011437067052</v>
      </c>
      <c r="H116" s="3052">
        <v>0.24851343410422022</v>
      </c>
      <c r="I116" s="3052">
        <v>0.25497967571678182</v>
      </c>
      <c r="J116" s="3052">
        <v>0.29614419810794801</v>
      </c>
      <c r="K116" s="3052">
        <v>0.32864471404939422</v>
      </c>
      <c r="L116" s="3052">
        <v>0.32383727979534876</v>
      </c>
      <c r="M116" s="3052">
        <v>0.2659943546966036</v>
      </c>
      <c r="N116" s="3052">
        <v>0.36033801996823589</v>
      </c>
      <c r="O116" s="3052">
        <v>0</v>
      </c>
      <c r="P116" s="3052">
        <v>0</v>
      </c>
      <c r="Q116" s="3052">
        <v>0.24081862042351765</v>
      </c>
      <c r="R116" s="3053">
        <f t="shared" ref="R116:AF131" si="11">C116+R115</f>
        <v>0.897045674133372</v>
      </c>
      <c r="S116" s="3053">
        <f t="shared" si="11"/>
        <v>0.97076530767873725</v>
      </c>
      <c r="T116" s="3053">
        <f t="shared" si="11"/>
        <v>0.73610776901787478</v>
      </c>
      <c r="U116" s="3053">
        <f t="shared" si="11"/>
        <v>0.85696680700880312</v>
      </c>
      <c r="V116" s="3053">
        <f t="shared" si="11"/>
        <v>0.59408022874134103</v>
      </c>
      <c r="W116" s="3053">
        <f t="shared" si="11"/>
        <v>0.49702686820844044</v>
      </c>
      <c r="X116" s="3053">
        <f t="shared" si="11"/>
        <v>0.50995935143356363</v>
      </c>
      <c r="Y116" s="3053">
        <f t="shared" si="11"/>
        <v>0.59228839621589602</v>
      </c>
      <c r="Z116" s="3053">
        <f t="shared" si="11"/>
        <v>0.65728942809878843</v>
      </c>
      <c r="AA116" s="3053">
        <f t="shared" si="11"/>
        <v>0.64767455959069753</v>
      </c>
      <c r="AB116" s="3053">
        <f t="shared" si="11"/>
        <v>0.9721029267014486</v>
      </c>
      <c r="AC116" s="3053">
        <f t="shared" si="11"/>
        <v>0.72067603993647178</v>
      </c>
      <c r="AD116" s="3053">
        <f t="shared" si="11"/>
        <v>1</v>
      </c>
      <c r="AE116" s="1197">
        <f t="shared" si="11"/>
        <v>1</v>
      </c>
      <c r="AF116" s="1197">
        <f t="shared" si="11"/>
        <v>0.99072063576571656</v>
      </c>
    </row>
    <row r="117" spans="1:32">
      <c r="A117" s="3043">
        <v>200</v>
      </c>
      <c r="B117" s="3044">
        <v>3</v>
      </c>
      <c r="C117" s="3052">
        <v>7.5504659586548561E-2</v>
      </c>
      <c r="D117" s="3052">
        <v>2.7233113070516912E-2</v>
      </c>
      <c r="E117" s="3052">
        <v>0.15921936821185925</v>
      </c>
      <c r="F117" s="3052">
        <v>0.12811054546487971</v>
      </c>
      <c r="G117" s="3052">
        <v>0.24906403979144773</v>
      </c>
      <c r="H117" s="3052">
        <v>0.24851343410422022</v>
      </c>
      <c r="I117" s="3052">
        <v>0.24772268443494871</v>
      </c>
      <c r="J117" s="3052">
        <v>0.26360680899518918</v>
      </c>
      <c r="K117" s="3052">
        <v>0.26419058531714906</v>
      </c>
      <c r="L117" s="3052">
        <v>0.27438037460628079</v>
      </c>
      <c r="M117" s="3052">
        <v>2.7897073298551341E-2</v>
      </c>
      <c r="N117" s="3052">
        <v>0.24710756905833209</v>
      </c>
      <c r="O117" s="3052">
        <v>0</v>
      </c>
      <c r="P117" s="3052">
        <v>0</v>
      </c>
      <c r="Q117" s="3052">
        <v>9.2793642342834885E-3</v>
      </c>
      <c r="R117" s="3053">
        <f t="shared" si="11"/>
        <v>0.97255033371992061</v>
      </c>
      <c r="S117" s="3053">
        <f t="shared" si="11"/>
        <v>0.99799842074925416</v>
      </c>
      <c r="T117" s="3053">
        <f t="shared" si="11"/>
        <v>0.895327137229734</v>
      </c>
      <c r="U117" s="3053">
        <f t="shared" si="11"/>
        <v>0.98507735247368289</v>
      </c>
      <c r="V117" s="3053">
        <f t="shared" si="11"/>
        <v>0.84314426853278879</v>
      </c>
      <c r="W117" s="3053">
        <f t="shared" si="11"/>
        <v>0.74554030231266066</v>
      </c>
      <c r="X117" s="3053">
        <f t="shared" si="11"/>
        <v>0.75768203586851235</v>
      </c>
      <c r="Y117" s="3053">
        <f t="shared" si="11"/>
        <v>0.8558952052110852</v>
      </c>
      <c r="Z117" s="3053">
        <f t="shared" si="11"/>
        <v>0.92148001341593755</v>
      </c>
      <c r="AA117" s="3053">
        <f t="shared" si="11"/>
        <v>0.92205493419697837</v>
      </c>
      <c r="AB117" s="3053">
        <f t="shared" si="11"/>
        <v>0.99999999999999989</v>
      </c>
      <c r="AC117" s="3053">
        <f t="shared" si="11"/>
        <v>0.96778360899480387</v>
      </c>
      <c r="AD117" s="3053">
        <f t="shared" si="11"/>
        <v>1</v>
      </c>
      <c r="AE117" s="1197">
        <f t="shared" si="11"/>
        <v>1</v>
      </c>
      <c r="AF117" s="1197">
        <f t="shared" si="11"/>
        <v>1</v>
      </c>
    </row>
    <row r="118" spans="1:32">
      <c r="A118" s="3043">
        <v>200</v>
      </c>
      <c r="B118" s="3044">
        <v>4</v>
      </c>
      <c r="C118" s="3052">
        <v>2.3117581618028134E-2</v>
      </c>
      <c r="D118" s="3052">
        <v>2.0015792507458358E-3</v>
      </c>
      <c r="E118" s="3052">
        <v>8.0027306419928598E-2</v>
      </c>
      <c r="F118" s="3052">
        <v>1.4922647526317204E-2</v>
      </c>
      <c r="G118" s="3052">
        <v>0.10882988139399978</v>
      </c>
      <c r="H118" s="3052">
        <v>0.19672397663086655</v>
      </c>
      <c r="I118" s="3052">
        <v>0.15856743225993356</v>
      </c>
      <c r="J118" s="3052">
        <v>0.11629049669635287</v>
      </c>
      <c r="K118" s="3052">
        <v>7.282421359192473E-2</v>
      </c>
      <c r="L118" s="3052">
        <v>7.5406325142485645E-2</v>
      </c>
      <c r="M118" s="3052">
        <v>0</v>
      </c>
      <c r="N118" s="3052">
        <v>3.2216391005196111E-2</v>
      </c>
      <c r="O118" s="3052">
        <v>0</v>
      </c>
      <c r="P118" s="3052">
        <v>0</v>
      </c>
      <c r="Q118" s="3052">
        <v>0</v>
      </c>
      <c r="R118" s="3053">
        <f t="shared" si="11"/>
        <v>0.99566791533794874</v>
      </c>
      <c r="S118" s="3053">
        <f t="shared" si="11"/>
        <v>1</v>
      </c>
      <c r="T118" s="3053">
        <f t="shared" si="11"/>
        <v>0.97535444364966262</v>
      </c>
      <c r="U118" s="3053">
        <f t="shared" si="11"/>
        <v>1</v>
      </c>
      <c r="V118" s="3053">
        <f t="shared" si="11"/>
        <v>0.95197414992678853</v>
      </c>
      <c r="W118" s="3053">
        <f t="shared" si="11"/>
        <v>0.94226427894352716</v>
      </c>
      <c r="X118" s="3053">
        <f t="shared" si="11"/>
        <v>0.91624946812844588</v>
      </c>
      <c r="Y118" s="3053">
        <f t="shared" si="11"/>
        <v>0.97218570190743803</v>
      </c>
      <c r="Z118" s="3053">
        <f t="shared" si="11"/>
        <v>0.99430422700786225</v>
      </c>
      <c r="AA118" s="3053">
        <f t="shared" si="11"/>
        <v>0.99746125933946406</v>
      </c>
      <c r="AB118" s="3053">
        <f t="shared" si="11"/>
        <v>0.99999999999999989</v>
      </c>
      <c r="AC118" s="3053">
        <f t="shared" si="11"/>
        <v>1</v>
      </c>
      <c r="AD118" s="3053">
        <f t="shared" si="11"/>
        <v>1</v>
      </c>
      <c r="AE118" s="1197">
        <f t="shared" si="11"/>
        <v>1</v>
      </c>
      <c r="AF118" s="1197">
        <f t="shared" si="11"/>
        <v>1</v>
      </c>
    </row>
    <row r="119" spans="1:32">
      <c r="A119" s="3043">
        <v>200</v>
      </c>
      <c r="B119" s="3044">
        <v>5</v>
      </c>
      <c r="C119" s="3052">
        <v>4.0532578841014719E-3</v>
      </c>
      <c r="D119" s="3052">
        <v>0</v>
      </c>
      <c r="E119" s="3052">
        <v>2.4645556350337355E-2</v>
      </c>
      <c r="F119" s="3052">
        <v>0</v>
      </c>
      <c r="G119" s="3052">
        <v>3.8401528849002595E-2</v>
      </c>
      <c r="H119" s="3052">
        <v>5.4258425700089E-2</v>
      </c>
      <c r="I119" s="3052">
        <v>7.0389918431273138E-2</v>
      </c>
      <c r="J119" s="3052">
        <v>2.7370531106358936E-2</v>
      </c>
      <c r="K119" s="3052">
        <v>5.6957729921378259E-3</v>
      </c>
      <c r="L119" s="3052">
        <v>2.5387406605360085E-3</v>
      </c>
      <c r="M119" s="3052">
        <v>0</v>
      </c>
      <c r="N119" s="3052">
        <v>0</v>
      </c>
      <c r="O119" s="3052">
        <v>0</v>
      </c>
      <c r="P119" s="3052">
        <v>0</v>
      </c>
      <c r="Q119" s="3052">
        <v>0</v>
      </c>
      <c r="R119" s="3053">
        <f t="shared" si="11"/>
        <v>0.99972117322205023</v>
      </c>
      <c r="S119" s="3053">
        <f t="shared" si="11"/>
        <v>1</v>
      </c>
      <c r="T119" s="3053">
        <f t="shared" si="11"/>
        <v>1</v>
      </c>
      <c r="U119" s="3053">
        <f t="shared" si="11"/>
        <v>1</v>
      </c>
      <c r="V119" s="3053">
        <f t="shared" si="11"/>
        <v>0.99037567877579114</v>
      </c>
      <c r="W119" s="3053">
        <f t="shared" si="11"/>
        <v>0.99652270464361614</v>
      </c>
      <c r="X119" s="3053">
        <f t="shared" si="11"/>
        <v>0.98663938655971906</v>
      </c>
      <c r="Y119" s="3053">
        <f t="shared" si="11"/>
        <v>0.99955623301379692</v>
      </c>
      <c r="Z119" s="3053">
        <f t="shared" si="11"/>
        <v>1</v>
      </c>
      <c r="AA119" s="3053">
        <f t="shared" si="11"/>
        <v>1</v>
      </c>
      <c r="AB119" s="3053">
        <f t="shared" si="11"/>
        <v>0.99999999999999989</v>
      </c>
      <c r="AC119" s="3053">
        <f t="shared" si="11"/>
        <v>1</v>
      </c>
      <c r="AD119" s="3053">
        <f t="shared" si="11"/>
        <v>1</v>
      </c>
      <c r="AE119" s="1197">
        <f t="shared" si="11"/>
        <v>1</v>
      </c>
      <c r="AF119" s="1197">
        <f t="shared" si="11"/>
        <v>1</v>
      </c>
    </row>
    <row r="120" spans="1:32">
      <c r="A120" s="3043">
        <v>200</v>
      </c>
      <c r="B120" s="3044">
        <v>6</v>
      </c>
      <c r="C120" s="3052">
        <v>2.7882677794978194E-4</v>
      </c>
      <c r="D120" s="3052">
        <v>0</v>
      </c>
      <c r="E120" s="3052">
        <v>0</v>
      </c>
      <c r="F120" s="3052">
        <v>0</v>
      </c>
      <c r="G120" s="3052">
        <v>9.624321224208858E-3</v>
      </c>
      <c r="H120" s="3052">
        <v>3.4772953563837815E-3</v>
      </c>
      <c r="I120" s="3052">
        <v>1.336061344028101E-2</v>
      </c>
      <c r="J120" s="3052">
        <v>4.4376698620298289E-4</v>
      </c>
      <c r="K120" s="3052">
        <v>0</v>
      </c>
      <c r="L120" s="3052">
        <v>0</v>
      </c>
      <c r="M120" s="3052">
        <v>0</v>
      </c>
      <c r="N120" s="3052">
        <v>0</v>
      </c>
      <c r="O120" s="3052">
        <v>0</v>
      </c>
      <c r="P120" s="3052">
        <v>0</v>
      </c>
      <c r="Q120" s="3052">
        <v>0</v>
      </c>
      <c r="R120" s="3053">
        <f t="shared" si="11"/>
        <v>1</v>
      </c>
      <c r="S120" s="3053">
        <f t="shared" si="11"/>
        <v>1</v>
      </c>
      <c r="T120" s="3053">
        <f t="shared" si="11"/>
        <v>1</v>
      </c>
      <c r="U120" s="3053">
        <f t="shared" si="11"/>
        <v>1</v>
      </c>
      <c r="V120" s="3053">
        <f t="shared" si="11"/>
        <v>1</v>
      </c>
      <c r="W120" s="3053">
        <f t="shared" si="11"/>
        <v>0.99999999999999989</v>
      </c>
      <c r="X120" s="3053">
        <f t="shared" si="11"/>
        <v>1</v>
      </c>
      <c r="Y120" s="3053">
        <f t="shared" si="11"/>
        <v>0.99999999999999989</v>
      </c>
      <c r="Z120" s="3053">
        <f t="shared" si="11"/>
        <v>1</v>
      </c>
      <c r="AA120" s="3053">
        <f t="shared" si="11"/>
        <v>1</v>
      </c>
      <c r="AB120" s="3053">
        <f t="shared" si="11"/>
        <v>0.99999999999999989</v>
      </c>
      <c r="AC120" s="3053">
        <f t="shared" si="11"/>
        <v>1</v>
      </c>
      <c r="AD120" s="3053">
        <f t="shared" si="11"/>
        <v>1</v>
      </c>
      <c r="AE120" s="1197">
        <f t="shared" si="11"/>
        <v>1</v>
      </c>
      <c r="AF120" s="1197">
        <f t="shared" si="11"/>
        <v>1</v>
      </c>
    </row>
    <row r="121" spans="1:32">
      <c r="A121" s="3043">
        <v>200</v>
      </c>
      <c r="B121" s="3044">
        <v>7</v>
      </c>
      <c r="C121" s="3052">
        <v>0</v>
      </c>
      <c r="D121" s="3052">
        <v>0</v>
      </c>
      <c r="E121" s="3052">
        <v>0</v>
      </c>
      <c r="F121" s="3052">
        <v>0</v>
      </c>
      <c r="G121" s="3052">
        <v>0</v>
      </c>
      <c r="H121" s="3052">
        <v>0</v>
      </c>
      <c r="I121" s="3052">
        <v>0</v>
      </c>
      <c r="J121" s="3052">
        <v>0</v>
      </c>
      <c r="K121" s="3052">
        <v>0</v>
      </c>
      <c r="L121" s="3052">
        <v>0</v>
      </c>
      <c r="M121" s="3052">
        <v>0</v>
      </c>
      <c r="N121" s="3052">
        <v>0</v>
      </c>
      <c r="O121" s="3052">
        <v>0</v>
      </c>
      <c r="P121" s="3052">
        <v>0</v>
      </c>
      <c r="Q121" s="3052">
        <v>0</v>
      </c>
      <c r="R121" s="3053">
        <f t="shared" si="11"/>
        <v>1</v>
      </c>
      <c r="S121" s="3053">
        <f t="shared" si="11"/>
        <v>1</v>
      </c>
      <c r="T121" s="3053">
        <f t="shared" si="11"/>
        <v>1</v>
      </c>
      <c r="U121" s="3053">
        <f t="shared" si="11"/>
        <v>1</v>
      </c>
      <c r="V121" s="3053">
        <f t="shared" si="11"/>
        <v>1</v>
      </c>
      <c r="W121" s="3053">
        <f t="shared" si="11"/>
        <v>0.99999999999999989</v>
      </c>
      <c r="X121" s="3053">
        <f t="shared" si="11"/>
        <v>1</v>
      </c>
      <c r="Y121" s="3053">
        <f t="shared" si="11"/>
        <v>0.99999999999999989</v>
      </c>
      <c r="Z121" s="3053">
        <f t="shared" si="11"/>
        <v>1</v>
      </c>
      <c r="AA121" s="3053">
        <f t="shared" si="11"/>
        <v>1</v>
      </c>
      <c r="AB121" s="3053">
        <f t="shared" si="11"/>
        <v>0.99999999999999989</v>
      </c>
      <c r="AC121" s="3053">
        <f t="shared" si="11"/>
        <v>1</v>
      </c>
      <c r="AD121" s="3053">
        <f t="shared" si="11"/>
        <v>1</v>
      </c>
      <c r="AE121" s="1197">
        <f t="shared" si="11"/>
        <v>1</v>
      </c>
      <c r="AF121" s="1197">
        <f t="shared" si="11"/>
        <v>1</v>
      </c>
    </row>
    <row r="122" spans="1:32">
      <c r="A122" s="3043">
        <v>200</v>
      </c>
      <c r="B122" s="3044">
        <v>8</v>
      </c>
      <c r="C122" s="3052">
        <v>0</v>
      </c>
      <c r="D122" s="3052">
        <v>0</v>
      </c>
      <c r="E122" s="3052">
        <v>0</v>
      </c>
      <c r="F122" s="3052">
        <v>0</v>
      </c>
      <c r="G122" s="3052">
        <v>0</v>
      </c>
      <c r="H122" s="3052">
        <v>0</v>
      </c>
      <c r="I122" s="3052">
        <v>0</v>
      </c>
      <c r="J122" s="3052">
        <v>0</v>
      </c>
      <c r="K122" s="3052">
        <v>0</v>
      </c>
      <c r="L122" s="3052">
        <v>0</v>
      </c>
      <c r="M122" s="3052">
        <v>0</v>
      </c>
      <c r="N122" s="3052">
        <v>0</v>
      </c>
      <c r="O122" s="3052">
        <v>0</v>
      </c>
      <c r="P122" s="3052">
        <v>0</v>
      </c>
      <c r="Q122" s="3052">
        <v>0</v>
      </c>
      <c r="R122" s="3053">
        <f t="shared" si="11"/>
        <v>1</v>
      </c>
      <c r="S122" s="3053">
        <f t="shared" si="11"/>
        <v>1</v>
      </c>
      <c r="T122" s="3053">
        <f t="shared" si="11"/>
        <v>1</v>
      </c>
      <c r="U122" s="3053">
        <f t="shared" si="11"/>
        <v>1</v>
      </c>
      <c r="V122" s="3053">
        <f t="shared" si="11"/>
        <v>1</v>
      </c>
      <c r="W122" s="3053">
        <f t="shared" si="11"/>
        <v>0.99999999999999989</v>
      </c>
      <c r="X122" s="3053">
        <f t="shared" si="11"/>
        <v>1</v>
      </c>
      <c r="Y122" s="3053">
        <f t="shared" si="11"/>
        <v>0.99999999999999989</v>
      </c>
      <c r="Z122" s="3053">
        <f t="shared" si="11"/>
        <v>1</v>
      </c>
      <c r="AA122" s="3053">
        <f t="shared" si="11"/>
        <v>1</v>
      </c>
      <c r="AB122" s="3053">
        <f t="shared" si="11"/>
        <v>0.99999999999999989</v>
      </c>
      <c r="AC122" s="3053">
        <f t="shared" si="11"/>
        <v>1</v>
      </c>
      <c r="AD122" s="3053">
        <f t="shared" si="11"/>
        <v>1</v>
      </c>
      <c r="AE122" s="1197">
        <f t="shared" si="11"/>
        <v>1</v>
      </c>
      <c r="AF122" s="1197">
        <f t="shared" si="11"/>
        <v>1</v>
      </c>
    </row>
    <row r="123" spans="1:32">
      <c r="A123" s="3043">
        <v>200</v>
      </c>
      <c r="B123" s="3044">
        <v>9</v>
      </c>
      <c r="C123" s="3052">
        <v>0</v>
      </c>
      <c r="D123" s="3052">
        <v>0</v>
      </c>
      <c r="E123" s="3052">
        <v>0</v>
      </c>
      <c r="F123" s="3052">
        <v>0</v>
      </c>
      <c r="G123" s="3052">
        <v>0</v>
      </c>
      <c r="H123" s="3052">
        <v>0</v>
      </c>
      <c r="I123" s="3052">
        <v>0</v>
      </c>
      <c r="J123" s="3052">
        <v>0</v>
      </c>
      <c r="K123" s="3052">
        <v>0</v>
      </c>
      <c r="L123" s="3052">
        <v>0</v>
      </c>
      <c r="M123" s="3052">
        <v>0</v>
      </c>
      <c r="N123" s="3052">
        <v>0</v>
      </c>
      <c r="O123" s="3052">
        <v>0</v>
      </c>
      <c r="P123" s="3052">
        <v>0</v>
      </c>
      <c r="Q123" s="3052">
        <v>0</v>
      </c>
      <c r="R123" s="3053">
        <f t="shared" si="11"/>
        <v>1</v>
      </c>
      <c r="S123" s="3053">
        <f t="shared" si="11"/>
        <v>1</v>
      </c>
      <c r="T123" s="3053">
        <f t="shared" si="11"/>
        <v>1</v>
      </c>
      <c r="U123" s="3053">
        <f t="shared" si="11"/>
        <v>1</v>
      </c>
      <c r="V123" s="3053">
        <f t="shared" si="11"/>
        <v>1</v>
      </c>
      <c r="W123" s="3053">
        <f t="shared" si="11"/>
        <v>0.99999999999999989</v>
      </c>
      <c r="X123" s="3053">
        <f t="shared" si="11"/>
        <v>1</v>
      </c>
      <c r="Y123" s="3053">
        <f t="shared" si="11"/>
        <v>0.99999999999999989</v>
      </c>
      <c r="Z123" s="3053">
        <f t="shared" si="11"/>
        <v>1</v>
      </c>
      <c r="AA123" s="3053">
        <f t="shared" si="11"/>
        <v>1</v>
      </c>
      <c r="AB123" s="3053">
        <f t="shared" si="11"/>
        <v>0.99999999999999989</v>
      </c>
      <c r="AC123" s="3053">
        <f t="shared" si="11"/>
        <v>1</v>
      </c>
      <c r="AD123" s="3053">
        <f t="shared" si="11"/>
        <v>1</v>
      </c>
      <c r="AE123" s="1197">
        <f t="shared" si="11"/>
        <v>1</v>
      </c>
      <c r="AF123" s="1197">
        <f t="shared" si="11"/>
        <v>1</v>
      </c>
    </row>
    <row r="124" spans="1:32">
      <c r="A124" s="3043">
        <v>200</v>
      </c>
      <c r="B124" s="3044">
        <v>10</v>
      </c>
      <c r="C124" s="3052">
        <v>0</v>
      </c>
      <c r="D124" s="3052">
        <v>0</v>
      </c>
      <c r="E124" s="3052">
        <v>0</v>
      </c>
      <c r="F124" s="3052">
        <v>0</v>
      </c>
      <c r="G124" s="3052">
        <v>0</v>
      </c>
      <c r="H124" s="3052">
        <v>0</v>
      </c>
      <c r="I124" s="3052">
        <v>0</v>
      </c>
      <c r="J124" s="3052">
        <v>0</v>
      </c>
      <c r="K124" s="3052">
        <v>0</v>
      </c>
      <c r="L124" s="3052">
        <v>0</v>
      </c>
      <c r="M124" s="3052">
        <v>0</v>
      </c>
      <c r="N124" s="3052">
        <v>0</v>
      </c>
      <c r="O124" s="3052">
        <v>0</v>
      </c>
      <c r="P124" s="3052">
        <v>0</v>
      </c>
      <c r="Q124" s="3052">
        <v>0</v>
      </c>
      <c r="R124" s="3053">
        <f t="shared" si="11"/>
        <v>1</v>
      </c>
      <c r="S124" s="3053">
        <f t="shared" si="11"/>
        <v>1</v>
      </c>
      <c r="T124" s="3053">
        <f t="shared" si="11"/>
        <v>1</v>
      </c>
      <c r="U124" s="3053">
        <f t="shared" si="11"/>
        <v>1</v>
      </c>
      <c r="V124" s="3053">
        <f t="shared" si="11"/>
        <v>1</v>
      </c>
      <c r="W124" s="3053">
        <f t="shared" si="11"/>
        <v>0.99999999999999989</v>
      </c>
      <c r="X124" s="3053">
        <f t="shared" si="11"/>
        <v>1</v>
      </c>
      <c r="Y124" s="3053">
        <f t="shared" si="11"/>
        <v>0.99999999999999989</v>
      </c>
      <c r="Z124" s="3053">
        <f t="shared" si="11"/>
        <v>1</v>
      </c>
      <c r="AA124" s="3053">
        <f t="shared" si="11"/>
        <v>1</v>
      </c>
      <c r="AB124" s="3053">
        <f t="shared" si="11"/>
        <v>0.99999999999999989</v>
      </c>
      <c r="AC124" s="3053">
        <f t="shared" si="11"/>
        <v>1</v>
      </c>
      <c r="AD124" s="3053">
        <f t="shared" si="11"/>
        <v>1</v>
      </c>
      <c r="AE124" s="1197">
        <f t="shared" si="11"/>
        <v>1</v>
      </c>
      <c r="AF124" s="1197">
        <f t="shared" si="11"/>
        <v>1</v>
      </c>
    </row>
    <row r="125" spans="1:32">
      <c r="A125" s="3043">
        <v>200</v>
      </c>
      <c r="B125" s="3044">
        <v>11</v>
      </c>
      <c r="C125" s="3052">
        <v>0</v>
      </c>
      <c r="D125" s="3052">
        <v>0</v>
      </c>
      <c r="E125" s="3052">
        <v>0</v>
      </c>
      <c r="F125" s="3052">
        <v>0</v>
      </c>
      <c r="G125" s="3052">
        <v>0</v>
      </c>
      <c r="H125" s="3052">
        <v>0</v>
      </c>
      <c r="I125" s="3052">
        <v>0</v>
      </c>
      <c r="J125" s="3052">
        <v>0</v>
      </c>
      <c r="K125" s="3052">
        <v>0</v>
      </c>
      <c r="L125" s="3052">
        <v>0</v>
      </c>
      <c r="M125" s="3052">
        <v>0</v>
      </c>
      <c r="N125" s="3052">
        <v>0</v>
      </c>
      <c r="O125" s="3052">
        <v>0</v>
      </c>
      <c r="P125" s="3052">
        <v>0</v>
      </c>
      <c r="Q125" s="3052">
        <v>0</v>
      </c>
      <c r="R125" s="3053">
        <f t="shared" si="11"/>
        <v>1</v>
      </c>
      <c r="S125" s="3053">
        <f t="shared" si="11"/>
        <v>1</v>
      </c>
      <c r="T125" s="3053">
        <f t="shared" si="11"/>
        <v>1</v>
      </c>
      <c r="U125" s="3053">
        <f t="shared" si="11"/>
        <v>1</v>
      </c>
      <c r="V125" s="3053">
        <f t="shared" si="11"/>
        <v>1</v>
      </c>
      <c r="W125" s="3053">
        <f t="shared" si="11"/>
        <v>0.99999999999999989</v>
      </c>
      <c r="X125" s="3053">
        <f t="shared" si="11"/>
        <v>1</v>
      </c>
      <c r="Y125" s="3053">
        <f t="shared" si="11"/>
        <v>0.99999999999999989</v>
      </c>
      <c r="Z125" s="3053">
        <f t="shared" si="11"/>
        <v>1</v>
      </c>
      <c r="AA125" s="3053">
        <f t="shared" si="11"/>
        <v>1</v>
      </c>
      <c r="AB125" s="3053">
        <f t="shared" si="11"/>
        <v>0.99999999999999989</v>
      </c>
      <c r="AC125" s="3053">
        <f t="shared" si="11"/>
        <v>1</v>
      </c>
      <c r="AD125" s="3053">
        <f t="shared" si="11"/>
        <v>1</v>
      </c>
      <c r="AE125" s="1197">
        <f t="shared" si="11"/>
        <v>1</v>
      </c>
      <c r="AF125" s="1197">
        <f t="shared" si="11"/>
        <v>1</v>
      </c>
    </row>
    <row r="126" spans="1:32">
      <c r="A126" s="3043">
        <v>200</v>
      </c>
      <c r="B126" s="3044">
        <v>12</v>
      </c>
      <c r="C126" s="3052">
        <v>0</v>
      </c>
      <c r="D126" s="3052">
        <v>0</v>
      </c>
      <c r="E126" s="3052">
        <v>0</v>
      </c>
      <c r="F126" s="3052">
        <v>0</v>
      </c>
      <c r="G126" s="3052">
        <v>0</v>
      </c>
      <c r="H126" s="3052">
        <v>0</v>
      </c>
      <c r="I126" s="3052">
        <v>0</v>
      </c>
      <c r="J126" s="3052">
        <v>0</v>
      </c>
      <c r="K126" s="3052">
        <v>0</v>
      </c>
      <c r="L126" s="3052">
        <v>0</v>
      </c>
      <c r="M126" s="3052">
        <v>0</v>
      </c>
      <c r="N126" s="3052">
        <v>0</v>
      </c>
      <c r="O126" s="3052">
        <v>0</v>
      </c>
      <c r="P126" s="3052">
        <v>0</v>
      </c>
      <c r="Q126" s="3052">
        <v>0</v>
      </c>
      <c r="R126" s="3053">
        <f t="shared" si="11"/>
        <v>1</v>
      </c>
      <c r="S126" s="3053">
        <f t="shared" si="11"/>
        <v>1</v>
      </c>
      <c r="T126" s="3053">
        <f t="shared" si="11"/>
        <v>1</v>
      </c>
      <c r="U126" s="3053">
        <f t="shared" si="11"/>
        <v>1</v>
      </c>
      <c r="V126" s="3053">
        <f t="shared" si="11"/>
        <v>1</v>
      </c>
      <c r="W126" s="3053">
        <f t="shared" si="11"/>
        <v>0.99999999999999989</v>
      </c>
      <c r="X126" s="3053">
        <f t="shared" si="11"/>
        <v>1</v>
      </c>
      <c r="Y126" s="3053">
        <f t="shared" si="11"/>
        <v>0.99999999999999989</v>
      </c>
      <c r="Z126" s="3053">
        <f t="shared" si="11"/>
        <v>1</v>
      </c>
      <c r="AA126" s="3053">
        <f t="shared" si="11"/>
        <v>1</v>
      </c>
      <c r="AB126" s="3053">
        <f t="shared" si="11"/>
        <v>0.99999999999999989</v>
      </c>
      <c r="AC126" s="3053">
        <f t="shared" si="11"/>
        <v>1</v>
      </c>
      <c r="AD126" s="3053">
        <f t="shared" si="11"/>
        <v>1</v>
      </c>
      <c r="AE126" s="1197">
        <f t="shared" si="11"/>
        <v>1</v>
      </c>
      <c r="AF126" s="1197">
        <f t="shared" si="11"/>
        <v>1</v>
      </c>
    </row>
    <row r="127" spans="1:32">
      <c r="A127" s="3043">
        <v>200</v>
      </c>
      <c r="B127" s="3044">
        <v>13</v>
      </c>
      <c r="C127" s="3052">
        <v>0</v>
      </c>
      <c r="D127" s="3052">
        <v>0</v>
      </c>
      <c r="E127" s="3052">
        <v>0</v>
      </c>
      <c r="F127" s="3052">
        <v>0</v>
      </c>
      <c r="G127" s="3052">
        <v>0</v>
      </c>
      <c r="H127" s="3052">
        <v>0</v>
      </c>
      <c r="I127" s="3052">
        <v>0</v>
      </c>
      <c r="J127" s="3052">
        <v>0</v>
      </c>
      <c r="K127" s="3052">
        <v>0</v>
      </c>
      <c r="L127" s="3052">
        <v>0</v>
      </c>
      <c r="M127" s="3052">
        <v>0</v>
      </c>
      <c r="N127" s="3052">
        <v>0</v>
      </c>
      <c r="O127" s="3052">
        <v>0</v>
      </c>
      <c r="P127" s="3052">
        <v>0</v>
      </c>
      <c r="Q127" s="3052">
        <v>0</v>
      </c>
      <c r="R127" s="3053">
        <f t="shared" si="11"/>
        <v>1</v>
      </c>
      <c r="S127" s="3053">
        <f t="shared" si="11"/>
        <v>1</v>
      </c>
      <c r="T127" s="3053">
        <f t="shared" si="11"/>
        <v>1</v>
      </c>
      <c r="U127" s="3053">
        <f t="shared" si="11"/>
        <v>1</v>
      </c>
      <c r="V127" s="3053">
        <f t="shared" si="11"/>
        <v>1</v>
      </c>
      <c r="W127" s="3053">
        <f t="shared" si="11"/>
        <v>0.99999999999999989</v>
      </c>
      <c r="X127" s="3053">
        <f t="shared" si="11"/>
        <v>1</v>
      </c>
      <c r="Y127" s="3053">
        <f t="shared" si="11"/>
        <v>0.99999999999999989</v>
      </c>
      <c r="Z127" s="3053">
        <f t="shared" si="11"/>
        <v>1</v>
      </c>
      <c r="AA127" s="3053">
        <f t="shared" si="11"/>
        <v>1</v>
      </c>
      <c r="AB127" s="3053">
        <f t="shared" si="11"/>
        <v>0.99999999999999989</v>
      </c>
      <c r="AC127" s="3053">
        <f t="shared" si="11"/>
        <v>1</v>
      </c>
      <c r="AD127" s="3053">
        <f t="shared" si="11"/>
        <v>1</v>
      </c>
      <c r="AE127" s="1197">
        <f t="shared" si="11"/>
        <v>1</v>
      </c>
      <c r="AF127" s="1197">
        <f t="shared" si="11"/>
        <v>1</v>
      </c>
    </row>
    <row r="128" spans="1:32">
      <c r="A128" s="3043">
        <v>200</v>
      </c>
      <c r="B128" s="3044">
        <v>14</v>
      </c>
      <c r="C128" s="3052">
        <v>0</v>
      </c>
      <c r="D128" s="3052">
        <v>0</v>
      </c>
      <c r="E128" s="3052">
        <v>0</v>
      </c>
      <c r="F128" s="3052">
        <v>0</v>
      </c>
      <c r="G128" s="3052">
        <v>0</v>
      </c>
      <c r="H128" s="3052">
        <v>0</v>
      </c>
      <c r="I128" s="3052">
        <v>0</v>
      </c>
      <c r="J128" s="3052">
        <v>0</v>
      </c>
      <c r="K128" s="3052">
        <v>0</v>
      </c>
      <c r="L128" s="3052">
        <v>0</v>
      </c>
      <c r="M128" s="3052">
        <v>0</v>
      </c>
      <c r="N128" s="3052">
        <v>0</v>
      </c>
      <c r="O128" s="3052">
        <v>0</v>
      </c>
      <c r="P128" s="3052">
        <v>0</v>
      </c>
      <c r="Q128" s="3052">
        <v>0</v>
      </c>
      <c r="R128" s="3053">
        <f t="shared" si="11"/>
        <v>1</v>
      </c>
      <c r="S128" s="3053">
        <f t="shared" si="11"/>
        <v>1</v>
      </c>
      <c r="T128" s="3053">
        <f t="shared" si="11"/>
        <v>1</v>
      </c>
      <c r="U128" s="3053">
        <f t="shared" si="11"/>
        <v>1</v>
      </c>
      <c r="V128" s="3053">
        <f t="shared" si="11"/>
        <v>1</v>
      </c>
      <c r="W128" s="3053">
        <f t="shared" si="11"/>
        <v>0.99999999999999989</v>
      </c>
      <c r="X128" s="3053">
        <f t="shared" si="11"/>
        <v>1</v>
      </c>
      <c r="Y128" s="3053">
        <f t="shared" si="11"/>
        <v>0.99999999999999989</v>
      </c>
      <c r="Z128" s="3053">
        <f t="shared" si="11"/>
        <v>1</v>
      </c>
      <c r="AA128" s="3053">
        <f t="shared" si="11"/>
        <v>1</v>
      </c>
      <c r="AB128" s="3053">
        <f t="shared" si="11"/>
        <v>0.99999999999999989</v>
      </c>
      <c r="AC128" s="3053">
        <f t="shared" si="11"/>
        <v>1</v>
      </c>
      <c r="AD128" s="3053">
        <f t="shared" si="11"/>
        <v>1</v>
      </c>
      <c r="AE128" s="1197">
        <f t="shared" si="11"/>
        <v>1</v>
      </c>
      <c r="AF128" s="1197">
        <f t="shared" si="11"/>
        <v>1</v>
      </c>
    </row>
    <row r="129" spans="1:32">
      <c r="A129" s="3043">
        <v>200</v>
      </c>
      <c r="B129" s="3044">
        <v>15</v>
      </c>
      <c r="C129" s="3052">
        <v>0</v>
      </c>
      <c r="D129" s="3052">
        <v>0</v>
      </c>
      <c r="E129" s="3052">
        <v>0</v>
      </c>
      <c r="F129" s="3052">
        <v>0</v>
      </c>
      <c r="G129" s="3052">
        <v>0</v>
      </c>
      <c r="H129" s="3052">
        <v>0</v>
      </c>
      <c r="I129" s="3052">
        <v>0</v>
      </c>
      <c r="J129" s="3052">
        <v>0</v>
      </c>
      <c r="K129" s="3052">
        <v>0</v>
      </c>
      <c r="L129" s="3052">
        <v>0</v>
      </c>
      <c r="M129" s="3052">
        <v>0</v>
      </c>
      <c r="N129" s="3052">
        <v>0</v>
      </c>
      <c r="O129" s="3052">
        <v>0</v>
      </c>
      <c r="P129" s="3052">
        <v>0</v>
      </c>
      <c r="Q129" s="3052">
        <v>0</v>
      </c>
      <c r="R129" s="3053">
        <f t="shared" si="11"/>
        <v>1</v>
      </c>
      <c r="S129" s="3053">
        <f t="shared" si="11"/>
        <v>1</v>
      </c>
      <c r="T129" s="3053">
        <f t="shared" si="11"/>
        <v>1</v>
      </c>
      <c r="U129" s="3053">
        <f t="shared" si="11"/>
        <v>1</v>
      </c>
      <c r="V129" s="3053">
        <f t="shared" si="11"/>
        <v>1</v>
      </c>
      <c r="W129" s="3053">
        <f t="shared" si="11"/>
        <v>0.99999999999999989</v>
      </c>
      <c r="X129" s="3053">
        <f t="shared" si="11"/>
        <v>1</v>
      </c>
      <c r="Y129" s="3053">
        <f t="shared" si="11"/>
        <v>0.99999999999999989</v>
      </c>
      <c r="Z129" s="3053">
        <f t="shared" si="11"/>
        <v>1</v>
      </c>
      <c r="AA129" s="3053">
        <f t="shared" si="11"/>
        <v>1</v>
      </c>
      <c r="AB129" s="3053">
        <f t="shared" si="11"/>
        <v>0.99999999999999989</v>
      </c>
      <c r="AC129" s="3053">
        <f t="shared" si="11"/>
        <v>1</v>
      </c>
      <c r="AD129" s="3053">
        <f t="shared" si="11"/>
        <v>1</v>
      </c>
      <c r="AE129" s="1197">
        <f t="shared" si="11"/>
        <v>1</v>
      </c>
      <c r="AF129" s="1197">
        <f t="shared" si="11"/>
        <v>1</v>
      </c>
    </row>
    <row r="130" spans="1:32">
      <c r="A130" s="3043">
        <v>200</v>
      </c>
      <c r="B130" s="3044">
        <v>16</v>
      </c>
      <c r="C130" s="3052">
        <v>0</v>
      </c>
      <c r="D130" s="3052">
        <v>0</v>
      </c>
      <c r="E130" s="3052">
        <v>0</v>
      </c>
      <c r="F130" s="3052">
        <v>0</v>
      </c>
      <c r="G130" s="3052">
        <v>0</v>
      </c>
      <c r="H130" s="3052">
        <v>0</v>
      </c>
      <c r="I130" s="3052">
        <v>0</v>
      </c>
      <c r="J130" s="3052">
        <v>0</v>
      </c>
      <c r="K130" s="3052">
        <v>0</v>
      </c>
      <c r="L130" s="3052">
        <v>0</v>
      </c>
      <c r="M130" s="3052">
        <v>0</v>
      </c>
      <c r="N130" s="3052">
        <v>0</v>
      </c>
      <c r="O130" s="3052">
        <v>0</v>
      </c>
      <c r="P130" s="3052">
        <v>0</v>
      </c>
      <c r="Q130" s="3052">
        <v>0</v>
      </c>
      <c r="R130" s="3053">
        <f t="shared" si="11"/>
        <v>1</v>
      </c>
      <c r="S130" s="3053">
        <f t="shared" si="11"/>
        <v>1</v>
      </c>
      <c r="T130" s="3053">
        <f t="shared" si="11"/>
        <v>1</v>
      </c>
      <c r="U130" s="3053">
        <f t="shared" si="11"/>
        <v>1</v>
      </c>
      <c r="V130" s="3053">
        <f t="shared" si="11"/>
        <v>1</v>
      </c>
      <c r="W130" s="3053">
        <f t="shared" si="11"/>
        <v>0.99999999999999989</v>
      </c>
      <c r="X130" s="3053">
        <f t="shared" si="11"/>
        <v>1</v>
      </c>
      <c r="Y130" s="3053">
        <f t="shared" si="11"/>
        <v>0.99999999999999989</v>
      </c>
      <c r="Z130" s="3053">
        <f t="shared" si="11"/>
        <v>1</v>
      </c>
      <c r="AA130" s="3053">
        <f t="shared" si="11"/>
        <v>1</v>
      </c>
      <c r="AB130" s="3053">
        <f t="shared" si="11"/>
        <v>0.99999999999999989</v>
      </c>
      <c r="AC130" s="3053">
        <f t="shared" si="11"/>
        <v>1</v>
      </c>
      <c r="AD130" s="3053">
        <f t="shared" si="11"/>
        <v>1</v>
      </c>
      <c r="AE130" s="1197">
        <f t="shared" si="11"/>
        <v>1</v>
      </c>
      <c r="AF130" s="1197">
        <f t="shared" si="11"/>
        <v>1</v>
      </c>
    </row>
    <row r="131" spans="1:32">
      <c r="A131" s="3043">
        <v>200</v>
      </c>
      <c r="B131" s="3044">
        <v>17</v>
      </c>
      <c r="C131" s="3052">
        <v>0</v>
      </c>
      <c r="D131" s="3052">
        <v>0</v>
      </c>
      <c r="E131" s="3052">
        <v>0</v>
      </c>
      <c r="F131" s="3052">
        <v>0</v>
      </c>
      <c r="G131" s="3052">
        <v>0</v>
      </c>
      <c r="H131" s="3052">
        <v>0</v>
      </c>
      <c r="I131" s="3052">
        <v>0</v>
      </c>
      <c r="J131" s="3052">
        <v>0</v>
      </c>
      <c r="K131" s="3052">
        <v>0</v>
      </c>
      <c r="L131" s="3052">
        <v>0</v>
      </c>
      <c r="M131" s="3052">
        <v>0</v>
      </c>
      <c r="N131" s="3052">
        <v>0</v>
      </c>
      <c r="O131" s="3052">
        <v>0</v>
      </c>
      <c r="P131" s="3052">
        <v>0</v>
      </c>
      <c r="Q131" s="3052">
        <v>0</v>
      </c>
      <c r="R131" s="3053">
        <f t="shared" si="11"/>
        <v>1</v>
      </c>
      <c r="S131" s="3053">
        <f t="shared" si="11"/>
        <v>1</v>
      </c>
      <c r="T131" s="3053">
        <f t="shared" si="11"/>
        <v>1</v>
      </c>
      <c r="U131" s="3053">
        <f t="shared" si="11"/>
        <v>1</v>
      </c>
      <c r="V131" s="3053">
        <f t="shared" si="11"/>
        <v>1</v>
      </c>
      <c r="W131" s="3053">
        <f t="shared" si="11"/>
        <v>0.99999999999999989</v>
      </c>
      <c r="X131" s="3053">
        <f t="shared" si="11"/>
        <v>1</v>
      </c>
      <c r="Y131" s="3053">
        <f t="shared" si="11"/>
        <v>0.99999999999999989</v>
      </c>
      <c r="Z131" s="3053">
        <f t="shared" si="11"/>
        <v>1</v>
      </c>
      <c r="AA131" s="3053">
        <f t="shared" si="11"/>
        <v>1</v>
      </c>
      <c r="AB131" s="3053">
        <f t="shared" si="11"/>
        <v>0.99999999999999989</v>
      </c>
      <c r="AC131" s="3053">
        <f t="shared" si="11"/>
        <v>1</v>
      </c>
      <c r="AD131" s="3053">
        <f t="shared" si="11"/>
        <v>1</v>
      </c>
      <c r="AE131" s="1197">
        <f t="shared" si="11"/>
        <v>1</v>
      </c>
      <c r="AF131" s="1197">
        <f t="shared" si="11"/>
        <v>1</v>
      </c>
    </row>
    <row r="132" spans="1:32">
      <c r="A132" s="3043">
        <v>200</v>
      </c>
      <c r="B132" s="3044">
        <v>18</v>
      </c>
      <c r="C132" s="3052">
        <v>0</v>
      </c>
      <c r="D132" s="3052">
        <v>0</v>
      </c>
      <c r="E132" s="3052">
        <v>0</v>
      </c>
      <c r="F132" s="3052">
        <v>0</v>
      </c>
      <c r="G132" s="3052">
        <v>0</v>
      </c>
      <c r="H132" s="3052">
        <v>0</v>
      </c>
      <c r="I132" s="3052">
        <v>0</v>
      </c>
      <c r="J132" s="3052">
        <v>0</v>
      </c>
      <c r="K132" s="3052">
        <v>0</v>
      </c>
      <c r="L132" s="3052">
        <v>0</v>
      </c>
      <c r="M132" s="3052">
        <v>0</v>
      </c>
      <c r="N132" s="3052">
        <v>0</v>
      </c>
      <c r="O132" s="3052">
        <v>0</v>
      </c>
      <c r="P132" s="3052">
        <v>0</v>
      </c>
      <c r="Q132" s="3052">
        <v>0</v>
      </c>
      <c r="R132" s="3053">
        <f t="shared" ref="R132:AF147" si="12">C132+R131</f>
        <v>1</v>
      </c>
      <c r="S132" s="3053">
        <f t="shared" si="12"/>
        <v>1</v>
      </c>
      <c r="T132" s="3053">
        <f t="shared" si="12"/>
        <v>1</v>
      </c>
      <c r="U132" s="3053">
        <f t="shared" si="12"/>
        <v>1</v>
      </c>
      <c r="V132" s="3053">
        <f t="shared" si="12"/>
        <v>1</v>
      </c>
      <c r="W132" s="3053">
        <f t="shared" si="12"/>
        <v>0.99999999999999989</v>
      </c>
      <c r="X132" s="3053">
        <f t="shared" si="12"/>
        <v>1</v>
      </c>
      <c r="Y132" s="3053">
        <f t="shared" si="12"/>
        <v>0.99999999999999989</v>
      </c>
      <c r="Z132" s="3053">
        <f t="shared" si="12"/>
        <v>1</v>
      </c>
      <c r="AA132" s="3053">
        <f t="shared" si="12"/>
        <v>1</v>
      </c>
      <c r="AB132" s="3053">
        <f t="shared" si="12"/>
        <v>0.99999999999999989</v>
      </c>
      <c r="AC132" s="3053">
        <f t="shared" si="12"/>
        <v>1</v>
      </c>
      <c r="AD132" s="3053">
        <f t="shared" si="12"/>
        <v>1</v>
      </c>
      <c r="AE132" s="1197">
        <f t="shared" si="12"/>
        <v>1</v>
      </c>
      <c r="AF132" s="1197">
        <f t="shared" si="12"/>
        <v>1</v>
      </c>
    </row>
    <row r="133" spans="1:32">
      <c r="A133" s="3043">
        <v>200</v>
      </c>
      <c r="B133" s="3044">
        <v>19</v>
      </c>
      <c r="C133" s="3052">
        <v>0</v>
      </c>
      <c r="D133" s="3052">
        <v>0</v>
      </c>
      <c r="E133" s="3052">
        <v>0</v>
      </c>
      <c r="F133" s="3052">
        <v>0</v>
      </c>
      <c r="G133" s="3052">
        <v>0</v>
      </c>
      <c r="H133" s="3052">
        <v>0</v>
      </c>
      <c r="I133" s="3052">
        <v>0</v>
      </c>
      <c r="J133" s="3052">
        <v>0</v>
      </c>
      <c r="K133" s="3052">
        <v>0</v>
      </c>
      <c r="L133" s="3052">
        <v>0</v>
      </c>
      <c r="M133" s="3052">
        <v>0</v>
      </c>
      <c r="N133" s="3052">
        <v>0</v>
      </c>
      <c r="O133" s="3052">
        <v>0</v>
      </c>
      <c r="P133" s="3052">
        <v>0</v>
      </c>
      <c r="Q133" s="3052">
        <v>0</v>
      </c>
      <c r="R133" s="3053">
        <f t="shared" si="12"/>
        <v>1</v>
      </c>
      <c r="S133" s="3053">
        <f t="shared" si="12"/>
        <v>1</v>
      </c>
      <c r="T133" s="3053">
        <f t="shared" si="12"/>
        <v>1</v>
      </c>
      <c r="U133" s="3053">
        <f t="shared" si="12"/>
        <v>1</v>
      </c>
      <c r="V133" s="3053">
        <f t="shared" si="12"/>
        <v>1</v>
      </c>
      <c r="W133" s="3053">
        <f t="shared" si="12"/>
        <v>0.99999999999999989</v>
      </c>
      <c r="X133" s="3053">
        <f t="shared" si="12"/>
        <v>1</v>
      </c>
      <c r="Y133" s="3053">
        <f t="shared" si="12"/>
        <v>0.99999999999999989</v>
      </c>
      <c r="Z133" s="3053">
        <f t="shared" si="12"/>
        <v>1</v>
      </c>
      <c r="AA133" s="3053">
        <f t="shared" si="12"/>
        <v>1</v>
      </c>
      <c r="AB133" s="3053">
        <f t="shared" si="12"/>
        <v>0.99999999999999989</v>
      </c>
      <c r="AC133" s="3053">
        <f t="shared" si="12"/>
        <v>1</v>
      </c>
      <c r="AD133" s="3053">
        <f t="shared" si="12"/>
        <v>1</v>
      </c>
      <c r="AE133" s="1197">
        <f t="shared" si="12"/>
        <v>1</v>
      </c>
      <c r="AF133" s="1197">
        <f t="shared" si="12"/>
        <v>1</v>
      </c>
    </row>
    <row r="134" spans="1:32">
      <c r="A134" s="3043">
        <v>200</v>
      </c>
      <c r="B134" s="3044">
        <v>20</v>
      </c>
      <c r="C134" s="3052">
        <v>0</v>
      </c>
      <c r="D134" s="3052">
        <v>0</v>
      </c>
      <c r="E134" s="3052">
        <v>0</v>
      </c>
      <c r="F134" s="3052">
        <v>0</v>
      </c>
      <c r="G134" s="3052">
        <v>0</v>
      </c>
      <c r="H134" s="3052">
        <v>0</v>
      </c>
      <c r="I134" s="3052">
        <v>0</v>
      </c>
      <c r="J134" s="3052">
        <v>0</v>
      </c>
      <c r="K134" s="3052">
        <v>0</v>
      </c>
      <c r="L134" s="3052">
        <v>0</v>
      </c>
      <c r="M134" s="3052">
        <v>0</v>
      </c>
      <c r="N134" s="3052">
        <v>0</v>
      </c>
      <c r="O134" s="3052">
        <v>0</v>
      </c>
      <c r="P134" s="3052">
        <v>0</v>
      </c>
      <c r="Q134" s="3052">
        <v>0</v>
      </c>
      <c r="R134" s="3053">
        <f t="shared" si="12"/>
        <v>1</v>
      </c>
      <c r="S134" s="3053">
        <f t="shared" si="12"/>
        <v>1</v>
      </c>
      <c r="T134" s="3053">
        <f t="shared" si="12"/>
        <v>1</v>
      </c>
      <c r="U134" s="3053">
        <f t="shared" si="12"/>
        <v>1</v>
      </c>
      <c r="V134" s="3053">
        <f t="shared" si="12"/>
        <v>1</v>
      </c>
      <c r="W134" s="3053">
        <f t="shared" si="12"/>
        <v>0.99999999999999989</v>
      </c>
      <c r="X134" s="3053">
        <f t="shared" si="12"/>
        <v>1</v>
      </c>
      <c r="Y134" s="3053">
        <f t="shared" si="12"/>
        <v>0.99999999999999989</v>
      </c>
      <c r="Z134" s="3053">
        <f t="shared" si="12"/>
        <v>1</v>
      </c>
      <c r="AA134" s="3053">
        <f t="shared" si="12"/>
        <v>1</v>
      </c>
      <c r="AB134" s="3053">
        <f t="shared" si="12"/>
        <v>0.99999999999999989</v>
      </c>
      <c r="AC134" s="3053">
        <f t="shared" si="12"/>
        <v>1</v>
      </c>
      <c r="AD134" s="3053">
        <f t="shared" si="12"/>
        <v>1</v>
      </c>
      <c r="AE134" s="1197">
        <f t="shared" si="12"/>
        <v>1</v>
      </c>
      <c r="AF134" s="1197">
        <f t="shared" si="12"/>
        <v>1</v>
      </c>
    </row>
    <row r="135" spans="1:32">
      <c r="A135" s="3043">
        <v>200</v>
      </c>
      <c r="B135" s="3044">
        <v>21</v>
      </c>
      <c r="C135" s="3052">
        <v>0</v>
      </c>
      <c r="D135" s="3052">
        <v>0</v>
      </c>
      <c r="E135" s="3052">
        <v>0</v>
      </c>
      <c r="F135" s="3052">
        <v>0</v>
      </c>
      <c r="G135" s="3052">
        <v>0</v>
      </c>
      <c r="H135" s="3052">
        <v>0</v>
      </c>
      <c r="I135" s="3052">
        <v>0</v>
      </c>
      <c r="J135" s="3052">
        <v>0</v>
      </c>
      <c r="K135" s="3052">
        <v>0</v>
      </c>
      <c r="L135" s="3052">
        <v>0</v>
      </c>
      <c r="M135" s="3052">
        <v>0</v>
      </c>
      <c r="N135" s="3052">
        <v>0</v>
      </c>
      <c r="O135" s="3052">
        <v>0</v>
      </c>
      <c r="P135" s="3052">
        <v>0</v>
      </c>
      <c r="Q135" s="3052">
        <v>0</v>
      </c>
      <c r="R135" s="3053">
        <f t="shared" si="12"/>
        <v>1</v>
      </c>
      <c r="S135" s="3053">
        <f t="shared" si="12"/>
        <v>1</v>
      </c>
      <c r="T135" s="3053">
        <f t="shared" si="12"/>
        <v>1</v>
      </c>
      <c r="U135" s="3053">
        <f t="shared" si="12"/>
        <v>1</v>
      </c>
      <c r="V135" s="3053">
        <f t="shared" si="12"/>
        <v>1</v>
      </c>
      <c r="W135" s="3053">
        <f t="shared" si="12"/>
        <v>0.99999999999999989</v>
      </c>
      <c r="X135" s="3053">
        <f t="shared" si="12"/>
        <v>1</v>
      </c>
      <c r="Y135" s="3053">
        <f t="shared" si="12"/>
        <v>0.99999999999999989</v>
      </c>
      <c r="Z135" s="3053">
        <f t="shared" si="12"/>
        <v>1</v>
      </c>
      <c r="AA135" s="3053">
        <f t="shared" si="12"/>
        <v>1</v>
      </c>
      <c r="AB135" s="3053">
        <f t="shared" si="12"/>
        <v>0.99999999999999989</v>
      </c>
      <c r="AC135" s="3053">
        <f t="shared" si="12"/>
        <v>1</v>
      </c>
      <c r="AD135" s="3053">
        <f t="shared" si="12"/>
        <v>1</v>
      </c>
      <c r="AE135" s="1197">
        <f t="shared" si="12"/>
        <v>1</v>
      </c>
      <c r="AF135" s="1197">
        <f t="shared" si="12"/>
        <v>1</v>
      </c>
    </row>
    <row r="136" spans="1:32">
      <c r="A136" s="3043">
        <v>200</v>
      </c>
      <c r="B136" s="3044">
        <v>22</v>
      </c>
      <c r="C136" s="3052">
        <v>0</v>
      </c>
      <c r="D136" s="3052">
        <v>0</v>
      </c>
      <c r="E136" s="3052">
        <v>0</v>
      </c>
      <c r="F136" s="3052">
        <v>0</v>
      </c>
      <c r="G136" s="3052">
        <v>0</v>
      </c>
      <c r="H136" s="3052">
        <v>0</v>
      </c>
      <c r="I136" s="3052">
        <v>0</v>
      </c>
      <c r="J136" s="3052">
        <v>0</v>
      </c>
      <c r="K136" s="3052">
        <v>0</v>
      </c>
      <c r="L136" s="3052">
        <v>0</v>
      </c>
      <c r="M136" s="3052">
        <v>0</v>
      </c>
      <c r="N136" s="3052">
        <v>0</v>
      </c>
      <c r="O136" s="3052">
        <v>0</v>
      </c>
      <c r="P136" s="3052">
        <v>0</v>
      </c>
      <c r="Q136" s="3052">
        <v>0</v>
      </c>
      <c r="R136" s="3053">
        <f t="shared" si="12"/>
        <v>1</v>
      </c>
      <c r="S136" s="3053">
        <f t="shared" si="12"/>
        <v>1</v>
      </c>
      <c r="T136" s="3053">
        <f t="shared" si="12"/>
        <v>1</v>
      </c>
      <c r="U136" s="3053">
        <f t="shared" si="12"/>
        <v>1</v>
      </c>
      <c r="V136" s="3053">
        <f t="shared" si="12"/>
        <v>1</v>
      </c>
      <c r="W136" s="3053">
        <f t="shared" si="12"/>
        <v>0.99999999999999989</v>
      </c>
      <c r="X136" s="3053">
        <f t="shared" si="12"/>
        <v>1</v>
      </c>
      <c r="Y136" s="3053">
        <f t="shared" si="12"/>
        <v>0.99999999999999989</v>
      </c>
      <c r="Z136" s="3053">
        <f t="shared" si="12"/>
        <v>1</v>
      </c>
      <c r="AA136" s="3053">
        <f t="shared" si="12"/>
        <v>1</v>
      </c>
      <c r="AB136" s="3053">
        <f t="shared" si="12"/>
        <v>0.99999999999999989</v>
      </c>
      <c r="AC136" s="3053">
        <f t="shared" si="12"/>
        <v>1</v>
      </c>
      <c r="AD136" s="3053">
        <f t="shared" si="12"/>
        <v>1</v>
      </c>
      <c r="AE136" s="1197">
        <f t="shared" si="12"/>
        <v>1</v>
      </c>
      <c r="AF136" s="1197">
        <f t="shared" si="12"/>
        <v>1</v>
      </c>
    </row>
    <row r="137" spans="1:32">
      <c r="A137" s="3043">
        <v>200</v>
      </c>
      <c r="B137" s="3044">
        <v>23</v>
      </c>
      <c r="C137" s="3052">
        <v>0</v>
      </c>
      <c r="D137" s="3052">
        <v>0</v>
      </c>
      <c r="E137" s="3052">
        <v>0</v>
      </c>
      <c r="F137" s="3052">
        <v>0</v>
      </c>
      <c r="G137" s="3052">
        <v>0</v>
      </c>
      <c r="H137" s="3052">
        <v>0</v>
      </c>
      <c r="I137" s="3052">
        <v>0</v>
      </c>
      <c r="J137" s="3052">
        <v>0</v>
      </c>
      <c r="K137" s="3052">
        <v>0</v>
      </c>
      <c r="L137" s="3052">
        <v>0</v>
      </c>
      <c r="M137" s="3052">
        <v>0</v>
      </c>
      <c r="N137" s="3052">
        <v>0</v>
      </c>
      <c r="O137" s="3052">
        <v>0</v>
      </c>
      <c r="P137" s="3052">
        <v>0</v>
      </c>
      <c r="Q137" s="3052">
        <v>0</v>
      </c>
      <c r="R137" s="3053">
        <f t="shared" si="12"/>
        <v>1</v>
      </c>
      <c r="S137" s="3053">
        <f t="shared" si="12"/>
        <v>1</v>
      </c>
      <c r="T137" s="3053">
        <f t="shared" si="12"/>
        <v>1</v>
      </c>
      <c r="U137" s="3053">
        <f t="shared" si="12"/>
        <v>1</v>
      </c>
      <c r="V137" s="3053">
        <f t="shared" si="12"/>
        <v>1</v>
      </c>
      <c r="W137" s="3053">
        <f t="shared" si="12"/>
        <v>0.99999999999999989</v>
      </c>
      <c r="X137" s="3053">
        <f t="shared" si="12"/>
        <v>1</v>
      </c>
      <c r="Y137" s="3053">
        <f t="shared" si="12"/>
        <v>0.99999999999999989</v>
      </c>
      <c r="Z137" s="3053">
        <f t="shared" si="12"/>
        <v>1</v>
      </c>
      <c r="AA137" s="3053">
        <f t="shared" si="12"/>
        <v>1</v>
      </c>
      <c r="AB137" s="3053">
        <f t="shared" si="12"/>
        <v>0.99999999999999989</v>
      </c>
      <c r="AC137" s="3053">
        <f t="shared" si="12"/>
        <v>1</v>
      </c>
      <c r="AD137" s="3053">
        <f t="shared" si="12"/>
        <v>1</v>
      </c>
      <c r="AE137" s="1197">
        <f t="shared" si="12"/>
        <v>1</v>
      </c>
      <c r="AF137" s="1197">
        <f t="shared" si="12"/>
        <v>1</v>
      </c>
    </row>
    <row r="138" spans="1:32">
      <c r="A138" s="3043">
        <v>200</v>
      </c>
      <c r="B138" s="3044">
        <v>24</v>
      </c>
      <c r="C138" s="3052">
        <v>0</v>
      </c>
      <c r="D138" s="3052">
        <v>0</v>
      </c>
      <c r="E138" s="3052">
        <v>0</v>
      </c>
      <c r="F138" s="3052">
        <v>0</v>
      </c>
      <c r="G138" s="3052">
        <v>0</v>
      </c>
      <c r="H138" s="3052">
        <v>0</v>
      </c>
      <c r="I138" s="3052">
        <v>0</v>
      </c>
      <c r="J138" s="3052">
        <v>0</v>
      </c>
      <c r="K138" s="3052">
        <v>0</v>
      </c>
      <c r="L138" s="3052">
        <v>0</v>
      </c>
      <c r="M138" s="3052">
        <v>0</v>
      </c>
      <c r="N138" s="3052">
        <v>0</v>
      </c>
      <c r="O138" s="3052">
        <v>0</v>
      </c>
      <c r="P138" s="3052">
        <v>0</v>
      </c>
      <c r="Q138" s="3052">
        <v>0</v>
      </c>
      <c r="R138" s="3053">
        <f t="shared" si="12"/>
        <v>1</v>
      </c>
      <c r="S138" s="3053">
        <f t="shared" si="12"/>
        <v>1</v>
      </c>
      <c r="T138" s="3053">
        <f t="shared" si="12"/>
        <v>1</v>
      </c>
      <c r="U138" s="3053">
        <f t="shared" si="12"/>
        <v>1</v>
      </c>
      <c r="V138" s="3053">
        <f t="shared" si="12"/>
        <v>1</v>
      </c>
      <c r="W138" s="3053">
        <f t="shared" si="12"/>
        <v>0.99999999999999989</v>
      </c>
      <c r="X138" s="3053">
        <f t="shared" si="12"/>
        <v>1</v>
      </c>
      <c r="Y138" s="3053">
        <f t="shared" si="12"/>
        <v>0.99999999999999989</v>
      </c>
      <c r="Z138" s="3053">
        <f t="shared" si="12"/>
        <v>1</v>
      </c>
      <c r="AA138" s="3053">
        <f t="shared" si="12"/>
        <v>1</v>
      </c>
      <c r="AB138" s="3053">
        <f t="shared" si="12"/>
        <v>0.99999999999999989</v>
      </c>
      <c r="AC138" s="3053">
        <f t="shared" si="12"/>
        <v>1</v>
      </c>
      <c r="AD138" s="3053">
        <f t="shared" si="12"/>
        <v>1</v>
      </c>
      <c r="AE138" s="1197">
        <f t="shared" si="12"/>
        <v>1</v>
      </c>
      <c r="AF138" s="1197">
        <f t="shared" si="12"/>
        <v>1</v>
      </c>
    </row>
    <row r="139" spans="1:32">
      <c r="A139" s="3043">
        <v>200</v>
      </c>
      <c r="B139" s="3044">
        <v>25</v>
      </c>
      <c r="C139" s="3052">
        <v>0</v>
      </c>
      <c r="D139" s="3052">
        <v>0</v>
      </c>
      <c r="E139" s="3052">
        <v>0</v>
      </c>
      <c r="F139" s="3052">
        <v>0</v>
      </c>
      <c r="G139" s="3052">
        <v>0</v>
      </c>
      <c r="H139" s="3052">
        <v>0</v>
      </c>
      <c r="I139" s="3052">
        <v>0</v>
      </c>
      <c r="J139" s="3052">
        <v>0</v>
      </c>
      <c r="K139" s="3052">
        <v>0</v>
      </c>
      <c r="L139" s="3052">
        <v>0</v>
      </c>
      <c r="M139" s="3052">
        <v>0</v>
      </c>
      <c r="N139" s="3052">
        <v>0</v>
      </c>
      <c r="O139" s="3052">
        <v>0</v>
      </c>
      <c r="P139" s="3052">
        <v>0</v>
      </c>
      <c r="Q139" s="3052">
        <v>0</v>
      </c>
      <c r="R139" s="3053">
        <f t="shared" si="12"/>
        <v>1</v>
      </c>
      <c r="S139" s="3053">
        <f t="shared" si="12"/>
        <v>1</v>
      </c>
      <c r="T139" s="3053">
        <f t="shared" si="12"/>
        <v>1</v>
      </c>
      <c r="U139" s="3053">
        <f t="shared" si="12"/>
        <v>1</v>
      </c>
      <c r="V139" s="3053">
        <f t="shared" si="12"/>
        <v>1</v>
      </c>
      <c r="W139" s="3053">
        <f t="shared" si="12"/>
        <v>0.99999999999999989</v>
      </c>
      <c r="X139" s="3053">
        <f t="shared" si="12"/>
        <v>1</v>
      </c>
      <c r="Y139" s="3053">
        <f t="shared" si="12"/>
        <v>0.99999999999999989</v>
      </c>
      <c r="Z139" s="3053">
        <f t="shared" si="12"/>
        <v>1</v>
      </c>
      <c r="AA139" s="3053">
        <f t="shared" si="12"/>
        <v>1</v>
      </c>
      <c r="AB139" s="3053">
        <f t="shared" si="12"/>
        <v>0.99999999999999989</v>
      </c>
      <c r="AC139" s="3053">
        <f t="shared" si="12"/>
        <v>1</v>
      </c>
      <c r="AD139" s="3053">
        <f t="shared" si="12"/>
        <v>1</v>
      </c>
      <c r="AE139" s="1197">
        <f t="shared" si="12"/>
        <v>1</v>
      </c>
      <c r="AF139" s="1197">
        <f t="shared" si="12"/>
        <v>1</v>
      </c>
    </row>
    <row r="140" spans="1:32">
      <c r="A140" s="3043">
        <v>200</v>
      </c>
      <c r="B140" s="3044">
        <v>26</v>
      </c>
      <c r="C140" s="3052">
        <v>0</v>
      </c>
      <c r="D140" s="3052">
        <v>0</v>
      </c>
      <c r="E140" s="3052">
        <v>0</v>
      </c>
      <c r="F140" s="3052">
        <v>0</v>
      </c>
      <c r="G140" s="3052">
        <v>0</v>
      </c>
      <c r="H140" s="3052">
        <v>0</v>
      </c>
      <c r="I140" s="3052">
        <v>0</v>
      </c>
      <c r="J140" s="3052">
        <v>0</v>
      </c>
      <c r="K140" s="3052">
        <v>0</v>
      </c>
      <c r="L140" s="3052">
        <v>0</v>
      </c>
      <c r="M140" s="3052">
        <v>0</v>
      </c>
      <c r="N140" s="3052">
        <v>0</v>
      </c>
      <c r="O140" s="3052">
        <v>0</v>
      </c>
      <c r="P140" s="3052">
        <v>0</v>
      </c>
      <c r="Q140" s="3052">
        <v>0</v>
      </c>
      <c r="R140" s="3053">
        <f t="shared" si="12"/>
        <v>1</v>
      </c>
      <c r="S140" s="3053">
        <f t="shared" si="12"/>
        <v>1</v>
      </c>
      <c r="T140" s="3053">
        <f t="shared" si="12"/>
        <v>1</v>
      </c>
      <c r="U140" s="3053">
        <f t="shared" si="12"/>
        <v>1</v>
      </c>
      <c r="V140" s="3053">
        <f t="shared" si="12"/>
        <v>1</v>
      </c>
      <c r="W140" s="3053">
        <f t="shared" si="12"/>
        <v>0.99999999999999989</v>
      </c>
      <c r="X140" s="3053">
        <f t="shared" si="12"/>
        <v>1</v>
      </c>
      <c r="Y140" s="3053">
        <f t="shared" si="12"/>
        <v>0.99999999999999989</v>
      </c>
      <c r="Z140" s="3053">
        <f t="shared" si="12"/>
        <v>1</v>
      </c>
      <c r="AA140" s="3053">
        <f t="shared" si="12"/>
        <v>1</v>
      </c>
      <c r="AB140" s="3053">
        <f t="shared" si="12"/>
        <v>0.99999999999999989</v>
      </c>
      <c r="AC140" s="3053">
        <f t="shared" si="12"/>
        <v>1</v>
      </c>
      <c r="AD140" s="3053">
        <f t="shared" si="12"/>
        <v>1</v>
      </c>
      <c r="AE140" s="1197">
        <f t="shared" si="12"/>
        <v>1</v>
      </c>
      <c r="AF140" s="1197">
        <f t="shared" si="12"/>
        <v>1</v>
      </c>
    </row>
    <row r="141" spans="1:32">
      <c r="A141" s="3043">
        <v>200</v>
      </c>
      <c r="B141" s="3044">
        <v>27</v>
      </c>
      <c r="C141" s="3052">
        <v>0</v>
      </c>
      <c r="D141" s="3052">
        <v>0</v>
      </c>
      <c r="E141" s="3052">
        <v>0</v>
      </c>
      <c r="F141" s="3052">
        <v>0</v>
      </c>
      <c r="G141" s="3052">
        <v>0</v>
      </c>
      <c r="H141" s="3052">
        <v>0</v>
      </c>
      <c r="I141" s="3052">
        <v>0</v>
      </c>
      <c r="J141" s="3052">
        <v>0</v>
      </c>
      <c r="K141" s="3052">
        <v>0</v>
      </c>
      <c r="L141" s="3052">
        <v>0</v>
      </c>
      <c r="M141" s="3052">
        <v>0</v>
      </c>
      <c r="N141" s="3052">
        <v>0</v>
      </c>
      <c r="O141" s="3052">
        <v>0</v>
      </c>
      <c r="P141" s="3052">
        <v>0</v>
      </c>
      <c r="Q141" s="3052">
        <v>0</v>
      </c>
      <c r="R141" s="3053">
        <f t="shared" si="12"/>
        <v>1</v>
      </c>
      <c r="S141" s="3053">
        <f t="shared" si="12"/>
        <v>1</v>
      </c>
      <c r="T141" s="3053">
        <f t="shared" si="12"/>
        <v>1</v>
      </c>
      <c r="U141" s="3053">
        <f t="shared" si="12"/>
        <v>1</v>
      </c>
      <c r="V141" s="3053">
        <f t="shared" si="12"/>
        <v>1</v>
      </c>
      <c r="W141" s="3053">
        <f t="shared" si="12"/>
        <v>0.99999999999999989</v>
      </c>
      <c r="X141" s="3053">
        <f t="shared" si="12"/>
        <v>1</v>
      </c>
      <c r="Y141" s="3053">
        <f t="shared" si="12"/>
        <v>0.99999999999999989</v>
      </c>
      <c r="Z141" s="3053">
        <f t="shared" si="12"/>
        <v>1</v>
      </c>
      <c r="AA141" s="3053">
        <f t="shared" si="12"/>
        <v>1</v>
      </c>
      <c r="AB141" s="3053">
        <f t="shared" si="12"/>
        <v>0.99999999999999989</v>
      </c>
      <c r="AC141" s="3053">
        <f t="shared" si="12"/>
        <v>1</v>
      </c>
      <c r="AD141" s="3053">
        <f t="shared" si="12"/>
        <v>1</v>
      </c>
      <c r="AE141" s="1197">
        <f t="shared" si="12"/>
        <v>1</v>
      </c>
      <c r="AF141" s="1197">
        <f t="shared" si="12"/>
        <v>1</v>
      </c>
    </row>
    <row r="142" spans="1:32">
      <c r="A142" s="3043">
        <v>200</v>
      </c>
      <c r="B142" s="3044">
        <v>28</v>
      </c>
      <c r="C142" s="3052">
        <v>0</v>
      </c>
      <c r="D142" s="3052">
        <v>0</v>
      </c>
      <c r="E142" s="3052">
        <v>0</v>
      </c>
      <c r="F142" s="3052">
        <v>0</v>
      </c>
      <c r="G142" s="3052">
        <v>0</v>
      </c>
      <c r="H142" s="3052">
        <v>0</v>
      </c>
      <c r="I142" s="3052">
        <v>0</v>
      </c>
      <c r="J142" s="3052">
        <v>0</v>
      </c>
      <c r="K142" s="3052">
        <v>0</v>
      </c>
      <c r="L142" s="3052">
        <v>0</v>
      </c>
      <c r="M142" s="3052">
        <v>0</v>
      </c>
      <c r="N142" s="3052">
        <v>0</v>
      </c>
      <c r="O142" s="3052">
        <v>0</v>
      </c>
      <c r="P142" s="3052">
        <v>0</v>
      </c>
      <c r="Q142" s="3052">
        <v>0</v>
      </c>
      <c r="R142" s="3053">
        <f t="shared" si="12"/>
        <v>1</v>
      </c>
      <c r="S142" s="3053">
        <f t="shared" si="12"/>
        <v>1</v>
      </c>
      <c r="T142" s="3053">
        <f t="shared" si="12"/>
        <v>1</v>
      </c>
      <c r="U142" s="3053">
        <f t="shared" si="12"/>
        <v>1</v>
      </c>
      <c r="V142" s="3053">
        <f t="shared" si="12"/>
        <v>1</v>
      </c>
      <c r="W142" s="3053">
        <f t="shared" si="12"/>
        <v>0.99999999999999989</v>
      </c>
      <c r="X142" s="3053">
        <f t="shared" si="12"/>
        <v>1</v>
      </c>
      <c r="Y142" s="3053">
        <f t="shared" si="12"/>
        <v>0.99999999999999989</v>
      </c>
      <c r="Z142" s="3053">
        <f t="shared" si="12"/>
        <v>1</v>
      </c>
      <c r="AA142" s="3053">
        <f t="shared" si="12"/>
        <v>1</v>
      </c>
      <c r="AB142" s="3053">
        <f t="shared" si="12"/>
        <v>0.99999999999999989</v>
      </c>
      <c r="AC142" s="3053">
        <f t="shared" si="12"/>
        <v>1</v>
      </c>
      <c r="AD142" s="3053">
        <f t="shared" si="12"/>
        <v>1</v>
      </c>
      <c r="AE142" s="1197">
        <f t="shared" si="12"/>
        <v>1</v>
      </c>
      <c r="AF142" s="1197">
        <f t="shared" si="12"/>
        <v>1</v>
      </c>
    </row>
    <row r="143" spans="1:32">
      <c r="A143" s="3043">
        <v>200</v>
      </c>
      <c r="B143" s="3044">
        <v>29</v>
      </c>
      <c r="C143" s="3052">
        <v>0</v>
      </c>
      <c r="D143" s="3052">
        <v>0</v>
      </c>
      <c r="E143" s="3052">
        <v>0</v>
      </c>
      <c r="F143" s="3052">
        <v>0</v>
      </c>
      <c r="G143" s="3052">
        <v>0</v>
      </c>
      <c r="H143" s="3052">
        <v>0</v>
      </c>
      <c r="I143" s="3052">
        <v>0</v>
      </c>
      <c r="J143" s="3052">
        <v>0</v>
      </c>
      <c r="K143" s="3052">
        <v>0</v>
      </c>
      <c r="L143" s="3052">
        <v>0</v>
      </c>
      <c r="M143" s="3052">
        <v>0</v>
      </c>
      <c r="N143" s="3052">
        <v>0</v>
      </c>
      <c r="O143" s="3052">
        <v>0</v>
      </c>
      <c r="P143" s="3052">
        <v>0</v>
      </c>
      <c r="Q143" s="3052">
        <v>0</v>
      </c>
      <c r="R143" s="3053">
        <f t="shared" si="12"/>
        <v>1</v>
      </c>
      <c r="S143" s="3053">
        <f t="shared" si="12"/>
        <v>1</v>
      </c>
      <c r="T143" s="3053">
        <f t="shared" si="12"/>
        <v>1</v>
      </c>
      <c r="U143" s="3053">
        <f t="shared" si="12"/>
        <v>1</v>
      </c>
      <c r="V143" s="3053">
        <f t="shared" si="12"/>
        <v>1</v>
      </c>
      <c r="W143" s="3053">
        <f t="shared" si="12"/>
        <v>0.99999999999999989</v>
      </c>
      <c r="X143" s="3053">
        <f t="shared" si="12"/>
        <v>1</v>
      </c>
      <c r="Y143" s="3053">
        <f t="shared" si="12"/>
        <v>0.99999999999999989</v>
      </c>
      <c r="Z143" s="3053">
        <f t="shared" si="12"/>
        <v>1</v>
      </c>
      <c r="AA143" s="3053">
        <f t="shared" si="12"/>
        <v>1</v>
      </c>
      <c r="AB143" s="3053">
        <f t="shared" si="12"/>
        <v>0.99999999999999989</v>
      </c>
      <c r="AC143" s="3053">
        <f t="shared" si="12"/>
        <v>1</v>
      </c>
      <c r="AD143" s="3053">
        <f t="shared" si="12"/>
        <v>1</v>
      </c>
      <c r="AE143" s="1197">
        <f t="shared" si="12"/>
        <v>1</v>
      </c>
      <c r="AF143" s="1197">
        <f t="shared" si="12"/>
        <v>1</v>
      </c>
    </row>
    <row r="144" spans="1:32">
      <c r="A144" s="3043">
        <v>200</v>
      </c>
      <c r="B144" s="3044">
        <v>30</v>
      </c>
      <c r="C144" s="3052">
        <v>0</v>
      </c>
      <c r="D144" s="3052">
        <v>0</v>
      </c>
      <c r="E144" s="3052">
        <v>0</v>
      </c>
      <c r="F144" s="3052">
        <v>0</v>
      </c>
      <c r="G144" s="3052">
        <v>0</v>
      </c>
      <c r="H144" s="3052">
        <v>0</v>
      </c>
      <c r="I144" s="3052">
        <v>0</v>
      </c>
      <c r="J144" s="3052">
        <v>0</v>
      </c>
      <c r="K144" s="3052">
        <v>0</v>
      </c>
      <c r="L144" s="3052">
        <v>0</v>
      </c>
      <c r="M144" s="3052">
        <v>0</v>
      </c>
      <c r="N144" s="3052">
        <v>0</v>
      </c>
      <c r="O144" s="3052">
        <v>0</v>
      </c>
      <c r="P144" s="3052">
        <v>0</v>
      </c>
      <c r="Q144" s="3052">
        <v>0</v>
      </c>
      <c r="R144" s="3053">
        <f t="shared" si="12"/>
        <v>1</v>
      </c>
      <c r="S144" s="3053">
        <f t="shared" si="12"/>
        <v>1</v>
      </c>
      <c r="T144" s="3053">
        <f t="shared" si="12"/>
        <v>1</v>
      </c>
      <c r="U144" s="3053">
        <f t="shared" si="12"/>
        <v>1</v>
      </c>
      <c r="V144" s="3053">
        <f t="shared" si="12"/>
        <v>1</v>
      </c>
      <c r="W144" s="3053">
        <f t="shared" si="12"/>
        <v>0.99999999999999989</v>
      </c>
      <c r="X144" s="3053">
        <f t="shared" si="12"/>
        <v>1</v>
      </c>
      <c r="Y144" s="3053">
        <f t="shared" si="12"/>
        <v>0.99999999999999989</v>
      </c>
      <c r="Z144" s="3053">
        <f t="shared" si="12"/>
        <v>1</v>
      </c>
      <c r="AA144" s="3053">
        <f t="shared" si="12"/>
        <v>1</v>
      </c>
      <c r="AB144" s="3053">
        <f t="shared" si="12"/>
        <v>0.99999999999999989</v>
      </c>
      <c r="AC144" s="3053">
        <f t="shared" si="12"/>
        <v>1</v>
      </c>
      <c r="AD144" s="3053">
        <f t="shared" si="12"/>
        <v>1</v>
      </c>
      <c r="AE144" s="1197">
        <f t="shared" si="12"/>
        <v>1</v>
      </c>
      <c r="AF144" s="1197">
        <f t="shared" si="12"/>
        <v>1</v>
      </c>
    </row>
    <row r="145" spans="1:32">
      <c r="A145" s="3043">
        <v>200</v>
      </c>
      <c r="B145" s="3044">
        <v>31</v>
      </c>
      <c r="C145" s="3052">
        <v>0</v>
      </c>
      <c r="D145" s="3052">
        <v>0</v>
      </c>
      <c r="E145" s="3052">
        <v>0</v>
      </c>
      <c r="F145" s="3052">
        <v>0</v>
      </c>
      <c r="G145" s="3052">
        <v>0</v>
      </c>
      <c r="H145" s="3052">
        <v>0</v>
      </c>
      <c r="I145" s="3052">
        <v>0</v>
      </c>
      <c r="J145" s="3052">
        <v>0</v>
      </c>
      <c r="K145" s="3052">
        <v>0</v>
      </c>
      <c r="L145" s="3052">
        <v>0</v>
      </c>
      <c r="M145" s="3052">
        <v>0</v>
      </c>
      <c r="N145" s="3052">
        <v>0</v>
      </c>
      <c r="O145" s="3052">
        <v>0</v>
      </c>
      <c r="P145" s="3052">
        <v>0</v>
      </c>
      <c r="Q145" s="3052">
        <v>0</v>
      </c>
      <c r="R145" s="3053">
        <f t="shared" si="12"/>
        <v>1</v>
      </c>
      <c r="S145" s="3053">
        <f t="shared" si="12"/>
        <v>1</v>
      </c>
      <c r="T145" s="3053">
        <f t="shared" si="12"/>
        <v>1</v>
      </c>
      <c r="U145" s="3053">
        <f t="shared" si="12"/>
        <v>1</v>
      </c>
      <c r="V145" s="3053">
        <f t="shared" si="12"/>
        <v>1</v>
      </c>
      <c r="W145" s="3053">
        <f t="shared" si="12"/>
        <v>0.99999999999999989</v>
      </c>
      <c r="X145" s="3053">
        <f t="shared" si="12"/>
        <v>1</v>
      </c>
      <c r="Y145" s="3053">
        <f t="shared" si="12"/>
        <v>0.99999999999999989</v>
      </c>
      <c r="Z145" s="3053">
        <f t="shared" si="12"/>
        <v>1</v>
      </c>
      <c r="AA145" s="3053">
        <f t="shared" si="12"/>
        <v>1</v>
      </c>
      <c r="AB145" s="3053">
        <f t="shared" si="12"/>
        <v>0.99999999999999989</v>
      </c>
      <c r="AC145" s="3053">
        <f t="shared" si="12"/>
        <v>1</v>
      </c>
      <c r="AD145" s="3053">
        <f t="shared" si="12"/>
        <v>1</v>
      </c>
      <c r="AE145" s="1197">
        <f t="shared" si="12"/>
        <v>1</v>
      </c>
      <c r="AF145" s="1197">
        <f t="shared" si="12"/>
        <v>1</v>
      </c>
    </row>
    <row r="146" spans="1:32">
      <c r="A146" s="3043">
        <v>200</v>
      </c>
      <c r="B146" s="3044">
        <v>32</v>
      </c>
      <c r="C146" s="3052">
        <v>0</v>
      </c>
      <c r="D146" s="3052">
        <v>0</v>
      </c>
      <c r="E146" s="3052">
        <v>0</v>
      </c>
      <c r="F146" s="3052">
        <v>0</v>
      </c>
      <c r="G146" s="3052">
        <v>0</v>
      </c>
      <c r="H146" s="3052">
        <v>0</v>
      </c>
      <c r="I146" s="3052">
        <v>0</v>
      </c>
      <c r="J146" s="3052">
        <v>0</v>
      </c>
      <c r="K146" s="3052">
        <v>0</v>
      </c>
      <c r="L146" s="3052">
        <v>0</v>
      </c>
      <c r="M146" s="3052">
        <v>0</v>
      </c>
      <c r="N146" s="3052">
        <v>0</v>
      </c>
      <c r="O146" s="3052">
        <v>0</v>
      </c>
      <c r="P146" s="3052">
        <v>0</v>
      </c>
      <c r="Q146" s="3052">
        <v>0</v>
      </c>
      <c r="R146" s="3053">
        <f t="shared" si="12"/>
        <v>1</v>
      </c>
      <c r="S146" s="3053">
        <f t="shared" si="12"/>
        <v>1</v>
      </c>
      <c r="T146" s="3053">
        <f t="shared" si="12"/>
        <v>1</v>
      </c>
      <c r="U146" s="3053">
        <f t="shared" si="12"/>
        <v>1</v>
      </c>
      <c r="V146" s="3053">
        <f t="shared" si="12"/>
        <v>1</v>
      </c>
      <c r="W146" s="3053">
        <f t="shared" si="12"/>
        <v>0.99999999999999989</v>
      </c>
      <c r="X146" s="3053">
        <f t="shared" si="12"/>
        <v>1</v>
      </c>
      <c r="Y146" s="3053">
        <f t="shared" si="12"/>
        <v>0.99999999999999989</v>
      </c>
      <c r="Z146" s="3053">
        <f t="shared" si="12"/>
        <v>1</v>
      </c>
      <c r="AA146" s="3053">
        <f t="shared" si="12"/>
        <v>1</v>
      </c>
      <c r="AB146" s="3053">
        <f t="shared" si="12"/>
        <v>0.99999999999999989</v>
      </c>
      <c r="AC146" s="3053">
        <f t="shared" si="12"/>
        <v>1</v>
      </c>
      <c r="AD146" s="3053">
        <f t="shared" si="12"/>
        <v>1</v>
      </c>
      <c r="AE146" s="1197">
        <f t="shared" si="12"/>
        <v>1</v>
      </c>
      <c r="AF146" s="1197">
        <f t="shared" si="12"/>
        <v>1</v>
      </c>
    </row>
    <row r="147" spans="1:32">
      <c r="A147" s="3043">
        <v>200</v>
      </c>
      <c r="B147" s="3044">
        <v>33</v>
      </c>
      <c r="C147" s="3052">
        <v>0</v>
      </c>
      <c r="D147" s="3052">
        <v>0</v>
      </c>
      <c r="E147" s="3052">
        <v>0</v>
      </c>
      <c r="F147" s="3052">
        <v>0</v>
      </c>
      <c r="G147" s="3052">
        <v>0</v>
      </c>
      <c r="H147" s="3052">
        <v>0</v>
      </c>
      <c r="I147" s="3052">
        <v>0</v>
      </c>
      <c r="J147" s="3052">
        <v>0</v>
      </c>
      <c r="K147" s="3052">
        <v>0</v>
      </c>
      <c r="L147" s="3052">
        <v>0</v>
      </c>
      <c r="M147" s="3052">
        <v>0</v>
      </c>
      <c r="N147" s="3052">
        <v>0</v>
      </c>
      <c r="O147" s="3052">
        <v>0</v>
      </c>
      <c r="P147" s="3052">
        <v>0</v>
      </c>
      <c r="Q147" s="3052">
        <v>0</v>
      </c>
      <c r="R147" s="3053">
        <f t="shared" si="12"/>
        <v>1</v>
      </c>
      <c r="S147" s="3053">
        <f t="shared" si="12"/>
        <v>1</v>
      </c>
      <c r="T147" s="3053">
        <f t="shared" si="12"/>
        <v>1</v>
      </c>
      <c r="U147" s="3053">
        <f t="shared" si="12"/>
        <v>1</v>
      </c>
      <c r="V147" s="3053">
        <f t="shared" si="12"/>
        <v>1</v>
      </c>
      <c r="W147" s="3053">
        <f t="shared" si="12"/>
        <v>0.99999999999999989</v>
      </c>
      <c r="X147" s="3053">
        <f t="shared" si="12"/>
        <v>1</v>
      </c>
      <c r="Y147" s="3053">
        <f t="shared" si="12"/>
        <v>0.99999999999999989</v>
      </c>
      <c r="Z147" s="3053">
        <f t="shared" si="12"/>
        <v>1</v>
      </c>
      <c r="AA147" s="3053">
        <f t="shared" si="12"/>
        <v>1</v>
      </c>
      <c r="AB147" s="3053">
        <f t="shared" si="12"/>
        <v>0.99999999999999989</v>
      </c>
      <c r="AC147" s="3053">
        <f t="shared" si="12"/>
        <v>1</v>
      </c>
      <c r="AD147" s="3053">
        <f t="shared" si="12"/>
        <v>1</v>
      </c>
      <c r="AE147" s="1197">
        <f t="shared" si="12"/>
        <v>1</v>
      </c>
      <c r="AF147" s="1197">
        <f t="shared" si="12"/>
        <v>1</v>
      </c>
    </row>
    <row r="148" spans="1:32">
      <c r="A148" s="3043">
        <v>200</v>
      </c>
      <c r="B148" s="3044">
        <v>34</v>
      </c>
      <c r="C148" s="3052">
        <v>0</v>
      </c>
      <c r="D148" s="3052">
        <v>0</v>
      </c>
      <c r="E148" s="3052">
        <v>0</v>
      </c>
      <c r="F148" s="3052">
        <v>0</v>
      </c>
      <c r="G148" s="3052">
        <v>0</v>
      </c>
      <c r="H148" s="3052">
        <v>0</v>
      </c>
      <c r="I148" s="3052">
        <v>0</v>
      </c>
      <c r="J148" s="3052">
        <v>0</v>
      </c>
      <c r="K148" s="3052">
        <v>0</v>
      </c>
      <c r="L148" s="3052">
        <v>0</v>
      </c>
      <c r="M148" s="3052">
        <v>0</v>
      </c>
      <c r="N148" s="3052">
        <v>0</v>
      </c>
      <c r="O148" s="3052">
        <v>0</v>
      </c>
      <c r="P148" s="3052">
        <v>0</v>
      </c>
      <c r="Q148" s="3052">
        <v>0</v>
      </c>
      <c r="R148" s="3053">
        <f t="shared" ref="R148:AF163" si="13">C148+R147</f>
        <v>1</v>
      </c>
      <c r="S148" s="3053">
        <f t="shared" si="13"/>
        <v>1</v>
      </c>
      <c r="T148" s="3053">
        <f t="shared" si="13"/>
        <v>1</v>
      </c>
      <c r="U148" s="3053">
        <f t="shared" si="13"/>
        <v>1</v>
      </c>
      <c r="V148" s="3053">
        <f t="shared" si="13"/>
        <v>1</v>
      </c>
      <c r="W148" s="3053">
        <f t="shared" si="13"/>
        <v>0.99999999999999989</v>
      </c>
      <c r="X148" s="3053">
        <f t="shared" si="13"/>
        <v>1</v>
      </c>
      <c r="Y148" s="3053">
        <f t="shared" si="13"/>
        <v>0.99999999999999989</v>
      </c>
      <c r="Z148" s="3053">
        <f t="shared" si="13"/>
        <v>1</v>
      </c>
      <c r="AA148" s="3053">
        <f t="shared" si="13"/>
        <v>1</v>
      </c>
      <c r="AB148" s="3053">
        <f t="shared" si="13"/>
        <v>0.99999999999999989</v>
      </c>
      <c r="AC148" s="3053">
        <f t="shared" si="13"/>
        <v>1</v>
      </c>
      <c r="AD148" s="3053">
        <f t="shared" si="13"/>
        <v>1</v>
      </c>
      <c r="AE148" s="1197">
        <f t="shared" si="13"/>
        <v>1</v>
      </c>
      <c r="AF148" s="1197">
        <f t="shared" si="13"/>
        <v>1</v>
      </c>
    </row>
    <row r="149" spans="1:32">
      <c r="A149" s="3043">
        <v>200</v>
      </c>
      <c r="B149" s="3044">
        <v>35</v>
      </c>
      <c r="C149" s="3052">
        <v>0</v>
      </c>
      <c r="D149" s="3052">
        <v>0</v>
      </c>
      <c r="E149" s="3052">
        <v>0</v>
      </c>
      <c r="F149" s="3052">
        <v>0</v>
      </c>
      <c r="G149" s="3052">
        <v>0</v>
      </c>
      <c r="H149" s="3052">
        <v>0</v>
      </c>
      <c r="I149" s="3052">
        <v>0</v>
      </c>
      <c r="J149" s="3052">
        <v>0</v>
      </c>
      <c r="K149" s="3052">
        <v>0</v>
      </c>
      <c r="L149" s="3052">
        <v>0</v>
      </c>
      <c r="M149" s="3052">
        <v>0</v>
      </c>
      <c r="N149" s="3052">
        <v>0</v>
      </c>
      <c r="O149" s="3052">
        <v>0</v>
      </c>
      <c r="P149" s="3052">
        <v>0</v>
      </c>
      <c r="Q149" s="3052">
        <v>0</v>
      </c>
      <c r="R149" s="3053">
        <f t="shared" si="13"/>
        <v>1</v>
      </c>
      <c r="S149" s="3053">
        <f t="shared" si="13"/>
        <v>1</v>
      </c>
      <c r="T149" s="3053">
        <f t="shared" si="13"/>
        <v>1</v>
      </c>
      <c r="U149" s="3053">
        <f t="shared" si="13"/>
        <v>1</v>
      </c>
      <c r="V149" s="3053">
        <f t="shared" si="13"/>
        <v>1</v>
      </c>
      <c r="W149" s="3053">
        <f t="shared" si="13"/>
        <v>0.99999999999999989</v>
      </c>
      <c r="X149" s="3053">
        <f t="shared" si="13"/>
        <v>1</v>
      </c>
      <c r="Y149" s="3053">
        <f t="shared" si="13"/>
        <v>0.99999999999999989</v>
      </c>
      <c r="Z149" s="3053">
        <f t="shared" si="13"/>
        <v>1</v>
      </c>
      <c r="AA149" s="3053">
        <f t="shared" si="13"/>
        <v>1</v>
      </c>
      <c r="AB149" s="3053">
        <f t="shared" si="13"/>
        <v>0.99999999999999989</v>
      </c>
      <c r="AC149" s="3053">
        <f t="shared" si="13"/>
        <v>1</v>
      </c>
      <c r="AD149" s="3053">
        <f t="shared" si="13"/>
        <v>1</v>
      </c>
      <c r="AE149" s="1197">
        <f t="shared" si="13"/>
        <v>1</v>
      </c>
      <c r="AF149" s="1197">
        <f t="shared" si="13"/>
        <v>1</v>
      </c>
    </row>
    <row r="150" spans="1:32">
      <c r="A150" s="3043">
        <v>200</v>
      </c>
      <c r="B150" s="3044">
        <v>36</v>
      </c>
      <c r="C150" s="3052">
        <v>0</v>
      </c>
      <c r="D150" s="3052">
        <v>0</v>
      </c>
      <c r="E150" s="3052">
        <v>0</v>
      </c>
      <c r="F150" s="3052">
        <v>0</v>
      </c>
      <c r="G150" s="3052">
        <v>0</v>
      </c>
      <c r="H150" s="3052">
        <v>0</v>
      </c>
      <c r="I150" s="3052">
        <v>0</v>
      </c>
      <c r="J150" s="3052">
        <v>0</v>
      </c>
      <c r="K150" s="3052">
        <v>0</v>
      </c>
      <c r="L150" s="3052">
        <v>0</v>
      </c>
      <c r="M150" s="3052">
        <v>0</v>
      </c>
      <c r="N150" s="3052">
        <v>0</v>
      </c>
      <c r="O150" s="3052">
        <v>0</v>
      </c>
      <c r="P150" s="3052">
        <v>0</v>
      </c>
      <c r="Q150" s="3052">
        <v>0</v>
      </c>
      <c r="R150" s="3053">
        <f t="shared" si="13"/>
        <v>1</v>
      </c>
      <c r="S150" s="3053">
        <f t="shared" si="13"/>
        <v>1</v>
      </c>
      <c r="T150" s="3053">
        <f t="shared" si="13"/>
        <v>1</v>
      </c>
      <c r="U150" s="3053">
        <f t="shared" si="13"/>
        <v>1</v>
      </c>
      <c r="V150" s="3053">
        <f t="shared" si="13"/>
        <v>1</v>
      </c>
      <c r="W150" s="3053">
        <f t="shared" si="13"/>
        <v>0.99999999999999989</v>
      </c>
      <c r="X150" s="3053">
        <f t="shared" si="13"/>
        <v>1</v>
      </c>
      <c r="Y150" s="3053">
        <f t="shared" si="13"/>
        <v>0.99999999999999989</v>
      </c>
      <c r="Z150" s="3053">
        <f t="shared" si="13"/>
        <v>1</v>
      </c>
      <c r="AA150" s="3053">
        <f t="shared" si="13"/>
        <v>1</v>
      </c>
      <c r="AB150" s="3053">
        <f t="shared" si="13"/>
        <v>0.99999999999999989</v>
      </c>
      <c r="AC150" s="3053">
        <f t="shared" si="13"/>
        <v>1</v>
      </c>
      <c r="AD150" s="3053">
        <f t="shared" si="13"/>
        <v>1</v>
      </c>
      <c r="AE150" s="1197">
        <f t="shared" si="13"/>
        <v>1</v>
      </c>
      <c r="AF150" s="1197">
        <f t="shared" si="13"/>
        <v>1</v>
      </c>
    </row>
    <row r="151" spans="1:32">
      <c r="A151" s="3043">
        <v>200</v>
      </c>
      <c r="B151" s="3044">
        <v>37</v>
      </c>
      <c r="C151" s="3052">
        <v>0</v>
      </c>
      <c r="D151" s="3052">
        <v>0</v>
      </c>
      <c r="E151" s="3052">
        <v>0</v>
      </c>
      <c r="F151" s="3052">
        <v>0</v>
      </c>
      <c r="G151" s="3052">
        <v>0</v>
      </c>
      <c r="H151" s="3052">
        <v>0</v>
      </c>
      <c r="I151" s="3052">
        <v>0</v>
      </c>
      <c r="J151" s="3052">
        <v>0</v>
      </c>
      <c r="K151" s="3052">
        <v>0</v>
      </c>
      <c r="L151" s="3052">
        <v>0</v>
      </c>
      <c r="M151" s="3052">
        <v>0</v>
      </c>
      <c r="N151" s="3052">
        <v>0</v>
      </c>
      <c r="O151" s="3052">
        <v>0</v>
      </c>
      <c r="P151" s="3052">
        <v>0</v>
      </c>
      <c r="Q151" s="3052">
        <v>0</v>
      </c>
      <c r="R151" s="3053">
        <f t="shared" si="13"/>
        <v>1</v>
      </c>
      <c r="S151" s="3053">
        <f t="shared" si="13"/>
        <v>1</v>
      </c>
      <c r="T151" s="3053">
        <f t="shared" si="13"/>
        <v>1</v>
      </c>
      <c r="U151" s="3053">
        <f t="shared" si="13"/>
        <v>1</v>
      </c>
      <c r="V151" s="3053">
        <f t="shared" si="13"/>
        <v>1</v>
      </c>
      <c r="W151" s="3053">
        <f t="shared" si="13"/>
        <v>0.99999999999999989</v>
      </c>
      <c r="X151" s="3053">
        <f t="shared" si="13"/>
        <v>1</v>
      </c>
      <c r="Y151" s="3053">
        <f t="shared" si="13"/>
        <v>0.99999999999999989</v>
      </c>
      <c r="Z151" s="3053">
        <f t="shared" si="13"/>
        <v>1</v>
      </c>
      <c r="AA151" s="3053">
        <f t="shared" si="13"/>
        <v>1</v>
      </c>
      <c r="AB151" s="3053">
        <f t="shared" si="13"/>
        <v>0.99999999999999989</v>
      </c>
      <c r="AC151" s="3053">
        <f t="shared" si="13"/>
        <v>1</v>
      </c>
      <c r="AD151" s="3053">
        <f t="shared" si="13"/>
        <v>1</v>
      </c>
      <c r="AE151" s="1197">
        <f t="shared" si="13"/>
        <v>1</v>
      </c>
      <c r="AF151" s="1197">
        <f t="shared" si="13"/>
        <v>1</v>
      </c>
    </row>
    <row r="152" spans="1:32">
      <c r="A152" s="3043">
        <v>200</v>
      </c>
      <c r="B152" s="3044">
        <v>38</v>
      </c>
      <c r="C152" s="3052">
        <v>0</v>
      </c>
      <c r="D152" s="3052">
        <v>0</v>
      </c>
      <c r="E152" s="3052">
        <v>0</v>
      </c>
      <c r="F152" s="3052">
        <v>0</v>
      </c>
      <c r="G152" s="3052">
        <v>0</v>
      </c>
      <c r="H152" s="3052">
        <v>0</v>
      </c>
      <c r="I152" s="3052">
        <v>0</v>
      </c>
      <c r="J152" s="3052">
        <v>0</v>
      </c>
      <c r="K152" s="3052">
        <v>0</v>
      </c>
      <c r="L152" s="3052">
        <v>0</v>
      </c>
      <c r="M152" s="3052">
        <v>0</v>
      </c>
      <c r="N152" s="3052">
        <v>0</v>
      </c>
      <c r="O152" s="3052">
        <v>0</v>
      </c>
      <c r="P152" s="3052">
        <v>0</v>
      </c>
      <c r="Q152" s="3052">
        <v>0</v>
      </c>
      <c r="R152" s="3053">
        <f t="shared" si="13"/>
        <v>1</v>
      </c>
      <c r="S152" s="3053">
        <f t="shared" si="13"/>
        <v>1</v>
      </c>
      <c r="T152" s="3053">
        <f t="shared" si="13"/>
        <v>1</v>
      </c>
      <c r="U152" s="3053">
        <f t="shared" si="13"/>
        <v>1</v>
      </c>
      <c r="V152" s="3053">
        <f t="shared" si="13"/>
        <v>1</v>
      </c>
      <c r="W152" s="3053">
        <f t="shared" si="13"/>
        <v>0.99999999999999989</v>
      </c>
      <c r="X152" s="3053">
        <f t="shared" si="13"/>
        <v>1</v>
      </c>
      <c r="Y152" s="3053">
        <f t="shared" si="13"/>
        <v>0.99999999999999989</v>
      </c>
      <c r="Z152" s="3053">
        <f t="shared" si="13"/>
        <v>1</v>
      </c>
      <c r="AA152" s="3053">
        <f t="shared" si="13"/>
        <v>1</v>
      </c>
      <c r="AB152" s="3053">
        <f t="shared" si="13"/>
        <v>0.99999999999999989</v>
      </c>
      <c r="AC152" s="3053">
        <f t="shared" si="13"/>
        <v>1</v>
      </c>
      <c r="AD152" s="3053">
        <f t="shared" si="13"/>
        <v>1</v>
      </c>
      <c r="AE152" s="1197">
        <f t="shared" si="13"/>
        <v>1</v>
      </c>
      <c r="AF152" s="1197">
        <f t="shared" si="13"/>
        <v>1</v>
      </c>
    </row>
    <row r="153" spans="1:32">
      <c r="A153" s="3043">
        <v>200</v>
      </c>
      <c r="B153" s="3044">
        <v>39</v>
      </c>
      <c r="C153" s="3052">
        <v>0</v>
      </c>
      <c r="D153" s="3052">
        <v>0</v>
      </c>
      <c r="E153" s="3052">
        <v>0</v>
      </c>
      <c r="F153" s="3052">
        <v>0</v>
      </c>
      <c r="G153" s="3052">
        <v>0</v>
      </c>
      <c r="H153" s="3052">
        <v>0</v>
      </c>
      <c r="I153" s="3052">
        <v>0</v>
      </c>
      <c r="J153" s="3052">
        <v>0</v>
      </c>
      <c r="K153" s="3052">
        <v>0</v>
      </c>
      <c r="L153" s="3052">
        <v>0</v>
      </c>
      <c r="M153" s="3052">
        <v>0</v>
      </c>
      <c r="N153" s="3052">
        <v>0</v>
      </c>
      <c r="O153" s="3052">
        <v>0</v>
      </c>
      <c r="P153" s="3052">
        <v>0</v>
      </c>
      <c r="Q153" s="3052">
        <v>0</v>
      </c>
      <c r="R153" s="3053">
        <f t="shared" si="13"/>
        <v>1</v>
      </c>
      <c r="S153" s="3053">
        <f t="shared" si="13"/>
        <v>1</v>
      </c>
      <c r="T153" s="3053">
        <f t="shared" si="13"/>
        <v>1</v>
      </c>
      <c r="U153" s="3053">
        <f t="shared" si="13"/>
        <v>1</v>
      </c>
      <c r="V153" s="3053">
        <f t="shared" si="13"/>
        <v>1</v>
      </c>
      <c r="W153" s="3053">
        <f t="shared" si="13"/>
        <v>0.99999999999999989</v>
      </c>
      <c r="X153" s="3053">
        <f t="shared" si="13"/>
        <v>1</v>
      </c>
      <c r="Y153" s="3053">
        <f t="shared" si="13"/>
        <v>0.99999999999999989</v>
      </c>
      <c r="Z153" s="3053">
        <f t="shared" si="13"/>
        <v>1</v>
      </c>
      <c r="AA153" s="3053">
        <f t="shared" si="13"/>
        <v>1</v>
      </c>
      <c r="AB153" s="3053">
        <f t="shared" si="13"/>
        <v>0.99999999999999989</v>
      </c>
      <c r="AC153" s="3053">
        <f t="shared" si="13"/>
        <v>1</v>
      </c>
      <c r="AD153" s="3053">
        <f t="shared" si="13"/>
        <v>1</v>
      </c>
      <c r="AE153" s="1197">
        <f t="shared" si="13"/>
        <v>1</v>
      </c>
      <c r="AF153" s="1197">
        <f t="shared" si="13"/>
        <v>1</v>
      </c>
    </row>
    <row r="154" spans="1:32">
      <c r="A154" s="3043">
        <v>200</v>
      </c>
      <c r="B154" s="3044">
        <v>40</v>
      </c>
      <c r="C154" s="3052">
        <v>0</v>
      </c>
      <c r="D154" s="3052">
        <v>0</v>
      </c>
      <c r="E154" s="3052">
        <v>0</v>
      </c>
      <c r="F154" s="3052">
        <v>0</v>
      </c>
      <c r="G154" s="3052">
        <v>0</v>
      </c>
      <c r="H154" s="3052">
        <v>0</v>
      </c>
      <c r="I154" s="3052">
        <v>0</v>
      </c>
      <c r="J154" s="3052">
        <v>0</v>
      </c>
      <c r="K154" s="3052">
        <v>0</v>
      </c>
      <c r="L154" s="3052">
        <v>0</v>
      </c>
      <c r="M154" s="3052">
        <v>0</v>
      </c>
      <c r="N154" s="3052">
        <v>0</v>
      </c>
      <c r="O154" s="3052">
        <v>0</v>
      </c>
      <c r="P154" s="3052">
        <v>0</v>
      </c>
      <c r="Q154" s="3052">
        <v>0</v>
      </c>
      <c r="R154" s="3053">
        <f t="shared" si="13"/>
        <v>1</v>
      </c>
      <c r="S154" s="3053">
        <f t="shared" si="13"/>
        <v>1</v>
      </c>
      <c r="T154" s="3053">
        <f t="shared" si="13"/>
        <v>1</v>
      </c>
      <c r="U154" s="3053">
        <f t="shared" si="13"/>
        <v>1</v>
      </c>
      <c r="V154" s="3053">
        <f t="shared" si="13"/>
        <v>1</v>
      </c>
      <c r="W154" s="3053">
        <f t="shared" si="13"/>
        <v>0.99999999999999989</v>
      </c>
      <c r="X154" s="3053">
        <f t="shared" si="13"/>
        <v>1</v>
      </c>
      <c r="Y154" s="3053">
        <f t="shared" si="13"/>
        <v>0.99999999999999989</v>
      </c>
      <c r="Z154" s="3053">
        <f t="shared" si="13"/>
        <v>1</v>
      </c>
      <c r="AA154" s="3053">
        <f t="shared" si="13"/>
        <v>1</v>
      </c>
      <c r="AB154" s="3053">
        <f t="shared" si="13"/>
        <v>0.99999999999999989</v>
      </c>
      <c r="AC154" s="3053">
        <f t="shared" si="13"/>
        <v>1</v>
      </c>
      <c r="AD154" s="3053">
        <f t="shared" si="13"/>
        <v>1</v>
      </c>
      <c r="AE154" s="1197">
        <f t="shared" si="13"/>
        <v>1</v>
      </c>
      <c r="AF154" s="1197">
        <f t="shared" si="13"/>
        <v>1</v>
      </c>
    </row>
    <row r="155" spans="1:32">
      <c r="A155" s="3043">
        <v>200</v>
      </c>
      <c r="B155" s="3044">
        <v>41</v>
      </c>
      <c r="C155" s="3052">
        <v>0</v>
      </c>
      <c r="D155" s="3052">
        <v>0</v>
      </c>
      <c r="E155" s="3052">
        <v>0</v>
      </c>
      <c r="F155" s="3052">
        <v>0</v>
      </c>
      <c r="G155" s="3052">
        <v>0</v>
      </c>
      <c r="H155" s="3052">
        <v>0</v>
      </c>
      <c r="I155" s="3052">
        <v>0</v>
      </c>
      <c r="J155" s="3052">
        <v>0</v>
      </c>
      <c r="K155" s="3052">
        <v>0</v>
      </c>
      <c r="L155" s="3052">
        <v>0</v>
      </c>
      <c r="M155" s="3052">
        <v>0</v>
      </c>
      <c r="N155" s="3052">
        <v>0</v>
      </c>
      <c r="O155" s="3052">
        <v>0</v>
      </c>
      <c r="P155" s="3052">
        <v>0</v>
      </c>
      <c r="Q155" s="3052">
        <v>0</v>
      </c>
      <c r="R155" s="3053">
        <f t="shared" si="13"/>
        <v>1</v>
      </c>
      <c r="S155" s="3053">
        <f t="shared" si="13"/>
        <v>1</v>
      </c>
      <c r="T155" s="3053">
        <f t="shared" si="13"/>
        <v>1</v>
      </c>
      <c r="U155" s="3053">
        <f t="shared" si="13"/>
        <v>1</v>
      </c>
      <c r="V155" s="3053">
        <f t="shared" si="13"/>
        <v>1</v>
      </c>
      <c r="W155" s="3053">
        <f t="shared" si="13"/>
        <v>0.99999999999999989</v>
      </c>
      <c r="X155" s="3053">
        <f t="shared" si="13"/>
        <v>1</v>
      </c>
      <c r="Y155" s="3053">
        <f t="shared" si="13"/>
        <v>0.99999999999999989</v>
      </c>
      <c r="Z155" s="3053">
        <f t="shared" si="13"/>
        <v>1</v>
      </c>
      <c r="AA155" s="3053">
        <f t="shared" si="13"/>
        <v>1</v>
      </c>
      <c r="AB155" s="3053">
        <f t="shared" si="13"/>
        <v>0.99999999999999989</v>
      </c>
      <c r="AC155" s="3053">
        <f t="shared" si="13"/>
        <v>1</v>
      </c>
      <c r="AD155" s="3053">
        <f t="shared" si="13"/>
        <v>1</v>
      </c>
      <c r="AE155" s="1197">
        <f t="shared" si="13"/>
        <v>1</v>
      </c>
      <c r="AF155" s="1197">
        <f t="shared" si="13"/>
        <v>1</v>
      </c>
    </row>
    <row r="156" spans="1:32">
      <c r="A156" s="3043">
        <v>200</v>
      </c>
      <c r="B156" s="3044">
        <v>42</v>
      </c>
      <c r="C156" s="3052">
        <v>0</v>
      </c>
      <c r="D156" s="3052">
        <v>0</v>
      </c>
      <c r="E156" s="3052">
        <v>0</v>
      </c>
      <c r="F156" s="3052">
        <v>0</v>
      </c>
      <c r="G156" s="3052">
        <v>0</v>
      </c>
      <c r="H156" s="3052">
        <v>0</v>
      </c>
      <c r="I156" s="3052">
        <v>0</v>
      </c>
      <c r="J156" s="3052">
        <v>0</v>
      </c>
      <c r="K156" s="3052">
        <v>0</v>
      </c>
      <c r="L156" s="3052">
        <v>0</v>
      </c>
      <c r="M156" s="3052">
        <v>0</v>
      </c>
      <c r="N156" s="3052">
        <v>0</v>
      </c>
      <c r="O156" s="3052">
        <v>0</v>
      </c>
      <c r="P156" s="3052">
        <v>0</v>
      </c>
      <c r="Q156" s="3052">
        <v>0</v>
      </c>
      <c r="R156" s="3053">
        <f t="shared" si="13"/>
        <v>1</v>
      </c>
      <c r="S156" s="3053">
        <f t="shared" si="13"/>
        <v>1</v>
      </c>
      <c r="T156" s="3053">
        <f t="shared" si="13"/>
        <v>1</v>
      </c>
      <c r="U156" s="3053">
        <f t="shared" si="13"/>
        <v>1</v>
      </c>
      <c r="V156" s="3053">
        <f t="shared" si="13"/>
        <v>1</v>
      </c>
      <c r="W156" s="3053">
        <f t="shared" si="13"/>
        <v>0.99999999999999989</v>
      </c>
      <c r="X156" s="3053">
        <f t="shared" si="13"/>
        <v>1</v>
      </c>
      <c r="Y156" s="3053">
        <f t="shared" si="13"/>
        <v>0.99999999999999989</v>
      </c>
      <c r="Z156" s="3053">
        <f t="shared" si="13"/>
        <v>1</v>
      </c>
      <c r="AA156" s="3053">
        <f t="shared" si="13"/>
        <v>1</v>
      </c>
      <c r="AB156" s="3053">
        <f t="shared" si="13"/>
        <v>0.99999999999999989</v>
      </c>
      <c r="AC156" s="3053">
        <f t="shared" si="13"/>
        <v>1</v>
      </c>
      <c r="AD156" s="3053">
        <f t="shared" si="13"/>
        <v>1</v>
      </c>
      <c r="AE156" s="1197">
        <f t="shared" si="13"/>
        <v>1</v>
      </c>
      <c r="AF156" s="1197">
        <f t="shared" si="13"/>
        <v>1</v>
      </c>
    </row>
    <row r="157" spans="1:32">
      <c r="A157" s="3043">
        <v>200</v>
      </c>
      <c r="B157" s="3044">
        <v>43</v>
      </c>
      <c r="C157" s="3052">
        <v>0</v>
      </c>
      <c r="D157" s="3052">
        <v>0</v>
      </c>
      <c r="E157" s="3052">
        <v>0</v>
      </c>
      <c r="F157" s="3052">
        <v>0</v>
      </c>
      <c r="G157" s="3052">
        <v>0</v>
      </c>
      <c r="H157" s="3052">
        <v>0</v>
      </c>
      <c r="I157" s="3052">
        <v>0</v>
      </c>
      <c r="J157" s="3052">
        <v>0</v>
      </c>
      <c r="K157" s="3052">
        <v>0</v>
      </c>
      <c r="L157" s="3052">
        <v>0</v>
      </c>
      <c r="M157" s="3052">
        <v>0</v>
      </c>
      <c r="N157" s="3052">
        <v>0</v>
      </c>
      <c r="O157" s="3052">
        <v>0</v>
      </c>
      <c r="P157" s="3052">
        <v>0</v>
      </c>
      <c r="Q157" s="3052">
        <v>0</v>
      </c>
      <c r="R157" s="3053">
        <f t="shared" si="13"/>
        <v>1</v>
      </c>
      <c r="S157" s="3053">
        <f t="shared" si="13"/>
        <v>1</v>
      </c>
      <c r="T157" s="3053">
        <f t="shared" si="13"/>
        <v>1</v>
      </c>
      <c r="U157" s="3053">
        <f t="shared" si="13"/>
        <v>1</v>
      </c>
      <c r="V157" s="3053">
        <f t="shared" si="13"/>
        <v>1</v>
      </c>
      <c r="W157" s="3053">
        <f t="shared" si="13"/>
        <v>0.99999999999999989</v>
      </c>
      <c r="X157" s="3053">
        <f t="shared" si="13"/>
        <v>1</v>
      </c>
      <c r="Y157" s="3053">
        <f t="shared" si="13"/>
        <v>0.99999999999999989</v>
      </c>
      <c r="Z157" s="3053">
        <f t="shared" si="13"/>
        <v>1</v>
      </c>
      <c r="AA157" s="3053">
        <f t="shared" si="13"/>
        <v>1</v>
      </c>
      <c r="AB157" s="3053">
        <f t="shared" si="13"/>
        <v>0.99999999999999989</v>
      </c>
      <c r="AC157" s="3053">
        <f t="shared" si="13"/>
        <v>1</v>
      </c>
      <c r="AD157" s="3053">
        <f t="shared" si="13"/>
        <v>1</v>
      </c>
      <c r="AE157" s="1197">
        <f t="shared" si="13"/>
        <v>1</v>
      </c>
      <c r="AF157" s="1197">
        <f t="shared" si="13"/>
        <v>1</v>
      </c>
    </row>
    <row r="158" spans="1:32">
      <c r="A158" s="3043">
        <v>200</v>
      </c>
      <c r="B158" s="3044">
        <v>44</v>
      </c>
      <c r="C158" s="3052">
        <v>0</v>
      </c>
      <c r="D158" s="3052">
        <v>0</v>
      </c>
      <c r="E158" s="3052">
        <v>0</v>
      </c>
      <c r="F158" s="3052">
        <v>0</v>
      </c>
      <c r="G158" s="3052">
        <v>0</v>
      </c>
      <c r="H158" s="3052">
        <v>0</v>
      </c>
      <c r="I158" s="3052">
        <v>0</v>
      </c>
      <c r="J158" s="3052">
        <v>0</v>
      </c>
      <c r="K158" s="3052">
        <v>0</v>
      </c>
      <c r="L158" s="3052">
        <v>0</v>
      </c>
      <c r="M158" s="3052">
        <v>0</v>
      </c>
      <c r="N158" s="3052">
        <v>0</v>
      </c>
      <c r="O158" s="3052">
        <v>0</v>
      </c>
      <c r="P158" s="3052">
        <v>0</v>
      </c>
      <c r="Q158" s="3052">
        <v>0</v>
      </c>
      <c r="R158" s="3053">
        <f t="shared" si="13"/>
        <v>1</v>
      </c>
      <c r="S158" s="3053">
        <f t="shared" si="13"/>
        <v>1</v>
      </c>
      <c r="T158" s="3053">
        <f t="shared" si="13"/>
        <v>1</v>
      </c>
      <c r="U158" s="3053">
        <f t="shared" si="13"/>
        <v>1</v>
      </c>
      <c r="V158" s="3053">
        <f t="shared" si="13"/>
        <v>1</v>
      </c>
      <c r="W158" s="3053">
        <f t="shared" si="13"/>
        <v>0.99999999999999989</v>
      </c>
      <c r="X158" s="3053">
        <f t="shared" si="13"/>
        <v>1</v>
      </c>
      <c r="Y158" s="3053">
        <f t="shared" si="13"/>
        <v>0.99999999999999989</v>
      </c>
      <c r="Z158" s="3053">
        <f t="shared" si="13"/>
        <v>1</v>
      </c>
      <c r="AA158" s="3053">
        <f t="shared" si="13"/>
        <v>1</v>
      </c>
      <c r="AB158" s="3053">
        <f t="shared" si="13"/>
        <v>0.99999999999999989</v>
      </c>
      <c r="AC158" s="3053">
        <f t="shared" si="13"/>
        <v>1</v>
      </c>
      <c r="AD158" s="3053">
        <f t="shared" si="13"/>
        <v>1</v>
      </c>
      <c r="AE158" s="1197">
        <f t="shared" si="13"/>
        <v>1</v>
      </c>
      <c r="AF158" s="1197">
        <f t="shared" si="13"/>
        <v>1</v>
      </c>
    </row>
    <row r="159" spans="1:32">
      <c r="A159" s="3043">
        <v>200</v>
      </c>
      <c r="B159" s="3044">
        <v>45</v>
      </c>
      <c r="C159" s="3052">
        <v>0</v>
      </c>
      <c r="D159" s="3052">
        <v>0</v>
      </c>
      <c r="E159" s="3052">
        <v>0</v>
      </c>
      <c r="F159" s="3052">
        <v>0</v>
      </c>
      <c r="G159" s="3052">
        <v>0</v>
      </c>
      <c r="H159" s="3052">
        <v>0</v>
      </c>
      <c r="I159" s="3052">
        <v>0</v>
      </c>
      <c r="J159" s="3052">
        <v>0</v>
      </c>
      <c r="K159" s="3052">
        <v>0</v>
      </c>
      <c r="L159" s="3052">
        <v>0</v>
      </c>
      <c r="M159" s="3052">
        <v>0</v>
      </c>
      <c r="N159" s="3052">
        <v>0</v>
      </c>
      <c r="O159" s="3052">
        <v>0</v>
      </c>
      <c r="P159" s="3052">
        <v>0</v>
      </c>
      <c r="Q159" s="3052">
        <v>0</v>
      </c>
      <c r="R159" s="3053">
        <f t="shared" si="13"/>
        <v>1</v>
      </c>
      <c r="S159" s="3053">
        <f t="shared" si="13"/>
        <v>1</v>
      </c>
      <c r="T159" s="3053">
        <f t="shared" si="13"/>
        <v>1</v>
      </c>
      <c r="U159" s="3053">
        <f t="shared" si="13"/>
        <v>1</v>
      </c>
      <c r="V159" s="3053">
        <f t="shared" si="13"/>
        <v>1</v>
      </c>
      <c r="W159" s="3053">
        <f t="shared" si="13"/>
        <v>0.99999999999999989</v>
      </c>
      <c r="X159" s="3053">
        <f t="shared" si="13"/>
        <v>1</v>
      </c>
      <c r="Y159" s="3053">
        <f t="shared" si="13"/>
        <v>0.99999999999999989</v>
      </c>
      <c r="Z159" s="3053">
        <f t="shared" si="13"/>
        <v>1</v>
      </c>
      <c r="AA159" s="3053">
        <f t="shared" si="13"/>
        <v>1</v>
      </c>
      <c r="AB159" s="3053">
        <f t="shared" si="13"/>
        <v>0.99999999999999989</v>
      </c>
      <c r="AC159" s="3053">
        <f t="shared" si="13"/>
        <v>1</v>
      </c>
      <c r="AD159" s="3053">
        <f t="shared" si="13"/>
        <v>1</v>
      </c>
      <c r="AE159" s="1197">
        <f t="shared" si="13"/>
        <v>1</v>
      </c>
      <c r="AF159" s="1197">
        <f t="shared" si="13"/>
        <v>1</v>
      </c>
    </row>
    <row r="160" spans="1:32">
      <c r="A160" s="3043">
        <v>200</v>
      </c>
      <c r="B160" s="3044">
        <v>46</v>
      </c>
      <c r="C160" s="3052">
        <v>0</v>
      </c>
      <c r="D160" s="3052">
        <v>0</v>
      </c>
      <c r="E160" s="3052">
        <v>0</v>
      </c>
      <c r="F160" s="3052">
        <v>0</v>
      </c>
      <c r="G160" s="3052">
        <v>0</v>
      </c>
      <c r="H160" s="3052">
        <v>0</v>
      </c>
      <c r="I160" s="3052">
        <v>0</v>
      </c>
      <c r="J160" s="3052">
        <v>0</v>
      </c>
      <c r="K160" s="3052">
        <v>0</v>
      </c>
      <c r="L160" s="3052">
        <v>0</v>
      </c>
      <c r="M160" s="3052">
        <v>0</v>
      </c>
      <c r="N160" s="3052">
        <v>0</v>
      </c>
      <c r="O160" s="3052">
        <v>0</v>
      </c>
      <c r="P160" s="3052">
        <v>0</v>
      </c>
      <c r="Q160" s="3052">
        <v>0</v>
      </c>
      <c r="R160" s="3053">
        <f t="shared" si="13"/>
        <v>1</v>
      </c>
      <c r="S160" s="3053">
        <f t="shared" si="13"/>
        <v>1</v>
      </c>
      <c r="T160" s="3053">
        <f t="shared" si="13"/>
        <v>1</v>
      </c>
      <c r="U160" s="3053">
        <f t="shared" si="13"/>
        <v>1</v>
      </c>
      <c r="V160" s="3053">
        <f t="shared" si="13"/>
        <v>1</v>
      </c>
      <c r="W160" s="3053">
        <f t="shared" si="13"/>
        <v>0.99999999999999989</v>
      </c>
      <c r="X160" s="3053">
        <f t="shared" si="13"/>
        <v>1</v>
      </c>
      <c r="Y160" s="3053">
        <f t="shared" si="13"/>
        <v>0.99999999999999989</v>
      </c>
      <c r="Z160" s="3053">
        <f t="shared" si="13"/>
        <v>1</v>
      </c>
      <c r="AA160" s="3053">
        <f t="shared" si="13"/>
        <v>1</v>
      </c>
      <c r="AB160" s="3053">
        <f t="shared" si="13"/>
        <v>0.99999999999999989</v>
      </c>
      <c r="AC160" s="3053">
        <f t="shared" si="13"/>
        <v>1</v>
      </c>
      <c r="AD160" s="3053">
        <f t="shared" si="13"/>
        <v>1</v>
      </c>
      <c r="AE160" s="1197">
        <f t="shared" si="13"/>
        <v>1</v>
      </c>
      <c r="AF160" s="1197">
        <f t="shared" si="13"/>
        <v>1</v>
      </c>
    </row>
    <row r="161" spans="1:32">
      <c r="A161" s="3043">
        <v>200</v>
      </c>
      <c r="B161" s="3044">
        <v>47</v>
      </c>
      <c r="C161" s="3052">
        <v>0</v>
      </c>
      <c r="D161" s="3052">
        <v>0</v>
      </c>
      <c r="E161" s="3052">
        <v>0</v>
      </c>
      <c r="F161" s="3052">
        <v>0</v>
      </c>
      <c r="G161" s="3052">
        <v>0</v>
      </c>
      <c r="H161" s="3052">
        <v>0</v>
      </c>
      <c r="I161" s="3052">
        <v>0</v>
      </c>
      <c r="J161" s="3052">
        <v>0</v>
      </c>
      <c r="K161" s="3052">
        <v>0</v>
      </c>
      <c r="L161" s="3052">
        <v>0</v>
      </c>
      <c r="M161" s="3052">
        <v>0</v>
      </c>
      <c r="N161" s="3052">
        <v>0</v>
      </c>
      <c r="O161" s="3052">
        <v>0</v>
      </c>
      <c r="P161" s="3052">
        <v>0</v>
      </c>
      <c r="Q161" s="3052">
        <v>0</v>
      </c>
      <c r="R161" s="3053">
        <f t="shared" si="13"/>
        <v>1</v>
      </c>
      <c r="S161" s="3053">
        <f t="shared" si="13"/>
        <v>1</v>
      </c>
      <c r="T161" s="3053">
        <f t="shared" si="13"/>
        <v>1</v>
      </c>
      <c r="U161" s="3053">
        <f t="shared" si="13"/>
        <v>1</v>
      </c>
      <c r="V161" s="3053">
        <f t="shared" si="13"/>
        <v>1</v>
      </c>
      <c r="W161" s="3053">
        <f t="shared" si="13"/>
        <v>0.99999999999999989</v>
      </c>
      <c r="X161" s="3053">
        <f t="shared" si="13"/>
        <v>1</v>
      </c>
      <c r="Y161" s="3053">
        <f t="shared" si="13"/>
        <v>0.99999999999999989</v>
      </c>
      <c r="Z161" s="3053">
        <f t="shared" si="13"/>
        <v>1</v>
      </c>
      <c r="AA161" s="3053">
        <f t="shared" si="13"/>
        <v>1</v>
      </c>
      <c r="AB161" s="3053">
        <f t="shared" si="13"/>
        <v>0.99999999999999989</v>
      </c>
      <c r="AC161" s="3053">
        <f t="shared" si="13"/>
        <v>1</v>
      </c>
      <c r="AD161" s="3053">
        <f t="shared" si="13"/>
        <v>1</v>
      </c>
      <c r="AE161" s="1197">
        <f t="shared" si="13"/>
        <v>1</v>
      </c>
      <c r="AF161" s="1197">
        <f t="shared" si="13"/>
        <v>1</v>
      </c>
    </row>
    <row r="162" spans="1:32">
      <c r="A162" s="3043">
        <v>200</v>
      </c>
      <c r="B162" s="3044">
        <v>48</v>
      </c>
      <c r="C162" s="3052">
        <v>0</v>
      </c>
      <c r="D162" s="3052">
        <v>0</v>
      </c>
      <c r="E162" s="3052">
        <v>0</v>
      </c>
      <c r="F162" s="3052">
        <v>0</v>
      </c>
      <c r="G162" s="3052">
        <v>0</v>
      </c>
      <c r="H162" s="3052">
        <v>0</v>
      </c>
      <c r="I162" s="3052">
        <v>0</v>
      </c>
      <c r="J162" s="3052">
        <v>0</v>
      </c>
      <c r="K162" s="3052">
        <v>0</v>
      </c>
      <c r="L162" s="3052">
        <v>0</v>
      </c>
      <c r="M162" s="3052">
        <v>0</v>
      </c>
      <c r="N162" s="3052">
        <v>0</v>
      </c>
      <c r="O162" s="3052">
        <v>0</v>
      </c>
      <c r="P162" s="3052">
        <v>0</v>
      </c>
      <c r="Q162" s="3052">
        <v>0</v>
      </c>
      <c r="R162" s="3053">
        <f t="shared" si="13"/>
        <v>1</v>
      </c>
      <c r="S162" s="3053">
        <f t="shared" si="13"/>
        <v>1</v>
      </c>
      <c r="T162" s="3053">
        <f t="shared" si="13"/>
        <v>1</v>
      </c>
      <c r="U162" s="3053">
        <f t="shared" si="13"/>
        <v>1</v>
      </c>
      <c r="V162" s="3053">
        <f t="shared" si="13"/>
        <v>1</v>
      </c>
      <c r="W162" s="3053">
        <f t="shared" si="13"/>
        <v>0.99999999999999989</v>
      </c>
      <c r="X162" s="3053">
        <f t="shared" si="13"/>
        <v>1</v>
      </c>
      <c r="Y162" s="3053">
        <f t="shared" si="13"/>
        <v>0.99999999999999989</v>
      </c>
      <c r="Z162" s="3053">
        <f t="shared" si="13"/>
        <v>1</v>
      </c>
      <c r="AA162" s="3053">
        <f t="shared" si="13"/>
        <v>1</v>
      </c>
      <c r="AB162" s="3053">
        <f t="shared" si="13"/>
        <v>0.99999999999999989</v>
      </c>
      <c r="AC162" s="3053">
        <f t="shared" si="13"/>
        <v>1</v>
      </c>
      <c r="AD162" s="3053">
        <f t="shared" si="13"/>
        <v>1</v>
      </c>
      <c r="AE162" s="1197">
        <f t="shared" si="13"/>
        <v>1</v>
      </c>
      <c r="AF162" s="1197">
        <f t="shared" si="13"/>
        <v>1</v>
      </c>
    </row>
    <row r="163" spans="1:32">
      <c r="A163" s="3043">
        <v>200</v>
      </c>
      <c r="B163" s="3044">
        <v>49</v>
      </c>
      <c r="C163" s="3052">
        <v>0</v>
      </c>
      <c r="D163" s="3052">
        <v>0</v>
      </c>
      <c r="E163" s="3052">
        <v>0</v>
      </c>
      <c r="F163" s="3052">
        <v>0</v>
      </c>
      <c r="G163" s="3052">
        <v>0</v>
      </c>
      <c r="H163" s="3052">
        <v>0</v>
      </c>
      <c r="I163" s="3052">
        <v>0</v>
      </c>
      <c r="J163" s="3052">
        <v>0</v>
      </c>
      <c r="K163" s="3052">
        <v>0</v>
      </c>
      <c r="L163" s="3052">
        <v>0</v>
      </c>
      <c r="M163" s="3052">
        <v>0</v>
      </c>
      <c r="N163" s="3052">
        <v>0</v>
      </c>
      <c r="O163" s="3052">
        <v>0</v>
      </c>
      <c r="P163" s="3052">
        <v>0</v>
      </c>
      <c r="Q163" s="3052">
        <v>0</v>
      </c>
      <c r="R163" s="3053">
        <f t="shared" si="13"/>
        <v>1</v>
      </c>
      <c r="S163" s="3053">
        <f t="shared" si="13"/>
        <v>1</v>
      </c>
      <c r="T163" s="3053">
        <f t="shared" si="13"/>
        <v>1</v>
      </c>
      <c r="U163" s="3053">
        <f t="shared" si="13"/>
        <v>1</v>
      </c>
      <c r="V163" s="3053">
        <f t="shared" si="13"/>
        <v>1</v>
      </c>
      <c r="W163" s="3053">
        <f t="shared" si="13"/>
        <v>0.99999999999999989</v>
      </c>
      <c r="X163" s="3053">
        <f t="shared" si="13"/>
        <v>1</v>
      </c>
      <c r="Y163" s="3053">
        <f t="shared" si="13"/>
        <v>0.99999999999999989</v>
      </c>
      <c r="Z163" s="3053">
        <f t="shared" si="13"/>
        <v>1</v>
      </c>
      <c r="AA163" s="3053">
        <f t="shared" si="13"/>
        <v>1</v>
      </c>
      <c r="AB163" s="3053">
        <f t="shared" si="13"/>
        <v>0.99999999999999989</v>
      </c>
      <c r="AC163" s="3053">
        <f t="shared" si="13"/>
        <v>1</v>
      </c>
      <c r="AD163" s="3053">
        <f t="shared" si="13"/>
        <v>1</v>
      </c>
      <c r="AE163" s="1197">
        <f t="shared" si="13"/>
        <v>1</v>
      </c>
      <c r="AF163" s="1197">
        <f t="shared" si="13"/>
        <v>1</v>
      </c>
    </row>
    <row r="164" spans="1:32">
      <c r="A164" s="3043">
        <v>200</v>
      </c>
      <c r="B164" s="3044">
        <v>50</v>
      </c>
      <c r="C164" s="3052">
        <v>0</v>
      </c>
      <c r="D164" s="3052">
        <v>0</v>
      </c>
      <c r="E164" s="3052">
        <v>0</v>
      </c>
      <c r="F164" s="3052">
        <v>0</v>
      </c>
      <c r="G164" s="3052">
        <v>0</v>
      </c>
      <c r="H164" s="3052">
        <v>0</v>
      </c>
      <c r="I164" s="3052">
        <v>0</v>
      </c>
      <c r="J164" s="3052">
        <v>0</v>
      </c>
      <c r="K164" s="3052">
        <v>0</v>
      </c>
      <c r="L164" s="3052">
        <v>0</v>
      </c>
      <c r="M164" s="3052">
        <v>0</v>
      </c>
      <c r="N164" s="3052">
        <v>0</v>
      </c>
      <c r="O164" s="3052">
        <v>0</v>
      </c>
      <c r="P164" s="3052">
        <v>0</v>
      </c>
      <c r="Q164" s="3052">
        <v>0</v>
      </c>
      <c r="R164" s="3053">
        <f t="shared" ref="R164:AF179" si="14">C164+R163</f>
        <v>1</v>
      </c>
      <c r="S164" s="3053">
        <f t="shared" si="14"/>
        <v>1</v>
      </c>
      <c r="T164" s="3053">
        <f t="shared" si="14"/>
        <v>1</v>
      </c>
      <c r="U164" s="3053">
        <f t="shared" si="14"/>
        <v>1</v>
      </c>
      <c r="V164" s="3053">
        <f t="shared" si="14"/>
        <v>1</v>
      </c>
      <c r="W164" s="3053">
        <f t="shared" si="14"/>
        <v>0.99999999999999989</v>
      </c>
      <c r="X164" s="3053">
        <f t="shared" si="14"/>
        <v>1</v>
      </c>
      <c r="Y164" s="3053">
        <f t="shared" si="14"/>
        <v>0.99999999999999989</v>
      </c>
      <c r="Z164" s="3053">
        <f t="shared" si="14"/>
        <v>1</v>
      </c>
      <c r="AA164" s="3053">
        <f t="shared" si="14"/>
        <v>1</v>
      </c>
      <c r="AB164" s="3053">
        <f t="shared" si="14"/>
        <v>0.99999999999999989</v>
      </c>
      <c r="AC164" s="3053">
        <f t="shared" si="14"/>
        <v>1</v>
      </c>
      <c r="AD164" s="3053">
        <f t="shared" si="14"/>
        <v>1</v>
      </c>
      <c r="AE164" s="1197">
        <f t="shared" si="14"/>
        <v>1</v>
      </c>
      <c r="AF164" s="1197">
        <f t="shared" si="14"/>
        <v>1</v>
      </c>
    </row>
    <row r="165" spans="1:32">
      <c r="A165" s="3043">
        <v>200</v>
      </c>
      <c r="B165" s="3044">
        <v>51</v>
      </c>
      <c r="C165" s="3052">
        <v>0</v>
      </c>
      <c r="D165" s="3052">
        <v>0</v>
      </c>
      <c r="E165" s="3052">
        <v>0</v>
      </c>
      <c r="F165" s="3052">
        <v>0</v>
      </c>
      <c r="G165" s="3052">
        <v>0</v>
      </c>
      <c r="H165" s="3052">
        <v>0</v>
      </c>
      <c r="I165" s="3052">
        <v>0</v>
      </c>
      <c r="J165" s="3052">
        <v>0</v>
      </c>
      <c r="K165" s="3052">
        <v>0</v>
      </c>
      <c r="L165" s="3052">
        <v>0</v>
      </c>
      <c r="M165" s="3052">
        <v>0</v>
      </c>
      <c r="N165" s="3052">
        <v>0</v>
      </c>
      <c r="O165" s="3052">
        <v>0</v>
      </c>
      <c r="P165" s="3052">
        <v>0</v>
      </c>
      <c r="Q165" s="3052">
        <v>0</v>
      </c>
      <c r="R165" s="3053">
        <f t="shared" si="14"/>
        <v>1</v>
      </c>
      <c r="S165" s="3053">
        <f t="shared" si="14"/>
        <v>1</v>
      </c>
      <c r="T165" s="3053">
        <f t="shared" si="14"/>
        <v>1</v>
      </c>
      <c r="U165" s="3053">
        <f t="shared" si="14"/>
        <v>1</v>
      </c>
      <c r="V165" s="3053">
        <f t="shared" si="14"/>
        <v>1</v>
      </c>
      <c r="W165" s="3053">
        <f t="shared" si="14"/>
        <v>0.99999999999999989</v>
      </c>
      <c r="X165" s="3053">
        <f t="shared" si="14"/>
        <v>1</v>
      </c>
      <c r="Y165" s="3053">
        <f t="shared" si="14"/>
        <v>0.99999999999999989</v>
      </c>
      <c r="Z165" s="3053">
        <f t="shared" si="14"/>
        <v>1</v>
      </c>
      <c r="AA165" s="3053">
        <f t="shared" si="14"/>
        <v>1</v>
      </c>
      <c r="AB165" s="3053">
        <f t="shared" si="14"/>
        <v>0.99999999999999989</v>
      </c>
      <c r="AC165" s="3053">
        <f t="shared" si="14"/>
        <v>1</v>
      </c>
      <c r="AD165" s="3053">
        <f t="shared" si="14"/>
        <v>1</v>
      </c>
      <c r="AE165" s="1197">
        <f t="shared" si="14"/>
        <v>1</v>
      </c>
      <c r="AF165" s="1197">
        <f t="shared" si="14"/>
        <v>1</v>
      </c>
    </row>
    <row r="166" spans="1:32">
      <c r="A166" s="3043">
        <v>200</v>
      </c>
      <c r="B166" s="3044">
        <v>52</v>
      </c>
      <c r="C166" s="3052">
        <v>0</v>
      </c>
      <c r="D166" s="3052">
        <v>0</v>
      </c>
      <c r="E166" s="3052">
        <v>0</v>
      </c>
      <c r="F166" s="3052">
        <v>0</v>
      </c>
      <c r="G166" s="3052">
        <v>0</v>
      </c>
      <c r="H166" s="3052">
        <v>0</v>
      </c>
      <c r="I166" s="3052">
        <v>0</v>
      </c>
      <c r="J166" s="3052">
        <v>0</v>
      </c>
      <c r="K166" s="3052">
        <v>0</v>
      </c>
      <c r="L166" s="3052">
        <v>0</v>
      </c>
      <c r="M166" s="3052">
        <v>0</v>
      </c>
      <c r="N166" s="3052">
        <v>0</v>
      </c>
      <c r="O166" s="3052">
        <v>0</v>
      </c>
      <c r="P166" s="3052">
        <v>0</v>
      </c>
      <c r="Q166" s="3052">
        <v>0</v>
      </c>
      <c r="R166" s="3053">
        <f t="shared" si="14"/>
        <v>1</v>
      </c>
      <c r="S166" s="3053">
        <f t="shared" si="14"/>
        <v>1</v>
      </c>
      <c r="T166" s="3053">
        <f t="shared" si="14"/>
        <v>1</v>
      </c>
      <c r="U166" s="3053">
        <f t="shared" si="14"/>
        <v>1</v>
      </c>
      <c r="V166" s="3053">
        <f t="shared" si="14"/>
        <v>1</v>
      </c>
      <c r="W166" s="3053">
        <f t="shared" si="14"/>
        <v>0.99999999999999989</v>
      </c>
      <c r="X166" s="3053">
        <f t="shared" si="14"/>
        <v>1</v>
      </c>
      <c r="Y166" s="3053">
        <f t="shared" si="14"/>
        <v>0.99999999999999989</v>
      </c>
      <c r="Z166" s="3053">
        <f t="shared" si="14"/>
        <v>1</v>
      </c>
      <c r="AA166" s="3053">
        <f t="shared" si="14"/>
        <v>1</v>
      </c>
      <c r="AB166" s="3053">
        <f t="shared" si="14"/>
        <v>0.99999999999999989</v>
      </c>
      <c r="AC166" s="3053">
        <f t="shared" si="14"/>
        <v>1</v>
      </c>
      <c r="AD166" s="3053">
        <f t="shared" si="14"/>
        <v>1</v>
      </c>
      <c r="AE166" s="1197">
        <f t="shared" si="14"/>
        <v>1</v>
      </c>
      <c r="AF166" s="1197">
        <f t="shared" si="14"/>
        <v>1</v>
      </c>
    </row>
    <row r="167" spans="1:32">
      <c r="A167" s="3043">
        <v>200</v>
      </c>
      <c r="B167" s="3044">
        <v>53</v>
      </c>
      <c r="C167" s="3052">
        <v>0</v>
      </c>
      <c r="D167" s="3052">
        <v>0</v>
      </c>
      <c r="E167" s="3052">
        <v>0</v>
      </c>
      <c r="F167" s="3052">
        <v>0</v>
      </c>
      <c r="G167" s="3052">
        <v>0</v>
      </c>
      <c r="H167" s="3052">
        <v>0</v>
      </c>
      <c r="I167" s="3052">
        <v>0</v>
      </c>
      <c r="J167" s="3052">
        <v>0</v>
      </c>
      <c r="K167" s="3052">
        <v>0</v>
      </c>
      <c r="L167" s="3052">
        <v>0</v>
      </c>
      <c r="M167" s="3052">
        <v>0</v>
      </c>
      <c r="N167" s="3052">
        <v>0</v>
      </c>
      <c r="O167" s="3052">
        <v>0</v>
      </c>
      <c r="P167" s="3052">
        <v>0</v>
      </c>
      <c r="Q167" s="3052">
        <v>0</v>
      </c>
      <c r="R167" s="3053">
        <f t="shared" si="14"/>
        <v>1</v>
      </c>
      <c r="S167" s="3053">
        <f t="shared" si="14"/>
        <v>1</v>
      </c>
      <c r="T167" s="3053">
        <f t="shared" si="14"/>
        <v>1</v>
      </c>
      <c r="U167" s="3053">
        <f t="shared" si="14"/>
        <v>1</v>
      </c>
      <c r="V167" s="3053">
        <f t="shared" si="14"/>
        <v>1</v>
      </c>
      <c r="W167" s="3053">
        <f t="shared" si="14"/>
        <v>0.99999999999999989</v>
      </c>
      <c r="X167" s="3053">
        <f t="shared" si="14"/>
        <v>1</v>
      </c>
      <c r="Y167" s="3053">
        <f t="shared" si="14"/>
        <v>0.99999999999999989</v>
      </c>
      <c r="Z167" s="3053">
        <f t="shared" si="14"/>
        <v>1</v>
      </c>
      <c r="AA167" s="3053">
        <f t="shared" si="14"/>
        <v>1</v>
      </c>
      <c r="AB167" s="3053">
        <f t="shared" si="14"/>
        <v>0.99999999999999989</v>
      </c>
      <c r="AC167" s="3053">
        <f t="shared" si="14"/>
        <v>1</v>
      </c>
      <c r="AD167" s="3053">
        <f t="shared" si="14"/>
        <v>1</v>
      </c>
      <c r="AE167" s="1197">
        <f t="shared" si="14"/>
        <v>1</v>
      </c>
      <c r="AF167" s="1197">
        <f t="shared" si="14"/>
        <v>1</v>
      </c>
    </row>
    <row r="168" spans="1:32">
      <c r="A168" s="3043">
        <v>200</v>
      </c>
      <c r="B168" s="3044">
        <v>54</v>
      </c>
      <c r="C168" s="3052">
        <v>0</v>
      </c>
      <c r="D168" s="3052">
        <v>0</v>
      </c>
      <c r="E168" s="3052">
        <v>0</v>
      </c>
      <c r="F168" s="3052">
        <v>0</v>
      </c>
      <c r="G168" s="3052">
        <v>0</v>
      </c>
      <c r="H168" s="3052">
        <v>0</v>
      </c>
      <c r="I168" s="3052">
        <v>0</v>
      </c>
      <c r="J168" s="3052">
        <v>0</v>
      </c>
      <c r="K168" s="3052">
        <v>0</v>
      </c>
      <c r="L168" s="3052">
        <v>0</v>
      </c>
      <c r="M168" s="3052">
        <v>0</v>
      </c>
      <c r="N168" s="3052">
        <v>0</v>
      </c>
      <c r="O168" s="3052">
        <v>0</v>
      </c>
      <c r="P168" s="3052">
        <v>0</v>
      </c>
      <c r="Q168" s="3052">
        <v>0</v>
      </c>
      <c r="R168" s="3053">
        <f t="shared" si="14"/>
        <v>1</v>
      </c>
      <c r="S168" s="3053">
        <f t="shared" si="14"/>
        <v>1</v>
      </c>
      <c r="T168" s="3053">
        <f t="shared" si="14"/>
        <v>1</v>
      </c>
      <c r="U168" s="3053">
        <f t="shared" si="14"/>
        <v>1</v>
      </c>
      <c r="V168" s="3053">
        <f t="shared" si="14"/>
        <v>1</v>
      </c>
      <c r="W168" s="3053">
        <f t="shared" si="14"/>
        <v>0.99999999999999989</v>
      </c>
      <c r="X168" s="3053">
        <f t="shared" si="14"/>
        <v>1</v>
      </c>
      <c r="Y168" s="3053">
        <f t="shared" si="14"/>
        <v>0.99999999999999989</v>
      </c>
      <c r="Z168" s="3053">
        <f t="shared" si="14"/>
        <v>1</v>
      </c>
      <c r="AA168" s="3053">
        <f t="shared" si="14"/>
        <v>1</v>
      </c>
      <c r="AB168" s="3053">
        <f t="shared" si="14"/>
        <v>0.99999999999999989</v>
      </c>
      <c r="AC168" s="3053">
        <f t="shared" si="14"/>
        <v>1</v>
      </c>
      <c r="AD168" s="3053">
        <f t="shared" si="14"/>
        <v>1</v>
      </c>
      <c r="AE168" s="1197">
        <f t="shared" si="14"/>
        <v>1</v>
      </c>
      <c r="AF168" s="1197">
        <f t="shared" si="14"/>
        <v>1</v>
      </c>
    </row>
    <row r="169" spans="1:32">
      <c r="A169" s="3043">
        <v>200</v>
      </c>
      <c r="B169" s="3044">
        <v>55</v>
      </c>
      <c r="C169" s="3052">
        <v>0</v>
      </c>
      <c r="D169" s="3052">
        <v>0</v>
      </c>
      <c r="E169" s="3052">
        <v>0</v>
      </c>
      <c r="F169" s="3052">
        <v>0</v>
      </c>
      <c r="G169" s="3052">
        <v>0</v>
      </c>
      <c r="H169" s="3052">
        <v>0</v>
      </c>
      <c r="I169" s="3052">
        <v>0</v>
      </c>
      <c r="J169" s="3052">
        <v>0</v>
      </c>
      <c r="K169" s="3052">
        <v>0</v>
      </c>
      <c r="L169" s="3052">
        <v>0</v>
      </c>
      <c r="M169" s="3052">
        <v>0</v>
      </c>
      <c r="N169" s="3052">
        <v>0</v>
      </c>
      <c r="O169" s="3052">
        <v>0</v>
      </c>
      <c r="P169" s="3052">
        <v>0</v>
      </c>
      <c r="Q169" s="3052">
        <v>0</v>
      </c>
      <c r="R169" s="3053">
        <f t="shared" si="14"/>
        <v>1</v>
      </c>
      <c r="S169" s="3053">
        <f t="shared" si="14"/>
        <v>1</v>
      </c>
      <c r="T169" s="3053">
        <f t="shared" si="14"/>
        <v>1</v>
      </c>
      <c r="U169" s="3053">
        <f t="shared" si="14"/>
        <v>1</v>
      </c>
      <c r="V169" s="3053">
        <f t="shared" si="14"/>
        <v>1</v>
      </c>
      <c r="W169" s="3053">
        <f t="shared" si="14"/>
        <v>0.99999999999999989</v>
      </c>
      <c r="X169" s="3053">
        <f t="shared" si="14"/>
        <v>1</v>
      </c>
      <c r="Y169" s="3053">
        <f t="shared" si="14"/>
        <v>0.99999999999999989</v>
      </c>
      <c r="Z169" s="3053">
        <f t="shared" si="14"/>
        <v>1</v>
      </c>
      <c r="AA169" s="3053">
        <f t="shared" si="14"/>
        <v>1</v>
      </c>
      <c r="AB169" s="3053">
        <f t="shared" si="14"/>
        <v>0.99999999999999989</v>
      </c>
      <c r="AC169" s="3053">
        <f t="shared" si="14"/>
        <v>1</v>
      </c>
      <c r="AD169" s="3053">
        <f t="shared" si="14"/>
        <v>1</v>
      </c>
      <c r="AE169" s="1197">
        <f t="shared" si="14"/>
        <v>1</v>
      </c>
      <c r="AF169" s="1197">
        <f t="shared" si="14"/>
        <v>1</v>
      </c>
    </row>
    <row r="170" spans="1:32">
      <c r="A170" s="3043">
        <v>200</v>
      </c>
      <c r="B170" s="3044">
        <v>56</v>
      </c>
      <c r="C170" s="3052">
        <v>0</v>
      </c>
      <c r="D170" s="3052">
        <v>0</v>
      </c>
      <c r="E170" s="3052">
        <v>0</v>
      </c>
      <c r="F170" s="3052">
        <v>0</v>
      </c>
      <c r="G170" s="3052">
        <v>0</v>
      </c>
      <c r="H170" s="3052">
        <v>0</v>
      </c>
      <c r="I170" s="3052">
        <v>0</v>
      </c>
      <c r="J170" s="3052">
        <v>0</v>
      </c>
      <c r="K170" s="3052">
        <v>0</v>
      </c>
      <c r="L170" s="3052">
        <v>0</v>
      </c>
      <c r="M170" s="3052">
        <v>0</v>
      </c>
      <c r="N170" s="3052">
        <v>0</v>
      </c>
      <c r="O170" s="3052">
        <v>0</v>
      </c>
      <c r="P170" s="3052">
        <v>0</v>
      </c>
      <c r="Q170" s="3052">
        <v>0</v>
      </c>
      <c r="R170" s="3053">
        <f t="shared" si="14"/>
        <v>1</v>
      </c>
      <c r="S170" s="3053">
        <f t="shared" si="14"/>
        <v>1</v>
      </c>
      <c r="T170" s="3053">
        <f t="shared" si="14"/>
        <v>1</v>
      </c>
      <c r="U170" s="3053">
        <f t="shared" si="14"/>
        <v>1</v>
      </c>
      <c r="V170" s="3053">
        <f t="shared" si="14"/>
        <v>1</v>
      </c>
      <c r="W170" s="3053">
        <f t="shared" si="14"/>
        <v>0.99999999999999989</v>
      </c>
      <c r="X170" s="3053">
        <f t="shared" si="14"/>
        <v>1</v>
      </c>
      <c r="Y170" s="3053">
        <f t="shared" si="14"/>
        <v>0.99999999999999989</v>
      </c>
      <c r="Z170" s="3053">
        <f t="shared" si="14"/>
        <v>1</v>
      </c>
      <c r="AA170" s="3053">
        <f t="shared" si="14"/>
        <v>1</v>
      </c>
      <c r="AB170" s="3053">
        <f t="shared" si="14"/>
        <v>0.99999999999999989</v>
      </c>
      <c r="AC170" s="3053">
        <f t="shared" si="14"/>
        <v>1</v>
      </c>
      <c r="AD170" s="3053">
        <f t="shared" si="14"/>
        <v>1</v>
      </c>
      <c r="AE170" s="1197">
        <f t="shared" si="14"/>
        <v>1</v>
      </c>
      <c r="AF170" s="1197">
        <f t="shared" si="14"/>
        <v>1</v>
      </c>
    </row>
    <row r="171" spans="1:32">
      <c r="A171" s="3043">
        <v>200</v>
      </c>
      <c r="B171" s="3044">
        <v>57</v>
      </c>
      <c r="C171" s="3052">
        <v>0</v>
      </c>
      <c r="D171" s="3052">
        <v>0</v>
      </c>
      <c r="E171" s="3052">
        <v>0</v>
      </c>
      <c r="F171" s="3052">
        <v>0</v>
      </c>
      <c r="G171" s="3052">
        <v>0</v>
      </c>
      <c r="H171" s="3052">
        <v>0</v>
      </c>
      <c r="I171" s="3052">
        <v>0</v>
      </c>
      <c r="J171" s="3052">
        <v>0</v>
      </c>
      <c r="K171" s="3052">
        <v>0</v>
      </c>
      <c r="L171" s="3052">
        <v>0</v>
      </c>
      <c r="M171" s="3052">
        <v>0</v>
      </c>
      <c r="N171" s="3052">
        <v>0</v>
      </c>
      <c r="O171" s="3052">
        <v>0</v>
      </c>
      <c r="P171" s="3052">
        <v>0</v>
      </c>
      <c r="Q171" s="3052">
        <v>0</v>
      </c>
      <c r="R171" s="3053">
        <f t="shared" si="14"/>
        <v>1</v>
      </c>
      <c r="S171" s="3053">
        <f t="shared" si="14"/>
        <v>1</v>
      </c>
      <c r="T171" s="3053">
        <f t="shared" si="14"/>
        <v>1</v>
      </c>
      <c r="U171" s="3053">
        <f t="shared" si="14"/>
        <v>1</v>
      </c>
      <c r="V171" s="3053">
        <f t="shared" si="14"/>
        <v>1</v>
      </c>
      <c r="W171" s="3053">
        <f t="shared" si="14"/>
        <v>0.99999999999999989</v>
      </c>
      <c r="X171" s="3053">
        <f t="shared" si="14"/>
        <v>1</v>
      </c>
      <c r="Y171" s="3053">
        <f t="shared" si="14"/>
        <v>0.99999999999999989</v>
      </c>
      <c r="Z171" s="3053">
        <f t="shared" si="14"/>
        <v>1</v>
      </c>
      <c r="AA171" s="3053">
        <f t="shared" si="14"/>
        <v>1</v>
      </c>
      <c r="AB171" s="3053">
        <f t="shared" si="14"/>
        <v>0.99999999999999989</v>
      </c>
      <c r="AC171" s="3053">
        <f t="shared" si="14"/>
        <v>1</v>
      </c>
      <c r="AD171" s="3053">
        <f t="shared" si="14"/>
        <v>1</v>
      </c>
      <c r="AE171" s="1197">
        <f t="shared" si="14"/>
        <v>1</v>
      </c>
      <c r="AF171" s="1197">
        <f t="shared" si="14"/>
        <v>1</v>
      </c>
    </row>
    <row r="172" spans="1:32">
      <c r="A172" s="3043">
        <v>200</v>
      </c>
      <c r="B172" s="3044">
        <v>58</v>
      </c>
      <c r="C172" s="3052">
        <v>0</v>
      </c>
      <c r="D172" s="3052">
        <v>0</v>
      </c>
      <c r="E172" s="3052">
        <v>0</v>
      </c>
      <c r="F172" s="3052">
        <v>0</v>
      </c>
      <c r="G172" s="3052">
        <v>0</v>
      </c>
      <c r="H172" s="3052">
        <v>0</v>
      </c>
      <c r="I172" s="3052">
        <v>0</v>
      </c>
      <c r="J172" s="3052">
        <v>0</v>
      </c>
      <c r="K172" s="3052">
        <v>0</v>
      </c>
      <c r="L172" s="3052">
        <v>0</v>
      </c>
      <c r="M172" s="3052">
        <v>0</v>
      </c>
      <c r="N172" s="3052">
        <v>0</v>
      </c>
      <c r="O172" s="3052">
        <v>0</v>
      </c>
      <c r="P172" s="3052">
        <v>0</v>
      </c>
      <c r="Q172" s="3052">
        <v>0</v>
      </c>
      <c r="R172" s="3053">
        <f t="shared" si="14"/>
        <v>1</v>
      </c>
      <c r="S172" s="3053">
        <f t="shared" si="14"/>
        <v>1</v>
      </c>
      <c r="T172" s="3053">
        <f t="shared" si="14"/>
        <v>1</v>
      </c>
      <c r="U172" s="3053">
        <f t="shared" si="14"/>
        <v>1</v>
      </c>
      <c r="V172" s="3053">
        <f t="shared" si="14"/>
        <v>1</v>
      </c>
      <c r="W172" s="3053">
        <f t="shared" si="14"/>
        <v>0.99999999999999989</v>
      </c>
      <c r="X172" s="3053">
        <f t="shared" si="14"/>
        <v>1</v>
      </c>
      <c r="Y172" s="3053">
        <f t="shared" si="14"/>
        <v>0.99999999999999989</v>
      </c>
      <c r="Z172" s="3053">
        <f t="shared" si="14"/>
        <v>1</v>
      </c>
      <c r="AA172" s="3053">
        <f t="shared" si="14"/>
        <v>1</v>
      </c>
      <c r="AB172" s="3053">
        <f t="shared" si="14"/>
        <v>0.99999999999999989</v>
      </c>
      <c r="AC172" s="3053">
        <f t="shared" si="14"/>
        <v>1</v>
      </c>
      <c r="AD172" s="3053">
        <f t="shared" si="14"/>
        <v>1</v>
      </c>
      <c r="AE172" s="1197">
        <f t="shared" si="14"/>
        <v>1</v>
      </c>
      <c r="AF172" s="1197">
        <f t="shared" si="14"/>
        <v>1</v>
      </c>
    </row>
    <row r="173" spans="1:32">
      <c r="A173" s="3043">
        <v>200</v>
      </c>
      <c r="B173" s="3044">
        <v>59</v>
      </c>
      <c r="C173" s="3052">
        <v>0</v>
      </c>
      <c r="D173" s="3052">
        <v>0</v>
      </c>
      <c r="E173" s="3052">
        <v>0</v>
      </c>
      <c r="F173" s="3052">
        <v>0</v>
      </c>
      <c r="G173" s="3052">
        <v>0</v>
      </c>
      <c r="H173" s="3052">
        <v>0</v>
      </c>
      <c r="I173" s="3052">
        <v>0</v>
      </c>
      <c r="J173" s="3052">
        <v>0</v>
      </c>
      <c r="K173" s="3052">
        <v>0</v>
      </c>
      <c r="L173" s="3052">
        <v>0</v>
      </c>
      <c r="M173" s="3052">
        <v>0</v>
      </c>
      <c r="N173" s="3052">
        <v>0</v>
      </c>
      <c r="O173" s="3052">
        <v>0</v>
      </c>
      <c r="P173" s="3052">
        <v>0</v>
      </c>
      <c r="Q173" s="3052">
        <v>0</v>
      </c>
      <c r="R173" s="3053">
        <f t="shared" si="14"/>
        <v>1</v>
      </c>
      <c r="S173" s="3053">
        <f t="shared" si="14"/>
        <v>1</v>
      </c>
      <c r="T173" s="3053">
        <f t="shared" si="14"/>
        <v>1</v>
      </c>
      <c r="U173" s="3053">
        <f t="shared" si="14"/>
        <v>1</v>
      </c>
      <c r="V173" s="3053">
        <f t="shared" si="14"/>
        <v>1</v>
      </c>
      <c r="W173" s="3053">
        <f t="shared" si="14"/>
        <v>0.99999999999999989</v>
      </c>
      <c r="X173" s="3053">
        <f t="shared" si="14"/>
        <v>1</v>
      </c>
      <c r="Y173" s="3053">
        <f t="shared" si="14"/>
        <v>0.99999999999999989</v>
      </c>
      <c r="Z173" s="3053">
        <f t="shared" si="14"/>
        <v>1</v>
      </c>
      <c r="AA173" s="3053">
        <f t="shared" si="14"/>
        <v>1</v>
      </c>
      <c r="AB173" s="3053">
        <f t="shared" si="14"/>
        <v>0.99999999999999989</v>
      </c>
      <c r="AC173" s="3053">
        <f t="shared" si="14"/>
        <v>1</v>
      </c>
      <c r="AD173" s="3053">
        <f t="shared" si="14"/>
        <v>1</v>
      </c>
      <c r="AE173" s="1197">
        <f t="shared" si="14"/>
        <v>1</v>
      </c>
      <c r="AF173" s="1197">
        <f t="shared" si="14"/>
        <v>1</v>
      </c>
    </row>
    <row r="174" spans="1:32">
      <c r="A174" s="3043">
        <v>200</v>
      </c>
      <c r="B174" s="3044">
        <v>60</v>
      </c>
      <c r="C174" s="3052">
        <v>0</v>
      </c>
      <c r="D174" s="3052">
        <v>0</v>
      </c>
      <c r="E174" s="3052">
        <v>0</v>
      </c>
      <c r="F174" s="3052">
        <v>0</v>
      </c>
      <c r="G174" s="3052">
        <v>0</v>
      </c>
      <c r="H174" s="3052">
        <v>0</v>
      </c>
      <c r="I174" s="3052">
        <v>0</v>
      </c>
      <c r="J174" s="3052">
        <v>0</v>
      </c>
      <c r="K174" s="3052">
        <v>0</v>
      </c>
      <c r="L174" s="3052">
        <v>0</v>
      </c>
      <c r="M174" s="3052">
        <v>0</v>
      </c>
      <c r="N174" s="3052">
        <v>0</v>
      </c>
      <c r="O174" s="3052">
        <v>0</v>
      </c>
      <c r="P174" s="3052">
        <v>0</v>
      </c>
      <c r="Q174" s="3052">
        <v>0</v>
      </c>
      <c r="R174" s="3053">
        <f t="shared" si="14"/>
        <v>1</v>
      </c>
      <c r="S174" s="3053">
        <f t="shared" si="14"/>
        <v>1</v>
      </c>
      <c r="T174" s="3053">
        <f t="shared" si="14"/>
        <v>1</v>
      </c>
      <c r="U174" s="3053">
        <f t="shared" si="14"/>
        <v>1</v>
      </c>
      <c r="V174" s="3053">
        <f t="shared" si="14"/>
        <v>1</v>
      </c>
      <c r="W174" s="3053">
        <f t="shared" si="14"/>
        <v>0.99999999999999989</v>
      </c>
      <c r="X174" s="3053">
        <f t="shared" si="14"/>
        <v>1</v>
      </c>
      <c r="Y174" s="3053">
        <f t="shared" si="14"/>
        <v>0.99999999999999989</v>
      </c>
      <c r="Z174" s="3053">
        <f t="shared" si="14"/>
        <v>1</v>
      </c>
      <c r="AA174" s="3053">
        <f t="shared" si="14"/>
        <v>1</v>
      </c>
      <c r="AB174" s="3053">
        <f t="shared" si="14"/>
        <v>0.99999999999999989</v>
      </c>
      <c r="AC174" s="3053">
        <f t="shared" si="14"/>
        <v>1</v>
      </c>
      <c r="AD174" s="3053">
        <f t="shared" si="14"/>
        <v>1</v>
      </c>
      <c r="AE174" s="1197">
        <f t="shared" si="14"/>
        <v>1</v>
      </c>
      <c r="AF174" s="1197">
        <f t="shared" si="14"/>
        <v>1</v>
      </c>
    </row>
    <row r="175" spans="1:32">
      <c r="A175" s="3043">
        <v>200</v>
      </c>
      <c r="B175" s="3044">
        <v>61</v>
      </c>
      <c r="C175" s="3052">
        <v>0</v>
      </c>
      <c r="D175" s="3052">
        <v>0</v>
      </c>
      <c r="E175" s="3052">
        <v>0</v>
      </c>
      <c r="F175" s="3052">
        <v>0</v>
      </c>
      <c r="G175" s="3052">
        <v>0</v>
      </c>
      <c r="H175" s="3052">
        <v>0</v>
      </c>
      <c r="I175" s="3052">
        <v>0</v>
      </c>
      <c r="J175" s="3052">
        <v>0</v>
      </c>
      <c r="K175" s="3052">
        <v>0</v>
      </c>
      <c r="L175" s="3052">
        <v>0</v>
      </c>
      <c r="M175" s="3052">
        <v>0</v>
      </c>
      <c r="N175" s="3052">
        <v>0</v>
      </c>
      <c r="O175" s="3052">
        <v>0</v>
      </c>
      <c r="P175" s="3052">
        <v>0</v>
      </c>
      <c r="Q175" s="3052">
        <v>0</v>
      </c>
      <c r="R175" s="3053">
        <f t="shared" si="14"/>
        <v>1</v>
      </c>
      <c r="S175" s="3053">
        <f t="shared" si="14"/>
        <v>1</v>
      </c>
      <c r="T175" s="3053">
        <f t="shared" si="14"/>
        <v>1</v>
      </c>
      <c r="U175" s="3053">
        <f t="shared" si="14"/>
        <v>1</v>
      </c>
      <c r="V175" s="3053">
        <f t="shared" si="14"/>
        <v>1</v>
      </c>
      <c r="W175" s="3053">
        <f t="shared" si="14"/>
        <v>0.99999999999999989</v>
      </c>
      <c r="X175" s="3053">
        <f t="shared" si="14"/>
        <v>1</v>
      </c>
      <c r="Y175" s="3053">
        <f t="shared" si="14"/>
        <v>0.99999999999999989</v>
      </c>
      <c r="Z175" s="3053">
        <f t="shared" si="14"/>
        <v>1</v>
      </c>
      <c r="AA175" s="3053">
        <f t="shared" si="14"/>
        <v>1</v>
      </c>
      <c r="AB175" s="3053">
        <f t="shared" si="14"/>
        <v>0.99999999999999989</v>
      </c>
      <c r="AC175" s="3053">
        <f t="shared" si="14"/>
        <v>1</v>
      </c>
      <c r="AD175" s="3053">
        <f t="shared" si="14"/>
        <v>1</v>
      </c>
      <c r="AE175" s="1197">
        <f t="shared" si="14"/>
        <v>1</v>
      </c>
      <c r="AF175" s="1197">
        <f t="shared" si="14"/>
        <v>1</v>
      </c>
    </row>
    <row r="176" spans="1:32">
      <c r="A176" s="3043">
        <v>200</v>
      </c>
      <c r="B176" s="3044">
        <v>62</v>
      </c>
      <c r="C176" s="3052">
        <v>0</v>
      </c>
      <c r="D176" s="3052">
        <v>0</v>
      </c>
      <c r="E176" s="3052">
        <v>0</v>
      </c>
      <c r="F176" s="3052">
        <v>0</v>
      </c>
      <c r="G176" s="3052">
        <v>0</v>
      </c>
      <c r="H176" s="3052">
        <v>0</v>
      </c>
      <c r="I176" s="3052">
        <v>0</v>
      </c>
      <c r="J176" s="3052">
        <v>0</v>
      </c>
      <c r="K176" s="3052">
        <v>0</v>
      </c>
      <c r="L176" s="3052">
        <v>0</v>
      </c>
      <c r="M176" s="3052">
        <v>0</v>
      </c>
      <c r="N176" s="3052">
        <v>0</v>
      </c>
      <c r="O176" s="3052">
        <v>0</v>
      </c>
      <c r="P176" s="3052">
        <v>0</v>
      </c>
      <c r="Q176" s="3052">
        <v>0</v>
      </c>
      <c r="R176" s="3053">
        <f t="shared" si="14"/>
        <v>1</v>
      </c>
      <c r="S176" s="3053">
        <f t="shared" si="14"/>
        <v>1</v>
      </c>
      <c r="T176" s="3053">
        <f t="shared" si="14"/>
        <v>1</v>
      </c>
      <c r="U176" s="3053">
        <f t="shared" si="14"/>
        <v>1</v>
      </c>
      <c r="V176" s="3053">
        <f t="shared" si="14"/>
        <v>1</v>
      </c>
      <c r="W176" s="3053">
        <f t="shared" si="14"/>
        <v>0.99999999999999989</v>
      </c>
      <c r="X176" s="3053">
        <f t="shared" si="14"/>
        <v>1</v>
      </c>
      <c r="Y176" s="3053">
        <f t="shared" si="14"/>
        <v>0.99999999999999989</v>
      </c>
      <c r="Z176" s="3053">
        <f t="shared" si="14"/>
        <v>1</v>
      </c>
      <c r="AA176" s="3053">
        <f t="shared" si="14"/>
        <v>1</v>
      </c>
      <c r="AB176" s="3053">
        <f t="shared" si="14"/>
        <v>0.99999999999999989</v>
      </c>
      <c r="AC176" s="3053">
        <f t="shared" si="14"/>
        <v>1</v>
      </c>
      <c r="AD176" s="3053">
        <f t="shared" si="14"/>
        <v>1</v>
      </c>
      <c r="AE176" s="1197">
        <f t="shared" si="14"/>
        <v>1</v>
      </c>
      <c r="AF176" s="1197">
        <f t="shared" si="14"/>
        <v>1</v>
      </c>
    </row>
    <row r="177" spans="1:32">
      <c r="A177" s="3043">
        <v>200</v>
      </c>
      <c r="B177" s="3044">
        <v>63</v>
      </c>
      <c r="C177" s="3052">
        <v>0</v>
      </c>
      <c r="D177" s="3052">
        <v>0</v>
      </c>
      <c r="E177" s="3052">
        <v>0</v>
      </c>
      <c r="F177" s="3052">
        <v>0</v>
      </c>
      <c r="G177" s="3052">
        <v>0</v>
      </c>
      <c r="H177" s="3052">
        <v>0</v>
      </c>
      <c r="I177" s="3052">
        <v>0</v>
      </c>
      <c r="J177" s="3052">
        <v>0</v>
      </c>
      <c r="K177" s="3052">
        <v>0</v>
      </c>
      <c r="L177" s="3052">
        <v>0</v>
      </c>
      <c r="M177" s="3052">
        <v>0</v>
      </c>
      <c r="N177" s="3052">
        <v>0</v>
      </c>
      <c r="O177" s="3052">
        <v>0</v>
      </c>
      <c r="P177" s="3052">
        <v>0</v>
      </c>
      <c r="Q177" s="3052">
        <v>0</v>
      </c>
      <c r="R177" s="3053">
        <f t="shared" si="14"/>
        <v>1</v>
      </c>
      <c r="S177" s="3053">
        <f t="shared" si="14"/>
        <v>1</v>
      </c>
      <c r="T177" s="3053">
        <f t="shared" si="14"/>
        <v>1</v>
      </c>
      <c r="U177" s="3053">
        <f t="shared" si="14"/>
        <v>1</v>
      </c>
      <c r="V177" s="3053">
        <f t="shared" si="14"/>
        <v>1</v>
      </c>
      <c r="W177" s="3053">
        <f t="shared" si="14"/>
        <v>0.99999999999999989</v>
      </c>
      <c r="X177" s="3053">
        <f t="shared" si="14"/>
        <v>1</v>
      </c>
      <c r="Y177" s="3053">
        <f t="shared" si="14"/>
        <v>0.99999999999999989</v>
      </c>
      <c r="Z177" s="3053">
        <f t="shared" si="14"/>
        <v>1</v>
      </c>
      <c r="AA177" s="3053">
        <f t="shared" si="14"/>
        <v>1</v>
      </c>
      <c r="AB177" s="3053">
        <f t="shared" si="14"/>
        <v>0.99999999999999989</v>
      </c>
      <c r="AC177" s="3053">
        <f t="shared" si="14"/>
        <v>1</v>
      </c>
      <c r="AD177" s="3053">
        <f t="shared" si="14"/>
        <v>1</v>
      </c>
      <c r="AE177" s="1197">
        <f t="shared" si="14"/>
        <v>1</v>
      </c>
      <c r="AF177" s="1197">
        <f t="shared" si="14"/>
        <v>1</v>
      </c>
    </row>
    <row r="178" spans="1:32">
      <c r="A178" s="3043">
        <v>200</v>
      </c>
      <c r="B178" s="3044">
        <v>64</v>
      </c>
      <c r="C178" s="3052">
        <v>0</v>
      </c>
      <c r="D178" s="3052">
        <v>0</v>
      </c>
      <c r="E178" s="3052">
        <v>0</v>
      </c>
      <c r="F178" s="3052">
        <v>0</v>
      </c>
      <c r="G178" s="3052">
        <v>0</v>
      </c>
      <c r="H178" s="3052">
        <v>0</v>
      </c>
      <c r="I178" s="3052">
        <v>0</v>
      </c>
      <c r="J178" s="3052">
        <v>0</v>
      </c>
      <c r="K178" s="3052">
        <v>0</v>
      </c>
      <c r="L178" s="3052">
        <v>0</v>
      </c>
      <c r="M178" s="3052">
        <v>0</v>
      </c>
      <c r="N178" s="3052">
        <v>0</v>
      </c>
      <c r="O178" s="3052">
        <v>0</v>
      </c>
      <c r="P178" s="3052">
        <v>0</v>
      </c>
      <c r="Q178" s="3052">
        <v>0</v>
      </c>
      <c r="R178" s="3053">
        <f t="shared" si="14"/>
        <v>1</v>
      </c>
      <c r="S178" s="3053">
        <f t="shared" si="14"/>
        <v>1</v>
      </c>
      <c r="T178" s="3053">
        <f t="shared" si="14"/>
        <v>1</v>
      </c>
      <c r="U178" s="3053">
        <f t="shared" si="14"/>
        <v>1</v>
      </c>
      <c r="V178" s="3053">
        <f t="shared" si="14"/>
        <v>1</v>
      </c>
      <c r="W178" s="3053">
        <f t="shared" si="14"/>
        <v>0.99999999999999989</v>
      </c>
      <c r="X178" s="3053">
        <f t="shared" si="14"/>
        <v>1</v>
      </c>
      <c r="Y178" s="3053">
        <f t="shared" si="14"/>
        <v>0.99999999999999989</v>
      </c>
      <c r="Z178" s="3053">
        <f t="shared" si="14"/>
        <v>1</v>
      </c>
      <c r="AA178" s="3053">
        <f t="shared" si="14"/>
        <v>1</v>
      </c>
      <c r="AB178" s="3053">
        <f t="shared" si="14"/>
        <v>0.99999999999999989</v>
      </c>
      <c r="AC178" s="3053">
        <f t="shared" si="14"/>
        <v>1</v>
      </c>
      <c r="AD178" s="3053">
        <f t="shared" si="14"/>
        <v>1</v>
      </c>
      <c r="AE178" s="1197">
        <f t="shared" si="14"/>
        <v>1</v>
      </c>
      <c r="AF178" s="1197">
        <f t="shared" si="14"/>
        <v>1</v>
      </c>
    </row>
    <row r="179" spans="1:32">
      <c r="A179" s="3043">
        <v>200</v>
      </c>
      <c r="B179" s="3044">
        <v>65</v>
      </c>
      <c r="C179" s="3052">
        <v>0</v>
      </c>
      <c r="D179" s="3052">
        <v>0</v>
      </c>
      <c r="E179" s="3052">
        <v>0</v>
      </c>
      <c r="F179" s="3052">
        <v>0</v>
      </c>
      <c r="G179" s="3052">
        <v>0</v>
      </c>
      <c r="H179" s="3052">
        <v>0</v>
      </c>
      <c r="I179" s="3052">
        <v>0</v>
      </c>
      <c r="J179" s="3052">
        <v>0</v>
      </c>
      <c r="K179" s="3052">
        <v>0</v>
      </c>
      <c r="L179" s="3052">
        <v>0</v>
      </c>
      <c r="M179" s="3052">
        <v>0</v>
      </c>
      <c r="N179" s="3052">
        <v>0</v>
      </c>
      <c r="O179" s="3052">
        <v>0</v>
      </c>
      <c r="P179" s="3052">
        <v>0</v>
      </c>
      <c r="Q179" s="3052">
        <v>0</v>
      </c>
      <c r="R179" s="3053">
        <f t="shared" si="14"/>
        <v>1</v>
      </c>
      <c r="S179" s="3053">
        <f t="shared" si="14"/>
        <v>1</v>
      </c>
      <c r="T179" s="3053">
        <f t="shared" si="14"/>
        <v>1</v>
      </c>
      <c r="U179" s="3053">
        <f t="shared" si="14"/>
        <v>1</v>
      </c>
      <c r="V179" s="3053">
        <f t="shared" si="14"/>
        <v>1</v>
      </c>
      <c r="W179" s="3053">
        <f t="shared" si="14"/>
        <v>0.99999999999999989</v>
      </c>
      <c r="X179" s="3053">
        <f t="shared" si="14"/>
        <v>1</v>
      </c>
      <c r="Y179" s="3053">
        <f t="shared" si="14"/>
        <v>0.99999999999999989</v>
      </c>
      <c r="Z179" s="3053">
        <f t="shared" si="14"/>
        <v>1</v>
      </c>
      <c r="AA179" s="3053">
        <f t="shared" si="14"/>
        <v>1</v>
      </c>
      <c r="AB179" s="3053">
        <f t="shared" si="14"/>
        <v>0.99999999999999989</v>
      </c>
      <c r="AC179" s="3053">
        <f t="shared" si="14"/>
        <v>1</v>
      </c>
      <c r="AD179" s="3053">
        <f t="shared" si="14"/>
        <v>1</v>
      </c>
      <c r="AE179" s="1197">
        <f t="shared" si="14"/>
        <v>1</v>
      </c>
      <c r="AF179" s="1197">
        <f t="shared" si="14"/>
        <v>1</v>
      </c>
    </row>
    <row r="180" spans="1:32">
      <c r="A180" s="3043">
        <v>200</v>
      </c>
      <c r="B180" s="3044">
        <v>66</v>
      </c>
      <c r="C180" s="3052">
        <v>0</v>
      </c>
      <c r="D180" s="3052">
        <v>0</v>
      </c>
      <c r="E180" s="3052">
        <v>0</v>
      </c>
      <c r="F180" s="3052">
        <v>0</v>
      </c>
      <c r="G180" s="3052">
        <v>0</v>
      </c>
      <c r="H180" s="3052">
        <v>0</v>
      </c>
      <c r="I180" s="3052">
        <v>0</v>
      </c>
      <c r="J180" s="3052">
        <v>0</v>
      </c>
      <c r="K180" s="3052">
        <v>0</v>
      </c>
      <c r="L180" s="3052">
        <v>0</v>
      </c>
      <c r="M180" s="3052">
        <v>0</v>
      </c>
      <c r="N180" s="3052">
        <v>0</v>
      </c>
      <c r="O180" s="3052">
        <v>0</v>
      </c>
      <c r="P180" s="3052">
        <v>0</v>
      </c>
      <c r="Q180" s="3052">
        <v>0</v>
      </c>
      <c r="R180" s="3053">
        <f t="shared" ref="R180:AF195" si="15">C180+R179</f>
        <v>1</v>
      </c>
      <c r="S180" s="3053">
        <f t="shared" si="15"/>
        <v>1</v>
      </c>
      <c r="T180" s="3053">
        <f t="shared" si="15"/>
        <v>1</v>
      </c>
      <c r="U180" s="3053">
        <f t="shared" si="15"/>
        <v>1</v>
      </c>
      <c r="V180" s="3053">
        <f t="shared" si="15"/>
        <v>1</v>
      </c>
      <c r="W180" s="3053">
        <f t="shared" si="15"/>
        <v>0.99999999999999989</v>
      </c>
      <c r="X180" s="3053">
        <f t="shared" si="15"/>
        <v>1</v>
      </c>
      <c r="Y180" s="3053">
        <f t="shared" si="15"/>
        <v>0.99999999999999989</v>
      </c>
      <c r="Z180" s="3053">
        <f t="shared" si="15"/>
        <v>1</v>
      </c>
      <c r="AA180" s="3053">
        <f t="shared" si="15"/>
        <v>1</v>
      </c>
      <c r="AB180" s="3053">
        <f t="shared" si="15"/>
        <v>0.99999999999999989</v>
      </c>
      <c r="AC180" s="3053">
        <f t="shared" si="15"/>
        <v>1</v>
      </c>
      <c r="AD180" s="3053">
        <f t="shared" si="15"/>
        <v>1</v>
      </c>
      <c r="AE180" s="1197">
        <f t="shared" si="15"/>
        <v>1</v>
      </c>
      <c r="AF180" s="1197">
        <f t="shared" si="15"/>
        <v>1</v>
      </c>
    </row>
    <row r="181" spans="1:32">
      <c r="A181" s="3043">
        <v>200</v>
      </c>
      <c r="B181" s="3044">
        <v>67</v>
      </c>
      <c r="C181" s="3052">
        <v>0</v>
      </c>
      <c r="D181" s="3052">
        <v>0</v>
      </c>
      <c r="E181" s="3052">
        <v>0</v>
      </c>
      <c r="F181" s="3052">
        <v>0</v>
      </c>
      <c r="G181" s="3052">
        <v>0</v>
      </c>
      <c r="H181" s="3052">
        <v>0</v>
      </c>
      <c r="I181" s="3052">
        <v>0</v>
      </c>
      <c r="J181" s="3052">
        <v>0</v>
      </c>
      <c r="K181" s="3052">
        <v>0</v>
      </c>
      <c r="L181" s="3052">
        <v>0</v>
      </c>
      <c r="M181" s="3052">
        <v>0</v>
      </c>
      <c r="N181" s="3052">
        <v>0</v>
      </c>
      <c r="O181" s="3052">
        <v>0</v>
      </c>
      <c r="P181" s="3052">
        <v>0</v>
      </c>
      <c r="Q181" s="3052">
        <v>0</v>
      </c>
      <c r="R181" s="3053">
        <f t="shared" si="15"/>
        <v>1</v>
      </c>
      <c r="S181" s="3053">
        <f t="shared" si="15"/>
        <v>1</v>
      </c>
      <c r="T181" s="3053">
        <f t="shared" si="15"/>
        <v>1</v>
      </c>
      <c r="U181" s="3053">
        <f t="shared" si="15"/>
        <v>1</v>
      </c>
      <c r="V181" s="3053">
        <f t="shared" si="15"/>
        <v>1</v>
      </c>
      <c r="W181" s="3053">
        <f t="shared" si="15"/>
        <v>0.99999999999999989</v>
      </c>
      <c r="X181" s="3053">
        <f t="shared" si="15"/>
        <v>1</v>
      </c>
      <c r="Y181" s="3053">
        <f t="shared" si="15"/>
        <v>0.99999999999999989</v>
      </c>
      <c r="Z181" s="3053">
        <f t="shared" si="15"/>
        <v>1</v>
      </c>
      <c r="AA181" s="3053">
        <f t="shared" si="15"/>
        <v>1</v>
      </c>
      <c r="AB181" s="3053">
        <f t="shared" si="15"/>
        <v>0.99999999999999989</v>
      </c>
      <c r="AC181" s="3053">
        <f t="shared" si="15"/>
        <v>1</v>
      </c>
      <c r="AD181" s="3053">
        <f t="shared" si="15"/>
        <v>1</v>
      </c>
      <c r="AE181" s="1197">
        <f t="shared" si="15"/>
        <v>1</v>
      </c>
      <c r="AF181" s="1197">
        <f t="shared" si="15"/>
        <v>1</v>
      </c>
    </row>
    <row r="182" spans="1:32">
      <c r="A182" s="3043">
        <v>200</v>
      </c>
      <c r="B182" s="3044">
        <v>68</v>
      </c>
      <c r="C182" s="3052">
        <v>0</v>
      </c>
      <c r="D182" s="3052">
        <v>0</v>
      </c>
      <c r="E182" s="3052">
        <v>0</v>
      </c>
      <c r="F182" s="3052">
        <v>0</v>
      </c>
      <c r="G182" s="3052">
        <v>0</v>
      </c>
      <c r="H182" s="3052">
        <v>0</v>
      </c>
      <c r="I182" s="3052">
        <v>0</v>
      </c>
      <c r="J182" s="3052">
        <v>0</v>
      </c>
      <c r="K182" s="3052">
        <v>0</v>
      </c>
      <c r="L182" s="3052">
        <v>0</v>
      </c>
      <c r="M182" s="3052">
        <v>0</v>
      </c>
      <c r="N182" s="3052">
        <v>0</v>
      </c>
      <c r="O182" s="3052">
        <v>0</v>
      </c>
      <c r="P182" s="3052">
        <v>0</v>
      </c>
      <c r="Q182" s="3052">
        <v>0</v>
      </c>
      <c r="R182" s="3053">
        <f t="shared" si="15"/>
        <v>1</v>
      </c>
      <c r="S182" s="3053">
        <f t="shared" si="15"/>
        <v>1</v>
      </c>
      <c r="T182" s="3053">
        <f t="shared" si="15"/>
        <v>1</v>
      </c>
      <c r="U182" s="3053">
        <f t="shared" si="15"/>
        <v>1</v>
      </c>
      <c r="V182" s="3053">
        <f t="shared" si="15"/>
        <v>1</v>
      </c>
      <c r="W182" s="3053">
        <f t="shared" si="15"/>
        <v>0.99999999999999989</v>
      </c>
      <c r="X182" s="3053">
        <f t="shared" si="15"/>
        <v>1</v>
      </c>
      <c r="Y182" s="3053">
        <f t="shared" si="15"/>
        <v>0.99999999999999989</v>
      </c>
      <c r="Z182" s="3053">
        <f t="shared" si="15"/>
        <v>1</v>
      </c>
      <c r="AA182" s="3053">
        <f t="shared" si="15"/>
        <v>1</v>
      </c>
      <c r="AB182" s="3053">
        <f t="shared" si="15"/>
        <v>0.99999999999999989</v>
      </c>
      <c r="AC182" s="3053">
        <f t="shared" si="15"/>
        <v>1</v>
      </c>
      <c r="AD182" s="3053">
        <f t="shared" si="15"/>
        <v>1</v>
      </c>
      <c r="AE182" s="1197">
        <f t="shared" si="15"/>
        <v>1</v>
      </c>
      <c r="AF182" s="1197">
        <f t="shared" si="15"/>
        <v>1</v>
      </c>
    </row>
    <row r="183" spans="1:32">
      <c r="A183" s="3043">
        <v>200</v>
      </c>
      <c r="B183" s="3044">
        <v>69</v>
      </c>
      <c r="C183" s="3052">
        <v>0</v>
      </c>
      <c r="D183" s="3052">
        <v>0</v>
      </c>
      <c r="E183" s="3052">
        <v>0</v>
      </c>
      <c r="F183" s="3052">
        <v>0</v>
      </c>
      <c r="G183" s="3052">
        <v>0</v>
      </c>
      <c r="H183" s="3052">
        <v>0</v>
      </c>
      <c r="I183" s="3052">
        <v>0</v>
      </c>
      <c r="J183" s="3052">
        <v>0</v>
      </c>
      <c r="K183" s="3052">
        <v>0</v>
      </c>
      <c r="L183" s="3052">
        <v>0</v>
      </c>
      <c r="M183" s="3052">
        <v>0</v>
      </c>
      <c r="N183" s="3052">
        <v>0</v>
      </c>
      <c r="O183" s="3052">
        <v>0</v>
      </c>
      <c r="P183" s="3052">
        <v>0</v>
      </c>
      <c r="Q183" s="3052">
        <v>0</v>
      </c>
      <c r="R183" s="3053">
        <f t="shared" si="15"/>
        <v>1</v>
      </c>
      <c r="S183" s="3053">
        <f t="shared" si="15"/>
        <v>1</v>
      </c>
      <c r="T183" s="3053">
        <f t="shared" si="15"/>
        <v>1</v>
      </c>
      <c r="U183" s="3053">
        <f t="shared" si="15"/>
        <v>1</v>
      </c>
      <c r="V183" s="3053">
        <f t="shared" si="15"/>
        <v>1</v>
      </c>
      <c r="W183" s="3053">
        <f t="shared" si="15"/>
        <v>0.99999999999999989</v>
      </c>
      <c r="X183" s="3053">
        <f t="shared" si="15"/>
        <v>1</v>
      </c>
      <c r="Y183" s="3053">
        <f t="shared" si="15"/>
        <v>0.99999999999999989</v>
      </c>
      <c r="Z183" s="3053">
        <f t="shared" si="15"/>
        <v>1</v>
      </c>
      <c r="AA183" s="3053">
        <f t="shared" si="15"/>
        <v>1</v>
      </c>
      <c r="AB183" s="3053">
        <f t="shared" si="15"/>
        <v>0.99999999999999989</v>
      </c>
      <c r="AC183" s="3053">
        <f t="shared" si="15"/>
        <v>1</v>
      </c>
      <c r="AD183" s="3053">
        <f t="shared" si="15"/>
        <v>1</v>
      </c>
      <c r="AE183" s="1197">
        <f t="shared" si="15"/>
        <v>1</v>
      </c>
      <c r="AF183" s="1197">
        <f t="shared" si="15"/>
        <v>1</v>
      </c>
    </row>
    <row r="184" spans="1:32">
      <c r="A184" s="3043">
        <v>200</v>
      </c>
      <c r="B184" s="3044">
        <v>70</v>
      </c>
      <c r="C184" s="3052">
        <v>0</v>
      </c>
      <c r="D184" s="3052">
        <v>0</v>
      </c>
      <c r="E184" s="3052">
        <v>0</v>
      </c>
      <c r="F184" s="3052">
        <v>0</v>
      </c>
      <c r="G184" s="3052">
        <v>0</v>
      </c>
      <c r="H184" s="3052">
        <v>0</v>
      </c>
      <c r="I184" s="3052">
        <v>0</v>
      </c>
      <c r="J184" s="3052">
        <v>0</v>
      </c>
      <c r="K184" s="3052">
        <v>0</v>
      </c>
      <c r="L184" s="3052">
        <v>0</v>
      </c>
      <c r="M184" s="3052">
        <v>0</v>
      </c>
      <c r="N184" s="3052">
        <v>0</v>
      </c>
      <c r="O184" s="3052">
        <v>0</v>
      </c>
      <c r="P184" s="3052">
        <v>0</v>
      </c>
      <c r="Q184" s="3052">
        <v>0</v>
      </c>
      <c r="R184" s="3053">
        <f t="shared" si="15"/>
        <v>1</v>
      </c>
      <c r="S184" s="3053">
        <f t="shared" si="15"/>
        <v>1</v>
      </c>
      <c r="T184" s="3053">
        <f t="shared" si="15"/>
        <v>1</v>
      </c>
      <c r="U184" s="3053">
        <f t="shared" si="15"/>
        <v>1</v>
      </c>
      <c r="V184" s="3053">
        <f t="shared" si="15"/>
        <v>1</v>
      </c>
      <c r="W184" s="3053">
        <f t="shared" si="15"/>
        <v>0.99999999999999989</v>
      </c>
      <c r="X184" s="3053">
        <f t="shared" si="15"/>
        <v>1</v>
      </c>
      <c r="Y184" s="3053">
        <f t="shared" si="15"/>
        <v>0.99999999999999989</v>
      </c>
      <c r="Z184" s="3053">
        <f t="shared" si="15"/>
        <v>1</v>
      </c>
      <c r="AA184" s="3053">
        <f t="shared" si="15"/>
        <v>1</v>
      </c>
      <c r="AB184" s="3053">
        <f t="shared" si="15"/>
        <v>0.99999999999999989</v>
      </c>
      <c r="AC184" s="3053">
        <f t="shared" si="15"/>
        <v>1</v>
      </c>
      <c r="AD184" s="3053">
        <f t="shared" si="15"/>
        <v>1</v>
      </c>
      <c r="AE184" s="1197">
        <f t="shared" si="15"/>
        <v>1</v>
      </c>
      <c r="AF184" s="1197">
        <f t="shared" si="15"/>
        <v>1</v>
      </c>
    </row>
    <row r="185" spans="1:32">
      <c r="A185" s="3043">
        <v>200</v>
      </c>
      <c r="B185" s="3044">
        <v>71</v>
      </c>
      <c r="C185" s="3052">
        <v>0</v>
      </c>
      <c r="D185" s="3052">
        <v>0</v>
      </c>
      <c r="E185" s="3052">
        <v>0</v>
      </c>
      <c r="F185" s="3052">
        <v>0</v>
      </c>
      <c r="G185" s="3052">
        <v>0</v>
      </c>
      <c r="H185" s="3052">
        <v>0</v>
      </c>
      <c r="I185" s="3052">
        <v>0</v>
      </c>
      <c r="J185" s="3052">
        <v>0</v>
      </c>
      <c r="K185" s="3052">
        <v>0</v>
      </c>
      <c r="L185" s="3052">
        <v>0</v>
      </c>
      <c r="M185" s="3052">
        <v>0</v>
      </c>
      <c r="N185" s="3052">
        <v>0</v>
      </c>
      <c r="O185" s="3052">
        <v>0</v>
      </c>
      <c r="P185" s="3052">
        <v>0</v>
      </c>
      <c r="Q185" s="3052">
        <v>0</v>
      </c>
      <c r="R185" s="3053">
        <f t="shared" si="15"/>
        <v>1</v>
      </c>
      <c r="S185" s="3053">
        <f t="shared" si="15"/>
        <v>1</v>
      </c>
      <c r="T185" s="3053">
        <f t="shared" si="15"/>
        <v>1</v>
      </c>
      <c r="U185" s="3053">
        <f t="shared" si="15"/>
        <v>1</v>
      </c>
      <c r="V185" s="3053">
        <f t="shared" si="15"/>
        <v>1</v>
      </c>
      <c r="W185" s="3053">
        <f t="shared" si="15"/>
        <v>0.99999999999999989</v>
      </c>
      <c r="X185" s="3053">
        <f t="shared" si="15"/>
        <v>1</v>
      </c>
      <c r="Y185" s="3053">
        <f t="shared" si="15"/>
        <v>0.99999999999999989</v>
      </c>
      <c r="Z185" s="3053">
        <f t="shared" si="15"/>
        <v>1</v>
      </c>
      <c r="AA185" s="3053">
        <f t="shared" si="15"/>
        <v>1</v>
      </c>
      <c r="AB185" s="3053">
        <f t="shared" si="15"/>
        <v>0.99999999999999989</v>
      </c>
      <c r="AC185" s="3053">
        <f t="shared" si="15"/>
        <v>1</v>
      </c>
      <c r="AD185" s="3053">
        <f t="shared" si="15"/>
        <v>1</v>
      </c>
      <c r="AE185" s="1197">
        <f t="shared" si="15"/>
        <v>1</v>
      </c>
      <c r="AF185" s="1197">
        <f t="shared" si="15"/>
        <v>1</v>
      </c>
    </row>
    <row r="186" spans="1:32">
      <c r="A186" s="3043">
        <v>200</v>
      </c>
      <c r="B186" s="3044">
        <v>72</v>
      </c>
      <c r="C186" s="3052">
        <v>0</v>
      </c>
      <c r="D186" s="3052">
        <v>0</v>
      </c>
      <c r="E186" s="3052">
        <v>0</v>
      </c>
      <c r="F186" s="3052">
        <v>0</v>
      </c>
      <c r="G186" s="3052">
        <v>0</v>
      </c>
      <c r="H186" s="3052">
        <v>0</v>
      </c>
      <c r="I186" s="3052">
        <v>0</v>
      </c>
      <c r="J186" s="3052">
        <v>0</v>
      </c>
      <c r="K186" s="3052">
        <v>0</v>
      </c>
      <c r="L186" s="3052">
        <v>0</v>
      </c>
      <c r="M186" s="3052">
        <v>0</v>
      </c>
      <c r="N186" s="3052">
        <v>0</v>
      </c>
      <c r="O186" s="3052">
        <v>0</v>
      </c>
      <c r="P186" s="3052">
        <v>0</v>
      </c>
      <c r="Q186" s="3052">
        <v>0</v>
      </c>
      <c r="R186" s="3053">
        <f t="shared" si="15"/>
        <v>1</v>
      </c>
      <c r="S186" s="3053">
        <f t="shared" si="15"/>
        <v>1</v>
      </c>
      <c r="T186" s="3053">
        <f t="shared" si="15"/>
        <v>1</v>
      </c>
      <c r="U186" s="3053">
        <f t="shared" si="15"/>
        <v>1</v>
      </c>
      <c r="V186" s="3053">
        <f t="shared" si="15"/>
        <v>1</v>
      </c>
      <c r="W186" s="3053">
        <f t="shared" si="15"/>
        <v>0.99999999999999989</v>
      </c>
      <c r="X186" s="3053">
        <f t="shared" si="15"/>
        <v>1</v>
      </c>
      <c r="Y186" s="3053">
        <f t="shared" si="15"/>
        <v>0.99999999999999989</v>
      </c>
      <c r="Z186" s="3053">
        <f t="shared" si="15"/>
        <v>1</v>
      </c>
      <c r="AA186" s="3053">
        <f t="shared" si="15"/>
        <v>1</v>
      </c>
      <c r="AB186" s="3053">
        <f t="shared" si="15"/>
        <v>0.99999999999999989</v>
      </c>
      <c r="AC186" s="3053">
        <f t="shared" si="15"/>
        <v>1</v>
      </c>
      <c r="AD186" s="3053">
        <f t="shared" si="15"/>
        <v>1</v>
      </c>
      <c r="AE186" s="1197">
        <f t="shared" si="15"/>
        <v>1</v>
      </c>
      <c r="AF186" s="1197">
        <f t="shared" si="15"/>
        <v>1</v>
      </c>
    </row>
    <row r="187" spans="1:32">
      <c r="A187" s="3043">
        <v>200</v>
      </c>
      <c r="B187" s="3044">
        <v>73</v>
      </c>
      <c r="C187" s="3052">
        <v>0</v>
      </c>
      <c r="D187" s="3052">
        <v>0</v>
      </c>
      <c r="E187" s="3052">
        <v>0</v>
      </c>
      <c r="F187" s="3052">
        <v>0</v>
      </c>
      <c r="G187" s="3052">
        <v>0</v>
      </c>
      <c r="H187" s="3052">
        <v>0</v>
      </c>
      <c r="I187" s="3052">
        <v>0</v>
      </c>
      <c r="J187" s="3052">
        <v>0</v>
      </c>
      <c r="K187" s="3052">
        <v>0</v>
      </c>
      <c r="L187" s="3052">
        <v>0</v>
      </c>
      <c r="M187" s="3052">
        <v>0</v>
      </c>
      <c r="N187" s="3052">
        <v>0</v>
      </c>
      <c r="O187" s="3052">
        <v>0</v>
      </c>
      <c r="P187" s="3052">
        <v>0</v>
      </c>
      <c r="Q187" s="3052">
        <v>0</v>
      </c>
      <c r="R187" s="3053">
        <f t="shared" si="15"/>
        <v>1</v>
      </c>
      <c r="S187" s="3053">
        <f t="shared" si="15"/>
        <v>1</v>
      </c>
      <c r="T187" s="3053">
        <f t="shared" si="15"/>
        <v>1</v>
      </c>
      <c r="U187" s="3053">
        <f t="shared" si="15"/>
        <v>1</v>
      </c>
      <c r="V187" s="3053">
        <f t="shared" si="15"/>
        <v>1</v>
      </c>
      <c r="W187" s="3053">
        <f t="shared" si="15"/>
        <v>0.99999999999999989</v>
      </c>
      <c r="X187" s="3053">
        <f t="shared" si="15"/>
        <v>1</v>
      </c>
      <c r="Y187" s="3053">
        <f t="shared" si="15"/>
        <v>0.99999999999999989</v>
      </c>
      <c r="Z187" s="3053">
        <f t="shared" si="15"/>
        <v>1</v>
      </c>
      <c r="AA187" s="3053">
        <f t="shared" si="15"/>
        <v>1</v>
      </c>
      <c r="AB187" s="3053">
        <f t="shared" si="15"/>
        <v>0.99999999999999989</v>
      </c>
      <c r="AC187" s="3053">
        <f t="shared" si="15"/>
        <v>1</v>
      </c>
      <c r="AD187" s="3053">
        <f t="shared" si="15"/>
        <v>1</v>
      </c>
      <c r="AE187" s="1197">
        <f t="shared" si="15"/>
        <v>1</v>
      </c>
      <c r="AF187" s="1197">
        <f t="shared" si="15"/>
        <v>1</v>
      </c>
    </row>
    <row r="188" spans="1:32">
      <c r="A188" s="3043">
        <v>200</v>
      </c>
      <c r="B188" s="3044">
        <v>74</v>
      </c>
      <c r="C188" s="3052">
        <v>0</v>
      </c>
      <c r="D188" s="3052">
        <v>0</v>
      </c>
      <c r="E188" s="3052">
        <v>0</v>
      </c>
      <c r="F188" s="3052">
        <v>0</v>
      </c>
      <c r="G188" s="3052">
        <v>0</v>
      </c>
      <c r="H188" s="3052">
        <v>0</v>
      </c>
      <c r="I188" s="3052">
        <v>0</v>
      </c>
      <c r="J188" s="3052">
        <v>0</v>
      </c>
      <c r="K188" s="3052">
        <v>0</v>
      </c>
      <c r="L188" s="3052">
        <v>0</v>
      </c>
      <c r="M188" s="3052">
        <v>0</v>
      </c>
      <c r="N188" s="3052">
        <v>0</v>
      </c>
      <c r="O188" s="3052">
        <v>0</v>
      </c>
      <c r="P188" s="3052">
        <v>0</v>
      </c>
      <c r="Q188" s="3052">
        <v>0</v>
      </c>
      <c r="R188" s="3053">
        <f t="shared" si="15"/>
        <v>1</v>
      </c>
      <c r="S188" s="3053">
        <f t="shared" si="15"/>
        <v>1</v>
      </c>
      <c r="T188" s="3053">
        <f t="shared" si="15"/>
        <v>1</v>
      </c>
      <c r="U188" s="3053">
        <f t="shared" si="15"/>
        <v>1</v>
      </c>
      <c r="V188" s="3053">
        <f t="shared" si="15"/>
        <v>1</v>
      </c>
      <c r="W188" s="3053">
        <f t="shared" si="15"/>
        <v>0.99999999999999989</v>
      </c>
      <c r="X188" s="3053">
        <f t="shared" si="15"/>
        <v>1</v>
      </c>
      <c r="Y188" s="3053">
        <f t="shared" si="15"/>
        <v>0.99999999999999989</v>
      </c>
      <c r="Z188" s="3053">
        <f t="shared" si="15"/>
        <v>1</v>
      </c>
      <c r="AA188" s="3053">
        <f t="shared" si="15"/>
        <v>1</v>
      </c>
      <c r="AB188" s="3053">
        <f t="shared" si="15"/>
        <v>0.99999999999999989</v>
      </c>
      <c r="AC188" s="3053">
        <f t="shared" si="15"/>
        <v>1</v>
      </c>
      <c r="AD188" s="3053">
        <f t="shared" si="15"/>
        <v>1</v>
      </c>
      <c r="AE188" s="1197">
        <f t="shared" si="15"/>
        <v>1</v>
      </c>
      <c r="AF188" s="1197">
        <f t="shared" si="15"/>
        <v>1</v>
      </c>
    </row>
    <row r="189" spans="1:32">
      <c r="A189" s="3043">
        <v>200</v>
      </c>
      <c r="B189" s="3044">
        <v>75</v>
      </c>
      <c r="C189" s="3052">
        <v>0</v>
      </c>
      <c r="D189" s="3052">
        <v>0</v>
      </c>
      <c r="E189" s="3052">
        <v>0</v>
      </c>
      <c r="F189" s="3052">
        <v>0</v>
      </c>
      <c r="G189" s="3052">
        <v>0</v>
      </c>
      <c r="H189" s="3052">
        <v>0</v>
      </c>
      <c r="I189" s="3052">
        <v>0</v>
      </c>
      <c r="J189" s="3052">
        <v>0</v>
      </c>
      <c r="K189" s="3052">
        <v>0</v>
      </c>
      <c r="L189" s="3052">
        <v>0</v>
      </c>
      <c r="M189" s="3052">
        <v>0</v>
      </c>
      <c r="N189" s="3052">
        <v>0</v>
      </c>
      <c r="O189" s="3052">
        <v>0</v>
      </c>
      <c r="P189" s="3052">
        <v>0</v>
      </c>
      <c r="Q189" s="3052">
        <v>0</v>
      </c>
      <c r="R189" s="3053">
        <f t="shared" si="15"/>
        <v>1</v>
      </c>
      <c r="S189" s="3053">
        <f t="shared" si="15"/>
        <v>1</v>
      </c>
      <c r="T189" s="3053">
        <f t="shared" si="15"/>
        <v>1</v>
      </c>
      <c r="U189" s="3053">
        <f t="shared" si="15"/>
        <v>1</v>
      </c>
      <c r="V189" s="3053">
        <f t="shared" si="15"/>
        <v>1</v>
      </c>
      <c r="W189" s="3053">
        <f t="shared" si="15"/>
        <v>0.99999999999999989</v>
      </c>
      <c r="X189" s="3053">
        <f t="shared" si="15"/>
        <v>1</v>
      </c>
      <c r="Y189" s="3053">
        <f t="shared" si="15"/>
        <v>0.99999999999999989</v>
      </c>
      <c r="Z189" s="3053">
        <f t="shared" si="15"/>
        <v>1</v>
      </c>
      <c r="AA189" s="3053">
        <f t="shared" si="15"/>
        <v>1</v>
      </c>
      <c r="AB189" s="3053">
        <f t="shared" si="15"/>
        <v>0.99999999999999989</v>
      </c>
      <c r="AC189" s="3053">
        <f t="shared" si="15"/>
        <v>1</v>
      </c>
      <c r="AD189" s="3053">
        <f t="shared" si="15"/>
        <v>1</v>
      </c>
      <c r="AE189" s="1197">
        <f t="shared" si="15"/>
        <v>1</v>
      </c>
      <c r="AF189" s="1197">
        <f t="shared" si="15"/>
        <v>1</v>
      </c>
    </row>
    <row r="190" spans="1:32">
      <c r="A190" s="3043">
        <v>200</v>
      </c>
      <c r="B190" s="3044">
        <v>76</v>
      </c>
      <c r="C190" s="3052">
        <v>0</v>
      </c>
      <c r="D190" s="3052">
        <v>0</v>
      </c>
      <c r="E190" s="3052">
        <v>0</v>
      </c>
      <c r="F190" s="3052">
        <v>0</v>
      </c>
      <c r="G190" s="3052">
        <v>0</v>
      </c>
      <c r="H190" s="3052">
        <v>0</v>
      </c>
      <c r="I190" s="3052">
        <v>0</v>
      </c>
      <c r="J190" s="3052">
        <v>0</v>
      </c>
      <c r="K190" s="3052">
        <v>0</v>
      </c>
      <c r="L190" s="3052">
        <v>0</v>
      </c>
      <c r="M190" s="3052">
        <v>0</v>
      </c>
      <c r="N190" s="3052">
        <v>0</v>
      </c>
      <c r="O190" s="3052">
        <v>0</v>
      </c>
      <c r="P190" s="3052">
        <v>0</v>
      </c>
      <c r="Q190" s="3052">
        <v>0</v>
      </c>
      <c r="R190" s="3053">
        <f t="shared" si="15"/>
        <v>1</v>
      </c>
      <c r="S190" s="3053">
        <f t="shared" si="15"/>
        <v>1</v>
      </c>
      <c r="T190" s="3053">
        <f t="shared" si="15"/>
        <v>1</v>
      </c>
      <c r="U190" s="3053">
        <f t="shared" si="15"/>
        <v>1</v>
      </c>
      <c r="V190" s="3053">
        <f t="shared" si="15"/>
        <v>1</v>
      </c>
      <c r="W190" s="3053">
        <f t="shared" si="15"/>
        <v>0.99999999999999989</v>
      </c>
      <c r="X190" s="3053">
        <f t="shared" si="15"/>
        <v>1</v>
      </c>
      <c r="Y190" s="3053">
        <f t="shared" si="15"/>
        <v>0.99999999999999989</v>
      </c>
      <c r="Z190" s="3053">
        <f t="shared" si="15"/>
        <v>1</v>
      </c>
      <c r="AA190" s="3053">
        <f t="shared" si="15"/>
        <v>1</v>
      </c>
      <c r="AB190" s="3053">
        <f t="shared" si="15"/>
        <v>0.99999999999999989</v>
      </c>
      <c r="AC190" s="3053">
        <f t="shared" si="15"/>
        <v>1</v>
      </c>
      <c r="AD190" s="3053">
        <f t="shared" si="15"/>
        <v>1</v>
      </c>
      <c r="AE190" s="1197">
        <f t="shared" si="15"/>
        <v>1</v>
      </c>
      <c r="AF190" s="1197">
        <f t="shared" si="15"/>
        <v>1</v>
      </c>
    </row>
    <row r="191" spans="1:32">
      <c r="A191" s="3043">
        <v>200</v>
      </c>
      <c r="B191" s="3044">
        <v>77</v>
      </c>
      <c r="C191" s="3052">
        <v>0</v>
      </c>
      <c r="D191" s="3052">
        <v>0</v>
      </c>
      <c r="E191" s="3052">
        <v>0</v>
      </c>
      <c r="F191" s="3052">
        <v>0</v>
      </c>
      <c r="G191" s="3052">
        <v>0</v>
      </c>
      <c r="H191" s="3052">
        <v>0</v>
      </c>
      <c r="I191" s="3052">
        <v>0</v>
      </c>
      <c r="J191" s="3052">
        <v>0</v>
      </c>
      <c r="K191" s="3052">
        <v>0</v>
      </c>
      <c r="L191" s="3052">
        <v>0</v>
      </c>
      <c r="M191" s="3052">
        <v>0</v>
      </c>
      <c r="N191" s="3052">
        <v>0</v>
      </c>
      <c r="O191" s="3052">
        <v>0</v>
      </c>
      <c r="P191" s="3052">
        <v>0</v>
      </c>
      <c r="Q191" s="3052">
        <v>0</v>
      </c>
      <c r="R191" s="3053">
        <f t="shared" si="15"/>
        <v>1</v>
      </c>
      <c r="S191" s="3053">
        <f t="shared" si="15"/>
        <v>1</v>
      </c>
      <c r="T191" s="3053">
        <f t="shared" si="15"/>
        <v>1</v>
      </c>
      <c r="U191" s="3053">
        <f t="shared" si="15"/>
        <v>1</v>
      </c>
      <c r="V191" s="3053">
        <f t="shared" si="15"/>
        <v>1</v>
      </c>
      <c r="W191" s="3053">
        <f t="shared" si="15"/>
        <v>0.99999999999999989</v>
      </c>
      <c r="X191" s="3053">
        <f t="shared" si="15"/>
        <v>1</v>
      </c>
      <c r="Y191" s="3053">
        <f t="shared" si="15"/>
        <v>0.99999999999999989</v>
      </c>
      <c r="Z191" s="3053">
        <f t="shared" si="15"/>
        <v>1</v>
      </c>
      <c r="AA191" s="3053">
        <f t="shared" si="15"/>
        <v>1</v>
      </c>
      <c r="AB191" s="3053">
        <f t="shared" si="15"/>
        <v>0.99999999999999989</v>
      </c>
      <c r="AC191" s="3053">
        <f t="shared" si="15"/>
        <v>1</v>
      </c>
      <c r="AD191" s="3053">
        <f t="shared" si="15"/>
        <v>1</v>
      </c>
      <c r="AE191" s="1197">
        <f t="shared" si="15"/>
        <v>1</v>
      </c>
      <c r="AF191" s="1197">
        <f t="shared" si="15"/>
        <v>1</v>
      </c>
    </row>
    <row r="192" spans="1:32">
      <c r="A192" s="3043">
        <v>200</v>
      </c>
      <c r="B192" s="3044">
        <v>78</v>
      </c>
      <c r="C192" s="3052">
        <v>0</v>
      </c>
      <c r="D192" s="3052">
        <v>0</v>
      </c>
      <c r="E192" s="3052">
        <v>0</v>
      </c>
      <c r="F192" s="3052">
        <v>0</v>
      </c>
      <c r="G192" s="3052">
        <v>0</v>
      </c>
      <c r="H192" s="3052">
        <v>0</v>
      </c>
      <c r="I192" s="3052">
        <v>0</v>
      </c>
      <c r="J192" s="3052">
        <v>0</v>
      </c>
      <c r="K192" s="3052">
        <v>0</v>
      </c>
      <c r="L192" s="3052">
        <v>0</v>
      </c>
      <c r="M192" s="3052">
        <v>0</v>
      </c>
      <c r="N192" s="3052">
        <v>0</v>
      </c>
      <c r="O192" s="3052">
        <v>0</v>
      </c>
      <c r="P192" s="3052">
        <v>0</v>
      </c>
      <c r="Q192" s="3052">
        <v>0</v>
      </c>
      <c r="R192" s="3053">
        <f t="shared" si="15"/>
        <v>1</v>
      </c>
      <c r="S192" s="3053">
        <f t="shared" si="15"/>
        <v>1</v>
      </c>
      <c r="T192" s="3053">
        <f t="shared" si="15"/>
        <v>1</v>
      </c>
      <c r="U192" s="3053">
        <f t="shared" si="15"/>
        <v>1</v>
      </c>
      <c r="V192" s="3053">
        <f t="shared" si="15"/>
        <v>1</v>
      </c>
      <c r="W192" s="3053">
        <f t="shared" si="15"/>
        <v>0.99999999999999989</v>
      </c>
      <c r="X192" s="3053">
        <f t="shared" si="15"/>
        <v>1</v>
      </c>
      <c r="Y192" s="3053">
        <f t="shared" si="15"/>
        <v>0.99999999999999989</v>
      </c>
      <c r="Z192" s="3053">
        <f t="shared" si="15"/>
        <v>1</v>
      </c>
      <c r="AA192" s="3053">
        <f t="shared" si="15"/>
        <v>1</v>
      </c>
      <c r="AB192" s="3053">
        <f t="shared" si="15"/>
        <v>0.99999999999999989</v>
      </c>
      <c r="AC192" s="3053">
        <f t="shared" si="15"/>
        <v>1</v>
      </c>
      <c r="AD192" s="3053">
        <f t="shared" si="15"/>
        <v>1</v>
      </c>
      <c r="AE192" s="1197">
        <f t="shared" si="15"/>
        <v>1</v>
      </c>
      <c r="AF192" s="1197">
        <f t="shared" si="15"/>
        <v>1</v>
      </c>
    </row>
    <row r="193" spans="1:32">
      <c r="A193" s="3043">
        <v>200</v>
      </c>
      <c r="B193" s="3044">
        <v>79</v>
      </c>
      <c r="C193" s="3052">
        <v>0</v>
      </c>
      <c r="D193" s="3052">
        <v>0</v>
      </c>
      <c r="E193" s="3052">
        <v>0</v>
      </c>
      <c r="F193" s="3052">
        <v>0</v>
      </c>
      <c r="G193" s="3052">
        <v>0</v>
      </c>
      <c r="H193" s="3052">
        <v>0</v>
      </c>
      <c r="I193" s="3052">
        <v>0</v>
      </c>
      <c r="J193" s="3052">
        <v>0</v>
      </c>
      <c r="K193" s="3052">
        <v>0</v>
      </c>
      <c r="L193" s="3052">
        <v>0</v>
      </c>
      <c r="M193" s="3052">
        <v>0</v>
      </c>
      <c r="N193" s="3052">
        <v>0</v>
      </c>
      <c r="O193" s="3052">
        <v>0</v>
      </c>
      <c r="P193" s="3052">
        <v>0</v>
      </c>
      <c r="Q193" s="3052">
        <v>0</v>
      </c>
      <c r="R193" s="3053">
        <f t="shared" si="15"/>
        <v>1</v>
      </c>
      <c r="S193" s="3053">
        <f t="shared" si="15"/>
        <v>1</v>
      </c>
      <c r="T193" s="3053">
        <f t="shared" si="15"/>
        <v>1</v>
      </c>
      <c r="U193" s="3053">
        <f t="shared" si="15"/>
        <v>1</v>
      </c>
      <c r="V193" s="3053">
        <f t="shared" si="15"/>
        <v>1</v>
      </c>
      <c r="W193" s="3053">
        <f t="shared" si="15"/>
        <v>0.99999999999999989</v>
      </c>
      <c r="X193" s="3053">
        <f t="shared" si="15"/>
        <v>1</v>
      </c>
      <c r="Y193" s="3053">
        <f t="shared" si="15"/>
        <v>0.99999999999999989</v>
      </c>
      <c r="Z193" s="3053">
        <f t="shared" si="15"/>
        <v>1</v>
      </c>
      <c r="AA193" s="3053">
        <f t="shared" si="15"/>
        <v>1</v>
      </c>
      <c r="AB193" s="3053">
        <f t="shared" si="15"/>
        <v>0.99999999999999989</v>
      </c>
      <c r="AC193" s="3053">
        <f t="shared" si="15"/>
        <v>1</v>
      </c>
      <c r="AD193" s="3053">
        <f t="shared" si="15"/>
        <v>1</v>
      </c>
      <c r="AE193" s="1197">
        <f t="shared" si="15"/>
        <v>1</v>
      </c>
      <c r="AF193" s="1197">
        <f t="shared" si="15"/>
        <v>1</v>
      </c>
    </row>
    <row r="194" spans="1:32">
      <c r="A194" s="3043">
        <v>200</v>
      </c>
      <c r="B194" s="3044">
        <v>80</v>
      </c>
      <c r="C194" s="3052">
        <v>0</v>
      </c>
      <c r="D194" s="3052">
        <v>0</v>
      </c>
      <c r="E194" s="3052">
        <v>0</v>
      </c>
      <c r="F194" s="3052">
        <v>0</v>
      </c>
      <c r="G194" s="3052">
        <v>0</v>
      </c>
      <c r="H194" s="3052">
        <v>0</v>
      </c>
      <c r="I194" s="3052">
        <v>0</v>
      </c>
      <c r="J194" s="3052">
        <v>0</v>
      </c>
      <c r="K194" s="3052">
        <v>0</v>
      </c>
      <c r="L194" s="3052">
        <v>0</v>
      </c>
      <c r="M194" s="3052">
        <v>0</v>
      </c>
      <c r="N194" s="3052">
        <v>0</v>
      </c>
      <c r="O194" s="3052">
        <v>0</v>
      </c>
      <c r="P194" s="3052">
        <v>0</v>
      </c>
      <c r="Q194" s="3052">
        <v>0</v>
      </c>
      <c r="R194" s="3053">
        <f t="shared" si="15"/>
        <v>1</v>
      </c>
      <c r="S194" s="3053">
        <f t="shared" si="15"/>
        <v>1</v>
      </c>
      <c r="T194" s="3053">
        <f t="shared" si="15"/>
        <v>1</v>
      </c>
      <c r="U194" s="3053">
        <f t="shared" si="15"/>
        <v>1</v>
      </c>
      <c r="V194" s="3053">
        <f t="shared" si="15"/>
        <v>1</v>
      </c>
      <c r="W194" s="3053">
        <f t="shared" si="15"/>
        <v>0.99999999999999989</v>
      </c>
      <c r="X194" s="3053">
        <f t="shared" si="15"/>
        <v>1</v>
      </c>
      <c r="Y194" s="3053">
        <f t="shared" si="15"/>
        <v>0.99999999999999989</v>
      </c>
      <c r="Z194" s="3053">
        <f t="shared" si="15"/>
        <v>1</v>
      </c>
      <c r="AA194" s="3053">
        <f t="shared" si="15"/>
        <v>1</v>
      </c>
      <c r="AB194" s="3053">
        <f t="shared" si="15"/>
        <v>0.99999999999999989</v>
      </c>
      <c r="AC194" s="3053">
        <f t="shared" si="15"/>
        <v>1</v>
      </c>
      <c r="AD194" s="3053">
        <f t="shared" si="15"/>
        <v>1</v>
      </c>
      <c r="AE194" s="1197">
        <f t="shared" si="15"/>
        <v>1</v>
      </c>
      <c r="AF194" s="1197">
        <f t="shared" si="15"/>
        <v>1</v>
      </c>
    </row>
    <row r="195" spans="1:32">
      <c r="A195" s="3043">
        <v>200</v>
      </c>
      <c r="B195" s="3044">
        <v>81</v>
      </c>
      <c r="C195" s="3052">
        <v>0</v>
      </c>
      <c r="D195" s="3052">
        <v>0</v>
      </c>
      <c r="E195" s="3052">
        <v>0</v>
      </c>
      <c r="F195" s="3052">
        <v>0</v>
      </c>
      <c r="G195" s="3052">
        <v>0</v>
      </c>
      <c r="H195" s="3052">
        <v>0</v>
      </c>
      <c r="I195" s="3052">
        <v>0</v>
      </c>
      <c r="J195" s="3052">
        <v>0</v>
      </c>
      <c r="K195" s="3052">
        <v>0</v>
      </c>
      <c r="L195" s="3052">
        <v>0</v>
      </c>
      <c r="M195" s="3052">
        <v>0</v>
      </c>
      <c r="N195" s="3052">
        <v>0</v>
      </c>
      <c r="O195" s="3052">
        <v>0</v>
      </c>
      <c r="P195" s="3052">
        <v>0</v>
      </c>
      <c r="Q195" s="3052">
        <v>0</v>
      </c>
      <c r="R195" s="3053">
        <f t="shared" si="15"/>
        <v>1</v>
      </c>
      <c r="S195" s="3053">
        <f t="shared" si="15"/>
        <v>1</v>
      </c>
      <c r="T195" s="3053">
        <f t="shared" si="15"/>
        <v>1</v>
      </c>
      <c r="U195" s="3053">
        <f t="shared" si="15"/>
        <v>1</v>
      </c>
      <c r="V195" s="3053">
        <f t="shared" si="15"/>
        <v>1</v>
      </c>
      <c r="W195" s="3053">
        <f t="shared" si="15"/>
        <v>0.99999999999999989</v>
      </c>
      <c r="X195" s="3053">
        <f t="shared" si="15"/>
        <v>1</v>
      </c>
      <c r="Y195" s="3053">
        <f t="shared" si="15"/>
        <v>0.99999999999999989</v>
      </c>
      <c r="Z195" s="3053">
        <f t="shared" si="15"/>
        <v>1</v>
      </c>
      <c r="AA195" s="3053">
        <f t="shared" si="15"/>
        <v>1</v>
      </c>
      <c r="AB195" s="3053">
        <f t="shared" si="15"/>
        <v>0.99999999999999989</v>
      </c>
      <c r="AC195" s="3053">
        <f t="shared" si="15"/>
        <v>1</v>
      </c>
      <c r="AD195" s="3053">
        <f t="shared" si="15"/>
        <v>1</v>
      </c>
      <c r="AE195" s="1197">
        <f t="shared" si="15"/>
        <v>1</v>
      </c>
      <c r="AF195" s="1197">
        <f t="shared" si="15"/>
        <v>1</v>
      </c>
    </row>
    <row r="196" spans="1:32">
      <c r="A196" s="3043">
        <v>200</v>
      </c>
      <c r="B196" s="3044">
        <v>82</v>
      </c>
      <c r="C196" s="3052">
        <v>0</v>
      </c>
      <c r="D196" s="3052">
        <v>0</v>
      </c>
      <c r="E196" s="3052">
        <v>0</v>
      </c>
      <c r="F196" s="3052">
        <v>0</v>
      </c>
      <c r="G196" s="3052">
        <v>0</v>
      </c>
      <c r="H196" s="3052">
        <v>0</v>
      </c>
      <c r="I196" s="3052">
        <v>0</v>
      </c>
      <c r="J196" s="3052">
        <v>0</v>
      </c>
      <c r="K196" s="3052">
        <v>0</v>
      </c>
      <c r="L196" s="3052">
        <v>0</v>
      </c>
      <c r="M196" s="3052">
        <v>0</v>
      </c>
      <c r="N196" s="3052">
        <v>0</v>
      </c>
      <c r="O196" s="3052">
        <v>0</v>
      </c>
      <c r="P196" s="3052">
        <v>0</v>
      </c>
      <c r="Q196" s="3052">
        <v>0</v>
      </c>
      <c r="R196" s="3053">
        <f t="shared" ref="R196:AF211" si="16">C196+R195</f>
        <v>1</v>
      </c>
      <c r="S196" s="3053">
        <f t="shared" si="16"/>
        <v>1</v>
      </c>
      <c r="T196" s="3053">
        <f t="shared" si="16"/>
        <v>1</v>
      </c>
      <c r="U196" s="3053">
        <f t="shared" si="16"/>
        <v>1</v>
      </c>
      <c r="V196" s="3053">
        <f t="shared" si="16"/>
        <v>1</v>
      </c>
      <c r="W196" s="3053">
        <f t="shared" si="16"/>
        <v>0.99999999999999989</v>
      </c>
      <c r="X196" s="3053">
        <f t="shared" si="16"/>
        <v>1</v>
      </c>
      <c r="Y196" s="3053">
        <f t="shared" si="16"/>
        <v>0.99999999999999989</v>
      </c>
      <c r="Z196" s="3053">
        <f t="shared" si="16"/>
        <v>1</v>
      </c>
      <c r="AA196" s="3053">
        <f t="shared" si="16"/>
        <v>1</v>
      </c>
      <c r="AB196" s="3053">
        <f t="shared" si="16"/>
        <v>0.99999999999999989</v>
      </c>
      <c r="AC196" s="3053">
        <f t="shared" si="16"/>
        <v>1</v>
      </c>
      <c r="AD196" s="3053">
        <f t="shared" si="16"/>
        <v>1</v>
      </c>
      <c r="AE196" s="1197">
        <f t="shared" si="16"/>
        <v>1</v>
      </c>
      <c r="AF196" s="1197">
        <f t="shared" si="16"/>
        <v>1</v>
      </c>
    </row>
    <row r="197" spans="1:32">
      <c r="A197" s="3043">
        <v>200</v>
      </c>
      <c r="B197" s="3044">
        <v>83</v>
      </c>
      <c r="C197" s="3052">
        <v>0</v>
      </c>
      <c r="D197" s="3052">
        <v>0</v>
      </c>
      <c r="E197" s="3052">
        <v>0</v>
      </c>
      <c r="F197" s="3052">
        <v>0</v>
      </c>
      <c r="G197" s="3052">
        <v>0</v>
      </c>
      <c r="H197" s="3052">
        <v>0</v>
      </c>
      <c r="I197" s="3052">
        <v>0</v>
      </c>
      <c r="J197" s="3052">
        <v>0</v>
      </c>
      <c r="K197" s="3052">
        <v>0</v>
      </c>
      <c r="L197" s="3052">
        <v>0</v>
      </c>
      <c r="M197" s="3052">
        <v>0</v>
      </c>
      <c r="N197" s="3052">
        <v>0</v>
      </c>
      <c r="O197" s="3052">
        <v>0</v>
      </c>
      <c r="P197" s="3052">
        <v>0</v>
      </c>
      <c r="Q197" s="3052">
        <v>0</v>
      </c>
      <c r="R197" s="3053">
        <f t="shared" si="16"/>
        <v>1</v>
      </c>
      <c r="S197" s="3053">
        <f t="shared" si="16"/>
        <v>1</v>
      </c>
      <c r="T197" s="3053">
        <f t="shared" si="16"/>
        <v>1</v>
      </c>
      <c r="U197" s="3053">
        <f t="shared" si="16"/>
        <v>1</v>
      </c>
      <c r="V197" s="3053">
        <f t="shared" si="16"/>
        <v>1</v>
      </c>
      <c r="W197" s="3053">
        <f t="shared" si="16"/>
        <v>0.99999999999999989</v>
      </c>
      <c r="X197" s="3053">
        <f t="shared" si="16"/>
        <v>1</v>
      </c>
      <c r="Y197" s="3053">
        <f t="shared" si="16"/>
        <v>0.99999999999999989</v>
      </c>
      <c r="Z197" s="3053">
        <f t="shared" si="16"/>
        <v>1</v>
      </c>
      <c r="AA197" s="3053">
        <f t="shared" si="16"/>
        <v>1</v>
      </c>
      <c r="AB197" s="3053">
        <f t="shared" si="16"/>
        <v>0.99999999999999989</v>
      </c>
      <c r="AC197" s="3053">
        <f t="shared" si="16"/>
        <v>1</v>
      </c>
      <c r="AD197" s="3053">
        <f t="shared" si="16"/>
        <v>1</v>
      </c>
      <c r="AE197" s="1197">
        <f t="shared" si="16"/>
        <v>1</v>
      </c>
      <c r="AF197" s="1197">
        <f t="shared" si="16"/>
        <v>1</v>
      </c>
    </row>
    <row r="198" spans="1:32">
      <c r="A198" s="3043">
        <v>200</v>
      </c>
      <c r="B198" s="3044">
        <v>84</v>
      </c>
      <c r="C198" s="3052">
        <v>0</v>
      </c>
      <c r="D198" s="3052">
        <v>0</v>
      </c>
      <c r="E198" s="3052">
        <v>0</v>
      </c>
      <c r="F198" s="3052">
        <v>0</v>
      </c>
      <c r="G198" s="3052">
        <v>0</v>
      </c>
      <c r="H198" s="3052">
        <v>0</v>
      </c>
      <c r="I198" s="3052">
        <v>0</v>
      </c>
      <c r="J198" s="3052">
        <v>0</v>
      </c>
      <c r="K198" s="3052">
        <v>0</v>
      </c>
      <c r="L198" s="3052">
        <v>0</v>
      </c>
      <c r="M198" s="3052">
        <v>0</v>
      </c>
      <c r="N198" s="3052">
        <v>0</v>
      </c>
      <c r="O198" s="3052">
        <v>0</v>
      </c>
      <c r="P198" s="3052">
        <v>0</v>
      </c>
      <c r="Q198" s="3052">
        <v>0</v>
      </c>
      <c r="R198" s="3053">
        <f t="shared" si="16"/>
        <v>1</v>
      </c>
      <c r="S198" s="3053">
        <f t="shared" si="16"/>
        <v>1</v>
      </c>
      <c r="T198" s="3053">
        <f t="shared" si="16"/>
        <v>1</v>
      </c>
      <c r="U198" s="3053">
        <f t="shared" si="16"/>
        <v>1</v>
      </c>
      <c r="V198" s="3053">
        <f t="shared" si="16"/>
        <v>1</v>
      </c>
      <c r="W198" s="3053">
        <f t="shared" si="16"/>
        <v>0.99999999999999989</v>
      </c>
      <c r="X198" s="3053">
        <f t="shared" si="16"/>
        <v>1</v>
      </c>
      <c r="Y198" s="3053">
        <f t="shared" si="16"/>
        <v>0.99999999999999989</v>
      </c>
      <c r="Z198" s="3053">
        <f t="shared" si="16"/>
        <v>1</v>
      </c>
      <c r="AA198" s="3053">
        <f t="shared" si="16"/>
        <v>1</v>
      </c>
      <c r="AB198" s="3053">
        <f t="shared" si="16"/>
        <v>0.99999999999999989</v>
      </c>
      <c r="AC198" s="3053">
        <f t="shared" si="16"/>
        <v>1</v>
      </c>
      <c r="AD198" s="3053">
        <f t="shared" si="16"/>
        <v>1</v>
      </c>
      <c r="AE198" s="1197">
        <f t="shared" si="16"/>
        <v>1</v>
      </c>
      <c r="AF198" s="1197">
        <f t="shared" si="16"/>
        <v>1</v>
      </c>
    </row>
    <row r="199" spans="1:32">
      <c r="A199" s="3043">
        <v>200</v>
      </c>
      <c r="B199" s="3044">
        <v>85</v>
      </c>
      <c r="C199" s="3052">
        <v>0</v>
      </c>
      <c r="D199" s="3052">
        <v>0</v>
      </c>
      <c r="E199" s="3052">
        <v>0</v>
      </c>
      <c r="F199" s="3052">
        <v>0</v>
      </c>
      <c r="G199" s="3052">
        <v>0</v>
      </c>
      <c r="H199" s="3052">
        <v>0</v>
      </c>
      <c r="I199" s="3052">
        <v>0</v>
      </c>
      <c r="J199" s="3052">
        <v>0</v>
      </c>
      <c r="K199" s="3052">
        <v>0</v>
      </c>
      <c r="L199" s="3052">
        <v>0</v>
      </c>
      <c r="M199" s="3052">
        <v>0</v>
      </c>
      <c r="N199" s="3052">
        <v>0</v>
      </c>
      <c r="O199" s="3052">
        <v>0</v>
      </c>
      <c r="P199" s="3052">
        <v>0</v>
      </c>
      <c r="Q199" s="3052">
        <v>0</v>
      </c>
      <c r="R199" s="3053">
        <f t="shared" si="16"/>
        <v>1</v>
      </c>
      <c r="S199" s="3053">
        <f t="shared" si="16"/>
        <v>1</v>
      </c>
      <c r="T199" s="3053">
        <f t="shared" si="16"/>
        <v>1</v>
      </c>
      <c r="U199" s="3053">
        <f t="shared" si="16"/>
        <v>1</v>
      </c>
      <c r="V199" s="3053">
        <f t="shared" si="16"/>
        <v>1</v>
      </c>
      <c r="W199" s="3053">
        <f t="shared" si="16"/>
        <v>0.99999999999999989</v>
      </c>
      <c r="X199" s="3053">
        <f t="shared" si="16"/>
        <v>1</v>
      </c>
      <c r="Y199" s="3053">
        <f t="shared" si="16"/>
        <v>0.99999999999999989</v>
      </c>
      <c r="Z199" s="3053">
        <f t="shared" si="16"/>
        <v>1</v>
      </c>
      <c r="AA199" s="3053">
        <f t="shared" si="16"/>
        <v>1</v>
      </c>
      <c r="AB199" s="3053">
        <f t="shared" si="16"/>
        <v>0.99999999999999989</v>
      </c>
      <c r="AC199" s="3053">
        <f t="shared" si="16"/>
        <v>1</v>
      </c>
      <c r="AD199" s="3053">
        <f t="shared" si="16"/>
        <v>1</v>
      </c>
      <c r="AE199" s="1197">
        <f t="shared" si="16"/>
        <v>1</v>
      </c>
      <c r="AF199" s="1197">
        <f t="shared" si="16"/>
        <v>1</v>
      </c>
    </row>
    <row r="200" spans="1:32">
      <c r="A200" s="3043">
        <v>200</v>
      </c>
      <c r="B200" s="3044">
        <v>86</v>
      </c>
      <c r="C200" s="3052">
        <v>0</v>
      </c>
      <c r="D200" s="3052">
        <v>0</v>
      </c>
      <c r="E200" s="3052">
        <v>0</v>
      </c>
      <c r="F200" s="3052">
        <v>0</v>
      </c>
      <c r="G200" s="3052">
        <v>0</v>
      </c>
      <c r="H200" s="3052">
        <v>0</v>
      </c>
      <c r="I200" s="3052">
        <v>0</v>
      </c>
      <c r="J200" s="3052">
        <v>0</v>
      </c>
      <c r="K200" s="3052">
        <v>0</v>
      </c>
      <c r="L200" s="3052">
        <v>0</v>
      </c>
      <c r="M200" s="3052">
        <v>0</v>
      </c>
      <c r="N200" s="3052">
        <v>0</v>
      </c>
      <c r="O200" s="3052">
        <v>0</v>
      </c>
      <c r="P200" s="3052">
        <v>0</v>
      </c>
      <c r="Q200" s="3052">
        <v>0</v>
      </c>
      <c r="R200" s="3053">
        <f t="shared" si="16"/>
        <v>1</v>
      </c>
      <c r="S200" s="3053">
        <f t="shared" si="16"/>
        <v>1</v>
      </c>
      <c r="T200" s="3053">
        <f t="shared" si="16"/>
        <v>1</v>
      </c>
      <c r="U200" s="3053">
        <f t="shared" si="16"/>
        <v>1</v>
      </c>
      <c r="V200" s="3053">
        <f t="shared" si="16"/>
        <v>1</v>
      </c>
      <c r="W200" s="3053">
        <f t="shared" si="16"/>
        <v>0.99999999999999989</v>
      </c>
      <c r="X200" s="3053">
        <f t="shared" si="16"/>
        <v>1</v>
      </c>
      <c r="Y200" s="3053">
        <f t="shared" si="16"/>
        <v>0.99999999999999989</v>
      </c>
      <c r="Z200" s="3053">
        <f t="shared" si="16"/>
        <v>1</v>
      </c>
      <c r="AA200" s="3053">
        <f t="shared" si="16"/>
        <v>1</v>
      </c>
      <c r="AB200" s="3053">
        <f t="shared" si="16"/>
        <v>0.99999999999999989</v>
      </c>
      <c r="AC200" s="3053">
        <f t="shared" si="16"/>
        <v>1</v>
      </c>
      <c r="AD200" s="3053">
        <f t="shared" si="16"/>
        <v>1</v>
      </c>
      <c r="AE200" s="1197">
        <f t="shared" si="16"/>
        <v>1</v>
      </c>
      <c r="AF200" s="1197">
        <f t="shared" si="16"/>
        <v>1</v>
      </c>
    </row>
    <row r="201" spans="1:32">
      <c r="A201" s="3043">
        <v>200</v>
      </c>
      <c r="B201" s="3044">
        <v>87</v>
      </c>
      <c r="C201" s="3052">
        <v>0</v>
      </c>
      <c r="D201" s="3052">
        <v>0</v>
      </c>
      <c r="E201" s="3052">
        <v>0</v>
      </c>
      <c r="F201" s="3052">
        <v>0</v>
      </c>
      <c r="G201" s="3052">
        <v>0</v>
      </c>
      <c r="H201" s="3052">
        <v>0</v>
      </c>
      <c r="I201" s="3052">
        <v>0</v>
      </c>
      <c r="J201" s="3052">
        <v>0</v>
      </c>
      <c r="K201" s="3052">
        <v>0</v>
      </c>
      <c r="L201" s="3052">
        <v>0</v>
      </c>
      <c r="M201" s="3052">
        <v>0</v>
      </c>
      <c r="N201" s="3052">
        <v>0</v>
      </c>
      <c r="O201" s="3052">
        <v>0</v>
      </c>
      <c r="P201" s="3052">
        <v>0</v>
      </c>
      <c r="Q201" s="3052">
        <v>0</v>
      </c>
      <c r="R201" s="3053">
        <f t="shared" si="16"/>
        <v>1</v>
      </c>
      <c r="S201" s="3053">
        <f t="shared" si="16"/>
        <v>1</v>
      </c>
      <c r="T201" s="3053">
        <f t="shared" si="16"/>
        <v>1</v>
      </c>
      <c r="U201" s="3053">
        <f t="shared" si="16"/>
        <v>1</v>
      </c>
      <c r="V201" s="3053">
        <f t="shared" si="16"/>
        <v>1</v>
      </c>
      <c r="W201" s="3053">
        <f t="shared" si="16"/>
        <v>0.99999999999999989</v>
      </c>
      <c r="X201" s="3053">
        <f t="shared" si="16"/>
        <v>1</v>
      </c>
      <c r="Y201" s="3053">
        <f t="shared" si="16"/>
        <v>0.99999999999999989</v>
      </c>
      <c r="Z201" s="3053">
        <f t="shared" si="16"/>
        <v>1</v>
      </c>
      <c r="AA201" s="3053">
        <f t="shared" si="16"/>
        <v>1</v>
      </c>
      <c r="AB201" s="3053">
        <f t="shared" si="16"/>
        <v>0.99999999999999989</v>
      </c>
      <c r="AC201" s="3053">
        <f t="shared" si="16"/>
        <v>1</v>
      </c>
      <c r="AD201" s="3053">
        <f t="shared" si="16"/>
        <v>1</v>
      </c>
      <c r="AE201" s="1197">
        <f t="shared" si="16"/>
        <v>1</v>
      </c>
      <c r="AF201" s="1197">
        <f t="shared" si="16"/>
        <v>1</v>
      </c>
    </row>
    <row r="202" spans="1:32">
      <c r="A202" s="3043">
        <v>200</v>
      </c>
      <c r="B202" s="3044">
        <v>88</v>
      </c>
      <c r="C202" s="3052">
        <v>0</v>
      </c>
      <c r="D202" s="3052">
        <v>0</v>
      </c>
      <c r="E202" s="3052">
        <v>0</v>
      </c>
      <c r="F202" s="3052">
        <v>0</v>
      </c>
      <c r="G202" s="3052">
        <v>0</v>
      </c>
      <c r="H202" s="3052">
        <v>0</v>
      </c>
      <c r="I202" s="3052">
        <v>0</v>
      </c>
      <c r="J202" s="3052">
        <v>0</v>
      </c>
      <c r="K202" s="3052">
        <v>0</v>
      </c>
      <c r="L202" s="3052">
        <v>0</v>
      </c>
      <c r="M202" s="3052">
        <v>0</v>
      </c>
      <c r="N202" s="3052">
        <v>0</v>
      </c>
      <c r="O202" s="3052">
        <v>0</v>
      </c>
      <c r="P202" s="3052">
        <v>0</v>
      </c>
      <c r="Q202" s="3052">
        <v>0</v>
      </c>
      <c r="R202" s="3053">
        <f t="shared" si="16"/>
        <v>1</v>
      </c>
      <c r="S202" s="3053">
        <f t="shared" si="16"/>
        <v>1</v>
      </c>
      <c r="T202" s="3053">
        <f t="shared" si="16"/>
        <v>1</v>
      </c>
      <c r="U202" s="3053">
        <f t="shared" si="16"/>
        <v>1</v>
      </c>
      <c r="V202" s="3053">
        <f t="shared" si="16"/>
        <v>1</v>
      </c>
      <c r="W202" s="3053">
        <f t="shared" si="16"/>
        <v>0.99999999999999989</v>
      </c>
      <c r="X202" s="3053">
        <f t="shared" si="16"/>
        <v>1</v>
      </c>
      <c r="Y202" s="3053">
        <f t="shared" si="16"/>
        <v>0.99999999999999989</v>
      </c>
      <c r="Z202" s="3053">
        <f t="shared" si="16"/>
        <v>1</v>
      </c>
      <c r="AA202" s="3053">
        <f t="shared" si="16"/>
        <v>1</v>
      </c>
      <c r="AB202" s="3053">
        <f t="shared" si="16"/>
        <v>0.99999999999999989</v>
      </c>
      <c r="AC202" s="3053">
        <f t="shared" si="16"/>
        <v>1</v>
      </c>
      <c r="AD202" s="3053">
        <f t="shared" si="16"/>
        <v>1</v>
      </c>
      <c r="AE202" s="1197">
        <f t="shared" si="16"/>
        <v>1</v>
      </c>
      <c r="AF202" s="1197">
        <f t="shared" si="16"/>
        <v>1</v>
      </c>
    </row>
    <row r="203" spans="1:32">
      <c r="A203" s="3043">
        <v>200</v>
      </c>
      <c r="B203" s="3044">
        <v>89</v>
      </c>
      <c r="C203" s="3052">
        <v>0</v>
      </c>
      <c r="D203" s="3052">
        <v>0</v>
      </c>
      <c r="E203" s="3052">
        <v>0</v>
      </c>
      <c r="F203" s="3052">
        <v>0</v>
      </c>
      <c r="G203" s="3052">
        <v>0</v>
      </c>
      <c r="H203" s="3052">
        <v>0</v>
      </c>
      <c r="I203" s="3052">
        <v>0</v>
      </c>
      <c r="J203" s="3052">
        <v>0</v>
      </c>
      <c r="K203" s="3052">
        <v>0</v>
      </c>
      <c r="L203" s="3052">
        <v>0</v>
      </c>
      <c r="M203" s="3052">
        <v>0</v>
      </c>
      <c r="N203" s="3052">
        <v>0</v>
      </c>
      <c r="O203" s="3052">
        <v>0</v>
      </c>
      <c r="P203" s="3052">
        <v>0</v>
      </c>
      <c r="Q203" s="3052">
        <v>0</v>
      </c>
      <c r="R203" s="3053">
        <f t="shared" si="16"/>
        <v>1</v>
      </c>
      <c r="S203" s="3053">
        <f t="shared" si="16"/>
        <v>1</v>
      </c>
      <c r="T203" s="3053">
        <f t="shared" si="16"/>
        <v>1</v>
      </c>
      <c r="U203" s="3053">
        <f t="shared" si="16"/>
        <v>1</v>
      </c>
      <c r="V203" s="3053">
        <f t="shared" si="16"/>
        <v>1</v>
      </c>
      <c r="W203" s="3053">
        <f t="shared" si="16"/>
        <v>0.99999999999999989</v>
      </c>
      <c r="X203" s="3053">
        <f t="shared" si="16"/>
        <v>1</v>
      </c>
      <c r="Y203" s="3053">
        <f t="shared" si="16"/>
        <v>0.99999999999999989</v>
      </c>
      <c r="Z203" s="3053">
        <f t="shared" si="16"/>
        <v>1</v>
      </c>
      <c r="AA203" s="3053">
        <f t="shared" si="16"/>
        <v>1</v>
      </c>
      <c r="AB203" s="3053">
        <f t="shared" si="16"/>
        <v>0.99999999999999989</v>
      </c>
      <c r="AC203" s="3053">
        <f t="shared" si="16"/>
        <v>1</v>
      </c>
      <c r="AD203" s="3053">
        <f t="shared" si="16"/>
        <v>1</v>
      </c>
      <c r="AE203" s="1197">
        <f t="shared" si="16"/>
        <v>1</v>
      </c>
      <c r="AF203" s="1197">
        <f t="shared" si="16"/>
        <v>1</v>
      </c>
    </row>
    <row r="204" spans="1:32">
      <c r="A204" s="3043">
        <v>200</v>
      </c>
      <c r="B204" s="3044">
        <v>90</v>
      </c>
      <c r="C204" s="3052">
        <v>0</v>
      </c>
      <c r="D204" s="3052">
        <v>0</v>
      </c>
      <c r="E204" s="3052">
        <v>0</v>
      </c>
      <c r="F204" s="3052">
        <v>0</v>
      </c>
      <c r="G204" s="3052">
        <v>0</v>
      </c>
      <c r="H204" s="3052">
        <v>0</v>
      </c>
      <c r="I204" s="3052">
        <v>0</v>
      </c>
      <c r="J204" s="3052">
        <v>0</v>
      </c>
      <c r="K204" s="3052">
        <v>0</v>
      </c>
      <c r="L204" s="3052">
        <v>0</v>
      </c>
      <c r="M204" s="3052">
        <v>0</v>
      </c>
      <c r="N204" s="3052">
        <v>0</v>
      </c>
      <c r="O204" s="3052">
        <v>0</v>
      </c>
      <c r="P204" s="3052">
        <v>0</v>
      </c>
      <c r="Q204" s="3052">
        <v>0</v>
      </c>
      <c r="R204" s="3053">
        <f t="shared" si="16"/>
        <v>1</v>
      </c>
      <c r="S204" s="3053">
        <f t="shared" si="16"/>
        <v>1</v>
      </c>
      <c r="T204" s="3053">
        <f t="shared" si="16"/>
        <v>1</v>
      </c>
      <c r="U204" s="3053">
        <f t="shared" si="16"/>
        <v>1</v>
      </c>
      <c r="V204" s="3053">
        <f t="shared" si="16"/>
        <v>1</v>
      </c>
      <c r="W204" s="3053">
        <f t="shared" si="16"/>
        <v>0.99999999999999989</v>
      </c>
      <c r="X204" s="3053">
        <f t="shared" si="16"/>
        <v>1</v>
      </c>
      <c r="Y204" s="3053">
        <f t="shared" si="16"/>
        <v>0.99999999999999989</v>
      </c>
      <c r="Z204" s="3053">
        <f t="shared" si="16"/>
        <v>1</v>
      </c>
      <c r="AA204" s="3053">
        <f t="shared" si="16"/>
        <v>1</v>
      </c>
      <c r="AB204" s="3053">
        <f t="shared" si="16"/>
        <v>0.99999999999999989</v>
      </c>
      <c r="AC204" s="3053">
        <f t="shared" si="16"/>
        <v>1</v>
      </c>
      <c r="AD204" s="3053">
        <f t="shared" si="16"/>
        <v>1</v>
      </c>
      <c r="AE204" s="1197">
        <f t="shared" si="16"/>
        <v>1</v>
      </c>
      <c r="AF204" s="1197">
        <f t="shared" si="16"/>
        <v>1</v>
      </c>
    </row>
    <row r="205" spans="1:32">
      <c r="A205" s="3043">
        <v>200</v>
      </c>
      <c r="B205" s="3044">
        <v>91</v>
      </c>
      <c r="C205" s="3052">
        <v>0</v>
      </c>
      <c r="D205" s="3052">
        <v>0</v>
      </c>
      <c r="E205" s="3052">
        <v>0</v>
      </c>
      <c r="F205" s="3052">
        <v>0</v>
      </c>
      <c r="G205" s="3052">
        <v>0</v>
      </c>
      <c r="H205" s="3052">
        <v>0</v>
      </c>
      <c r="I205" s="3052">
        <v>0</v>
      </c>
      <c r="J205" s="3052">
        <v>0</v>
      </c>
      <c r="K205" s="3052">
        <v>0</v>
      </c>
      <c r="L205" s="3052">
        <v>0</v>
      </c>
      <c r="M205" s="3052">
        <v>0</v>
      </c>
      <c r="N205" s="3052">
        <v>0</v>
      </c>
      <c r="O205" s="3052">
        <v>0</v>
      </c>
      <c r="P205" s="3052">
        <v>0</v>
      </c>
      <c r="Q205" s="3052">
        <v>0</v>
      </c>
      <c r="R205" s="3053">
        <f t="shared" si="16"/>
        <v>1</v>
      </c>
      <c r="S205" s="3053">
        <f t="shared" si="16"/>
        <v>1</v>
      </c>
      <c r="T205" s="3053">
        <f t="shared" si="16"/>
        <v>1</v>
      </c>
      <c r="U205" s="3053">
        <f t="shared" si="16"/>
        <v>1</v>
      </c>
      <c r="V205" s="3053">
        <f t="shared" si="16"/>
        <v>1</v>
      </c>
      <c r="W205" s="3053">
        <f t="shared" si="16"/>
        <v>0.99999999999999989</v>
      </c>
      <c r="X205" s="3053">
        <f t="shared" si="16"/>
        <v>1</v>
      </c>
      <c r="Y205" s="3053">
        <f t="shared" si="16"/>
        <v>0.99999999999999989</v>
      </c>
      <c r="Z205" s="3053">
        <f t="shared" si="16"/>
        <v>1</v>
      </c>
      <c r="AA205" s="3053">
        <f t="shared" si="16"/>
        <v>1</v>
      </c>
      <c r="AB205" s="3053">
        <f t="shared" si="16"/>
        <v>0.99999999999999989</v>
      </c>
      <c r="AC205" s="3053">
        <f t="shared" si="16"/>
        <v>1</v>
      </c>
      <c r="AD205" s="3053">
        <f t="shared" si="16"/>
        <v>1</v>
      </c>
      <c r="AE205" s="1197">
        <f t="shared" si="16"/>
        <v>1</v>
      </c>
      <c r="AF205" s="1197">
        <f t="shared" si="16"/>
        <v>1</v>
      </c>
    </row>
    <row r="206" spans="1:32">
      <c r="A206" s="3043">
        <v>200</v>
      </c>
      <c r="B206" s="3044">
        <v>92</v>
      </c>
      <c r="C206" s="3052">
        <v>0</v>
      </c>
      <c r="D206" s="3052">
        <v>0</v>
      </c>
      <c r="E206" s="3052">
        <v>0</v>
      </c>
      <c r="F206" s="3052">
        <v>0</v>
      </c>
      <c r="G206" s="3052">
        <v>0</v>
      </c>
      <c r="H206" s="3052">
        <v>0</v>
      </c>
      <c r="I206" s="3052">
        <v>0</v>
      </c>
      <c r="J206" s="3052">
        <v>0</v>
      </c>
      <c r="K206" s="3052">
        <v>0</v>
      </c>
      <c r="L206" s="3052">
        <v>0</v>
      </c>
      <c r="M206" s="3052">
        <v>0</v>
      </c>
      <c r="N206" s="3052">
        <v>0</v>
      </c>
      <c r="O206" s="3052">
        <v>0</v>
      </c>
      <c r="P206" s="3052">
        <v>0</v>
      </c>
      <c r="Q206" s="3052">
        <v>0</v>
      </c>
      <c r="R206" s="3053">
        <f t="shared" si="16"/>
        <v>1</v>
      </c>
      <c r="S206" s="3053">
        <f t="shared" si="16"/>
        <v>1</v>
      </c>
      <c r="T206" s="3053">
        <f t="shared" si="16"/>
        <v>1</v>
      </c>
      <c r="U206" s="3053">
        <f t="shared" si="16"/>
        <v>1</v>
      </c>
      <c r="V206" s="3053">
        <f t="shared" si="16"/>
        <v>1</v>
      </c>
      <c r="W206" s="3053">
        <f t="shared" si="16"/>
        <v>0.99999999999999989</v>
      </c>
      <c r="X206" s="3053">
        <f t="shared" si="16"/>
        <v>1</v>
      </c>
      <c r="Y206" s="3053">
        <f t="shared" si="16"/>
        <v>0.99999999999999989</v>
      </c>
      <c r="Z206" s="3053">
        <f t="shared" si="16"/>
        <v>1</v>
      </c>
      <c r="AA206" s="3053">
        <f t="shared" si="16"/>
        <v>1</v>
      </c>
      <c r="AB206" s="3053">
        <f t="shared" si="16"/>
        <v>0.99999999999999989</v>
      </c>
      <c r="AC206" s="3053">
        <f t="shared" si="16"/>
        <v>1</v>
      </c>
      <c r="AD206" s="3053">
        <f t="shared" si="16"/>
        <v>1</v>
      </c>
      <c r="AE206" s="1197">
        <f t="shared" si="16"/>
        <v>1</v>
      </c>
      <c r="AF206" s="1197">
        <f t="shared" si="16"/>
        <v>1</v>
      </c>
    </row>
    <row r="207" spans="1:32">
      <c r="A207" s="3043">
        <v>200</v>
      </c>
      <c r="B207" s="3044">
        <v>93</v>
      </c>
      <c r="C207" s="3052">
        <v>0</v>
      </c>
      <c r="D207" s="3052">
        <v>0</v>
      </c>
      <c r="E207" s="3052">
        <v>0</v>
      </c>
      <c r="F207" s="3052">
        <v>0</v>
      </c>
      <c r="G207" s="3052">
        <v>0</v>
      </c>
      <c r="H207" s="3052">
        <v>0</v>
      </c>
      <c r="I207" s="3052">
        <v>0</v>
      </c>
      <c r="J207" s="3052">
        <v>0</v>
      </c>
      <c r="K207" s="3052">
        <v>0</v>
      </c>
      <c r="L207" s="3052">
        <v>0</v>
      </c>
      <c r="M207" s="3052">
        <v>0</v>
      </c>
      <c r="N207" s="3052">
        <v>0</v>
      </c>
      <c r="O207" s="3052">
        <v>0</v>
      </c>
      <c r="P207" s="3052">
        <v>0</v>
      </c>
      <c r="Q207" s="3052">
        <v>0</v>
      </c>
      <c r="R207" s="3053">
        <f t="shared" si="16"/>
        <v>1</v>
      </c>
      <c r="S207" s="3053">
        <f t="shared" si="16"/>
        <v>1</v>
      </c>
      <c r="T207" s="3053">
        <f t="shared" si="16"/>
        <v>1</v>
      </c>
      <c r="U207" s="3053">
        <f t="shared" si="16"/>
        <v>1</v>
      </c>
      <c r="V207" s="3053">
        <f t="shared" si="16"/>
        <v>1</v>
      </c>
      <c r="W207" s="3053">
        <f t="shared" si="16"/>
        <v>0.99999999999999989</v>
      </c>
      <c r="X207" s="3053">
        <f t="shared" si="16"/>
        <v>1</v>
      </c>
      <c r="Y207" s="3053">
        <f t="shared" si="16"/>
        <v>0.99999999999999989</v>
      </c>
      <c r="Z207" s="3053">
        <f t="shared" si="16"/>
        <v>1</v>
      </c>
      <c r="AA207" s="3053">
        <f t="shared" si="16"/>
        <v>1</v>
      </c>
      <c r="AB207" s="3053">
        <f t="shared" si="16"/>
        <v>0.99999999999999989</v>
      </c>
      <c r="AC207" s="3053">
        <f t="shared" si="16"/>
        <v>1</v>
      </c>
      <c r="AD207" s="3053">
        <f t="shared" si="16"/>
        <v>1</v>
      </c>
      <c r="AE207" s="1197">
        <f t="shared" si="16"/>
        <v>1</v>
      </c>
      <c r="AF207" s="1197">
        <f t="shared" si="16"/>
        <v>1</v>
      </c>
    </row>
    <row r="208" spans="1:32">
      <c r="A208" s="3043">
        <v>200</v>
      </c>
      <c r="B208" s="3044">
        <v>94</v>
      </c>
      <c r="C208" s="3052">
        <v>0</v>
      </c>
      <c r="D208" s="3052">
        <v>0</v>
      </c>
      <c r="E208" s="3052">
        <v>0</v>
      </c>
      <c r="F208" s="3052">
        <v>0</v>
      </c>
      <c r="G208" s="3052">
        <v>0</v>
      </c>
      <c r="H208" s="3052">
        <v>0</v>
      </c>
      <c r="I208" s="3052">
        <v>0</v>
      </c>
      <c r="J208" s="3052">
        <v>0</v>
      </c>
      <c r="K208" s="3052">
        <v>0</v>
      </c>
      <c r="L208" s="3052">
        <v>0</v>
      </c>
      <c r="M208" s="3052">
        <v>0</v>
      </c>
      <c r="N208" s="3052">
        <v>0</v>
      </c>
      <c r="O208" s="3052">
        <v>0</v>
      </c>
      <c r="P208" s="3052">
        <v>0</v>
      </c>
      <c r="Q208" s="3052">
        <v>0</v>
      </c>
      <c r="R208" s="3053">
        <f t="shared" si="16"/>
        <v>1</v>
      </c>
      <c r="S208" s="3053">
        <f t="shared" si="16"/>
        <v>1</v>
      </c>
      <c r="T208" s="3053">
        <f t="shared" si="16"/>
        <v>1</v>
      </c>
      <c r="U208" s="3053">
        <f t="shared" si="16"/>
        <v>1</v>
      </c>
      <c r="V208" s="3053">
        <f t="shared" si="16"/>
        <v>1</v>
      </c>
      <c r="W208" s="3053">
        <f t="shared" si="16"/>
        <v>0.99999999999999989</v>
      </c>
      <c r="X208" s="3053">
        <f t="shared" si="16"/>
        <v>1</v>
      </c>
      <c r="Y208" s="3053">
        <f t="shared" si="16"/>
        <v>0.99999999999999989</v>
      </c>
      <c r="Z208" s="3053">
        <f t="shared" si="16"/>
        <v>1</v>
      </c>
      <c r="AA208" s="3053">
        <f t="shared" si="16"/>
        <v>1</v>
      </c>
      <c r="AB208" s="3053">
        <f t="shared" si="16"/>
        <v>0.99999999999999989</v>
      </c>
      <c r="AC208" s="3053">
        <f t="shared" si="16"/>
        <v>1</v>
      </c>
      <c r="AD208" s="3053">
        <f t="shared" si="16"/>
        <v>1</v>
      </c>
      <c r="AE208" s="1197">
        <f t="shared" si="16"/>
        <v>1</v>
      </c>
      <c r="AF208" s="1197">
        <f t="shared" si="16"/>
        <v>1</v>
      </c>
    </row>
    <row r="209" spans="1:32">
      <c r="A209" s="3043">
        <v>200</v>
      </c>
      <c r="B209" s="3044">
        <v>95</v>
      </c>
      <c r="C209" s="3052">
        <v>0</v>
      </c>
      <c r="D209" s="3052">
        <v>0</v>
      </c>
      <c r="E209" s="3052">
        <v>0</v>
      </c>
      <c r="F209" s="3052">
        <v>0</v>
      </c>
      <c r="G209" s="3052">
        <v>0</v>
      </c>
      <c r="H209" s="3052">
        <v>0</v>
      </c>
      <c r="I209" s="3052">
        <v>0</v>
      </c>
      <c r="J209" s="3052">
        <v>0</v>
      </c>
      <c r="K209" s="3052">
        <v>0</v>
      </c>
      <c r="L209" s="3052">
        <v>0</v>
      </c>
      <c r="M209" s="3052">
        <v>0</v>
      </c>
      <c r="N209" s="3052">
        <v>0</v>
      </c>
      <c r="O209" s="3052">
        <v>0</v>
      </c>
      <c r="P209" s="3052">
        <v>0</v>
      </c>
      <c r="Q209" s="3052">
        <v>0</v>
      </c>
      <c r="R209" s="3053">
        <f t="shared" si="16"/>
        <v>1</v>
      </c>
      <c r="S209" s="3053">
        <f t="shared" si="16"/>
        <v>1</v>
      </c>
      <c r="T209" s="3053">
        <f t="shared" si="16"/>
        <v>1</v>
      </c>
      <c r="U209" s="3053">
        <f t="shared" si="16"/>
        <v>1</v>
      </c>
      <c r="V209" s="3053">
        <f t="shared" si="16"/>
        <v>1</v>
      </c>
      <c r="W209" s="3053">
        <f t="shared" si="16"/>
        <v>0.99999999999999989</v>
      </c>
      <c r="X209" s="3053">
        <f t="shared" si="16"/>
        <v>1</v>
      </c>
      <c r="Y209" s="3053">
        <f t="shared" si="16"/>
        <v>0.99999999999999989</v>
      </c>
      <c r="Z209" s="3053">
        <f t="shared" si="16"/>
        <v>1</v>
      </c>
      <c r="AA209" s="3053">
        <f t="shared" si="16"/>
        <v>1</v>
      </c>
      <c r="AB209" s="3053">
        <f t="shared" si="16"/>
        <v>0.99999999999999989</v>
      </c>
      <c r="AC209" s="3053">
        <f t="shared" si="16"/>
        <v>1</v>
      </c>
      <c r="AD209" s="3053">
        <f t="shared" si="16"/>
        <v>1</v>
      </c>
      <c r="AE209" s="1197">
        <f t="shared" si="16"/>
        <v>1</v>
      </c>
      <c r="AF209" s="1197">
        <f t="shared" si="16"/>
        <v>1</v>
      </c>
    </row>
    <row r="210" spans="1:32">
      <c r="A210" s="3043">
        <v>200</v>
      </c>
      <c r="B210" s="3044">
        <v>96</v>
      </c>
      <c r="C210" s="3052">
        <v>0</v>
      </c>
      <c r="D210" s="3052">
        <v>0</v>
      </c>
      <c r="E210" s="3052">
        <v>0</v>
      </c>
      <c r="F210" s="3052">
        <v>0</v>
      </c>
      <c r="G210" s="3052">
        <v>0</v>
      </c>
      <c r="H210" s="3052">
        <v>0</v>
      </c>
      <c r="I210" s="3052">
        <v>0</v>
      </c>
      <c r="J210" s="3052">
        <v>0</v>
      </c>
      <c r="K210" s="3052">
        <v>0</v>
      </c>
      <c r="L210" s="3052">
        <v>0</v>
      </c>
      <c r="M210" s="3052">
        <v>0</v>
      </c>
      <c r="N210" s="3052">
        <v>0</v>
      </c>
      <c r="O210" s="3052">
        <v>0</v>
      </c>
      <c r="P210" s="3052">
        <v>0</v>
      </c>
      <c r="Q210" s="3052">
        <v>0</v>
      </c>
      <c r="R210" s="3053">
        <f t="shared" si="16"/>
        <v>1</v>
      </c>
      <c r="S210" s="3053">
        <f t="shared" si="16"/>
        <v>1</v>
      </c>
      <c r="T210" s="3053">
        <f t="shared" si="16"/>
        <v>1</v>
      </c>
      <c r="U210" s="3053">
        <f t="shared" si="16"/>
        <v>1</v>
      </c>
      <c r="V210" s="3053">
        <f t="shared" si="16"/>
        <v>1</v>
      </c>
      <c r="W210" s="3053">
        <f t="shared" si="16"/>
        <v>0.99999999999999989</v>
      </c>
      <c r="X210" s="3053">
        <f t="shared" si="16"/>
        <v>1</v>
      </c>
      <c r="Y210" s="3053">
        <f t="shared" si="16"/>
        <v>0.99999999999999989</v>
      </c>
      <c r="Z210" s="3053">
        <f t="shared" si="16"/>
        <v>1</v>
      </c>
      <c r="AA210" s="3053">
        <f t="shared" si="16"/>
        <v>1</v>
      </c>
      <c r="AB210" s="3053">
        <f t="shared" si="16"/>
        <v>0.99999999999999989</v>
      </c>
      <c r="AC210" s="3053">
        <f t="shared" si="16"/>
        <v>1</v>
      </c>
      <c r="AD210" s="3053">
        <f t="shared" si="16"/>
        <v>1</v>
      </c>
      <c r="AE210" s="1197">
        <f t="shared" si="16"/>
        <v>1</v>
      </c>
      <c r="AF210" s="1197">
        <f t="shared" si="16"/>
        <v>1</v>
      </c>
    </row>
    <row r="211" spans="1:32">
      <c r="A211" s="3043">
        <v>200</v>
      </c>
      <c r="B211" s="3044">
        <v>97</v>
      </c>
      <c r="C211" s="3052">
        <v>0</v>
      </c>
      <c r="D211" s="3052">
        <v>0</v>
      </c>
      <c r="E211" s="3052">
        <v>0</v>
      </c>
      <c r="F211" s="3052">
        <v>0</v>
      </c>
      <c r="G211" s="3052">
        <v>0</v>
      </c>
      <c r="H211" s="3052">
        <v>0</v>
      </c>
      <c r="I211" s="3052">
        <v>0</v>
      </c>
      <c r="J211" s="3052">
        <v>0</v>
      </c>
      <c r="K211" s="3052">
        <v>0</v>
      </c>
      <c r="L211" s="3052">
        <v>0</v>
      </c>
      <c r="M211" s="3052">
        <v>0</v>
      </c>
      <c r="N211" s="3052">
        <v>0</v>
      </c>
      <c r="O211" s="3052">
        <v>0</v>
      </c>
      <c r="P211" s="3052">
        <v>0</v>
      </c>
      <c r="Q211" s="3052">
        <v>0</v>
      </c>
      <c r="R211" s="3053">
        <f t="shared" si="16"/>
        <v>1</v>
      </c>
      <c r="S211" s="3053">
        <f t="shared" si="16"/>
        <v>1</v>
      </c>
      <c r="T211" s="3053">
        <f t="shared" si="16"/>
        <v>1</v>
      </c>
      <c r="U211" s="3053">
        <f t="shared" si="16"/>
        <v>1</v>
      </c>
      <c r="V211" s="3053">
        <f t="shared" si="16"/>
        <v>1</v>
      </c>
      <c r="W211" s="3053">
        <f t="shared" si="16"/>
        <v>0.99999999999999989</v>
      </c>
      <c r="X211" s="3053">
        <f t="shared" si="16"/>
        <v>1</v>
      </c>
      <c r="Y211" s="3053">
        <f t="shared" si="16"/>
        <v>0.99999999999999989</v>
      </c>
      <c r="Z211" s="3053">
        <f t="shared" si="16"/>
        <v>1</v>
      </c>
      <c r="AA211" s="3053">
        <f t="shared" si="16"/>
        <v>1</v>
      </c>
      <c r="AB211" s="3053">
        <f t="shared" si="16"/>
        <v>0.99999999999999989</v>
      </c>
      <c r="AC211" s="3053">
        <f t="shared" si="16"/>
        <v>1</v>
      </c>
      <c r="AD211" s="3053">
        <f t="shared" si="16"/>
        <v>1</v>
      </c>
      <c r="AE211" s="1197">
        <f t="shared" si="16"/>
        <v>1</v>
      </c>
      <c r="AF211" s="1197">
        <f t="shared" si="16"/>
        <v>1</v>
      </c>
    </row>
    <row r="212" spans="1:32">
      <c r="A212" s="3043">
        <v>200</v>
      </c>
      <c r="B212" s="3044">
        <v>98</v>
      </c>
      <c r="C212" s="3052">
        <v>0</v>
      </c>
      <c r="D212" s="3052">
        <v>0</v>
      </c>
      <c r="E212" s="3052">
        <v>0</v>
      </c>
      <c r="F212" s="3052">
        <v>0</v>
      </c>
      <c r="G212" s="3052">
        <v>0</v>
      </c>
      <c r="H212" s="3052">
        <v>0</v>
      </c>
      <c r="I212" s="3052">
        <v>0</v>
      </c>
      <c r="J212" s="3052">
        <v>0</v>
      </c>
      <c r="K212" s="3052">
        <v>0</v>
      </c>
      <c r="L212" s="3052">
        <v>0</v>
      </c>
      <c r="M212" s="3052">
        <v>0</v>
      </c>
      <c r="N212" s="3052">
        <v>0</v>
      </c>
      <c r="O212" s="3052">
        <v>0</v>
      </c>
      <c r="P212" s="3052">
        <v>0</v>
      </c>
      <c r="Q212" s="3052">
        <v>0</v>
      </c>
      <c r="R212" s="3053">
        <f t="shared" ref="R212:AF214" si="17">C212+R211</f>
        <v>1</v>
      </c>
      <c r="S212" s="3053">
        <f t="shared" si="17"/>
        <v>1</v>
      </c>
      <c r="T212" s="3053">
        <f t="shared" si="17"/>
        <v>1</v>
      </c>
      <c r="U212" s="3053">
        <f t="shared" si="17"/>
        <v>1</v>
      </c>
      <c r="V212" s="3053">
        <f t="shared" si="17"/>
        <v>1</v>
      </c>
      <c r="W212" s="3053">
        <f t="shared" si="17"/>
        <v>0.99999999999999989</v>
      </c>
      <c r="X212" s="3053">
        <f t="shared" si="17"/>
        <v>1</v>
      </c>
      <c r="Y212" s="3053">
        <f t="shared" si="17"/>
        <v>0.99999999999999989</v>
      </c>
      <c r="Z212" s="3053">
        <f t="shared" si="17"/>
        <v>1</v>
      </c>
      <c r="AA212" s="3053">
        <f t="shared" si="17"/>
        <v>1</v>
      </c>
      <c r="AB212" s="3053">
        <f t="shared" si="17"/>
        <v>0.99999999999999989</v>
      </c>
      <c r="AC212" s="3053">
        <f t="shared" si="17"/>
        <v>1</v>
      </c>
      <c r="AD212" s="3053">
        <f t="shared" si="17"/>
        <v>1</v>
      </c>
      <c r="AE212" s="1197">
        <f t="shared" si="17"/>
        <v>1</v>
      </c>
      <c r="AF212" s="1197">
        <f t="shared" si="17"/>
        <v>1</v>
      </c>
    </row>
    <row r="213" spans="1:32">
      <c r="A213" s="3043">
        <v>200</v>
      </c>
      <c r="B213" s="3044">
        <v>99</v>
      </c>
      <c r="C213" s="3052">
        <v>0</v>
      </c>
      <c r="D213" s="3052">
        <v>0</v>
      </c>
      <c r="E213" s="3052">
        <v>0</v>
      </c>
      <c r="F213" s="3052">
        <v>0</v>
      </c>
      <c r="G213" s="3052">
        <v>0</v>
      </c>
      <c r="H213" s="3052">
        <v>0</v>
      </c>
      <c r="I213" s="3052">
        <v>0</v>
      </c>
      <c r="J213" s="3052">
        <v>0</v>
      </c>
      <c r="K213" s="3052">
        <v>0</v>
      </c>
      <c r="L213" s="3052">
        <v>0</v>
      </c>
      <c r="M213" s="3052">
        <v>0</v>
      </c>
      <c r="N213" s="3052">
        <v>0</v>
      </c>
      <c r="O213" s="3052">
        <v>0</v>
      </c>
      <c r="P213" s="3052">
        <v>0</v>
      </c>
      <c r="Q213" s="3052">
        <v>0</v>
      </c>
      <c r="R213" s="3053">
        <f t="shared" si="17"/>
        <v>1</v>
      </c>
      <c r="S213" s="3053">
        <f t="shared" si="17"/>
        <v>1</v>
      </c>
      <c r="T213" s="3053">
        <f t="shared" si="17"/>
        <v>1</v>
      </c>
      <c r="U213" s="3053">
        <f t="shared" si="17"/>
        <v>1</v>
      </c>
      <c r="V213" s="3053">
        <f t="shared" si="17"/>
        <v>1</v>
      </c>
      <c r="W213" s="3053">
        <f t="shared" si="17"/>
        <v>0.99999999999999989</v>
      </c>
      <c r="X213" s="3053">
        <f t="shared" si="17"/>
        <v>1</v>
      </c>
      <c r="Y213" s="3053">
        <f t="shared" si="17"/>
        <v>0.99999999999999989</v>
      </c>
      <c r="Z213" s="3053">
        <f t="shared" si="17"/>
        <v>1</v>
      </c>
      <c r="AA213" s="3053">
        <f t="shared" si="17"/>
        <v>1</v>
      </c>
      <c r="AB213" s="3053">
        <f t="shared" si="17"/>
        <v>0.99999999999999989</v>
      </c>
      <c r="AC213" s="3053">
        <f t="shared" si="17"/>
        <v>1</v>
      </c>
      <c r="AD213" s="3053">
        <f t="shared" si="17"/>
        <v>1</v>
      </c>
      <c r="AE213" s="1197">
        <f t="shared" si="17"/>
        <v>1</v>
      </c>
      <c r="AF213" s="1197">
        <f t="shared" si="17"/>
        <v>1</v>
      </c>
    </row>
    <row r="214" spans="1:32">
      <c r="A214" s="3043">
        <v>200</v>
      </c>
      <c r="B214" s="3044">
        <v>100</v>
      </c>
      <c r="C214" s="3052">
        <v>0</v>
      </c>
      <c r="D214" s="3052">
        <v>0</v>
      </c>
      <c r="E214" s="3052">
        <v>0</v>
      </c>
      <c r="F214" s="3052">
        <v>0</v>
      </c>
      <c r="G214" s="3052">
        <v>0</v>
      </c>
      <c r="H214" s="3052">
        <v>0</v>
      </c>
      <c r="I214" s="3052">
        <v>0</v>
      </c>
      <c r="J214" s="3052">
        <v>0</v>
      </c>
      <c r="K214" s="3052">
        <v>0</v>
      </c>
      <c r="L214" s="3052">
        <v>0</v>
      </c>
      <c r="M214" s="3052">
        <v>0</v>
      </c>
      <c r="N214" s="3052">
        <v>0</v>
      </c>
      <c r="O214" s="3052">
        <v>0</v>
      </c>
      <c r="P214" s="3052">
        <v>0</v>
      </c>
      <c r="Q214" s="3052">
        <v>0</v>
      </c>
      <c r="R214" s="3053">
        <f t="shared" si="17"/>
        <v>1</v>
      </c>
      <c r="S214" s="3053">
        <f t="shared" si="17"/>
        <v>1</v>
      </c>
      <c r="T214" s="3053">
        <f t="shared" si="17"/>
        <v>1</v>
      </c>
      <c r="U214" s="3053">
        <f t="shared" si="17"/>
        <v>1</v>
      </c>
      <c r="V214" s="3053">
        <f t="shared" si="17"/>
        <v>1</v>
      </c>
      <c r="W214" s="3053">
        <f t="shared" si="17"/>
        <v>0.99999999999999989</v>
      </c>
      <c r="X214" s="3053">
        <f t="shared" si="17"/>
        <v>1</v>
      </c>
      <c r="Y214" s="3053">
        <f t="shared" si="17"/>
        <v>0.99999999999999989</v>
      </c>
      <c r="Z214" s="3053">
        <f t="shared" si="17"/>
        <v>1</v>
      </c>
      <c r="AA214" s="3053">
        <f t="shared" si="17"/>
        <v>1</v>
      </c>
      <c r="AB214" s="3053">
        <f t="shared" si="17"/>
        <v>0.99999999999999989</v>
      </c>
      <c r="AC214" s="3053">
        <f t="shared" si="17"/>
        <v>1</v>
      </c>
      <c r="AD214" s="3053">
        <f t="shared" si="17"/>
        <v>1</v>
      </c>
      <c r="AE214" s="1197">
        <f t="shared" si="17"/>
        <v>1</v>
      </c>
      <c r="AF214" s="1197">
        <f t="shared" si="17"/>
        <v>1</v>
      </c>
    </row>
    <row r="215" spans="1:32">
      <c r="AE215" s="1189"/>
      <c r="AF215" s="1189"/>
    </row>
    <row r="216" spans="1:32">
      <c r="AE216" s="1189"/>
      <c r="AF216" s="1189"/>
    </row>
  </sheetData>
  <phoneticPr fontId="9" type="noConversion"/>
  <pageMargins left="0.7" right="0.7" top="0.75" bottom="0.75" header="0.3" footer="0.3"/>
  <pageSetup paperSize="9" scale="1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39"/>
  <dimension ref="A1:AJ116"/>
  <sheetViews>
    <sheetView view="pageBreakPreview" zoomScale="70" zoomScaleNormal="70" zoomScaleSheetLayoutView="70" workbookViewId="0">
      <selection sqref="A1:XFD1048576"/>
    </sheetView>
  </sheetViews>
  <sheetFormatPr defaultRowHeight="15.75"/>
  <cols>
    <col min="1" max="1" width="9" style="3043"/>
    <col min="2" max="2" width="9" style="3044"/>
    <col min="3" max="3" width="9.5" style="3044" customWidth="1"/>
    <col min="4" max="36" width="9" style="3044"/>
    <col min="37" max="16384" width="9" style="3047"/>
  </cols>
  <sheetData>
    <row r="1" spans="1:36" ht="21">
      <c r="A1" s="2747" t="str">
        <f>+封面!A3&amp;" "&amp;封面!A2</f>
        <v xml:space="preserve">        保險股份有限公司(○○分公司) 年度(月、季、半年)報表</v>
      </c>
    </row>
    <row r="2" spans="1:36" ht="21">
      <c r="A2" s="1175" t="s">
        <v>6065</v>
      </c>
    </row>
    <row r="3" spans="1:36">
      <c r="A3" s="3047"/>
    </row>
    <row r="4" spans="1:36" s="3059" customFormat="1">
      <c r="A4" s="3057" t="s">
        <v>3718</v>
      </c>
      <c r="B4" s="3058" t="s">
        <v>3715</v>
      </c>
      <c r="C4" s="3045" t="s">
        <v>3621</v>
      </c>
      <c r="D4" s="3045" t="s">
        <v>3623</v>
      </c>
      <c r="E4" s="3045" t="s">
        <v>3625</v>
      </c>
      <c r="F4" s="3045" t="s">
        <v>3627</v>
      </c>
      <c r="G4" s="3045" t="s">
        <v>3629</v>
      </c>
      <c r="H4" s="3045" t="s">
        <v>3631</v>
      </c>
      <c r="I4" s="3045" t="s">
        <v>3633</v>
      </c>
      <c r="J4" s="3045" t="s">
        <v>3635</v>
      </c>
      <c r="K4" s="3045" t="s">
        <v>3637</v>
      </c>
      <c r="L4" s="3045" t="s">
        <v>3639</v>
      </c>
      <c r="M4" s="3045" t="s">
        <v>3641</v>
      </c>
      <c r="N4" s="3045" t="s">
        <v>3643</v>
      </c>
      <c r="O4" s="3045" t="s">
        <v>3645</v>
      </c>
      <c r="P4" s="3045" t="s">
        <v>3716</v>
      </c>
      <c r="Q4" s="3045" t="s">
        <v>3717</v>
      </c>
      <c r="R4" s="3046" t="str">
        <f t="shared" ref="R4:AF4" si="0">C4&amp;"a"</f>
        <v>Z1a</v>
      </c>
      <c r="S4" s="3046" t="str">
        <f t="shared" si="0"/>
        <v>Z1p1a</v>
      </c>
      <c r="T4" s="3046" t="str">
        <f t="shared" si="0"/>
        <v>Z2a</v>
      </c>
      <c r="U4" s="3046" t="str">
        <f t="shared" si="0"/>
        <v>Z3a</v>
      </c>
      <c r="V4" s="3046" t="str">
        <f t="shared" si="0"/>
        <v>Z4a</v>
      </c>
      <c r="W4" s="3046" t="str">
        <f t="shared" si="0"/>
        <v>Z5a</v>
      </c>
      <c r="X4" s="3046" t="str">
        <f t="shared" si="0"/>
        <v>Z6a</v>
      </c>
      <c r="Y4" s="3046" t="str">
        <f t="shared" si="0"/>
        <v>Z7a</v>
      </c>
      <c r="Z4" s="3046" t="str">
        <f t="shared" si="0"/>
        <v>Z8a</v>
      </c>
      <c r="AA4" s="3046" t="str">
        <f t="shared" si="0"/>
        <v>Z9a</v>
      </c>
      <c r="AB4" s="3046" t="str">
        <f t="shared" si="0"/>
        <v>Z10a</v>
      </c>
      <c r="AC4" s="3046" t="str">
        <f t="shared" si="0"/>
        <v>Z11a</v>
      </c>
      <c r="AD4" s="3046" t="str">
        <f t="shared" si="0"/>
        <v>Z12a</v>
      </c>
      <c r="AE4" s="3046" t="str">
        <f t="shared" si="0"/>
        <v>Z13a</v>
      </c>
      <c r="AF4" s="3046" t="str">
        <f t="shared" si="0"/>
        <v>Z14a</v>
      </c>
      <c r="AG4" s="3046"/>
      <c r="AH4" s="3045"/>
      <c r="AI4" s="3045"/>
      <c r="AJ4" s="3045"/>
    </row>
    <row r="5" spans="1:36">
      <c r="A5" s="3043">
        <v>200</v>
      </c>
      <c r="B5" s="3060">
        <v>1</v>
      </c>
      <c r="C5" s="3048">
        <v>0.38441129876031671</v>
      </c>
      <c r="D5" s="3048">
        <v>0.99880275338247793</v>
      </c>
      <c r="E5" s="3048">
        <v>0.38783706078023567</v>
      </c>
      <c r="F5" s="3048">
        <v>1</v>
      </c>
      <c r="G5" s="3048">
        <v>0.95815994825415751</v>
      </c>
      <c r="H5" s="3048">
        <v>0.95366833683703212</v>
      </c>
      <c r="I5" s="3048">
        <v>0.76260212433567798</v>
      </c>
      <c r="J5" s="3048">
        <v>0.54749388996841797</v>
      </c>
      <c r="K5" s="3048">
        <v>0.38622471655720458</v>
      </c>
      <c r="L5" s="3048">
        <v>1</v>
      </c>
      <c r="M5" s="3048">
        <v>0.98087140351812074</v>
      </c>
      <c r="N5" s="3048">
        <v>0.5969941162023954</v>
      </c>
      <c r="O5" s="3048">
        <v>8.888604141990393E-2</v>
      </c>
      <c r="P5" s="3048">
        <v>1</v>
      </c>
      <c r="Q5" s="3048">
        <v>1</v>
      </c>
      <c r="R5" s="3049">
        <f t="shared" ref="R5:AF5" si="1">C5</f>
        <v>0.38441129876031671</v>
      </c>
      <c r="S5" s="3049">
        <f t="shared" si="1"/>
        <v>0.99880275338247793</v>
      </c>
      <c r="T5" s="3049">
        <f t="shared" si="1"/>
        <v>0.38783706078023567</v>
      </c>
      <c r="U5" s="3049">
        <f t="shared" si="1"/>
        <v>1</v>
      </c>
      <c r="V5" s="3049">
        <f t="shared" si="1"/>
        <v>0.95815994825415751</v>
      </c>
      <c r="W5" s="3049">
        <f t="shared" si="1"/>
        <v>0.95366833683703212</v>
      </c>
      <c r="X5" s="3049">
        <f t="shared" si="1"/>
        <v>0.76260212433567798</v>
      </c>
      <c r="Y5" s="3049">
        <f t="shared" si="1"/>
        <v>0.54749388996841797</v>
      </c>
      <c r="Z5" s="3049">
        <f t="shared" si="1"/>
        <v>0.38622471655720458</v>
      </c>
      <c r="AA5" s="3049">
        <f t="shared" si="1"/>
        <v>1</v>
      </c>
      <c r="AB5" s="3049">
        <f t="shared" si="1"/>
        <v>0.98087140351812074</v>
      </c>
      <c r="AC5" s="3049">
        <f t="shared" si="1"/>
        <v>0.5969941162023954</v>
      </c>
      <c r="AD5" s="3049">
        <f t="shared" si="1"/>
        <v>8.888604141990393E-2</v>
      </c>
      <c r="AE5" s="3049">
        <f t="shared" si="1"/>
        <v>1</v>
      </c>
      <c r="AF5" s="3049">
        <f t="shared" si="1"/>
        <v>1</v>
      </c>
      <c r="AG5" s="3049"/>
    </row>
    <row r="6" spans="1:36">
      <c r="A6" s="3043">
        <v>200</v>
      </c>
      <c r="B6" s="3060">
        <v>2</v>
      </c>
      <c r="C6" s="3048">
        <v>0.37883688232491641</v>
      </c>
      <c r="D6" s="3048">
        <v>1.1972466175220373E-3</v>
      </c>
      <c r="E6" s="3048">
        <v>0.38688253052320126</v>
      </c>
      <c r="F6" s="3048">
        <v>0</v>
      </c>
      <c r="G6" s="3048">
        <v>4.1840051745842509E-2</v>
      </c>
      <c r="H6" s="3048">
        <v>4.6331663162967829E-2</v>
      </c>
      <c r="I6" s="3048">
        <v>0.23739787566432208</v>
      </c>
      <c r="J6" s="3048">
        <v>0.45250611003158203</v>
      </c>
      <c r="K6" s="3048">
        <v>0.38622471655720458</v>
      </c>
      <c r="L6" s="3048">
        <v>0</v>
      </c>
      <c r="M6" s="3048">
        <v>1.9128596481879284E-2</v>
      </c>
      <c r="N6" s="3048">
        <v>0.40300588379760455</v>
      </c>
      <c r="O6" s="3048">
        <v>8.888604141990393E-2</v>
      </c>
      <c r="P6" s="3048">
        <v>0</v>
      </c>
      <c r="Q6" s="3048">
        <v>0</v>
      </c>
      <c r="R6" s="3049">
        <f t="shared" ref="R6:AF21" si="2">C6+R5</f>
        <v>0.76324818108523318</v>
      </c>
      <c r="S6" s="3049">
        <f t="shared" si="2"/>
        <v>1</v>
      </c>
      <c r="T6" s="3049">
        <f t="shared" si="2"/>
        <v>0.77471959130343693</v>
      </c>
      <c r="U6" s="3049">
        <f t="shared" si="2"/>
        <v>1</v>
      </c>
      <c r="V6" s="3049">
        <f t="shared" si="2"/>
        <v>1</v>
      </c>
      <c r="W6" s="3049">
        <f t="shared" si="2"/>
        <v>1</v>
      </c>
      <c r="X6" s="3049">
        <f t="shared" si="2"/>
        <v>1</v>
      </c>
      <c r="Y6" s="3049">
        <f t="shared" si="2"/>
        <v>1</v>
      </c>
      <c r="Z6" s="3049">
        <f t="shared" si="2"/>
        <v>0.77244943311440917</v>
      </c>
      <c r="AA6" s="3049">
        <f t="shared" si="2"/>
        <v>1</v>
      </c>
      <c r="AB6" s="3049">
        <f t="shared" si="2"/>
        <v>1</v>
      </c>
      <c r="AC6" s="3049">
        <f t="shared" si="2"/>
        <v>1</v>
      </c>
      <c r="AD6" s="3049">
        <f t="shared" si="2"/>
        <v>0.17777208283980786</v>
      </c>
      <c r="AE6" s="3049">
        <f t="shared" si="2"/>
        <v>1</v>
      </c>
      <c r="AF6" s="3049">
        <f t="shared" si="2"/>
        <v>1</v>
      </c>
      <c r="AG6" s="3049"/>
    </row>
    <row r="7" spans="1:36">
      <c r="A7" s="3043">
        <v>200</v>
      </c>
      <c r="B7" s="3060">
        <v>3</v>
      </c>
      <c r="C7" s="3048">
        <v>0.19617544235975648</v>
      </c>
      <c r="D7" s="3048">
        <v>0</v>
      </c>
      <c r="E7" s="3048">
        <v>0.20459879947049991</v>
      </c>
      <c r="F7" s="3048">
        <v>0</v>
      </c>
      <c r="G7" s="3048">
        <v>0</v>
      </c>
      <c r="H7" s="3048">
        <v>0</v>
      </c>
      <c r="I7" s="3048">
        <v>0</v>
      </c>
      <c r="J7" s="3048">
        <v>0</v>
      </c>
      <c r="K7" s="3048">
        <v>0.22591474368049561</v>
      </c>
      <c r="L7" s="3048">
        <v>0</v>
      </c>
      <c r="M7" s="3048">
        <v>0</v>
      </c>
      <c r="N7" s="3048">
        <v>0</v>
      </c>
      <c r="O7" s="3048">
        <v>8.888604141990393E-2</v>
      </c>
      <c r="P7" s="3048">
        <v>0</v>
      </c>
      <c r="Q7" s="3048">
        <v>0</v>
      </c>
      <c r="R7" s="3049">
        <f t="shared" si="2"/>
        <v>0.95942362344498966</v>
      </c>
      <c r="S7" s="3049">
        <f t="shared" si="2"/>
        <v>1</v>
      </c>
      <c r="T7" s="3049">
        <f t="shared" si="2"/>
        <v>0.9793183907739369</v>
      </c>
      <c r="U7" s="3049">
        <f t="shared" si="2"/>
        <v>1</v>
      </c>
      <c r="V7" s="3049">
        <f t="shared" si="2"/>
        <v>1</v>
      </c>
      <c r="W7" s="3049">
        <f t="shared" si="2"/>
        <v>1</v>
      </c>
      <c r="X7" s="3049">
        <f t="shared" si="2"/>
        <v>1</v>
      </c>
      <c r="Y7" s="3049">
        <f t="shared" si="2"/>
        <v>1</v>
      </c>
      <c r="Z7" s="3049">
        <f t="shared" si="2"/>
        <v>0.99836417679490475</v>
      </c>
      <c r="AA7" s="3049">
        <f t="shared" si="2"/>
        <v>1</v>
      </c>
      <c r="AB7" s="3049">
        <f t="shared" si="2"/>
        <v>1</v>
      </c>
      <c r="AC7" s="3049">
        <f t="shared" si="2"/>
        <v>1</v>
      </c>
      <c r="AD7" s="3049">
        <f t="shared" si="2"/>
        <v>0.2666581242597118</v>
      </c>
      <c r="AE7" s="3049">
        <f t="shared" si="2"/>
        <v>1</v>
      </c>
      <c r="AF7" s="3049">
        <f t="shared" si="2"/>
        <v>1</v>
      </c>
      <c r="AG7" s="3049"/>
    </row>
    <row r="8" spans="1:36">
      <c r="A8" s="3043">
        <v>200</v>
      </c>
      <c r="B8" s="3060">
        <v>4</v>
      </c>
      <c r="C8" s="3048">
        <v>4.057637655501041E-2</v>
      </c>
      <c r="D8" s="3048">
        <v>0</v>
      </c>
      <c r="E8" s="3048">
        <v>2.0681609226063141E-2</v>
      </c>
      <c r="F8" s="3048">
        <v>0</v>
      </c>
      <c r="G8" s="3048">
        <v>0</v>
      </c>
      <c r="H8" s="3048">
        <v>0</v>
      </c>
      <c r="I8" s="3048">
        <v>0</v>
      </c>
      <c r="J8" s="3048">
        <v>0</v>
      </c>
      <c r="K8" s="3048">
        <v>1.6358232050952164E-3</v>
      </c>
      <c r="L8" s="3048">
        <v>0</v>
      </c>
      <c r="M8" s="3048">
        <v>0</v>
      </c>
      <c r="N8" s="3048">
        <v>0</v>
      </c>
      <c r="O8" s="3048">
        <v>8.888604141990393E-2</v>
      </c>
      <c r="P8" s="3048">
        <v>0</v>
      </c>
      <c r="Q8" s="3048">
        <v>0</v>
      </c>
      <c r="R8" s="3049">
        <f t="shared" si="2"/>
        <v>1</v>
      </c>
      <c r="S8" s="3049">
        <f t="shared" si="2"/>
        <v>1</v>
      </c>
      <c r="T8" s="3049">
        <f t="shared" si="2"/>
        <v>1</v>
      </c>
      <c r="U8" s="3049">
        <f t="shared" si="2"/>
        <v>1</v>
      </c>
      <c r="V8" s="3049">
        <f t="shared" si="2"/>
        <v>1</v>
      </c>
      <c r="W8" s="3049">
        <f t="shared" si="2"/>
        <v>1</v>
      </c>
      <c r="X8" s="3049">
        <f t="shared" si="2"/>
        <v>1</v>
      </c>
      <c r="Y8" s="3049">
        <f t="shared" si="2"/>
        <v>1</v>
      </c>
      <c r="Z8" s="3049">
        <f t="shared" si="2"/>
        <v>1</v>
      </c>
      <c r="AA8" s="3049">
        <f t="shared" si="2"/>
        <v>1</v>
      </c>
      <c r="AB8" s="3049">
        <f t="shared" si="2"/>
        <v>1</v>
      </c>
      <c r="AC8" s="3049">
        <f t="shared" si="2"/>
        <v>1</v>
      </c>
      <c r="AD8" s="3049">
        <f t="shared" si="2"/>
        <v>0.35554416567961572</v>
      </c>
      <c r="AE8" s="3049">
        <f>P8+AE7</f>
        <v>1</v>
      </c>
      <c r="AF8" s="3049">
        <f t="shared" si="2"/>
        <v>1</v>
      </c>
      <c r="AG8" s="3049"/>
    </row>
    <row r="9" spans="1:36">
      <c r="A9" s="3043">
        <v>200</v>
      </c>
      <c r="B9" s="3060">
        <v>5</v>
      </c>
      <c r="C9" s="3048">
        <v>0</v>
      </c>
      <c r="D9" s="3048">
        <v>0</v>
      </c>
      <c r="E9" s="3048">
        <v>0</v>
      </c>
      <c r="F9" s="3048">
        <v>0</v>
      </c>
      <c r="G9" s="3048">
        <v>0</v>
      </c>
      <c r="H9" s="3048">
        <v>0</v>
      </c>
      <c r="I9" s="3048">
        <v>0</v>
      </c>
      <c r="J9" s="3048">
        <v>0</v>
      </c>
      <c r="K9" s="3048">
        <v>0</v>
      </c>
      <c r="L9" s="3048">
        <v>0</v>
      </c>
      <c r="M9" s="3048">
        <v>0</v>
      </c>
      <c r="N9" s="3048">
        <v>0</v>
      </c>
      <c r="O9" s="3048">
        <v>8.888604141990393E-2</v>
      </c>
      <c r="P9" s="3048">
        <v>0</v>
      </c>
      <c r="Q9" s="3048">
        <v>0</v>
      </c>
      <c r="R9" s="3049">
        <f t="shared" si="2"/>
        <v>1</v>
      </c>
      <c r="S9" s="3049">
        <f t="shared" si="2"/>
        <v>1</v>
      </c>
      <c r="T9" s="3049">
        <f t="shared" si="2"/>
        <v>1</v>
      </c>
      <c r="U9" s="3049">
        <f t="shared" si="2"/>
        <v>1</v>
      </c>
      <c r="V9" s="3049">
        <f t="shared" si="2"/>
        <v>1</v>
      </c>
      <c r="W9" s="3049">
        <f t="shared" si="2"/>
        <v>1</v>
      </c>
      <c r="X9" s="3049">
        <f t="shared" si="2"/>
        <v>1</v>
      </c>
      <c r="Y9" s="3049">
        <f t="shared" si="2"/>
        <v>1</v>
      </c>
      <c r="Z9" s="3049">
        <f t="shared" si="2"/>
        <v>1</v>
      </c>
      <c r="AA9" s="3049">
        <f t="shared" si="2"/>
        <v>1</v>
      </c>
      <c r="AB9" s="3049">
        <f t="shared" si="2"/>
        <v>1</v>
      </c>
      <c r="AC9" s="3049">
        <f t="shared" si="2"/>
        <v>1</v>
      </c>
      <c r="AD9" s="3049">
        <f t="shared" si="2"/>
        <v>0.44443020709951964</v>
      </c>
      <c r="AE9" s="3049">
        <f t="shared" si="2"/>
        <v>1</v>
      </c>
      <c r="AF9" s="3049">
        <f t="shared" si="2"/>
        <v>1</v>
      </c>
      <c r="AG9" s="3049"/>
    </row>
    <row r="10" spans="1:36">
      <c r="A10" s="3043">
        <v>200</v>
      </c>
      <c r="B10" s="3060">
        <v>6</v>
      </c>
      <c r="C10" s="3048">
        <v>0</v>
      </c>
      <c r="D10" s="3048">
        <v>0</v>
      </c>
      <c r="E10" s="3048">
        <v>0</v>
      </c>
      <c r="F10" s="3048">
        <v>0</v>
      </c>
      <c r="G10" s="3048">
        <v>0</v>
      </c>
      <c r="H10" s="3048">
        <v>0</v>
      </c>
      <c r="I10" s="3048">
        <v>0</v>
      </c>
      <c r="J10" s="3048">
        <v>0</v>
      </c>
      <c r="K10" s="3048">
        <v>0</v>
      </c>
      <c r="L10" s="3048">
        <v>0</v>
      </c>
      <c r="M10" s="3048">
        <v>0</v>
      </c>
      <c r="N10" s="3048">
        <v>0</v>
      </c>
      <c r="O10" s="3048">
        <v>8.888604141990393E-2</v>
      </c>
      <c r="P10" s="3048">
        <v>0</v>
      </c>
      <c r="Q10" s="3048">
        <v>0</v>
      </c>
      <c r="R10" s="3049">
        <f t="shared" si="2"/>
        <v>1</v>
      </c>
      <c r="S10" s="3049">
        <f t="shared" si="2"/>
        <v>1</v>
      </c>
      <c r="T10" s="3049">
        <f t="shared" si="2"/>
        <v>1</v>
      </c>
      <c r="U10" s="3049">
        <f t="shared" si="2"/>
        <v>1</v>
      </c>
      <c r="V10" s="3049">
        <f t="shared" si="2"/>
        <v>1</v>
      </c>
      <c r="W10" s="3049">
        <f t="shared" si="2"/>
        <v>1</v>
      </c>
      <c r="X10" s="3049">
        <f t="shared" si="2"/>
        <v>1</v>
      </c>
      <c r="Y10" s="3049">
        <f t="shared" si="2"/>
        <v>1</v>
      </c>
      <c r="Z10" s="3049">
        <f t="shared" si="2"/>
        <v>1</v>
      </c>
      <c r="AA10" s="3049">
        <f t="shared" si="2"/>
        <v>1</v>
      </c>
      <c r="AB10" s="3049">
        <f t="shared" si="2"/>
        <v>1</v>
      </c>
      <c r="AC10" s="3049">
        <f t="shared" si="2"/>
        <v>1</v>
      </c>
      <c r="AD10" s="3049">
        <f t="shared" si="2"/>
        <v>0.53331624851942361</v>
      </c>
      <c r="AE10" s="3049">
        <f t="shared" si="2"/>
        <v>1</v>
      </c>
      <c r="AF10" s="3049">
        <f t="shared" si="2"/>
        <v>1</v>
      </c>
      <c r="AG10" s="3049"/>
    </row>
    <row r="11" spans="1:36">
      <c r="A11" s="3043">
        <v>200</v>
      </c>
      <c r="B11" s="3060">
        <v>7</v>
      </c>
      <c r="C11" s="3048">
        <v>0</v>
      </c>
      <c r="D11" s="3048">
        <v>0</v>
      </c>
      <c r="E11" s="3048">
        <v>0</v>
      </c>
      <c r="F11" s="3048">
        <v>0</v>
      </c>
      <c r="G11" s="3048">
        <v>0</v>
      </c>
      <c r="H11" s="3048">
        <v>0</v>
      </c>
      <c r="I11" s="3048">
        <v>0</v>
      </c>
      <c r="J11" s="3048">
        <v>0</v>
      </c>
      <c r="K11" s="3048">
        <v>0</v>
      </c>
      <c r="L11" s="3048">
        <v>0</v>
      </c>
      <c r="M11" s="3048">
        <v>0</v>
      </c>
      <c r="N11" s="3048">
        <v>0</v>
      </c>
      <c r="O11" s="3048">
        <v>8.888604141990393E-2</v>
      </c>
      <c r="P11" s="3048">
        <v>0</v>
      </c>
      <c r="Q11" s="3048">
        <v>0</v>
      </c>
      <c r="R11" s="3049">
        <f t="shared" si="2"/>
        <v>1</v>
      </c>
      <c r="S11" s="3049">
        <f t="shared" si="2"/>
        <v>1</v>
      </c>
      <c r="T11" s="3049">
        <f t="shared" si="2"/>
        <v>1</v>
      </c>
      <c r="U11" s="3049">
        <f t="shared" si="2"/>
        <v>1</v>
      </c>
      <c r="V11" s="3049">
        <f t="shared" si="2"/>
        <v>1</v>
      </c>
      <c r="W11" s="3049">
        <f t="shared" si="2"/>
        <v>1</v>
      </c>
      <c r="X11" s="3049">
        <f t="shared" si="2"/>
        <v>1</v>
      </c>
      <c r="Y11" s="3049">
        <f t="shared" si="2"/>
        <v>1</v>
      </c>
      <c r="Z11" s="3049">
        <f t="shared" si="2"/>
        <v>1</v>
      </c>
      <c r="AA11" s="3049">
        <f t="shared" si="2"/>
        <v>1</v>
      </c>
      <c r="AB11" s="3049">
        <f t="shared" si="2"/>
        <v>1</v>
      </c>
      <c r="AC11" s="3049">
        <f t="shared" si="2"/>
        <v>1</v>
      </c>
      <c r="AD11" s="3049">
        <f t="shared" si="2"/>
        <v>0.62220228993932758</v>
      </c>
      <c r="AE11" s="3049">
        <f t="shared" si="2"/>
        <v>1</v>
      </c>
      <c r="AF11" s="3049">
        <f t="shared" si="2"/>
        <v>1</v>
      </c>
      <c r="AG11" s="3049"/>
    </row>
    <row r="12" spans="1:36">
      <c r="A12" s="3043">
        <v>200</v>
      </c>
      <c r="B12" s="3060">
        <v>8</v>
      </c>
      <c r="C12" s="3048">
        <v>0</v>
      </c>
      <c r="D12" s="3048">
        <v>0</v>
      </c>
      <c r="E12" s="3048">
        <v>0</v>
      </c>
      <c r="F12" s="3048">
        <v>0</v>
      </c>
      <c r="G12" s="3048">
        <v>0</v>
      </c>
      <c r="H12" s="3048">
        <v>0</v>
      </c>
      <c r="I12" s="3048">
        <v>0</v>
      </c>
      <c r="J12" s="3048">
        <v>0</v>
      </c>
      <c r="K12" s="3048">
        <v>0</v>
      </c>
      <c r="L12" s="3048">
        <v>0</v>
      </c>
      <c r="M12" s="3048">
        <v>0</v>
      </c>
      <c r="N12" s="3048">
        <v>0</v>
      </c>
      <c r="O12" s="3048">
        <v>8.888604141990393E-2</v>
      </c>
      <c r="P12" s="3048">
        <v>0</v>
      </c>
      <c r="Q12" s="3048">
        <v>0</v>
      </c>
      <c r="R12" s="3049">
        <f t="shared" si="2"/>
        <v>1</v>
      </c>
      <c r="S12" s="3049">
        <f t="shared" si="2"/>
        <v>1</v>
      </c>
      <c r="T12" s="3049">
        <f t="shared" si="2"/>
        <v>1</v>
      </c>
      <c r="U12" s="3049">
        <f t="shared" si="2"/>
        <v>1</v>
      </c>
      <c r="V12" s="3049">
        <f t="shared" si="2"/>
        <v>1</v>
      </c>
      <c r="W12" s="3049">
        <f t="shared" si="2"/>
        <v>1</v>
      </c>
      <c r="X12" s="3049">
        <f t="shared" si="2"/>
        <v>1</v>
      </c>
      <c r="Y12" s="3049">
        <f t="shared" si="2"/>
        <v>1</v>
      </c>
      <c r="Z12" s="3049">
        <f t="shared" si="2"/>
        <v>1</v>
      </c>
      <c r="AA12" s="3049">
        <f t="shared" si="2"/>
        <v>1</v>
      </c>
      <c r="AB12" s="3049">
        <f t="shared" si="2"/>
        <v>1</v>
      </c>
      <c r="AC12" s="3049">
        <f t="shared" si="2"/>
        <v>1</v>
      </c>
      <c r="AD12" s="3049">
        <f t="shared" si="2"/>
        <v>0.71108833135923155</v>
      </c>
      <c r="AE12" s="3049">
        <f t="shared" si="2"/>
        <v>1</v>
      </c>
      <c r="AF12" s="3049">
        <f t="shared" si="2"/>
        <v>1</v>
      </c>
      <c r="AG12" s="3049"/>
    </row>
    <row r="13" spans="1:36">
      <c r="A13" s="3043">
        <v>200</v>
      </c>
      <c r="B13" s="3060">
        <v>9</v>
      </c>
      <c r="C13" s="3048">
        <v>0</v>
      </c>
      <c r="D13" s="3048">
        <v>0</v>
      </c>
      <c r="E13" s="3048">
        <v>0</v>
      </c>
      <c r="F13" s="3048">
        <v>0</v>
      </c>
      <c r="G13" s="3048">
        <v>0</v>
      </c>
      <c r="H13" s="3048">
        <v>0</v>
      </c>
      <c r="I13" s="3048">
        <v>0</v>
      </c>
      <c r="J13" s="3048">
        <v>0</v>
      </c>
      <c r="K13" s="3048">
        <v>0</v>
      </c>
      <c r="L13" s="3048">
        <v>0</v>
      </c>
      <c r="M13" s="3048">
        <v>0</v>
      </c>
      <c r="N13" s="3048">
        <v>0</v>
      </c>
      <c r="O13" s="3048">
        <v>8.888604141990393E-2</v>
      </c>
      <c r="P13" s="3048">
        <v>0</v>
      </c>
      <c r="Q13" s="3048">
        <v>0</v>
      </c>
      <c r="R13" s="3049">
        <f t="shared" si="2"/>
        <v>1</v>
      </c>
      <c r="S13" s="3049">
        <f t="shared" si="2"/>
        <v>1</v>
      </c>
      <c r="T13" s="3049">
        <f t="shared" si="2"/>
        <v>1</v>
      </c>
      <c r="U13" s="3049">
        <f t="shared" si="2"/>
        <v>1</v>
      </c>
      <c r="V13" s="3049">
        <f t="shared" si="2"/>
        <v>1</v>
      </c>
      <c r="W13" s="3049">
        <f t="shared" si="2"/>
        <v>1</v>
      </c>
      <c r="X13" s="3049">
        <f t="shared" si="2"/>
        <v>1</v>
      </c>
      <c r="Y13" s="3049">
        <f t="shared" si="2"/>
        <v>1</v>
      </c>
      <c r="Z13" s="3049">
        <f t="shared" si="2"/>
        <v>1</v>
      </c>
      <c r="AA13" s="3049">
        <f t="shared" si="2"/>
        <v>1</v>
      </c>
      <c r="AB13" s="3049">
        <f t="shared" si="2"/>
        <v>1</v>
      </c>
      <c r="AC13" s="3049">
        <f t="shared" si="2"/>
        <v>1</v>
      </c>
      <c r="AD13" s="3049">
        <f t="shared" si="2"/>
        <v>0.79997437277913552</v>
      </c>
      <c r="AE13" s="3049">
        <f t="shared" si="2"/>
        <v>1</v>
      </c>
      <c r="AF13" s="3049">
        <f t="shared" si="2"/>
        <v>1</v>
      </c>
      <c r="AG13" s="3049"/>
    </row>
    <row r="14" spans="1:36">
      <c r="A14" s="3043">
        <v>200</v>
      </c>
      <c r="B14" s="3060">
        <v>10</v>
      </c>
      <c r="C14" s="3048">
        <v>0</v>
      </c>
      <c r="D14" s="3048">
        <v>0</v>
      </c>
      <c r="E14" s="3048">
        <v>0</v>
      </c>
      <c r="F14" s="3048">
        <v>0</v>
      </c>
      <c r="G14" s="3048">
        <v>0</v>
      </c>
      <c r="H14" s="3048">
        <v>0</v>
      </c>
      <c r="I14" s="3048">
        <v>0</v>
      </c>
      <c r="J14" s="3048">
        <v>0</v>
      </c>
      <c r="K14" s="3048">
        <v>0</v>
      </c>
      <c r="L14" s="3048">
        <v>0</v>
      </c>
      <c r="M14" s="3048">
        <v>0</v>
      </c>
      <c r="N14" s="3048">
        <v>0</v>
      </c>
      <c r="O14" s="3048">
        <v>8.5363640068535446E-2</v>
      </c>
      <c r="P14" s="3048">
        <v>0</v>
      </c>
      <c r="Q14" s="3048">
        <v>0</v>
      </c>
      <c r="R14" s="3049">
        <f t="shared" si="2"/>
        <v>1</v>
      </c>
      <c r="S14" s="3049">
        <f t="shared" si="2"/>
        <v>1</v>
      </c>
      <c r="T14" s="3049">
        <f t="shared" si="2"/>
        <v>1</v>
      </c>
      <c r="U14" s="3049">
        <f t="shared" si="2"/>
        <v>1</v>
      </c>
      <c r="V14" s="3049">
        <f t="shared" si="2"/>
        <v>1</v>
      </c>
      <c r="W14" s="3049">
        <f t="shared" si="2"/>
        <v>1</v>
      </c>
      <c r="X14" s="3049">
        <f t="shared" si="2"/>
        <v>1</v>
      </c>
      <c r="Y14" s="3049">
        <f t="shared" si="2"/>
        <v>1</v>
      </c>
      <c r="Z14" s="3049">
        <f t="shared" si="2"/>
        <v>1</v>
      </c>
      <c r="AA14" s="3049">
        <f t="shared" si="2"/>
        <v>1</v>
      </c>
      <c r="AB14" s="3049">
        <f t="shared" si="2"/>
        <v>1</v>
      </c>
      <c r="AC14" s="3049">
        <f t="shared" si="2"/>
        <v>1</v>
      </c>
      <c r="AD14" s="3049">
        <f t="shared" si="2"/>
        <v>0.885338012847671</v>
      </c>
      <c r="AE14" s="3049">
        <f t="shared" si="2"/>
        <v>1</v>
      </c>
      <c r="AF14" s="3049">
        <f t="shared" si="2"/>
        <v>1</v>
      </c>
      <c r="AG14" s="3049"/>
    </row>
    <row r="15" spans="1:36">
      <c r="A15" s="3043">
        <v>200</v>
      </c>
      <c r="B15" s="3060">
        <v>11</v>
      </c>
      <c r="C15" s="3048">
        <v>0</v>
      </c>
      <c r="D15" s="3048">
        <v>0</v>
      </c>
      <c r="E15" s="3048">
        <v>0</v>
      </c>
      <c r="F15" s="3048">
        <v>0</v>
      </c>
      <c r="G15" s="3048">
        <v>0</v>
      </c>
      <c r="H15" s="3048">
        <v>0</v>
      </c>
      <c r="I15" s="3048">
        <v>0</v>
      </c>
      <c r="J15" s="3048">
        <v>0</v>
      </c>
      <c r="K15" s="3048">
        <v>0</v>
      </c>
      <c r="L15" s="3048">
        <v>0</v>
      </c>
      <c r="M15" s="3048">
        <v>0</v>
      </c>
      <c r="N15" s="3048">
        <v>0</v>
      </c>
      <c r="O15" s="3048">
        <v>6.2714644567194389E-2</v>
      </c>
      <c r="P15" s="3048">
        <v>0</v>
      </c>
      <c r="Q15" s="3048">
        <v>0</v>
      </c>
      <c r="R15" s="3049">
        <f t="shared" si="2"/>
        <v>1</v>
      </c>
      <c r="S15" s="3049">
        <f t="shared" si="2"/>
        <v>1</v>
      </c>
      <c r="T15" s="3049">
        <f t="shared" si="2"/>
        <v>1</v>
      </c>
      <c r="U15" s="3049">
        <f t="shared" si="2"/>
        <v>1</v>
      </c>
      <c r="V15" s="3049">
        <f t="shared" si="2"/>
        <v>1</v>
      </c>
      <c r="W15" s="3049">
        <f t="shared" si="2"/>
        <v>1</v>
      </c>
      <c r="X15" s="3049">
        <f t="shared" si="2"/>
        <v>1</v>
      </c>
      <c r="Y15" s="3049">
        <f t="shared" si="2"/>
        <v>1</v>
      </c>
      <c r="Z15" s="3049">
        <f t="shared" si="2"/>
        <v>1</v>
      </c>
      <c r="AA15" s="3049">
        <f t="shared" si="2"/>
        <v>1</v>
      </c>
      <c r="AB15" s="3049">
        <f t="shared" si="2"/>
        <v>1</v>
      </c>
      <c r="AC15" s="3049">
        <f t="shared" si="2"/>
        <v>1</v>
      </c>
      <c r="AD15" s="3049">
        <f t="shared" si="2"/>
        <v>0.94805265741486533</v>
      </c>
      <c r="AE15" s="3049">
        <f t="shared" si="2"/>
        <v>1</v>
      </c>
      <c r="AF15" s="3049">
        <f t="shared" si="2"/>
        <v>1</v>
      </c>
      <c r="AG15" s="3049"/>
    </row>
    <row r="16" spans="1:36">
      <c r="A16" s="3043">
        <v>200</v>
      </c>
      <c r="B16" s="3060">
        <v>12</v>
      </c>
      <c r="C16" s="3048">
        <v>0</v>
      </c>
      <c r="D16" s="3048">
        <v>0</v>
      </c>
      <c r="E16" s="3048">
        <v>0</v>
      </c>
      <c r="F16" s="3048">
        <v>0</v>
      </c>
      <c r="G16" s="3048">
        <v>0</v>
      </c>
      <c r="H16" s="3048">
        <v>0</v>
      </c>
      <c r="I16" s="3048">
        <v>0</v>
      </c>
      <c r="J16" s="3048">
        <v>0</v>
      </c>
      <c r="K16" s="3048">
        <v>0</v>
      </c>
      <c r="L16" s="3048">
        <v>0</v>
      </c>
      <c r="M16" s="3048">
        <v>0</v>
      </c>
      <c r="N16" s="3048">
        <v>0</v>
      </c>
      <c r="O16" s="3048">
        <v>3.6955220682031456E-2</v>
      </c>
      <c r="P16" s="3048">
        <v>0</v>
      </c>
      <c r="Q16" s="3048">
        <v>0</v>
      </c>
      <c r="R16" s="3049">
        <f t="shared" si="2"/>
        <v>1</v>
      </c>
      <c r="S16" s="3049">
        <f t="shared" si="2"/>
        <v>1</v>
      </c>
      <c r="T16" s="3049">
        <f t="shared" si="2"/>
        <v>1</v>
      </c>
      <c r="U16" s="3049">
        <f t="shared" si="2"/>
        <v>1</v>
      </c>
      <c r="V16" s="3049">
        <f t="shared" si="2"/>
        <v>1</v>
      </c>
      <c r="W16" s="3049">
        <f t="shared" si="2"/>
        <v>1</v>
      </c>
      <c r="X16" s="3049">
        <f t="shared" si="2"/>
        <v>1</v>
      </c>
      <c r="Y16" s="3049">
        <f t="shared" si="2"/>
        <v>1</v>
      </c>
      <c r="Z16" s="3049">
        <f t="shared" si="2"/>
        <v>1</v>
      </c>
      <c r="AA16" s="3049">
        <f t="shared" si="2"/>
        <v>1</v>
      </c>
      <c r="AB16" s="3049">
        <f t="shared" si="2"/>
        <v>1</v>
      </c>
      <c r="AC16" s="3049">
        <f t="shared" si="2"/>
        <v>1</v>
      </c>
      <c r="AD16" s="3049">
        <f t="shared" si="2"/>
        <v>0.98500787809689683</v>
      </c>
      <c r="AE16" s="3049">
        <f t="shared" si="2"/>
        <v>1</v>
      </c>
      <c r="AF16" s="3049">
        <f t="shared" si="2"/>
        <v>1</v>
      </c>
      <c r="AG16" s="3049"/>
    </row>
    <row r="17" spans="1:33">
      <c r="A17" s="3043">
        <v>200</v>
      </c>
      <c r="B17" s="3060">
        <v>13</v>
      </c>
      <c r="C17" s="3048">
        <v>0</v>
      </c>
      <c r="D17" s="3048">
        <v>0</v>
      </c>
      <c r="E17" s="3048">
        <v>0</v>
      </c>
      <c r="F17" s="3048">
        <v>0</v>
      </c>
      <c r="G17" s="3048">
        <v>0</v>
      </c>
      <c r="H17" s="3048">
        <v>0</v>
      </c>
      <c r="I17" s="3048">
        <v>0</v>
      </c>
      <c r="J17" s="3048">
        <v>0</v>
      </c>
      <c r="K17" s="3048">
        <v>0</v>
      </c>
      <c r="L17" s="3048">
        <v>0</v>
      </c>
      <c r="M17" s="3048">
        <v>0</v>
      </c>
      <c r="N17" s="3048">
        <v>0</v>
      </c>
      <c r="O17" s="3048">
        <v>1.4601613215760667E-2</v>
      </c>
      <c r="P17" s="3048">
        <v>0</v>
      </c>
      <c r="Q17" s="3048">
        <v>0</v>
      </c>
      <c r="R17" s="3049">
        <f t="shared" si="2"/>
        <v>1</v>
      </c>
      <c r="S17" s="3049">
        <f t="shared" si="2"/>
        <v>1</v>
      </c>
      <c r="T17" s="3049">
        <f t="shared" si="2"/>
        <v>1</v>
      </c>
      <c r="U17" s="3049">
        <f t="shared" si="2"/>
        <v>1</v>
      </c>
      <c r="V17" s="3049">
        <f t="shared" si="2"/>
        <v>1</v>
      </c>
      <c r="W17" s="3049">
        <f t="shared" si="2"/>
        <v>1</v>
      </c>
      <c r="X17" s="3049">
        <f t="shared" si="2"/>
        <v>1</v>
      </c>
      <c r="Y17" s="3049">
        <f t="shared" si="2"/>
        <v>1</v>
      </c>
      <c r="Z17" s="3049">
        <f t="shared" si="2"/>
        <v>1</v>
      </c>
      <c r="AA17" s="3049">
        <f t="shared" si="2"/>
        <v>1</v>
      </c>
      <c r="AB17" s="3049">
        <f t="shared" si="2"/>
        <v>1</v>
      </c>
      <c r="AC17" s="3049">
        <f t="shared" si="2"/>
        <v>1</v>
      </c>
      <c r="AD17" s="3049">
        <f t="shared" si="2"/>
        <v>0.99960949131265753</v>
      </c>
      <c r="AE17" s="3049">
        <f t="shared" si="2"/>
        <v>1</v>
      </c>
      <c r="AF17" s="3049">
        <f t="shared" si="2"/>
        <v>1</v>
      </c>
      <c r="AG17" s="3049"/>
    </row>
    <row r="18" spans="1:33">
      <c r="A18" s="3043">
        <v>200</v>
      </c>
      <c r="B18" s="3060">
        <v>14</v>
      </c>
      <c r="C18" s="3048">
        <v>0</v>
      </c>
      <c r="D18" s="3048">
        <v>0</v>
      </c>
      <c r="E18" s="3048">
        <v>0</v>
      </c>
      <c r="F18" s="3048">
        <v>0</v>
      </c>
      <c r="G18" s="3048">
        <v>0</v>
      </c>
      <c r="H18" s="3048">
        <v>0</v>
      </c>
      <c r="I18" s="3048">
        <v>0</v>
      </c>
      <c r="J18" s="3048">
        <v>0</v>
      </c>
      <c r="K18" s="3048">
        <v>0</v>
      </c>
      <c r="L18" s="3048">
        <v>0</v>
      </c>
      <c r="M18" s="3048">
        <v>0</v>
      </c>
      <c r="N18" s="3048">
        <v>0</v>
      </c>
      <c r="O18" s="3048">
        <v>3.9050868734262408E-4</v>
      </c>
      <c r="P18" s="3048">
        <v>0</v>
      </c>
      <c r="Q18" s="3048">
        <v>0</v>
      </c>
      <c r="R18" s="3049">
        <f t="shared" si="2"/>
        <v>1</v>
      </c>
      <c r="S18" s="3049">
        <f t="shared" si="2"/>
        <v>1</v>
      </c>
      <c r="T18" s="3049">
        <f t="shared" si="2"/>
        <v>1</v>
      </c>
      <c r="U18" s="3049">
        <f t="shared" si="2"/>
        <v>1</v>
      </c>
      <c r="V18" s="3049">
        <f t="shared" si="2"/>
        <v>1</v>
      </c>
      <c r="W18" s="3049">
        <f t="shared" si="2"/>
        <v>1</v>
      </c>
      <c r="X18" s="3049">
        <f t="shared" si="2"/>
        <v>1</v>
      </c>
      <c r="Y18" s="3049">
        <f t="shared" si="2"/>
        <v>1</v>
      </c>
      <c r="Z18" s="3049">
        <f t="shared" si="2"/>
        <v>1</v>
      </c>
      <c r="AA18" s="3049">
        <f t="shared" si="2"/>
        <v>1</v>
      </c>
      <c r="AB18" s="3049">
        <f t="shared" si="2"/>
        <v>1</v>
      </c>
      <c r="AC18" s="3049">
        <f t="shared" si="2"/>
        <v>1</v>
      </c>
      <c r="AD18" s="3049">
        <f t="shared" si="2"/>
        <v>1.0000000000000002</v>
      </c>
      <c r="AE18" s="3049">
        <f t="shared" si="2"/>
        <v>1</v>
      </c>
      <c r="AF18" s="3049">
        <f t="shared" si="2"/>
        <v>1</v>
      </c>
      <c r="AG18" s="3049"/>
    </row>
    <row r="19" spans="1:33">
      <c r="A19" s="3043">
        <v>200</v>
      </c>
      <c r="B19" s="3060">
        <v>15</v>
      </c>
      <c r="C19" s="3048">
        <v>0</v>
      </c>
      <c r="D19" s="3048">
        <v>0</v>
      </c>
      <c r="E19" s="3048">
        <v>0</v>
      </c>
      <c r="F19" s="3048">
        <v>0</v>
      </c>
      <c r="G19" s="3048">
        <v>0</v>
      </c>
      <c r="H19" s="3048">
        <v>0</v>
      </c>
      <c r="I19" s="3048">
        <v>0</v>
      </c>
      <c r="J19" s="3048">
        <v>0</v>
      </c>
      <c r="K19" s="3048">
        <v>0</v>
      </c>
      <c r="L19" s="3048">
        <v>0</v>
      </c>
      <c r="M19" s="3048">
        <v>0</v>
      </c>
      <c r="N19" s="3048">
        <v>0</v>
      </c>
      <c r="O19" s="3048">
        <v>0</v>
      </c>
      <c r="P19" s="3048">
        <v>0</v>
      </c>
      <c r="Q19" s="3048">
        <v>0</v>
      </c>
      <c r="R19" s="3049">
        <f t="shared" si="2"/>
        <v>1</v>
      </c>
      <c r="S19" s="3049">
        <f t="shared" si="2"/>
        <v>1</v>
      </c>
      <c r="T19" s="3049">
        <f t="shared" si="2"/>
        <v>1</v>
      </c>
      <c r="U19" s="3049">
        <f t="shared" si="2"/>
        <v>1</v>
      </c>
      <c r="V19" s="3049">
        <f t="shared" si="2"/>
        <v>1</v>
      </c>
      <c r="W19" s="3049">
        <f t="shared" si="2"/>
        <v>1</v>
      </c>
      <c r="X19" s="3049">
        <f t="shared" si="2"/>
        <v>1</v>
      </c>
      <c r="Y19" s="3049">
        <f t="shared" si="2"/>
        <v>1</v>
      </c>
      <c r="Z19" s="3049">
        <f t="shared" si="2"/>
        <v>1</v>
      </c>
      <c r="AA19" s="3049">
        <f t="shared" si="2"/>
        <v>1</v>
      </c>
      <c r="AB19" s="3049">
        <f t="shared" si="2"/>
        <v>1</v>
      </c>
      <c r="AC19" s="3049">
        <f t="shared" si="2"/>
        <v>1</v>
      </c>
      <c r="AD19" s="3049">
        <f t="shared" si="2"/>
        <v>1.0000000000000002</v>
      </c>
      <c r="AE19" s="3049">
        <f t="shared" si="2"/>
        <v>1</v>
      </c>
      <c r="AF19" s="3049">
        <f t="shared" si="2"/>
        <v>1</v>
      </c>
      <c r="AG19" s="3049"/>
    </row>
    <row r="20" spans="1:33" s="3044" customFormat="1">
      <c r="A20" s="3043">
        <v>200</v>
      </c>
      <c r="B20" s="3060">
        <v>16</v>
      </c>
      <c r="C20" s="3048">
        <v>0</v>
      </c>
      <c r="D20" s="3048">
        <v>0</v>
      </c>
      <c r="E20" s="3048">
        <v>0</v>
      </c>
      <c r="F20" s="3048">
        <v>0</v>
      </c>
      <c r="G20" s="3048">
        <v>0</v>
      </c>
      <c r="H20" s="3048">
        <v>0</v>
      </c>
      <c r="I20" s="3048">
        <v>0</v>
      </c>
      <c r="J20" s="3048">
        <v>0</v>
      </c>
      <c r="K20" s="3048">
        <v>0</v>
      </c>
      <c r="L20" s="3048">
        <v>0</v>
      </c>
      <c r="M20" s="3048">
        <v>0</v>
      </c>
      <c r="N20" s="3048">
        <v>0</v>
      </c>
      <c r="O20" s="3048">
        <v>0</v>
      </c>
      <c r="P20" s="3048">
        <v>0</v>
      </c>
      <c r="Q20" s="3048">
        <v>0</v>
      </c>
      <c r="R20" s="3049">
        <f t="shared" si="2"/>
        <v>1</v>
      </c>
      <c r="S20" s="3049">
        <f t="shared" si="2"/>
        <v>1</v>
      </c>
      <c r="T20" s="3049">
        <f t="shared" si="2"/>
        <v>1</v>
      </c>
      <c r="U20" s="3049">
        <f t="shared" si="2"/>
        <v>1</v>
      </c>
      <c r="V20" s="3049">
        <f t="shared" si="2"/>
        <v>1</v>
      </c>
      <c r="W20" s="3049">
        <f t="shared" si="2"/>
        <v>1</v>
      </c>
      <c r="X20" s="3049">
        <f t="shared" si="2"/>
        <v>1</v>
      </c>
      <c r="Y20" s="3049">
        <f t="shared" si="2"/>
        <v>1</v>
      </c>
      <c r="Z20" s="3049">
        <f t="shared" si="2"/>
        <v>1</v>
      </c>
      <c r="AA20" s="3049">
        <f t="shared" si="2"/>
        <v>1</v>
      </c>
      <c r="AB20" s="3049">
        <f t="shared" si="2"/>
        <v>1</v>
      </c>
      <c r="AC20" s="3049">
        <f t="shared" si="2"/>
        <v>1</v>
      </c>
      <c r="AD20" s="3049">
        <f t="shared" si="2"/>
        <v>1.0000000000000002</v>
      </c>
      <c r="AE20" s="3049">
        <f t="shared" si="2"/>
        <v>1</v>
      </c>
      <c r="AF20" s="3049">
        <f t="shared" si="2"/>
        <v>1</v>
      </c>
      <c r="AG20" s="3049"/>
    </row>
    <row r="21" spans="1:33" s="3044" customFormat="1">
      <c r="A21" s="3043">
        <v>200</v>
      </c>
      <c r="B21" s="3060">
        <v>17</v>
      </c>
      <c r="C21" s="3048">
        <v>0</v>
      </c>
      <c r="D21" s="3048">
        <v>0</v>
      </c>
      <c r="E21" s="3048">
        <v>0</v>
      </c>
      <c r="F21" s="3048">
        <v>0</v>
      </c>
      <c r="G21" s="3048">
        <v>0</v>
      </c>
      <c r="H21" s="3048">
        <v>0</v>
      </c>
      <c r="I21" s="3048">
        <v>0</v>
      </c>
      <c r="J21" s="3048">
        <v>0</v>
      </c>
      <c r="K21" s="3048">
        <v>0</v>
      </c>
      <c r="L21" s="3048">
        <v>0</v>
      </c>
      <c r="M21" s="3048">
        <v>0</v>
      </c>
      <c r="N21" s="3048">
        <v>0</v>
      </c>
      <c r="O21" s="3048">
        <v>0</v>
      </c>
      <c r="P21" s="3048">
        <v>0</v>
      </c>
      <c r="Q21" s="3048">
        <v>0</v>
      </c>
      <c r="R21" s="3049">
        <f t="shared" si="2"/>
        <v>1</v>
      </c>
      <c r="S21" s="3049">
        <f t="shared" si="2"/>
        <v>1</v>
      </c>
      <c r="T21" s="3049">
        <f t="shared" si="2"/>
        <v>1</v>
      </c>
      <c r="U21" s="3049">
        <f t="shared" si="2"/>
        <v>1</v>
      </c>
      <c r="V21" s="3049">
        <f t="shared" si="2"/>
        <v>1</v>
      </c>
      <c r="W21" s="3049">
        <f t="shared" si="2"/>
        <v>1</v>
      </c>
      <c r="X21" s="3049">
        <f t="shared" si="2"/>
        <v>1</v>
      </c>
      <c r="Y21" s="3049">
        <f t="shared" si="2"/>
        <v>1</v>
      </c>
      <c r="Z21" s="3049">
        <f t="shared" si="2"/>
        <v>1</v>
      </c>
      <c r="AA21" s="3049">
        <f t="shared" si="2"/>
        <v>1</v>
      </c>
      <c r="AB21" s="3049">
        <f t="shared" si="2"/>
        <v>1</v>
      </c>
      <c r="AC21" s="3049">
        <f t="shared" si="2"/>
        <v>1</v>
      </c>
      <c r="AD21" s="3049">
        <f t="shared" si="2"/>
        <v>1.0000000000000002</v>
      </c>
      <c r="AE21" s="3049">
        <f t="shared" si="2"/>
        <v>1</v>
      </c>
      <c r="AF21" s="3049">
        <f t="shared" si="2"/>
        <v>1</v>
      </c>
      <c r="AG21" s="3049"/>
    </row>
    <row r="22" spans="1:33" s="3044" customFormat="1">
      <c r="A22" s="3043">
        <v>200</v>
      </c>
      <c r="B22" s="3060">
        <v>18</v>
      </c>
      <c r="C22" s="3048">
        <v>0</v>
      </c>
      <c r="D22" s="3048">
        <v>0</v>
      </c>
      <c r="E22" s="3048">
        <v>0</v>
      </c>
      <c r="F22" s="3048">
        <v>0</v>
      </c>
      <c r="G22" s="3048">
        <v>0</v>
      </c>
      <c r="H22" s="3048">
        <v>0</v>
      </c>
      <c r="I22" s="3048">
        <v>0</v>
      </c>
      <c r="J22" s="3048">
        <v>0</v>
      </c>
      <c r="K22" s="3048">
        <v>0</v>
      </c>
      <c r="L22" s="3048">
        <v>0</v>
      </c>
      <c r="M22" s="3048">
        <v>0</v>
      </c>
      <c r="N22" s="3048">
        <v>0</v>
      </c>
      <c r="O22" s="3048">
        <v>0</v>
      </c>
      <c r="P22" s="3048">
        <v>0</v>
      </c>
      <c r="Q22" s="3048">
        <v>0</v>
      </c>
      <c r="R22" s="3049">
        <f t="shared" ref="R22:AF37" si="3">C22+R21</f>
        <v>1</v>
      </c>
      <c r="S22" s="3049">
        <f t="shared" si="3"/>
        <v>1</v>
      </c>
      <c r="T22" s="3049">
        <f t="shared" si="3"/>
        <v>1</v>
      </c>
      <c r="U22" s="3049">
        <f t="shared" si="3"/>
        <v>1</v>
      </c>
      <c r="V22" s="3049">
        <f t="shared" si="3"/>
        <v>1</v>
      </c>
      <c r="W22" s="3049">
        <f t="shared" si="3"/>
        <v>1</v>
      </c>
      <c r="X22" s="3049">
        <f t="shared" si="3"/>
        <v>1</v>
      </c>
      <c r="Y22" s="3049">
        <f t="shared" si="3"/>
        <v>1</v>
      </c>
      <c r="Z22" s="3049">
        <f t="shared" si="3"/>
        <v>1</v>
      </c>
      <c r="AA22" s="3049">
        <f t="shared" si="3"/>
        <v>1</v>
      </c>
      <c r="AB22" s="3049">
        <f t="shared" si="3"/>
        <v>1</v>
      </c>
      <c r="AC22" s="3049">
        <f t="shared" si="3"/>
        <v>1</v>
      </c>
      <c r="AD22" s="3049">
        <f t="shared" si="3"/>
        <v>1.0000000000000002</v>
      </c>
      <c r="AE22" s="3049">
        <f t="shared" si="3"/>
        <v>1</v>
      </c>
      <c r="AF22" s="3049">
        <f t="shared" si="3"/>
        <v>1</v>
      </c>
      <c r="AG22" s="3049"/>
    </row>
    <row r="23" spans="1:33" s="3044" customFormat="1">
      <c r="A23" s="3043">
        <v>200</v>
      </c>
      <c r="B23" s="3060">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1</v>
      </c>
      <c r="T23" s="3049">
        <f t="shared" si="3"/>
        <v>1</v>
      </c>
      <c r="U23" s="3049">
        <f t="shared" si="3"/>
        <v>1</v>
      </c>
      <c r="V23" s="3049">
        <f t="shared" si="3"/>
        <v>1</v>
      </c>
      <c r="W23" s="3049">
        <f t="shared" si="3"/>
        <v>1</v>
      </c>
      <c r="X23" s="3049">
        <f t="shared" si="3"/>
        <v>1</v>
      </c>
      <c r="Y23" s="3049">
        <f t="shared" si="3"/>
        <v>1</v>
      </c>
      <c r="Z23" s="3049">
        <f t="shared" si="3"/>
        <v>1</v>
      </c>
      <c r="AA23" s="3049">
        <f t="shared" si="3"/>
        <v>1</v>
      </c>
      <c r="AB23" s="3049">
        <f t="shared" si="3"/>
        <v>1</v>
      </c>
      <c r="AC23" s="3049">
        <f t="shared" si="3"/>
        <v>1</v>
      </c>
      <c r="AD23" s="3049">
        <f t="shared" si="3"/>
        <v>1.0000000000000002</v>
      </c>
      <c r="AE23" s="3049">
        <f t="shared" si="3"/>
        <v>1</v>
      </c>
      <c r="AF23" s="3049">
        <f t="shared" si="3"/>
        <v>1</v>
      </c>
      <c r="AG23" s="3049"/>
    </row>
    <row r="24" spans="1:33" s="3044" customFormat="1">
      <c r="A24" s="3043">
        <v>200</v>
      </c>
      <c r="B24" s="3060">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1</v>
      </c>
      <c r="T24" s="3049">
        <f t="shared" si="3"/>
        <v>1</v>
      </c>
      <c r="U24" s="3049">
        <f t="shared" si="3"/>
        <v>1</v>
      </c>
      <c r="V24" s="3049">
        <f t="shared" si="3"/>
        <v>1</v>
      </c>
      <c r="W24" s="3049">
        <f t="shared" si="3"/>
        <v>1</v>
      </c>
      <c r="X24" s="3049">
        <f t="shared" si="3"/>
        <v>1</v>
      </c>
      <c r="Y24" s="3049">
        <f t="shared" si="3"/>
        <v>1</v>
      </c>
      <c r="Z24" s="3049">
        <f t="shared" si="3"/>
        <v>1</v>
      </c>
      <c r="AA24" s="3049">
        <f t="shared" si="3"/>
        <v>1</v>
      </c>
      <c r="AB24" s="3049">
        <f t="shared" si="3"/>
        <v>1</v>
      </c>
      <c r="AC24" s="3049">
        <f t="shared" si="3"/>
        <v>1</v>
      </c>
      <c r="AD24" s="3049">
        <f t="shared" si="3"/>
        <v>1.0000000000000002</v>
      </c>
      <c r="AE24" s="3049">
        <f t="shared" si="3"/>
        <v>1</v>
      </c>
      <c r="AF24" s="3049">
        <f t="shared" si="3"/>
        <v>1</v>
      </c>
      <c r="AG24" s="3049"/>
    </row>
    <row r="25" spans="1:33" s="3044" customFormat="1">
      <c r="A25" s="3043">
        <v>200</v>
      </c>
      <c r="B25" s="3060">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1</v>
      </c>
      <c r="T25" s="3049">
        <f t="shared" si="3"/>
        <v>1</v>
      </c>
      <c r="U25" s="3049">
        <f t="shared" si="3"/>
        <v>1</v>
      </c>
      <c r="V25" s="3049">
        <f t="shared" si="3"/>
        <v>1</v>
      </c>
      <c r="W25" s="3049">
        <f t="shared" si="3"/>
        <v>1</v>
      </c>
      <c r="X25" s="3049">
        <f t="shared" si="3"/>
        <v>1</v>
      </c>
      <c r="Y25" s="3049">
        <f t="shared" si="3"/>
        <v>1</v>
      </c>
      <c r="Z25" s="3049">
        <f t="shared" si="3"/>
        <v>1</v>
      </c>
      <c r="AA25" s="3049">
        <f t="shared" si="3"/>
        <v>1</v>
      </c>
      <c r="AB25" s="3049">
        <f t="shared" si="3"/>
        <v>1</v>
      </c>
      <c r="AC25" s="3049">
        <f t="shared" si="3"/>
        <v>1</v>
      </c>
      <c r="AD25" s="3049">
        <f t="shared" si="3"/>
        <v>1.0000000000000002</v>
      </c>
      <c r="AE25" s="3049">
        <f t="shared" si="3"/>
        <v>1</v>
      </c>
      <c r="AF25" s="3049">
        <f t="shared" si="3"/>
        <v>1</v>
      </c>
      <c r="AG25" s="3049"/>
    </row>
    <row r="26" spans="1:33" s="3044" customFormat="1">
      <c r="A26" s="3043">
        <v>200</v>
      </c>
      <c r="B26" s="3060">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1</v>
      </c>
      <c r="T26" s="3049">
        <f t="shared" si="3"/>
        <v>1</v>
      </c>
      <c r="U26" s="3049">
        <f t="shared" si="3"/>
        <v>1</v>
      </c>
      <c r="V26" s="3049">
        <f t="shared" si="3"/>
        <v>1</v>
      </c>
      <c r="W26" s="3049">
        <f t="shared" si="3"/>
        <v>1</v>
      </c>
      <c r="X26" s="3049">
        <f t="shared" si="3"/>
        <v>1</v>
      </c>
      <c r="Y26" s="3049">
        <f t="shared" si="3"/>
        <v>1</v>
      </c>
      <c r="Z26" s="3049">
        <f t="shared" si="3"/>
        <v>1</v>
      </c>
      <c r="AA26" s="3049">
        <f t="shared" si="3"/>
        <v>1</v>
      </c>
      <c r="AB26" s="3049">
        <f t="shared" si="3"/>
        <v>1</v>
      </c>
      <c r="AC26" s="3049">
        <f t="shared" si="3"/>
        <v>1</v>
      </c>
      <c r="AD26" s="3049">
        <f t="shared" si="3"/>
        <v>1.0000000000000002</v>
      </c>
      <c r="AE26" s="3049">
        <f t="shared" si="3"/>
        <v>1</v>
      </c>
      <c r="AF26" s="3049">
        <f t="shared" si="3"/>
        <v>1</v>
      </c>
      <c r="AG26" s="3049"/>
    </row>
    <row r="27" spans="1:33" s="3044" customFormat="1">
      <c r="A27" s="3043">
        <v>200</v>
      </c>
      <c r="B27" s="3060">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1</v>
      </c>
      <c r="T27" s="3049">
        <f t="shared" si="3"/>
        <v>1</v>
      </c>
      <c r="U27" s="3049">
        <f t="shared" si="3"/>
        <v>1</v>
      </c>
      <c r="V27" s="3049">
        <f t="shared" si="3"/>
        <v>1</v>
      </c>
      <c r="W27" s="3049">
        <f t="shared" si="3"/>
        <v>1</v>
      </c>
      <c r="X27" s="3049">
        <f t="shared" si="3"/>
        <v>1</v>
      </c>
      <c r="Y27" s="3049">
        <f t="shared" si="3"/>
        <v>1</v>
      </c>
      <c r="Z27" s="3049">
        <f t="shared" si="3"/>
        <v>1</v>
      </c>
      <c r="AA27" s="3049">
        <f t="shared" si="3"/>
        <v>1</v>
      </c>
      <c r="AB27" s="3049">
        <f t="shared" si="3"/>
        <v>1</v>
      </c>
      <c r="AC27" s="3049">
        <f t="shared" si="3"/>
        <v>1</v>
      </c>
      <c r="AD27" s="3049">
        <f t="shared" si="3"/>
        <v>1.0000000000000002</v>
      </c>
      <c r="AE27" s="3049">
        <f t="shared" si="3"/>
        <v>1</v>
      </c>
      <c r="AF27" s="3049">
        <f t="shared" si="3"/>
        <v>1</v>
      </c>
      <c r="AG27" s="3049"/>
    </row>
    <row r="28" spans="1:33" s="3044" customFormat="1">
      <c r="A28" s="3043">
        <v>200</v>
      </c>
      <c r="B28" s="3060">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1</v>
      </c>
      <c r="T28" s="3049">
        <f t="shared" si="3"/>
        <v>1</v>
      </c>
      <c r="U28" s="3049">
        <f t="shared" si="3"/>
        <v>1</v>
      </c>
      <c r="V28" s="3049">
        <f t="shared" si="3"/>
        <v>1</v>
      </c>
      <c r="W28" s="3049">
        <f t="shared" si="3"/>
        <v>1</v>
      </c>
      <c r="X28" s="3049">
        <f t="shared" si="3"/>
        <v>1</v>
      </c>
      <c r="Y28" s="3049">
        <f t="shared" si="3"/>
        <v>1</v>
      </c>
      <c r="Z28" s="3049">
        <f t="shared" si="3"/>
        <v>1</v>
      </c>
      <c r="AA28" s="3049">
        <f t="shared" si="3"/>
        <v>1</v>
      </c>
      <c r="AB28" s="3049">
        <f t="shared" si="3"/>
        <v>1</v>
      </c>
      <c r="AC28" s="3049">
        <f t="shared" si="3"/>
        <v>1</v>
      </c>
      <c r="AD28" s="3049">
        <f t="shared" si="3"/>
        <v>1.0000000000000002</v>
      </c>
      <c r="AE28" s="3049">
        <f t="shared" si="3"/>
        <v>1</v>
      </c>
      <c r="AF28" s="3049">
        <f t="shared" si="3"/>
        <v>1</v>
      </c>
      <c r="AG28" s="3049"/>
    </row>
    <row r="29" spans="1:33" s="3044" customFormat="1">
      <c r="A29" s="3043">
        <v>200</v>
      </c>
      <c r="B29" s="3060">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1</v>
      </c>
      <c r="T29" s="3049">
        <f t="shared" si="3"/>
        <v>1</v>
      </c>
      <c r="U29" s="3049">
        <f t="shared" si="3"/>
        <v>1</v>
      </c>
      <c r="V29" s="3049">
        <f t="shared" si="3"/>
        <v>1</v>
      </c>
      <c r="W29" s="3049">
        <f t="shared" si="3"/>
        <v>1</v>
      </c>
      <c r="X29" s="3049">
        <f t="shared" si="3"/>
        <v>1</v>
      </c>
      <c r="Y29" s="3049">
        <f t="shared" si="3"/>
        <v>1</v>
      </c>
      <c r="Z29" s="3049">
        <f t="shared" si="3"/>
        <v>1</v>
      </c>
      <c r="AA29" s="3049">
        <f t="shared" si="3"/>
        <v>1</v>
      </c>
      <c r="AB29" s="3049">
        <f t="shared" si="3"/>
        <v>1</v>
      </c>
      <c r="AC29" s="3049">
        <f t="shared" si="3"/>
        <v>1</v>
      </c>
      <c r="AD29" s="3049">
        <f t="shared" si="3"/>
        <v>1.0000000000000002</v>
      </c>
      <c r="AE29" s="3049">
        <f t="shared" si="3"/>
        <v>1</v>
      </c>
      <c r="AF29" s="3049">
        <f t="shared" si="3"/>
        <v>1</v>
      </c>
      <c r="AG29" s="3049"/>
    </row>
    <row r="30" spans="1:33" s="3044" customFormat="1">
      <c r="A30" s="3043">
        <v>200</v>
      </c>
      <c r="B30" s="3060">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1</v>
      </c>
      <c r="T30" s="3049">
        <f t="shared" si="3"/>
        <v>1</v>
      </c>
      <c r="U30" s="3049">
        <f t="shared" si="3"/>
        <v>1</v>
      </c>
      <c r="V30" s="3049">
        <f t="shared" si="3"/>
        <v>1</v>
      </c>
      <c r="W30" s="3049">
        <f t="shared" si="3"/>
        <v>1</v>
      </c>
      <c r="X30" s="3049">
        <f t="shared" si="3"/>
        <v>1</v>
      </c>
      <c r="Y30" s="3049">
        <f t="shared" si="3"/>
        <v>1</v>
      </c>
      <c r="Z30" s="3049">
        <f t="shared" si="3"/>
        <v>1</v>
      </c>
      <c r="AA30" s="3049">
        <f t="shared" si="3"/>
        <v>1</v>
      </c>
      <c r="AB30" s="3049">
        <f t="shared" si="3"/>
        <v>1</v>
      </c>
      <c r="AC30" s="3049">
        <f t="shared" si="3"/>
        <v>1</v>
      </c>
      <c r="AD30" s="3049">
        <f t="shared" si="3"/>
        <v>1.0000000000000002</v>
      </c>
      <c r="AE30" s="3049">
        <f t="shared" si="3"/>
        <v>1</v>
      </c>
      <c r="AF30" s="3049">
        <f t="shared" si="3"/>
        <v>1</v>
      </c>
      <c r="AG30" s="3049"/>
    </row>
    <row r="31" spans="1:33" s="3044" customFormat="1">
      <c r="A31" s="3043">
        <v>200</v>
      </c>
      <c r="B31" s="3060">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1</v>
      </c>
      <c r="T31" s="3049">
        <f t="shared" si="3"/>
        <v>1</v>
      </c>
      <c r="U31" s="3049">
        <f t="shared" si="3"/>
        <v>1</v>
      </c>
      <c r="V31" s="3049">
        <f t="shared" si="3"/>
        <v>1</v>
      </c>
      <c r="W31" s="3049">
        <f t="shared" si="3"/>
        <v>1</v>
      </c>
      <c r="X31" s="3049">
        <f t="shared" si="3"/>
        <v>1</v>
      </c>
      <c r="Y31" s="3049">
        <f t="shared" si="3"/>
        <v>1</v>
      </c>
      <c r="Z31" s="3049">
        <f t="shared" si="3"/>
        <v>1</v>
      </c>
      <c r="AA31" s="3049">
        <f t="shared" si="3"/>
        <v>1</v>
      </c>
      <c r="AB31" s="3049">
        <f t="shared" si="3"/>
        <v>1</v>
      </c>
      <c r="AC31" s="3049">
        <f t="shared" si="3"/>
        <v>1</v>
      </c>
      <c r="AD31" s="3049">
        <f t="shared" si="3"/>
        <v>1.0000000000000002</v>
      </c>
      <c r="AE31" s="3049">
        <f t="shared" si="3"/>
        <v>1</v>
      </c>
      <c r="AF31" s="3049">
        <f t="shared" si="3"/>
        <v>1</v>
      </c>
      <c r="AG31" s="3049"/>
    </row>
    <row r="32" spans="1:33" s="3044" customFormat="1">
      <c r="A32" s="3043">
        <v>200</v>
      </c>
      <c r="B32" s="3060">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1</v>
      </c>
      <c r="T32" s="3049">
        <f t="shared" si="3"/>
        <v>1</v>
      </c>
      <c r="U32" s="3049">
        <f t="shared" si="3"/>
        <v>1</v>
      </c>
      <c r="V32" s="3049">
        <f t="shared" si="3"/>
        <v>1</v>
      </c>
      <c r="W32" s="3049">
        <f t="shared" si="3"/>
        <v>1</v>
      </c>
      <c r="X32" s="3049">
        <f t="shared" si="3"/>
        <v>1</v>
      </c>
      <c r="Y32" s="3049">
        <f t="shared" si="3"/>
        <v>1</v>
      </c>
      <c r="Z32" s="3049">
        <f t="shared" si="3"/>
        <v>1</v>
      </c>
      <c r="AA32" s="3049">
        <f t="shared" si="3"/>
        <v>1</v>
      </c>
      <c r="AB32" s="3049">
        <f t="shared" si="3"/>
        <v>1</v>
      </c>
      <c r="AC32" s="3049">
        <f t="shared" si="3"/>
        <v>1</v>
      </c>
      <c r="AD32" s="3049">
        <f t="shared" si="3"/>
        <v>1.0000000000000002</v>
      </c>
      <c r="AE32" s="3049">
        <f t="shared" si="3"/>
        <v>1</v>
      </c>
      <c r="AF32" s="3049">
        <f t="shared" si="3"/>
        <v>1</v>
      </c>
      <c r="AG32" s="3049"/>
    </row>
    <row r="33" spans="1:33" s="3044" customFormat="1">
      <c r="A33" s="3043">
        <v>200</v>
      </c>
      <c r="B33" s="3060">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1</v>
      </c>
      <c r="T33" s="3049">
        <f t="shared" si="3"/>
        <v>1</v>
      </c>
      <c r="U33" s="3049">
        <f t="shared" si="3"/>
        <v>1</v>
      </c>
      <c r="V33" s="3049">
        <f t="shared" si="3"/>
        <v>1</v>
      </c>
      <c r="W33" s="3049">
        <f t="shared" si="3"/>
        <v>1</v>
      </c>
      <c r="X33" s="3049">
        <f t="shared" si="3"/>
        <v>1</v>
      </c>
      <c r="Y33" s="3049">
        <f t="shared" si="3"/>
        <v>1</v>
      </c>
      <c r="Z33" s="3049">
        <f t="shared" si="3"/>
        <v>1</v>
      </c>
      <c r="AA33" s="3049">
        <f t="shared" si="3"/>
        <v>1</v>
      </c>
      <c r="AB33" s="3049">
        <f t="shared" si="3"/>
        <v>1</v>
      </c>
      <c r="AC33" s="3049">
        <f t="shared" si="3"/>
        <v>1</v>
      </c>
      <c r="AD33" s="3049">
        <f t="shared" si="3"/>
        <v>1.0000000000000002</v>
      </c>
      <c r="AE33" s="3049">
        <f t="shared" si="3"/>
        <v>1</v>
      </c>
      <c r="AF33" s="3049">
        <f t="shared" si="3"/>
        <v>1</v>
      </c>
      <c r="AG33" s="3049"/>
    </row>
    <row r="34" spans="1:33" s="3044" customFormat="1">
      <c r="A34" s="3043">
        <v>200</v>
      </c>
      <c r="B34" s="3060">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1</v>
      </c>
      <c r="T34" s="3049">
        <f t="shared" si="3"/>
        <v>1</v>
      </c>
      <c r="U34" s="3049">
        <f t="shared" si="3"/>
        <v>1</v>
      </c>
      <c r="V34" s="3049">
        <f t="shared" si="3"/>
        <v>1</v>
      </c>
      <c r="W34" s="3049">
        <f t="shared" si="3"/>
        <v>1</v>
      </c>
      <c r="X34" s="3049">
        <f t="shared" si="3"/>
        <v>1</v>
      </c>
      <c r="Y34" s="3049">
        <f t="shared" si="3"/>
        <v>1</v>
      </c>
      <c r="Z34" s="3049">
        <f t="shared" si="3"/>
        <v>1</v>
      </c>
      <c r="AA34" s="3049">
        <f t="shared" si="3"/>
        <v>1</v>
      </c>
      <c r="AB34" s="3049">
        <f t="shared" si="3"/>
        <v>1</v>
      </c>
      <c r="AC34" s="3049">
        <f t="shared" si="3"/>
        <v>1</v>
      </c>
      <c r="AD34" s="3049">
        <f t="shared" si="3"/>
        <v>1.0000000000000002</v>
      </c>
      <c r="AE34" s="3049">
        <f t="shared" si="3"/>
        <v>1</v>
      </c>
      <c r="AF34" s="3049">
        <f t="shared" si="3"/>
        <v>1</v>
      </c>
      <c r="AG34" s="3049"/>
    </row>
    <row r="35" spans="1:33" s="3044" customFormat="1">
      <c r="A35" s="3043">
        <v>200</v>
      </c>
      <c r="B35" s="3060">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1</v>
      </c>
      <c r="T35" s="3049">
        <f t="shared" si="3"/>
        <v>1</v>
      </c>
      <c r="U35" s="3049">
        <f t="shared" si="3"/>
        <v>1</v>
      </c>
      <c r="V35" s="3049">
        <f t="shared" si="3"/>
        <v>1</v>
      </c>
      <c r="W35" s="3049">
        <f t="shared" si="3"/>
        <v>1</v>
      </c>
      <c r="X35" s="3049">
        <f t="shared" si="3"/>
        <v>1</v>
      </c>
      <c r="Y35" s="3049">
        <f t="shared" si="3"/>
        <v>1</v>
      </c>
      <c r="Z35" s="3049">
        <f t="shared" si="3"/>
        <v>1</v>
      </c>
      <c r="AA35" s="3049">
        <f t="shared" si="3"/>
        <v>1</v>
      </c>
      <c r="AB35" s="3049">
        <f t="shared" si="3"/>
        <v>1</v>
      </c>
      <c r="AC35" s="3049">
        <f t="shared" si="3"/>
        <v>1</v>
      </c>
      <c r="AD35" s="3049">
        <f t="shared" si="3"/>
        <v>1.0000000000000002</v>
      </c>
      <c r="AE35" s="3049">
        <f t="shared" si="3"/>
        <v>1</v>
      </c>
      <c r="AF35" s="3049">
        <f t="shared" si="3"/>
        <v>1</v>
      </c>
      <c r="AG35" s="3049"/>
    </row>
    <row r="36" spans="1:33" s="3044" customFormat="1">
      <c r="A36" s="3043">
        <v>200</v>
      </c>
      <c r="B36" s="3060">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1</v>
      </c>
      <c r="T36" s="3049">
        <f t="shared" si="3"/>
        <v>1</v>
      </c>
      <c r="U36" s="3049">
        <f t="shared" si="3"/>
        <v>1</v>
      </c>
      <c r="V36" s="3049">
        <f t="shared" si="3"/>
        <v>1</v>
      </c>
      <c r="W36" s="3049">
        <f t="shared" si="3"/>
        <v>1</v>
      </c>
      <c r="X36" s="3049">
        <f t="shared" si="3"/>
        <v>1</v>
      </c>
      <c r="Y36" s="3049">
        <f t="shared" si="3"/>
        <v>1</v>
      </c>
      <c r="Z36" s="3049">
        <f t="shared" si="3"/>
        <v>1</v>
      </c>
      <c r="AA36" s="3049">
        <f t="shared" si="3"/>
        <v>1</v>
      </c>
      <c r="AB36" s="3049">
        <f t="shared" si="3"/>
        <v>1</v>
      </c>
      <c r="AC36" s="3049">
        <f t="shared" si="3"/>
        <v>1</v>
      </c>
      <c r="AD36" s="3049">
        <f t="shared" si="3"/>
        <v>1.0000000000000002</v>
      </c>
      <c r="AE36" s="3049">
        <f t="shared" si="3"/>
        <v>1</v>
      </c>
      <c r="AF36" s="3049">
        <f t="shared" si="3"/>
        <v>1</v>
      </c>
      <c r="AG36" s="3049"/>
    </row>
    <row r="37" spans="1:33" s="3044" customFormat="1">
      <c r="A37" s="3043">
        <v>200</v>
      </c>
      <c r="B37" s="3060">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1</v>
      </c>
      <c r="T37" s="3049">
        <f t="shared" si="3"/>
        <v>1</v>
      </c>
      <c r="U37" s="3049">
        <f t="shared" si="3"/>
        <v>1</v>
      </c>
      <c r="V37" s="3049">
        <f t="shared" si="3"/>
        <v>1</v>
      </c>
      <c r="W37" s="3049">
        <f t="shared" si="3"/>
        <v>1</v>
      </c>
      <c r="X37" s="3049">
        <f t="shared" si="3"/>
        <v>1</v>
      </c>
      <c r="Y37" s="3049">
        <f t="shared" si="3"/>
        <v>1</v>
      </c>
      <c r="Z37" s="3049">
        <f t="shared" si="3"/>
        <v>1</v>
      </c>
      <c r="AA37" s="3049">
        <f t="shared" si="3"/>
        <v>1</v>
      </c>
      <c r="AB37" s="3049">
        <f t="shared" si="3"/>
        <v>1</v>
      </c>
      <c r="AC37" s="3049">
        <f t="shared" si="3"/>
        <v>1</v>
      </c>
      <c r="AD37" s="3049">
        <f t="shared" si="3"/>
        <v>1.0000000000000002</v>
      </c>
      <c r="AE37" s="3049">
        <f t="shared" si="3"/>
        <v>1</v>
      </c>
      <c r="AF37" s="3049">
        <f t="shared" si="3"/>
        <v>1</v>
      </c>
      <c r="AG37" s="3049"/>
    </row>
    <row r="38" spans="1:33" s="3044" customFormat="1">
      <c r="A38" s="3043">
        <v>200</v>
      </c>
      <c r="B38" s="3060">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1</v>
      </c>
      <c r="T38" s="3049">
        <f t="shared" si="4"/>
        <v>1</v>
      </c>
      <c r="U38" s="3049">
        <f t="shared" si="4"/>
        <v>1</v>
      </c>
      <c r="V38" s="3049">
        <f t="shared" si="4"/>
        <v>1</v>
      </c>
      <c r="W38" s="3049">
        <f t="shared" si="4"/>
        <v>1</v>
      </c>
      <c r="X38" s="3049">
        <f t="shared" si="4"/>
        <v>1</v>
      </c>
      <c r="Y38" s="3049">
        <f t="shared" si="4"/>
        <v>1</v>
      </c>
      <c r="Z38" s="3049">
        <f t="shared" si="4"/>
        <v>1</v>
      </c>
      <c r="AA38" s="3049">
        <f t="shared" si="4"/>
        <v>1</v>
      </c>
      <c r="AB38" s="3049">
        <f t="shared" si="4"/>
        <v>1</v>
      </c>
      <c r="AC38" s="3049">
        <f t="shared" si="4"/>
        <v>1</v>
      </c>
      <c r="AD38" s="3049">
        <f t="shared" si="4"/>
        <v>1.0000000000000002</v>
      </c>
      <c r="AE38" s="3049">
        <f t="shared" si="4"/>
        <v>1</v>
      </c>
      <c r="AF38" s="3049">
        <f t="shared" si="4"/>
        <v>1</v>
      </c>
      <c r="AG38" s="3049"/>
    </row>
    <row r="39" spans="1:33" s="3044" customFormat="1">
      <c r="A39" s="3043">
        <v>200</v>
      </c>
      <c r="B39" s="3060">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1</v>
      </c>
      <c r="T39" s="3049">
        <f t="shared" si="4"/>
        <v>1</v>
      </c>
      <c r="U39" s="3049">
        <f t="shared" si="4"/>
        <v>1</v>
      </c>
      <c r="V39" s="3049">
        <f t="shared" si="4"/>
        <v>1</v>
      </c>
      <c r="W39" s="3049">
        <f t="shared" si="4"/>
        <v>1</v>
      </c>
      <c r="X39" s="3049">
        <f t="shared" si="4"/>
        <v>1</v>
      </c>
      <c r="Y39" s="3049">
        <f t="shared" si="4"/>
        <v>1</v>
      </c>
      <c r="Z39" s="3049">
        <f t="shared" si="4"/>
        <v>1</v>
      </c>
      <c r="AA39" s="3049">
        <f t="shared" si="4"/>
        <v>1</v>
      </c>
      <c r="AB39" s="3049">
        <f t="shared" si="4"/>
        <v>1</v>
      </c>
      <c r="AC39" s="3049">
        <f t="shared" si="4"/>
        <v>1</v>
      </c>
      <c r="AD39" s="3049">
        <f t="shared" si="4"/>
        <v>1.0000000000000002</v>
      </c>
      <c r="AE39" s="3049">
        <f t="shared" si="4"/>
        <v>1</v>
      </c>
      <c r="AF39" s="3049">
        <f t="shared" si="4"/>
        <v>1</v>
      </c>
      <c r="AG39" s="3049"/>
    </row>
    <row r="40" spans="1:33" s="3044" customFormat="1">
      <c r="A40" s="3043">
        <v>200</v>
      </c>
      <c r="B40" s="3060">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1</v>
      </c>
      <c r="T40" s="3049">
        <f t="shared" si="4"/>
        <v>1</v>
      </c>
      <c r="U40" s="3049">
        <f t="shared" si="4"/>
        <v>1</v>
      </c>
      <c r="V40" s="3049">
        <f t="shared" si="4"/>
        <v>1</v>
      </c>
      <c r="W40" s="3049">
        <f t="shared" si="4"/>
        <v>1</v>
      </c>
      <c r="X40" s="3049">
        <f t="shared" si="4"/>
        <v>1</v>
      </c>
      <c r="Y40" s="3049">
        <f t="shared" si="4"/>
        <v>1</v>
      </c>
      <c r="Z40" s="3049">
        <f t="shared" si="4"/>
        <v>1</v>
      </c>
      <c r="AA40" s="3049">
        <f t="shared" si="4"/>
        <v>1</v>
      </c>
      <c r="AB40" s="3049">
        <f t="shared" si="4"/>
        <v>1</v>
      </c>
      <c r="AC40" s="3049">
        <f t="shared" si="4"/>
        <v>1</v>
      </c>
      <c r="AD40" s="3049">
        <f t="shared" si="4"/>
        <v>1.0000000000000002</v>
      </c>
      <c r="AE40" s="3049">
        <f t="shared" si="4"/>
        <v>1</v>
      </c>
      <c r="AF40" s="3049">
        <f t="shared" si="4"/>
        <v>1</v>
      </c>
      <c r="AG40" s="3049"/>
    </row>
    <row r="41" spans="1:33" s="3044" customFormat="1">
      <c r="A41" s="3043">
        <v>200</v>
      </c>
      <c r="B41" s="3060">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1</v>
      </c>
      <c r="T41" s="3049">
        <f t="shared" si="4"/>
        <v>1</v>
      </c>
      <c r="U41" s="3049">
        <f t="shared" si="4"/>
        <v>1</v>
      </c>
      <c r="V41" s="3049">
        <f t="shared" si="4"/>
        <v>1</v>
      </c>
      <c r="W41" s="3049">
        <f t="shared" si="4"/>
        <v>1</v>
      </c>
      <c r="X41" s="3049">
        <f t="shared" si="4"/>
        <v>1</v>
      </c>
      <c r="Y41" s="3049">
        <f t="shared" si="4"/>
        <v>1</v>
      </c>
      <c r="Z41" s="3049">
        <f t="shared" si="4"/>
        <v>1</v>
      </c>
      <c r="AA41" s="3049">
        <f t="shared" si="4"/>
        <v>1</v>
      </c>
      <c r="AB41" s="3049">
        <f t="shared" si="4"/>
        <v>1</v>
      </c>
      <c r="AC41" s="3049">
        <f t="shared" si="4"/>
        <v>1</v>
      </c>
      <c r="AD41" s="3049">
        <f t="shared" si="4"/>
        <v>1.0000000000000002</v>
      </c>
      <c r="AE41" s="3049">
        <f t="shared" si="4"/>
        <v>1</v>
      </c>
      <c r="AF41" s="3049">
        <f t="shared" si="4"/>
        <v>1</v>
      </c>
      <c r="AG41" s="3049"/>
    </row>
    <row r="42" spans="1:33" s="3044" customFormat="1">
      <c r="A42" s="3043">
        <v>200</v>
      </c>
      <c r="B42" s="3060">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1</v>
      </c>
      <c r="T42" s="3049">
        <f t="shared" si="4"/>
        <v>1</v>
      </c>
      <c r="U42" s="3049">
        <f t="shared" si="4"/>
        <v>1</v>
      </c>
      <c r="V42" s="3049">
        <f t="shared" si="4"/>
        <v>1</v>
      </c>
      <c r="W42" s="3049">
        <f t="shared" si="4"/>
        <v>1</v>
      </c>
      <c r="X42" s="3049">
        <f t="shared" si="4"/>
        <v>1</v>
      </c>
      <c r="Y42" s="3049">
        <f t="shared" si="4"/>
        <v>1</v>
      </c>
      <c r="Z42" s="3049">
        <f t="shared" si="4"/>
        <v>1</v>
      </c>
      <c r="AA42" s="3049">
        <f t="shared" si="4"/>
        <v>1</v>
      </c>
      <c r="AB42" s="3049">
        <f t="shared" si="4"/>
        <v>1</v>
      </c>
      <c r="AC42" s="3049">
        <f t="shared" si="4"/>
        <v>1</v>
      </c>
      <c r="AD42" s="3049">
        <f t="shared" si="4"/>
        <v>1.0000000000000002</v>
      </c>
      <c r="AE42" s="3049">
        <f t="shared" si="4"/>
        <v>1</v>
      </c>
      <c r="AF42" s="3049">
        <f t="shared" si="4"/>
        <v>1</v>
      </c>
      <c r="AG42" s="3049"/>
    </row>
    <row r="43" spans="1:33" s="3044" customFormat="1">
      <c r="A43" s="3043">
        <v>200</v>
      </c>
      <c r="B43" s="3060">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1</v>
      </c>
      <c r="T43" s="3049">
        <f t="shared" si="4"/>
        <v>1</v>
      </c>
      <c r="U43" s="3049">
        <f t="shared" si="4"/>
        <v>1</v>
      </c>
      <c r="V43" s="3049">
        <f t="shared" si="4"/>
        <v>1</v>
      </c>
      <c r="W43" s="3049">
        <f t="shared" si="4"/>
        <v>1</v>
      </c>
      <c r="X43" s="3049">
        <f t="shared" si="4"/>
        <v>1</v>
      </c>
      <c r="Y43" s="3049">
        <f t="shared" si="4"/>
        <v>1</v>
      </c>
      <c r="Z43" s="3049">
        <f t="shared" si="4"/>
        <v>1</v>
      </c>
      <c r="AA43" s="3049">
        <f t="shared" si="4"/>
        <v>1</v>
      </c>
      <c r="AB43" s="3049">
        <f t="shared" si="4"/>
        <v>1</v>
      </c>
      <c r="AC43" s="3049">
        <f t="shared" si="4"/>
        <v>1</v>
      </c>
      <c r="AD43" s="3049">
        <f t="shared" si="4"/>
        <v>1.0000000000000002</v>
      </c>
      <c r="AE43" s="3049">
        <f t="shared" si="4"/>
        <v>1</v>
      </c>
      <c r="AF43" s="3049">
        <f t="shared" si="4"/>
        <v>1</v>
      </c>
      <c r="AG43" s="3049"/>
    </row>
    <row r="44" spans="1:33" s="3044" customFormat="1">
      <c r="A44" s="3043">
        <v>200</v>
      </c>
      <c r="B44" s="3060">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1</v>
      </c>
      <c r="T44" s="3049">
        <f t="shared" si="4"/>
        <v>1</v>
      </c>
      <c r="U44" s="3049">
        <f t="shared" si="4"/>
        <v>1</v>
      </c>
      <c r="V44" s="3049">
        <f t="shared" si="4"/>
        <v>1</v>
      </c>
      <c r="W44" s="3049">
        <f t="shared" si="4"/>
        <v>1</v>
      </c>
      <c r="X44" s="3049">
        <f t="shared" si="4"/>
        <v>1</v>
      </c>
      <c r="Y44" s="3049">
        <f t="shared" si="4"/>
        <v>1</v>
      </c>
      <c r="Z44" s="3049">
        <f t="shared" si="4"/>
        <v>1</v>
      </c>
      <c r="AA44" s="3049">
        <f t="shared" si="4"/>
        <v>1</v>
      </c>
      <c r="AB44" s="3049">
        <f t="shared" si="4"/>
        <v>1</v>
      </c>
      <c r="AC44" s="3049">
        <f t="shared" si="4"/>
        <v>1</v>
      </c>
      <c r="AD44" s="3049">
        <f t="shared" si="4"/>
        <v>1.0000000000000002</v>
      </c>
      <c r="AE44" s="3049">
        <f t="shared" si="4"/>
        <v>1</v>
      </c>
      <c r="AF44" s="3049">
        <f t="shared" si="4"/>
        <v>1</v>
      </c>
      <c r="AG44" s="3049"/>
    </row>
    <row r="45" spans="1:33" s="3044" customFormat="1">
      <c r="A45" s="3043">
        <v>200</v>
      </c>
      <c r="B45" s="3060">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1</v>
      </c>
      <c r="T45" s="3049">
        <f t="shared" si="4"/>
        <v>1</v>
      </c>
      <c r="U45" s="3049">
        <f t="shared" si="4"/>
        <v>1</v>
      </c>
      <c r="V45" s="3049">
        <f t="shared" si="4"/>
        <v>1</v>
      </c>
      <c r="W45" s="3049">
        <f t="shared" si="4"/>
        <v>1</v>
      </c>
      <c r="X45" s="3049">
        <f t="shared" si="4"/>
        <v>1</v>
      </c>
      <c r="Y45" s="3049">
        <f t="shared" si="4"/>
        <v>1</v>
      </c>
      <c r="Z45" s="3049">
        <f t="shared" si="4"/>
        <v>1</v>
      </c>
      <c r="AA45" s="3049">
        <f t="shared" si="4"/>
        <v>1</v>
      </c>
      <c r="AB45" s="3049">
        <f t="shared" si="4"/>
        <v>1</v>
      </c>
      <c r="AC45" s="3049">
        <f t="shared" si="4"/>
        <v>1</v>
      </c>
      <c r="AD45" s="3049">
        <f t="shared" si="4"/>
        <v>1.0000000000000002</v>
      </c>
      <c r="AE45" s="3049">
        <f t="shared" si="4"/>
        <v>1</v>
      </c>
      <c r="AF45" s="3049">
        <f t="shared" si="4"/>
        <v>1</v>
      </c>
      <c r="AG45" s="3049"/>
    </row>
    <row r="46" spans="1:33" s="3044" customFormat="1">
      <c r="A46" s="3043">
        <v>200</v>
      </c>
      <c r="B46" s="3060">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1</v>
      </c>
      <c r="T46" s="3049">
        <f t="shared" si="4"/>
        <v>1</v>
      </c>
      <c r="U46" s="3049">
        <f t="shared" si="4"/>
        <v>1</v>
      </c>
      <c r="V46" s="3049">
        <f t="shared" si="4"/>
        <v>1</v>
      </c>
      <c r="W46" s="3049">
        <f t="shared" si="4"/>
        <v>1</v>
      </c>
      <c r="X46" s="3049">
        <f t="shared" si="4"/>
        <v>1</v>
      </c>
      <c r="Y46" s="3049">
        <f t="shared" si="4"/>
        <v>1</v>
      </c>
      <c r="Z46" s="3049">
        <f t="shared" si="4"/>
        <v>1</v>
      </c>
      <c r="AA46" s="3049">
        <f t="shared" si="4"/>
        <v>1</v>
      </c>
      <c r="AB46" s="3049">
        <f t="shared" si="4"/>
        <v>1</v>
      </c>
      <c r="AC46" s="3049">
        <f t="shared" si="4"/>
        <v>1</v>
      </c>
      <c r="AD46" s="3049">
        <f t="shared" si="4"/>
        <v>1.0000000000000002</v>
      </c>
      <c r="AE46" s="3049">
        <f t="shared" si="4"/>
        <v>1</v>
      </c>
      <c r="AF46" s="3049">
        <f t="shared" si="4"/>
        <v>1</v>
      </c>
      <c r="AG46" s="3049"/>
    </row>
    <row r="47" spans="1:33" s="3044" customFormat="1">
      <c r="A47" s="3043">
        <v>200</v>
      </c>
      <c r="B47" s="3060">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1</v>
      </c>
      <c r="T47" s="3049">
        <f t="shared" si="4"/>
        <v>1</v>
      </c>
      <c r="U47" s="3049">
        <f t="shared" si="4"/>
        <v>1</v>
      </c>
      <c r="V47" s="3049">
        <f t="shared" si="4"/>
        <v>1</v>
      </c>
      <c r="W47" s="3049">
        <f t="shared" si="4"/>
        <v>1</v>
      </c>
      <c r="X47" s="3049">
        <f t="shared" si="4"/>
        <v>1</v>
      </c>
      <c r="Y47" s="3049">
        <f t="shared" si="4"/>
        <v>1</v>
      </c>
      <c r="Z47" s="3049">
        <f t="shared" si="4"/>
        <v>1</v>
      </c>
      <c r="AA47" s="3049">
        <f t="shared" si="4"/>
        <v>1</v>
      </c>
      <c r="AB47" s="3049">
        <f t="shared" si="4"/>
        <v>1</v>
      </c>
      <c r="AC47" s="3049">
        <f t="shared" si="4"/>
        <v>1</v>
      </c>
      <c r="AD47" s="3049">
        <f t="shared" si="4"/>
        <v>1.0000000000000002</v>
      </c>
      <c r="AE47" s="3049">
        <f t="shared" si="4"/>
        <v>1</v>
      </c>
      <c r="AF47" s="3049">
        <f t="shared" si="4"/>
        <v>1</v>
      </c>
      <c r="AG47" s="3049"/>
    </row>
    <row r="48" spans="1:33" s="3044" customFormat="1">
      <c r="A48" s="3043">
        <v>200</v>
      </c>
      <c r="B48" s="3060">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1</v>
      </c>
      <c r="T48" s="3049">
        <f t="shared" si="4"/>
        <v>1</v>
      </c>
      <c r="U48" s="3049">
        <f t="shared" si="4"/>
        <v>1</v>
      </c>
      <c r="V48" s="3049">
        <f t="shared" si="4"/>
        <v>1</v>
      </c>
      <c r="W48" s="3049">
        <f t="shared" si="4"/>
        <v>1</v>
      </c>
      <c r="X48" s="3049">
        <f t="shared" si="4"/>
        <v>1</v>
      </c>
      <c r="Y48" s="3049">
        <f t="shared" si="4"/>
        <v>1</v>
      </c>
      <c r="Z48" s="3049">
        <f t="shared" si="4"/>
        <v>1</v>
      </c>
      <c r="AA48" s="3049">
        <f t="shared" si="4"/>
        <v>1</v>
      </c>
      <c r="AB48" s="3049">
        <f t="shared" si="4"/>
        <v>1</v>
      </c>
      <c r="AC48" s="3049">
        <f t="shared" si="4"/>
        <v>1</v>
      </c>
      <c r="AD48" s="3049">
        <f t="shared" si="4"/>
        <v>1.0000000000000002</v>
      </c>
      <c r="AE48" s="3049">
        <f t="shared" si="4"/>
        <v>1</v>
      </c>
      <c r="AF48" s="3049">
        <f t="shared" si="4"/>
        <v>1</v>
      </c>
      <c r="AG48" s="3049"/>
    </row>
    <row r="49" spans="1:33" s="3044" customFormat="1">
      <c r="A49" s="3043">
        <v>200</v>
      </c>
      <c r="B49" s="3060">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1</v>
      </c>
      <c r="T49" s="3049">
        <f t="shared" si="4"/>
        <v>1</v>
      </c>
      <c r="U49" s="3049">
        <f t="shared" si="4"/>
        <v>1</v>
      </c>
      <c r="V49" s="3049">
        <f t="shared" si="4"/>
        <v>1</v>
      </c>
      <c r="W49" s="3049">
        <f t="shared" si="4"/>
        <v>1</v>
      </c>
      <c r="X49" s="3049">
        <f t="shared" si="4"/>
        <v>1</v>
      </c>
      <c r="Y49" s="3049">
        <f t="shared" si="4"/>
        <v>1</v>
      </c>
      <c r="Z49" s="3049">
        <f t="shared" si="4"/>
        <v>1</v>
      </c>
      <c r="AA49" s="3049">
        <f t="shared" si="4"/>
        <v>1</v>
      </c>
      <c r="AB49" s="3049">
        <f t="shared" si="4"/>
        <v>1</v>
      </c>
      <c r="AC49" s="3049">
        <f t="shared" si="4"/>
        <v>1</v>
      </c>
      <c r="AD49" s="3049">
        <f t="shared" si="4"/>
        <v>1.0000000000000002</v>
      </c>
      <c r="AE49" s="3049">
        <f t="shared" si="4"/>
        <v>1</v>
      </c>
      <c r="AF49" s="3049">
        <f t="shared" si="4"/>
        <v>1</v>
      </c>
      <c r="AG49" s="3049"/>
    </row>
    <row r="50" spans="1:33" s="3044" customFormat="1">
      <c r="A50" s="3043">
        <v>200</v>
      </c>
      <c r="B50" s="3060">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1</v>
      </c>
      <c r="T50" s="3049">
        <f t="shared" si="4"/>
        <v>1</v>
      </c>
      <c r="U50" s="3049">
        <f t="shared" si="4"/>
        <v>1</v>
      </c>
      <c r="V50" s="3049">
        <f t="shared" si="4"/>
        <v>1</v>
      </c>
      <c r="W50" s="3049">
        <f t="shared" si="4"/>
        <v>1</v>
      </c>
      <c r="X50" s="3049">
        <f t="shared" si="4"/>
        <v>1</v>
      </c>
      <c r="Y50" s="3049">
        <f t="shared" si="4"/>
        <v>1</v>
      </c>
      <c r="Z50" s="3049">
        <f t="shared" si="4"/>
        <v>1</v>
      </c>
      <c r="AA50" s="3049">
        <f t="shared" si="4"/>
        <v>1</v>
      </c>
      <c r="AB50" s="3049">
        <f t="shared" si="4"/>
        <v>1</v>
      </c>
      <c r="AC50" s="3049">
        <f t="shared" si="4"/>
        <v>1</v>
      </c>
      <c r="AD50" s="3049">
        <f t="shared" si="4"/>
        <v>1.0000000000000002</v>
      </c>
      <c r="AE50" s="3049">
        <f t="shared" si="4"/>
        <v>1</v>
      </c>
      <c r="AF50" s="3049">
        <f t="shared" si="4"/>
        <v>1</v>
      </c>
      <c r="AG50" s="3049"/>
    </row>
    <row r="51" spans="1:33" s="3044" customFormat="1">
      <c r="A51" s="3043">
        <v>200</v>
      </c>
      <c r="B51" s="3060">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1</v>
      </c>
      <c r="T51" s="3049">
        <f t="shared" si="4"/>
        <v>1</v>
      </c>
      <c r="U51" s="3049">
        <f t="shared" si="4"/>
        <v>1</v>
      </c>
      <c r="V51" s="3049">
        <f t="shared" si="4"/>
        <v>1</v>
      </c>
      <c r="W51" s="3049">
        <f t="shared" si="4"/>
        <v>1</v>
      </c>
      <c r="X51" s="3049">
        <f t="shared" si="4"/>
        <v>1</v>
      </c>
      <c r="Y51" s="3049">
        <f t="shared" si="4"/>
        <v>1</v>
      </c>
      <c r="Z51" s="3049">
        <f t="shared" si="4"/>
        <v>1</v>
      </c>
      <c r="AA51" s="3049">
        <f t="shared" si="4"/>
        <v>1</v>
      </c>
      <c r="AB51" s="3049">
        <f t="shared" si="4"/>
        <v>1</v>
      </c>
      <c r="AC51" s="3049">
        <f t="shared" si="4"/>
        <v>1</v>
      </c>
      <c r="AD51" s="3049">
        <f t="shared" si="4"/>
        <v>1.0000000000000002</v>
      </c>
      <c r="AE51" s="3049">
        <f t="shared" si="4"/>
        <v>1</v>
      </c>
      <c r="AF51" s="3049">
        <f t="shared" si="4"/>
        <v>1</v>
      </c>
      <c r="AG51" s="3049"/>
    </row>
    <row r="52" spans="1:33" s="3044" customFormat="1">
      <c r="A52" s="3043">
        <v>200</v>
      </c>
      <c r="B52" s="3060">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1</v>
      </c>
      <c r="T52" s="3049">
        <f t="shared" si="4"/>
        <v>1</v>
      </c>
      <c r="U52" s="3049">
        <f t="shared" si="4"/>
        <v>1</v>
      </c>
      <c r="V52" s="3049">
        <f t="shared" si="4"/>
        <v>1</v>
      </c>
      <c r="W52" s="3049">
        <f t="shared" si="4"/>
        <v>1</v>
      </c>
      <c r="X52" s="3049">
        <f t="shared" si="4"/>
        <v>1</v>
      </c>
      <c r="Y52" s="3049">
        <f t="shared" si="4"/>
        <v>1</v>
      </c>
      <c r="Z52" s="3049">
        <f t="shared" si="4"/>
        <v>1</v>
      </c>
      <c r="AA52" s="3049">
        <f t="shared" si="4"/>
        <v>1</v>
      </c>
      <c r="AB52" s="3049">
        <f t="shared" si="4"/>
        <v>1</v>
      </c>
      <c r="AC52" s="3049">
        <f t="shared" si="4"/>
        <v>1</v>
      </c>
      <c r="AD52" s="3049">
        <f t="shared" si="4"/>
        <v>1.0000000000000002</v>
      </c>
      <c r="AE52" s="3049">
        <f t="shared" si="4"/>
        <v>1</v>
      </c>
      <c r="AF52" s="3049">
        <f t="shared" si="4"/>
        <v>1</v>
      </c>
      <c r="AG52" s="3049"/>
    </row>
    <row r="53" spans="1:33" s="3044" customFormat="1">
      <c r="A53" s="3043">
        <v>200</v>
      </c>
      <c r="B53" s="3060">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1</v>
      </c>
      <c r="T53" s="3049">
        <f t="shared" si="4"/>
        <v>1</v>
      </c>
      <c r="U53" s="3049">
        <f t="shared" si="4"/>
        <v>1</v>
      </c>
      <c r="V53" s="3049">
        <f t="shared" si="4"/>
        <v>1</v>
      </c>
      <c r="W53" s="3049">
        <f t="shared" si="4"/>
        <v>1</v>
      </c>
      <c r="X53" s="3049">
        <f t="shared" si="4"/>
        <v>1</v>
      </c>
      <c r="Y53" s="3049">
        <f t="shared" si="4"/>
        <v>1</v>
      </c>
      <c r="Z53" s="3049">
        <f t="shared" si="4"/>
        <v>1</v>
      </c>
      <c r="AA53" s="3049">
        <f t="shared" si="4"/>
        <v>1</v>
      </c>
      <c r="AB53" s="3049">
        <f t="shared" si="4"/>
        <v>1</v>
      </c>
      <c r="AC53" s="3049">
        <f t="shared" si="4"/>
        <v>1</v>
      </c>
      <c r="AD53" s="3049">
        <f t="shared" si="4"/>
        <v>1.0000000000000002</v>
      </c>
      <c r="AE53" s="3049">
        <f t="shared" si="4"/>
        <v>1</v>
      </c>
      <c r="AF53" s="3049">
        <f t="shared" si="4"/>
        <v>1</v>
      </c>
      <c r="AG53" s="3049"/>
    </row>
    <row r="54" spans="1:33" s="3044" customFormat="1">
      <c r="A54" s="3043">
        <v>200</v>
      </c>
      <c r="B54" s="3060">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1</v>
      </c>
      <c r="T54" s="3049">
        <f t="shared" si="5"/>
        <v>1</v>
      </c>
      <c r="U54" s="3049">
        <f t="shared" si="5"/>
        <v>1</v>
      </c>
      <c r="V54" s="3049">
        <f t="shared" si="5"/>
        <v>1</v>
      </c>
      <c r="W54" s="3049">
        <f t="shared" si="5"/>
        <v>1</v>
      </c>
      <c r="X54" s="3049">
        <f t="shared" si="5"/>
        <v>1</v>
      </c>
      <c r="Y54" s="3049">
        <f t="shared" si="5"/>
        <v>1</v>
      </c>
      <c r="Z54" s="3049">
        <f t="shared" si="5"/>
        <v>1</v>
      </c>
      <c r="AA54" s="3049">
        <f t="shared" si="5"/>
        <v>1</v>
      </c>
      <c r="AB54" s="3049">
        <f t="shared" si="5"/>
        <v>1</v>
      </c>
      <c r="AC54" s="3049">
        <f t="shared" si="5"/>
        <v>1</v>
      </c>
      <c r="AD54" s="3049">
        <f t="shared" si="5"/>
        <v>1.0000000000000002</v>
      </c>
      <c r="AE54" s="3049">
        <f t="shared" si="5"/>
        <v>1</v>
      </c>
      <c r="AF54" s="3049">
        <f t="shared" si="5"/>
        <v>1</v>
      </c>
      <c r="AG54" s="3049"/>
    </row>
    <row r="55" spans="1:33" s="3044" customFormat="1">
      <c r="A55" s="3043">
        <v>200</v>
      </c>
      <c r="B55" s="3060">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1</v>
      </c>
      <c r="T55" s="3049">
        <f t="shared" si="5"/>
        <v>1</v>
      </c>
      <c r="U55" s="3049">
        <f t="shared" si="5"/>
        <v>1</v>
      </c>
      <c r="V55" s="3049">
        <f t="shared" si="5"/>
        <v>1</v>
      </c>
      <c r="W55" s="3049">
        <f t="shared" si="5"/>
        <v>1</v>
      </c>
      <c r="X55" s="3049">
        <f t="shared" si="5"/>
        <v>1</v>
      </c>
      <c r="Y55" s="3049">
        <f t="shared" si="5"/>
        <v>1</v>
      </c>
      <c r="Z55" s="3049">
        <f t="shared" si="5"/>
        <v>1</v>
      </c>
      <c r="AA55" s="3049">
        <f t="shared" si="5"/>
        <v>1</v>
      </c>
      <c r="AB55" s="3049">
        <f t="shared" si="5"/>
        <v>1</v>
      </c>
      <c r="AC55" s="3049">
        <f t="shared" si="5"/>
        <v>1</v>
      </c>
      <c r="AD55" s="3049">
        <f t="shared" si="5"/>
        <v>1.0000000000000002</v>
      </c>
      <c r="AE55" s="3049">
        <f t="shared" si="5"/>
        <v>1</v>
      </c>
      <c r="AF55" s="3049">
        <f t="shared" si="5"/>
        <v>1</v>
      </c>
      <c r="AG55" s="3049"/>
    </row>
    <row r="56" spans="1:33" s="3044" customFormat="1">
      <c r="A56" s="3043">
        <v>200</v>
      </c>
      <c r="B56" s="3060">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1</v>
      </c>
      <c r="T56" s="3049">
        <f t="shared" si="5"/>
        <v>1</v>
      </c>
      <c r="U56" s="3049">
        <f t="shared" si="5"/>
        <v>1</v>
      </c>
      <c r="V56" s="3049">
        <f t="shared" si="5"/>
        <v>1</v>
      </c>
      <c r="W56" s="3049">
        <f t="shared" si="5"/>
        <v>1</v>
      </c>
      <c r="X56" s="3049">
        <f t="shared" si="5"/>
        <v>1</v>
      </c>
      <c r="Y56" s="3049">
        <f t="shared" si="5"/>
        <v>1</v>
      </c>
      <c r="Z56" s="3049">
        <f t="shared" si="5"/>
        <v>1</v>
      </c>
      <c r="AA56" s="3049">
        <f t="shared" si="5"/>
        <v>1</v>
      </c>
      <c r="AB56" s="3049">
        <f t="shared" si="5"/>
        <v>1</v>
      </c>
      <c r="AC56" s="3049">
        <f t="shared" si="5"/>
        <v>1</v>
      </c>
      <c r="AD56" s="3049">
        <f t="shared" si="5"/>
        <v>1.0000000000000002</v>
      </c>
      <c r="AE56" s="3049">
        <f t="shared" si="5"/>
        <v>1</v>
      </c>
      <c r="AF56" s="3049">
        <f t="shared" si="5"/>
        <v>1</v>
      </c>
      <c r="AG56" s="3049"/>
    </row>
    <row r="57" spans="1:33" s="3044" customFormat="1">
      <c r="A57" s="3043">
        <v>200</v>
      </c>
      <c r="B57" s="3060">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1</v>
      </c>
      <c r="T57" s="3049">
        <f t="shared" si="5"/>
        <v>1</v>
      </c>
      <c r="U57" s="3049">
        <f t="shared" si="5"/>
        <v>1</v>
      </c>
      <c r="V57" s="3049">
        <f t="shared" si="5"/>
        <v>1</v>
      </c>
      <c r="W57" s="3049">
        <f t="shared" si="5"/>
        <v>1</v>
      </c>
      <c r="X57" s="3049">
        <f t="shared" si="5"/>
        <v>1</v>
      </c>
      <c r="Y57" s="3049">
        <f t="shared" si="5"/>
        <v>1</v>
      </c>
      <c r="Z57" s="3049">
        <f t="shared" si="5"/>
        <v>1</v>
      </c>
      <c r="AA57" s="3049">
        <f t="shared" si="5"/>
        <v>1</v>
      </c>
      <c r="AB57" s="3049">
        <f t="shared" si="5"/>
        <v>1</v>
      </c>
      <c r="AC57" s="3049">
        <f t="shared" si="5"/>
        <v>1</v>
      </c>
      <c r="AD57" s="3049">
        <f t="shared" si="5"/>
        <v>1.0000000000000002</v>
      </c>
      <c r="AE57" s="3049">
        <f t="shared" si="5"/>
        <v>1</v>
      </c>
      <c r="AF57" s="3049">
        <f t="shared" si="5"/>
        <v>1</v>
      </c>
      <c r="AG57" s="3049"/>
    </row>
    <row r="58" spans="1:33" s="3044" customFormat="1">
      <c r="A58" s="3043">
        <v>200</v>
      </c>
      <c r="B58" s="3060">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1</v>
      </c>
      <c r="T58" s="3049">
        <f t="shared" si="5"/>
        <v>1</v>
      </c>
      <c r="U58" s="3049">
        <f t="shared" si="5"/>
        <v>1</v>
      </c>
      <c r="V58" s="3049">
        <f t="shared" si="5"/>
        <v>1</v>
      </c>
      <c r="W58" s="3049">
        <f t="shared" si="5"/>
        <v>1</v>
      </c>
      <c r="X58" s="3049">
        <f t="shared" si="5"/>
        <v>1</v>
      </c>
      <c r="Y58" s="3049">
        <f t="shared" si="5"/>
        <v>1</v>
      </c>
      <c r="Z58" s="3049">
        <f t="shared" si="5"/>
        <v>1</v>
      </c>
      <c r="AA58" s="3049">
        <f t="shared" si="5"/>
        <v>1</v>
      </c>
      <c r="AB58" s="3049">
        <f t="shared" si="5"/>
        <v>1</v>
      </c>
      <c r="AC58" s="3049">
        <f t="shared" si="5"/>
        <v>1</v>
      </c>
      <c r="AD58" s="3049">
        <f t="shared" si="5"/>
        <v>1.0000000000000002</v>
      </c>
      <c r="AE58" s="3049">
        <f t="shared" si="5"/>
        <v>1</v>
      </c>
      <c r="AF58" s="3049">
        <f t="shared" si="5"/>
        <v>1</v>
      </c>
      <c r="AG58" s="3049"/>
    </row>
    <row r="59" spans="1:33" s="3044" customFormat="1">
      <c r="A59" s="3043">
        <v>200</v>
      </c>
      <c r="B59" s="3060">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1</v>
      </c>
      <c r="T59" s="3049">
        <f t="shared" si="5"/>
        <v>1</v>
      </c>
      <c r="U59" s="3049">
        <f t="shared" si="5"/>
        <v>1</v>
      </c>
      <c r="V59" s="3049">
        <f t="shared" si="5"/>
        <v>1</v>
      </c>
      <c r="W59" s="3049">
        <f t="shared" si="5"/>
        <v>1</v>
      </c>
      <c r="X59" s="3049">
        <f t="shared" si="5"/>
        <v>1</v>
      </c>
      <c r="Y59" s="3049">
        <f t="shared" si="5"/>
        <v>1</v>
      </c>
      <c r="Z59" s="3049">
        <f t="shared" si="5"/>
        <v>1</v>
      </c>
      <c r="AA59" s="3049">
        <f t="shared" si="5"/>
        <v>1</v>
      </c>
      <c r="AB59" s="3049">
        <f t="shared" si="5"/>
        <v>1</v>
      </c>
      <c r="AC59" s="3049">
        <f t="shared" si="5"/>
        <v>1</v>
      </c>
      <c r="AD59" s="3049">
        <f t="shared" si="5"/>
        <v>1.0000000000000002</v>
      </c>
      <c r="AE59" s="3049">
        <f t="shared" si="5"/>
        <v>1</v>
      </c>
      <c r="AF59" s="3049">
        <f t="shared" si="5"/>
        <v>1</v>
      </c>
      <c r="AG59" s="3049"/>
    </row>
    <row r="60" spans="1:33" s="3044" customFormat="1">
      <c r="A60" s="3043">
        <v>200</v>
      </c>
      <c r="B60" s="3060">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1</v>
      </c>
      <c r="T60" s="3049">
        <f t="shared" si="5"/>
        <v>1</v>
      </c>
      <c r="U60" s="3049">
        <f t="shared" si="5"/>
        <v>1</v>
      </c>
      <c r="V60" s="3049">
        <f t="shared" si="5"/>
        <v>1</v>
      </c>
      <c r="W60" s="3049">
        <f t="shared" si="5"/>
        <v>1</v>
      </c>
      <c r="X60" s="3049">
        <f t="shared" si="5"/>
        <v>1</v>
      </c>
      <c r="Y60" s="3049">
        <f t="shared" si="5"/>
        <v>1</v>
      </c>
      <c r="Z60" s="3049">
        <f t="shared" si="5"/>
        <v>1</v>
      </c>
      <c r="AA60" s="3049">
        <f t="shared" si="5"/>
        <v>1</v>
      </c>
      <c r="AB60" s="3049">
        <f t="shared" si="5"/>
        <v>1</v>
      </c>
      <c r="AC60" s="3049">
        <f t="shared" si="5"/>
        <v>1</v>
      </c>
      <c r="AD60" s="3049">
        <f t="shared" si="5"/>
        <v>1.0000000000000002</v>
      </c>
      <c r="AE60" s="3049">
        <f t="shared" si="5"/>
        <v>1</v>
      </c>
      <c r="AF60" s="3049">
        <f t="shared" si="5"/>
        <v>1</v>
      </c>
      <c r="AG60" s="3049"/>
    </row>
    <row r="61" spans="1:33" s="3044" customFormat="1">
      <c r="A61" s="3043">
        <v>200</v>
      </c>
      <c r="B61" s="3060">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1</v>
      </c>
      <c r="T61" s="3049">
        <f t="shared" si="5"/>
        <v>1</v>
      </c>
      <c r="U61" s="3049">
        <f t="shared" si="5"/>
        <v>1</v>
      </c>
      <c r="V61" s="3049">
        <f t="shared" si="5"/>
        <v>1</v>
      </c>
      <c r="W61" s="3049">
        <f t="shared" si="5"/>
        <v>1</v>
      </c>
      <c r="X61" s="3049">
        <f t="shared" si="5"/>
        <v>1</v>
      </c>
      <c r="Y61" s="3049">
        <f t="shared" si="5"/>
        <v>1</v>
      </c>
      <c r="Z61" s="3049">
        <f t="shared" si="5"/>
        <v>1</v>
      </c>
      <c r="AA61" s="3049">
        <f t="shared" si="5"/>
        <v>1</v>
      </c>
      <c r="AB61" s="3049">
        <f t="shared" si="5"/>
        <v>1</v>
      </c>
      <c r="AC61" s="3049">
        <f t="shared" si="5"/>
        <v>1</v>
      </c>
      <c r="AD61" s="3049">
        <f t="shared" si="5"/>
        <v>1.0000000000000002</v>
      </c>
      <c r="AE61" s="3049">
        <f t="shared" si="5"/>
        <v>1</v>
      </c>
      <c r="AF61" s="3049">
        <f t="shared" si="5"/>
        <v>1</v>
      </c>
      <c r="AG61" s="3049"/>
    </row>
    <row r="62" spans="1:33" s="3044" customFormat="1">
      <c r="A62" s="3043">
        <v>200</v>
      </c>
      <c r="B62" s="3060">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1</v>
      </c>
      <c r="T62" s="3049">
        <f t="shared" si="5"/>
        <v>1</v>
      </c>
      <c r="U62" s="3049">
        <f t="shared" si="5"/>
        <v>1</v>
      </c>
      <c r="V62" s="3049">
        <f t="shared" si="5"/>
        <v>1</v>
      </c>
      <c r="W62" s="3049">
        <f t="shared" si="5"/>
        <v>1</v>
      </c>
      <c r="X62" s="3049">
        <f t="shared" si="5"/>
        <v>1</v>
      </c>
      <c r="Y62" s="3049">
        <f t="shared" si="5"/>
        <v>1</v>
      </c>
      <c r="Z62" s="3049">
        <f t="shared" si="5"/>
        <v>1</v>
      </c>
      <c r="AA62" s="3049">
        <f t="shared" si="5"/>
        <v>1</v>
      </c>
      <c r="AB62" s="3049">
        <f t="shared" si="5"/>
        <v>1</v>
      </c>
      <c r="AC62" s="3049">
        <f t="shared" si="5"/>
        <v>1</v>
      </c>
      <c r="AD62" s="3049">
        <f t="shared" si="5"/>
        <v>1.0000000000000002</v>
      </c>
      <c r="AE62" s="3049">
        <f t="shared" si="5"/>
        <v>1</v>
      </c>
      <c r="AF62" s="3049">
        <f t="shared" si="5"/>
        <v>1</v>
      </c>
      <c r="AG62" s="3049"/>
    </row>
    <row r="63" spans="1:33" s="3044" customFormat="1">
      <c r="A63" s="3043">
        <v>200</v>
      </c>
      <c r="B63" s="3060">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1</v>
      </c>
      <c r="T63" s="3049">
        <f t="shared" si="5"/>
        <v>1</v>
      </c>
      <c r="U63" s="3049">
        <f t="shared" si="5"/>
        <v>1</v>
      </c>
      <c r="V63" s="3049">
        <f t="shared" si="5"/>
        <v>1</v>
      </c>
      <c r="W63" s="3049">
        <f t="shared" si="5"/>
        <v>1</v>
      </c>
      <c r="X63" s="3049">
        <f t="shared" si="5"/>
        <v>1</v>
      </c>
      <c r="Y63" s="3049">
        <f t="shared" si="5"/>
        <v>1</v>
      </c>
      <c r="Z63" s="3049">
        <f t="shared" si="5"/>
        <v>1</v>
      </c>
      <c r="AA63" s="3049">
        <f t="shared" si="5"/>
        <v>1</v>
      </c>
      <c r="AB63" s="3049">
        <f t="shared" si="5"/>
        <v>1</v>
      </c>
      <c r="AC63" s="3049">
        <f t="shared" si="5"/>
        <v>1</v>
      </c>
      <c r="AD63" s="3049">
        <f t="shared" si="5"/>
        <v>1.0000000000000002</v>
      </c>
      <c r="AE63" s="3049">
        <f t="shared" si="5"/>
        <v>1</v>
      </c>
      <c r="AF63" s="3049">
        <f t="shared" si="5"/>
        <v>1</v>
      </c>
      <c r="AG63" s="3049"/>
    </row>
    <row r="64" spans="1:33" s="3044" customFormat="1">
      <c r="A64" s="3043">
        <v>200</v>
      </c>
      <c r="B64" s="3060">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1</v>
      </c>
      <c r="T64" s="3049">
        <f t="shared" si="5"/>
        <v>1</v>
      </c>
      <c r="U64" s="3049">
        <f t="shared" si="5"/>
        <v>1</v>
      </c>
      <c r="V64" s="3049">
        <f t="shared" si="5"/>
        <v>1</v>
      </c>
      <c r="W64" s="3049">
        <f t="shared" si="5"/>
        <v>1</v>
      </c>
      <c r="X64" s="3049">
        <f t="shared" si="5"/>
        <v>1</v>
      </c>
      <c r="Y64" s="3049">
        <f t="shared" si="5"/>
        <v>1</v>
      </c>
      <c r="Z64" s="3049">
        <f t="shared" si="5"/>
        <v>1</v>
      </c>
      <c r="AA64" s="3049">
        <f t="shared" si="5"/>
        <v>1</v>
      </c>
      <c r="AB64" s="3049">
        <f t="shared" si="5"/>
        <v>1</v>
      </c>
      <c r="AC64" s="3049">
        <f t="shared" si="5"/>
        <v>1</v>
      </c>
      <c r="AD64" s="3049">
        <f t="shared" si="5"/>
        <v>1.0000000000000002</v>
      </c>
      <c r="AE64" s="3049">
        <f t="shared" si="5"/>
        <v>1</v>
      </c>
      <c r="AF64" s="3049">
        <f t="shared" si="5"/>
        <v>1</v>
      </c>
      <c r="AG64" s="3049"/>
    </row>
    <row r="65" spans="1:33" s="3044" customFormat="1">
      <c r="A65" s="3043">
        <v>200</v>
      </c>
      <c r="B65" s="3060">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1</v>
      </c>
      <c r="T65" s="3049">
        <f t="shared" si="5"/>
        <v>1</v>
      </c>
      <c r="U65" s="3049">
        <f t="shared" si="5"/>
        <v>1</v>
      </c>
      <c r="V65" s="3049">
        <f t="shared" si="5"/>
        <v>1</v>
      </c>
      <c r="W65" s="3049">
        <f t="shared" si="5"/>
        <v>1</v>
      </c>
      <c r="X65" s="3049">
        <f t="shared" si="5"/>
        <v>1</v>
      </c>
      <c r="Y65" s="3049">
        <f t="shared" si="5"/>
        <v>1</v>
      </c>
      <c r="Z65" s="3049">
        <f t="shared" si="5"/>
        <v>1</v>
      </c>
      <c r="AA65" s="3049">
        <f t="shared" si="5"/>
        <v>1</v>
      </c>
      <c r="AB65" s="3049">
        <f t="shared" si="5"/>
        <v>1</v>
      </c>
      <c r="AC65" s="3049">
        <f t="shared" si="5"/>
        <v>1</v>
      </c>
      <c r="AD65" s="3049">
        <f t="shared" si="5"/>
        <v>1.0000000000000002</v>
      </c>
      <c r="AE65" s="3049">
        <f t="shared" si="5"/>
        <v>1</v>
      </c>
      <c r="AF65" s="3049">
        <f t="shared" si="5"/>
        <v>1</v>
      </c>
      <c r="AG65" s="3049"/>
    </row>
    <row r="66" spans="1:33" s="3044" customFormat="1">
      <c r="A66" s="3043">
        <v>200</v>
      </c>
      <c r="B66" s="3060">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1</v>
      </c>
      <c r="T66" s="3049">
        <f t="shared" si="5"/>
        <v>1</v>
      </c>
      <c r="U66" s="3049">
        <f t="shared" si="5"/>
        <v>1</v>
      </c>
      <c r="V66" s="3049">
        <f t="shared" si="5"/>
        <v>1</v>
      </c>
      <c r="W66" s="3049">
        <f t="shared" si="5"/>
        <v>1</v>
      </c>
      <c r="X66" s="3049">
        <f t="shared" si="5"/>
        <v>1</v>
      </c>
      <c r="Y66" s="3049">
        <f t="shared" si="5"/>
        <v>1</v>
      </c>
      <c r="Z66" s="3049">
        <f t="shared" si="5"/>
        <v>1</v>
      </c>
      <c r="AA66" s="3049">
        <f t="shared" si="5"/>
        <v>1</v>
      </c>
      <c r="AB66" s="3049">
        <f t="shared" si="5"/>
        <v>1</v>
      </c>
      <c r="AC66" s="3049">
        <f t="shared" si="5"/>
        <v>1</v>
      </c>
      <c r="AD66" s="3049">
        <f t="shared" si="5"/>
        <v>1.0000000000000002</v>
      </c>
      <c r="AE66" s="3049">
        <f t="shared" si="5"/>
        <v>1</v>
      </c>
      <c r="AF66" s="3049">
        <f t="shared" si="5"/>
        <v>1</v>
      </c>
      <c r="AG66" s="3049"/>
    </row>
    <row r="67" spans="1:33" s="3044" customFormat="1">
      <c r="A67" s="3043">
        <v>200</v>
      </c>
      <c r="B67" s="3060">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1</v>
      </c>
      <c r="T67" s="3049">
        <f t="shared" si="5"/>
        <v>1</v>
      </c>
      <c r="U67" s="3049">
        <f t="shared" si="5"/>
        <v>1</v>
      </c>
      <c r="V67" s="3049">
        <f t="shared" si="5"/>
        <v>1</v>
      </c>
      <c r="W67" s="3049">
        <f t="shared" si="5"/>
        <v>1</v>
      </c>
      <c r="X67" s="3049">
        <f t="shared" si="5"/>
        <v>1</v>
      </c>
      <c r="Y67" s="3049">
        <f t="shared" si="5"/>
        <v>1</v>
      </c>
      <c r="Z67" s="3049">
        <f t="shared" si="5"/>
        <v>1</v>
      </c>
      <c r="AA67" s="3049">
        <f t="shared" si="5"/>
        <v>1</v>
      </c>
      <c r="AB67" s="3049">
        <f t="shared" si="5"/>
        <v>1</v>
      </c>
      <c r="AC67" s="3049">
        <f t="shared" si="5"/>
        <v>1</v>
      </c>
      <c r="AD67" s="3049">
        <f t="shared" si="5"/>
        <v>1.0000000000000002</v>
      </c>
      <c r="AE67" s="3049">
        <f t="shared" si="5"/>
        <v>1</v>
      </c>
      <c r="AF67" s="3049">
        <f t="shared" si="5"/>
        <v>1</v>
      </c>
      <c r="AG67" s="3049"/>
    </row>
    <row r="68" spans="1:33" s="3044" customFormat="1">
      <c r="A68" s="3043">
        <v>200</v>
      </c>
      <c r="B68" s="3060">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1</v>
      </c>
      <c r="T68" s="3049">
        <f t="shared" si="5"/>
        <v>1</v>
      </c>
      <c r="U68" s="3049">
        <f t="shared" si="5"/>
        <v>1</v>
      </c>
      <c r="V68" s="3049">
        <f t="shared" si="5"/>
        <v>1</v>
      </c>
      <c r="W68" s="3049">
        <f t="shared" si="5"/>
        <v>1</v>
      </c>
      <c r="X68" s="3049">
        <f t="shared" si="5"/>
        <v>1</v>
      </c>
      <c r="Y68" s="3049">
        <f t="shared" si="5"/>
        <v>1</v>
      </c>
      <c r="Z68" s="3049">
        <f t="shared" si="5"/>
        <v>1</v>
      </c>
      <c r="AA68" s="3049">
        <f t="shared" si="5"/>
        <v>1</v>
      </c>
      <c r="AB68" s="3049">
        <f t="shared" si="5"/>
        <v>1</v>
      </c>
      <c r="AC68" s="3049">
        <f t="shared" si="5"/>
        <v>1</v>
      </c>
      <c r="AD68" s="3049">
        <f t="shared" si="5"/>
        <v>1.0000000000000002</v>
      </c>
      <c r="AE68" s="3049">
        <f t="shared" si="5"/>
        <v>1</v>
      </c>
      <c r="AF68" s="3049">
        <f t="shared" si="5"/>
        <v>1</v>
      </c>
      <c r="AG68" s="3049"/>
    </row>
    <row r="69" spans="1:33" s="3044" customFormat="1">
      <c r="A69" s="3043">
        <v>200</v>
      </c>
      <c r="B69" s="3060">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1</v>
      </c>
      <c r="T69" s="3049">
        <f t="shared" si="5"/>
        <v>1</v>
      </c>
      <c r="U69" s="3049">
        <f t="shared" si="5"/>
        <v>1</v>
      </c>
      <c r="V69" s="3049">
        <f t="shared" si="5"/>
        <v>1</v>
      </c>
      <c r="W69" s="3049">
        <f t="shared" si="5"/>
        <v>1</v>
      </c>
      <c r="X69" s="3049">
        <f t="shared" si="5"/>
        <v>1</v>
      </c>
      <c r="Y69" s="3049">
        <f t="shared" si="5"/>
        <v>1</v>
      </c>
      <c r="Z69" s="3049">
        <f t="shared" si="5"/>
        <v>1</v>
      </c>
      <c r="AA69" s="3049">
        <f t="shared" si="5"/>
        <v>1</v>
      </c>
      <c r="AB69" s="3049">
        <f t="shared" si="5"/>
        <v>1</v>
      </c>
      <c r="AC69" s="3049">
        <f t="shared" si="5"/>
        <v>1</v>
      </c>
      <c r="AD69" s="3049">
        <f t="shared" si="5"/>
        <v>1.0000000000000002</v>
      </c>
      <c r="AE69" s="3049">
        <f t="shared" si="5"/>
        <v>1</v>
      </c>
      <c r="AF69" s="3049">
        <f t="shared" si="5"/>
        <v>1</v>
      </c>
      <c r="AG69" s="3049"/>
    </row>
    <row r="70" spans="1:33" s="3044" customFormat="1">
      <c r="A70" s="3043">
        <v>200</v>
      </c>
      <c r="B70" s="3060">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1</v>
      </c>
      <c r="T70" s="3049">
        <f t="shared" si="6"/>
        <v>1</v>
      </c>
      <c r="U70" s="3049">
        <f t="shared" si="6"/>
        <v>1</v>
      </c>
      <c r="V70" s="3049">
        <f t="shared" si="6"/>
        <v>1</v>
      </c>
      <c r="W70" s="3049">
        <f t="shared" si="6"/>
        <v>1</v>
      </c>
      <c r="X70" s="3049">
        <f t="shared" si="6"/>
        <v>1</v>
      </c>
      <c r="Y70" s="3049">
        <f t="shared" si="6"/>
        <v>1</v>
      </c>
      <c r="Z70" s="3049">
        <f t="shared" si="6"/>
        <v>1</v>
      </c>
      <c r="AA70" s="3049">
        <f t="shared" si="6"/>
        <v>1</v>
      </c>
      <c r="AB70" s="3049">
        <f t="shared" si="6"/>
        <v>1</v>
      </c>
      <c r="AC70" s="3049">
        <f t="shared" si="6"/>
        <v>1</v>
      </c>
      <c r="AD70" s="3049">
        <f t="shared" si="6"/>
        <v>1.0000000000000002</v>
      </c>
      <c r="AE70" s="3049">
        <f t="shared" si="6"/>
        <v>1</v>
      </c>
      <c r="AF70" s="3049">
        <f t="shared" si="6"/>
        <v>1</v>
      </c>
      <c r="AG70" s="3049"/>
    </row>
    <row r="71" spans="1:33" s="3044" customFormat="1">
      <c r="A71" s="3043">
        <v>200</v>
      </c>
      <c r="B71" s="3060">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1</v>
      </c>
      <c r="T71" s="3049">
        <f t="shared" si="6"/>
        <v>1</v>
      </c>
      <c r="U71" s="3049">
        <f t="shared" si="6"/>
        <v>1</v>
      </c>
      <c r="V71" s="3049">
        <f t="shared" si="6"/>
        <v>1</v>
      </c>
      <c r="W71" s="3049">
        <f t="shared" si="6"/>
        <v>1</v>
      </c>
      <c r="X71" s="3049">
        <f t="shared" si="6"/>
        <v>1</v>
      </c>
      <c r="Y71" s="3049">
        <f t="shared" si="6"/>
        <v>1</v>
      </c>
      <c r="Z71" s="3049">
        <f t="shared" si="6"/>
        <v>1</v>
      </c>
      <c r="AA71" s="3049">
        <f t="shared" si="6"/>
        <v>1</v>
      </c>
      <c r="AB71" s="3049">
        <f t="shared" si="6"/>
        <v>1</v>
      </c>
      <c r="AC71" s="3049">
        <f t="shared" si="6"/>
        <v>1</v>
      </c>
      <c r="AD71" s="3049">
        <f t="shared" si="6"/>
        <v>1.0000000000000002</v>
      </c>
      <c r="AE71" s="3049">
        <f t="shared" si="6"/>
        <v>1</v>
      </c>
      <c r="AF71" s="3049">
        <f t="shared" si="6"/>
        <v>1</v>
      </c>
      <c r="AG71" s="3049"/>
    </row>
    <row r="72" spans="1:33" s="3044" customFormat="1">
      <c r="A72" s="3043">
        <v>200</v>
      </c>
      <c r="B72" s="3060">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1</v>
      </c>
      <c r="T72" s="3049">
        <f t="shared" si="6"/>
        <v>1</v>
      </c>
      <c r="U72" s="3049">
        <f t="shared" si="6"/>
        <v>1</v>
      </c>
      <c r="V72" s="3049">
        <f t="shared" si="6"/>
        <v>1</v>
      </c>
      <c r="W72" s="3049">
        <f t="shared" si="6"/>
        <v>1</v>
      </c>
      <c r="X72" s="3049">
        <f t="shared" si="6"/>
        <v>1</v>
      </c>
      <c r="Y72" s="3049">
        <f t="shared" si="6"/>
        <v>1</v>
      </c>
      <c r="Z72" s="3049">
        <f t="shared" si="6"/>
        <v>1</v>
      </c>
      <c r="AA72" s="3049">
        <f t="shared" si="6"/>
        <v>1</v>
      </c>
      <c r="AB72" s="3049">
        <f t="shared" si="6"/>
        <v>1</v>
      </c>
      <c r="AC72" s="3049">
        <f t="shared" si="6"/>
        <v>1</v>
      </c>
      <c r="AD72" s="3049">
        <f t="shared" si="6"/>
        <v>1.0000000000000002</v>
      </c>
      <c r="AE72" s="3049">
        <f t="shared" si="6"/>
        <v>1</v>
      </c>
      <c r="AF72" s="3049">
        <f t="shared" si="6"/>
        <v>1</v>
      </c>
      <c r="AG72" s="3049"/>
    </row>
    <row r="73" spans="1:33" s="3044" customFormat="1">
      <c r="A73" s="3043">
        <v>200</v>
      </c>
      <c r="B73" s="3060">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1</v>
      </c>
      <c r="T73" s="3049">
        <f t="shared" si="6"/>
        <v>1</v>
      </c>
      <c r="U73" s="3049">
        <f t="shared" si="6"/>
        <v>1</v>
      </c>
      <c r="V73" s="3049">
        <f t="shared" si="6"/>
        <v>1</v>
      </c>
      <c r="W73" s="3049">
        <f t="shared" si="6"/>
        <v>1</v>
      </c>
      <c r="X73" s="3049">
        <f t="shared" si="6"/>
        <v>1</v>
      </c>
      <c r="Y73" s="3049">
        <f t="shared" si="6"/>
        <v>1</v>
      </c>
      <c r="Z73" s="3049">
        <f t="shared" si="6"/>
        <v>1</v>
      </c>
      <c r="AA73" s="3049">
        <f t="shared" si="6"/>
        <v>1</v>
      </c>
      <c r="AB73" s="3049">
        <f t="shared" si="6"/>
        <v>1</v>
      </c>
      <c r="AC73" s="3049">
        <f t="shared" si="6"/>
        <v>1</v>
      </c>
      <c r="AD73" s="3049">
        <f t="shared" si="6"/>
        <v>1.0000000000000002</v>
      </c>
      <c r="AE73" s="3049">
        <f t="shared" si="6"/>
        <v>1</v>
      </c>
      <c r="AF73" s="3049">
        <f t="shared" si="6"/>
        <v>1</v>
      </c>
      <c r="AG73" s="3049"/>
    </row>
    <row r="74" spans="1:33" s="3044" customFormat="1">
      <c r="A74" s="3043">
        <v>200</v>
      </c>
      <c r="B74" s="3060">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1</v>
      </c>
      <c r="T74" s="3049">
        <f t="shared" si="6"/>
        <v>1</v>
      </c>
      <c r="U74" s="3049">
        <f t="shared" si="6"/>
        <v>1</v>
      </c>
      <c r="V74" s="3049">
        <f t="shared" si="6"/>
        <v>1</v>
      </c>
      <c r="W74" s="3049">
        <f t="shared" si="6"/>
        <v>1</v>
      </c>
      <c r="X74" s="3049">
        <f t="shared" si="6"/>
        <v>1</v>
      </c>
      <c r="Y74" s="3049">
        <f t="shared" si="6"/>
        <v>1</v>
      </c>
      <c r="Z74" s="3049">
        <f t="shared" si="6"/>
        <v>1</v>
      </c>
      <c r="AA74" s="3049">
        <f t="shared" si="6"/>
        <v>1</v>
      </c>
      <c r="AB74" s="3049">
        <f t="shared" si="6"/>
        <v>1</v>
      </c>
      <c r="AC74" s="3049">
        <f t="shared" si="6"/>
        <v>1</v>
      </c>
      <c r="AD74" s="3049">
        <f t="shared" si="6"/>
        <v>1.0000000000000002</v>
      </c>
      <c r="AE74" s="3049">
        <f t="shared" si="6"/>
        <v>1</v>
      </c>
      <c r="AF74" s="3049">
        <f t="shared" si="6"/>
        <v>1</v>
      </c>
      <c r="AG74" s="3049"/>
    </row>
    <row r="75" spans="1:33" s="3044" customFormat="1">
      <c r="A75" s="3043">
        <v>200</v>
      </c>
      <c r="B75" s="3060">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1</v>
      </c>
      <c r="T75" s="3049">
        <f t="shared" si="6"/>
        <v>1</v>
      </c>
      <c r="U75" s="3049">
        <f t="shared" si="6"/>
        <v>1</v>
      </c>
      <c r="V75" s="3049">
        <f t="shared" si="6"/>
        <v>1</v>
      </c>
      <c r="W75" s="3049">
        <f t="shared" si="6"/>
        <v>1</v>
      </c>
      <c r="X75" s="3049">
        <f t="shared" si="6"/>
        <v>1</v>
      </c>
      <c r="Y75" s="3049">
        <f t="shared" si="6"/>
        <v>1</v>
      </c>
      <c r="Z75" s="3049">
        <f t="shared" si="6"/>
        <v>1</v>
      </c>
      <c r="AA75" s="3049">
        <f t="shared" si="6"/>
        <v>1</v>
      </c>
      <c r="AB75" s="3049">
        <f t="shared" si="6"/>
        <v>1</v>
      </c>
      <c r="AC75" s="3049">
        <f t="shared" si="6"/>
        <v>1</v>
      </c>
      <c r="AD75" s="3049">
        <f t="shared" si="6"/>
        <v>1.0000000000000002</v>
      </c>
      <c r="AE75" s="3049">
        <f t="shared" si="6"/>
        <v>1</v>
      </c>
      <c r="AF75" s="3049">
        <f t="shared" si="6"/>
        <v>1</v>
      </c>
      <c r="AG75" s="3049"/>
    </row>
    <row r="76" spans="1:33" s="3044" customFormat="1">
      <c r="A76" s="3043">
        <v>200</v>
      </c>
      <c r="B76" s="3060">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1</v>
      </c>
      <c r="T76" s="3049">
        <f t="shared" si="6"/>
        <v>1</v>
      </c>
      <c r="U76" s="3049">
        <f t="shared" si="6"/>
        <v>1</v>
      </c>
      <c r="V76" s="3049">
        <f t="shared" si="6"/>
        <v>1</v>
      </c>
      <c r="W76" s="3049">
        <f t="shared" si="6"/>
        <v>1</v>
      </c>
      <c r="X76" s="3049">
        <f t="shared" si="6"/>
        <v>1</v>
      </c>
      <c r="Y76" s="3049">
        <f t="shared" si="6"/>
        <v>1</v>
      </c>
      <c r="Z76" s="3049">
        <f t="shared" si="6"/>
        <v>1</v>
      </c>
      <c r="AA76" s="3049">
        <f t="shared" si="6"/>
        <v>1</v>
      </c>
      <c r="AB76" s="3049">
        <f t="shared" si="6"/>
        <v>1</v>
      </c>
      <c r="AC76" s="3049">
        <f t="shared" si="6"/>
        <v>1</v>
      </c>
      <c r="AD76" s="3049">
        <f t="shared" si="6"/>
        <v>1.0000000000000002</v>
      </c>
      <c r="AE76" s="3049">
        <f t="shared" si="6"/>
        <v>1</v>
      </c>
      <c r="AF76" s="3049">
        <f t="shared" si="6"/>
        <v>1</v>
      </c>
      <c r="AG76" s="3049"/>
    </row>
    <row r="77" spans="1:33" s="3044" customFormat="1">
      <c r="A77" s="3043">
        <v>200</v>
      </c>
      <c r="B77" s="3060">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1</v>
      </c>
      <c r="T77" s="3049">
        <f t="shared" si="6"/>
        <v>1</v>
      </c>
      <c r="U77" s="3049">
        <f t="shared" si="6"/>
        <v>1</v>
      </c>
      <c r="V77" s="3049">
        <f t="shared" si="6"/>
        <v>1</v>
      </c>
      <c r="W77" s="3049">
        <f t="shared" si="6"/>
        <v>1</v>
      </c>
      <c r="X77" s="3049">
        <f t="shared" si="6"/>
        <v>1</v>
      </c>
      <c r="Y77" s="3049">
        <f t="shared" si="6"/>
        <v>1</v>
      </c>
      <c r="Z77" s="3049">
        <f t="shared" si="6"/>
        <v>1</v>
      </c>
      <c r="AA77" s="3049">
        <f t="shared" si="6"/>
        <v>1</v>
      </c>
      <c r="AB77" s="3049">
        <f t="shared" si="6"/>
        <v>1</v>
      </c>
      <c r="AC77" s="3049">
        <f t="shared" si="6"/>
        <v>1</v>
      </c>
      <c r="AD77" s="3049">
        <f t="shared" si="6"/>
        <v>1.0000000000000002</v>
      </c>
      <c r="AE77" s="3049">
        <f t="shared" si="6"/>
        <v>1</v>
      </c>
      <c r="AF77" s="3049">
        <f t="shared" si="6"/>
        <v>1</v>
      </c>
      <c r="AG77" s="3049"/>
    </row>
    <row r="78" spans="1:33" s="3044" customFormat="1">
      <c r="A78" s="3043">
        <v>200</v>
      </c>
      <c r="B78" s="3060">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1</v>
      </c>
      <c r="T78" s="3049">
        <f t="shared" si="6"/>
        <v>1</v>
      </c>
      <c r="U78" s="3049">
        <f t="shared" si="6"/>
        <v>1</v>
      </c>
      <c r="V78" s="3049">
        <f t="shared" si="6"/>
        <v>1</v>
      </c>
      <c r="W78" s="3049">
        <f t="shared" si="6"/>
        <v>1</v>
      </c>
      <c r="X78" s="3049">
        <f t="shared" si="6"/>
        <v>1</v>
      </c>
      <c r="Y78" s="3049">
        <f t="shared" si="6"/>
        <v>1</v>
      </c>
      <c r="Z78" s="3049">
        <f t="shared" si="6"/>
        <v>1</v>
      </c>
      <c r="AA78" s="3049">
        <f t="shared" si="6"/>
        <v>1</v>
      </c>
      <c r="AB78" s="3049">
        <f t="shared" si="6"/>
        <v>1</v>
      </c>
      <c r="AC78" s="3049">
        <f t="shared" si="6"/>
        <v>1</v>
      </c>
      <c r="AD78" s="3049">
        <f t="shared" si="6"/>
        <v>1.0000000000000002</v>
      </c>
      <c r="AE78" s="3049">
        <f t="shared" si="6"/>
        <v>1</v>
      </c>
      <c r="AF78" s="3049">
        <f t="shared" si="6"/>
        <v>1</v>
      </c>
      <c r="AG78" s="3049"/>
    </row>
    <row r="79" spans="1:33" s="3044" customFormat="1">
      <c r="A79" s="3043">
        <v>200</v>
      </c>
      <c r="B79" s="3060">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1</v>
      </c>
      <c r="T79" s="3049">
        <f t="shared" si="6"/>
        <v>1</v>
      </c>
      <c r="U79" s="3049">
        <f t="shared" si="6"/>
        <v>1</v>
      </c>
      <c r="V79" s="3049">
        <f t="shared" si="6"/>
        <v>1</v>
      </c>
      <c r="W79" s="3049">
        <f t="shared" si="6"/>
        <v>1</v>
      </c>
      <c r="X79" s="3049">
        <f t="shared" si="6"/>
        <v>1</v>
      </c>
      <c r="Y79" s="3049">
        <f t="shared" si="6"/>
        <v>1</v>
      </c>
      <c r="Z79" s="3049">
        <f t="shared" si="6"/>
        <v>1</v>
      </c>
      <c r="AA79" s="3049">
        <f t="shared" si="6"/>
        <v>1</v>
      </c>
      <c r="AB79" s="3049">
        <f t="shared" si="6"/>
        <v>1</v>
      </c>
      <c r="AC79" s="3049">
        <f t="shared" si="6"/>
        <v>1</v>
      </c>
      <c r="AD79" s="3049">
        <f t="shared" si="6"/>
        <v>1.0000000000000002</v>
      </c>
      <c r="AE79" s="3049">
        <f t="shared" si="6"/>
        <v>1</v>
      </c>
      <c r="AF79" s="3049">
        <f t="shared" si="6"/>
        <v>1</v>
      </c>
      <c r="AG79" s="3049"/>
    </row>
    <row r="80" spans="1:33" s="3044" customFormat="1">
      <c r="A80" s="3043">
        <v>200</v>
      </c>
      <c r="B80" s="3060">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1</v>
      </c>
      <c r="T80" s="3049">
        <f t="shared" si="6"/>
        <v>1</v>
      </c>
      <c r="U80" s="3049">
        <f t="shared" si="6"/>
        <v>1</v>
      </c>
      <c r="V80" s="3049">
        <f t="shared" si="6"/>
        <v>1</v>
      </c>
      <c r="W80" s="3049">
        <f t="shared" si="6"/>
        <v>1</v>
      </c>
      <c r="X80" s="3049">
        <f t="shared" si="6"/>
        <v>1</v>
      </c>
      <c r="Y80" s="3049">
        <f t="shared" si="6"/>
        <v>1</v>
      </c>
      <c r="Z80" s="3049">
        <f t="shared" si="6"/>
        <v>1</v>
      </c>
      <c r="AA80" s="3049">
        <f t="shared" si="6"/>
        <v>1</v>
      </c>
      <c r="AB80" s="3049">
        <f t="shared" si="6"/>
        <v>1</v>
      </c>
      <c r="AC80" s="3049">
        <f t="shared" si="6"/>
        <v>1</v>
      </c>
      <c r="AD80" s="3049">
        <f t="shared" si="6"/>
        <v>1.0000000000000002</v>
      </c>
      <c r="AE80" s="3049">
        <f t="shared" si="6"/>
        <v>1</v>
      </c>
      <c r="AF80" s="3049">
        <f t="shared" si="6"/>
        <v>1</v>
      </c>
      <c r="AG80" s="3049"/>
    </row>
    <row r="81" spans="1:33" s="3044" customFormat="1">
      <c r="A81" s="3043">
        <v>200</v>
      </c>
      <c r="B81" s="3060">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1</v>
      </c>
      <c r="T81" s="3049">
        <f t="shared" si="6"/>
        <v>1</v>
      </c>
      <c r="U81" s="3049">
        <f t="shared" si="6"/>
        <v>1</v>
      </c>
      <c r="V81" s="3049">
        <f t="shared" si="6"/>
        <v>1</v>
      </c>
      <c r="W81" s="3049">
        <f t="shared" si="6"/>
        <v>1</v>
      </c>
      <c r="X81" s="3049">
        <f t="shared" si="6"/>
        <v>1</v>
      </c>
      <c r="Y81" s="3049">
        <f t="shared" si="6"/>
        <v>1</v>
      </c>
      <c r="Z81" s="3049">
        <f t="shared" si="6"/>
        <v>1</v>
      </c>
      <c r="AA81" s="3049">
        <f t="shared" si="6"/>
        <v>1</v>
      </c>
      <c r="AB81" s="3049">
        <f t="shared" si="6"/>
        <v>1</v>
      </c>
      <c r="AC81" s="3049">
        <f t="shared" si="6"/>
        <v>1</v>
      </c>
      <c r="AD81" s="3049">
        <f t="shared" si="6"/>
        <v>1.0000000000000002</v>
      </c>
      <c r="AE81" s="3049">
        <f t="shared" si="6"/>
        <v>1</v>
      </c>
      <c r="AF81" s="3049">
        <f t="shared" si="6"/>
        <v>1</v>
      </c>
      <c r="AG81" s="3049"/>
    </row>
    <row r="82" spans="1:33" s="3044" customFormat="1">
      <c r="A82" s="3043">
        <v>200</v>
      </c>
      <c r="B82" s="3060">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1</v>
      </c>
      <c r="T82" s="3049">
        <f t="shared" si="6"/>
        <v>1</v>
      </c>
      <c r="U82" s="3049">
        <f t="shared" si="6"/>
        <v>1</v>
      </c>
      <c r="V82" s="3049">
        <f t="shared" si="6"/>
        <v>1</v>
      </c>
      <c r="W82" s="3049">
        <f t="shared" si="6"/>
        <v>1</v>
      </c>
      <c r="X82" s="3049">
        <f t="shared" si="6"/>
        <v>1</v>
      </c>
      <c r="Y82" s="3049">
        <f t="shared" si="6"/>
        <v>1</v>
      </c>
      <c r="Z82" s="3049">
        <f t="shared" si="6"/>
        <v>1</v>
      </c>
      <c r="AA82" s="3049">
        <f t="shared" si="6"/>
        <v>1</v>
      </c>
      <c r="AB82" s="3049">
        <f t="shared" si="6"/>
        <v>1</v>
      </c>
      <c r="AC82" s="3049">
        <f t="shared" si="6"/>
        <v>1</v>
      </c>
      <c r="AD82" s="3049">
        <f t="shared" si="6"/>
        <v>1.0000000000000002</v>
      </c>
      <c r="AE82" s="3049">
        <f t="shared" si="6"/>
        <v>1</v>
      </c>
      <c r="AF82" s="3049">
        <f t="shared" si="6"/>
        <v>1</v>
      </c>
      <c r="AG82" s="3049"/>
    </row>
    <row r="83" spans="1:33" s="3044" customFormat="1">
      <c r="A83" s="3043">
        <v>200</v>
      </c>
      <c r="B83" s="3060">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1</v>
      </c>
      <c r="T83" s="3049">
        <f t="shared" si="6"/>
        <v>1</v>
      </c>
      <c r="U83" s="3049">
        <f t="shared" si="6"/>
        <v>1</v>
      </c>
      <c r="V83" s="3049">
        <f t="shared" si="6"/>
        <v>1</v>
      </c>
      <c r="W83" s="3049">
        <f t="shared" si="6"/>
        <v>1</v>
      </c>
      <c r="X83" s="3049">
        <f t="shared" si="6"/>
        <v>1</v>
      </c>
      <c r="Y83" s="3049">
        <f t="shared" si="6"/>
        <v>1</v>
      </c>
      <c r="Z83" s="3049">
        <f t="shared" si="6"/>
        <v>1</v>
      </c>
      <c r="AA83" s="3049">
        <f t="shared" si="6"/>
        <v>1</v>
      </c>
      <c r="AB83" s="3049">
        <f t="shared" si="6"/>
        <v>1</v>
      </c>
      <c r="AC83" s="3049">
        <f t="shared" si="6"/>
        <v>1</v>
      </c>
      <c r="AD83" s="3049">
        <f t="shared" si="6"/>
        <v>1.0000000000000002</v>
      </c>
      <c r="AE83" s="3049">
        <f t="shared" si="6"/>
        <v>1</v>
      </c>
      <c r="AF83" s="3049">
        <f t="shared" si="6"/>
        <v>1</v>
      </c>
      <c r="AG83" s="3049"/>
    </row>
    <row r="84" spans="1:33" s="3044" customFormat="1">
      <c r="A84" s="3043">
        <v>200</v>
      </c>
      <c r="B84" s="3060">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1</v>
      </c>
      <c r="T84" s="3049">
        <f t="shared" si="6"/>
        <v>1</v>
      </c>
      <c r="U84" s="3049">
        <f t="shared" si="6"/>
        <v>1</v>
      </c>
      <c r="V84" s="3049">
        <f t="shared" si="6"/>
        <v>1</v>
      </c>
      <c r="W84" s="3049">
        <f t="shared" si="6"/>
        <v>1</v>
      </c>
      <c r="X84" s="3049">
        <f t="shared" si="6"/>
        <v>1</v>
      </c>
      <c r="Y84" s="3049">
        <f t="shared" si="6"/>
        <v>1</v>
      </c>
      <c r="Z84" s="3049">
        <f t="shared" si="6"/>
        <v>1</v>
      </c>
      <c r="AA84" s="3049">
        <f t="shared" si="6"/>
        <v>1</v>
      </c>
      <c r="AB84" s="3049">
        <f t="shared" si="6"/>
        <v>1</v>
      </c>
      <c r="AC84" s="3049">
        <f t="shared" si="6"/>
        <v>1</v>
      </c>
      <c r="AD84" s="3049">
        <f t="shared" si="6"/>
        <v>1.0000000000000002</v>
      </c>
      <c r="AE84" s="3049">
        <f t="shared" si="6"/>
        <v>1</v>
      </c>
      <c r="AF84" s="3049">
        <f t="shared" si="6"/>
        <v>1</v>
      </c>
      <c r="AG84" s="3049"/>
    </row>
    <row r="85" spans="1:33" s="3044" customFormat="1">
      <c r="A85" s="3043">
        <v>200</v>
      </c>
      <c r="B85" s="3060">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1</v>
      </c>
      <c r="T85" s="3049">
        <f t="shared" si="6"/>
        <v>1</v>
      </c>
      <c r="U85" s="3049">
        <f t="shared" si="6"/>
        <v>1</v>
      </c>
      <c r="V85" s="3049">
        <f t="shared" si="6"/>
        <v>1</v>
      </c>
      <c r="W85" s="3049">
        <f t="shared" si="6"/>
        <v>1</v>
      </c>
      <c r="X85" s="3049">
        <f t="shared" si="6"/>
        <v>1</v>
      </c>
      <c r="Y85" s="3049">
        <f t="shared" si="6"/>
        <v>1</v>
      </c>
      <c r="Z85" s="3049">
        <f t="shared" si="6"/>
        <v>1</v>
      </c>
      <c r="AA85" s="3049">
        <f t="shared" si="6"/>
        <v>1</v>
      </c>
      <c r="AB85" s="3049">
        <f t="shared" si="6"/>
        <v>1</v>
      </c>
      <c r="AC85" s="3049">
        <f t="shared" si="6"/>
        <v>1</v>
      </c>
      <c r="AD85" s="3049">
        <f t="shared" si="6"/>
        <v>1.0000000000000002</v>
      </c>
      <c r="AE85" s="3049">
        <f t="shared" si="6"/>
        <v>1</v>
      </c>
      <c r="AF85" s="3049">
        <f t="shared" si="6"/>
        <v>1</v>
      </c>
      <c r="AG85" s="3049"/>
    </row>
    <row r="86" spans="1:33" s="3044" customFormat="1">
      <c r="A86" s="3043">
        <v>200</v>
      </c>
      <c r="B86" s="3060">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1</v>
      </c>
      <c r="T86" s="3049">
        <f t="shared" si="7"/>
        <v>1</v>
      </c>
      <c r="U86" s="3049">
        <f t="shared" si="7"/>
        <v>1</v>
      </c>
      <c r="V86" s="3049">
        <f t="shared" si="7"/>
        <v>1</v>
      </c>
      <c r="W86" s="3049">
        <f t="shared" si="7"/>
        <v>1</v>
      </c>
      <c r="X86" s="3049">
        <f t="shared" si="7"/>
        <v>1</v>
      </c>
      <c r="Y86" s="3049">
        <f t="shared" si="7"/>
        <v>1</v>
      </c>
      <c r="Z86" s="3049">
        <f t="shared" si="7"/>
        <v>1</v>
      </c>
      <c r="AA86" s="3049">
        <f t="shared" si="7"/>
        <v>1</v>
      </c>
      <c r="AB86" s="3049">
        <f t="shared" si="7"/>
        <v>1</v>
      </c>
      <c r="AC86" s="3049">
        <f t="shared" si="7"/>
        <v>1</v>
      </c>
      <c r="AD86" s="3049">
        <f t="shared" si="7"/>
        <v>1.0000000000000002</v>
      </c>
      <c r="AE86" s="3049">
        <f t="shared" si="7"/>
        <v>1</v>
      </c>
      <c r="AF86" s="3049">
        <f t="shared" si="7"/>
        <v>1</v>
      </c>
      <c r="AG86" s="3049"/>
    </row>
    <row r="87" spans="1:33" s="3044" customFormat="1">
      <c r="A87" s="3043">
        <v>200</v>
      </c>
      <c r="B87" s="3060">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1</v>
      </c>
      <c r="T87" s="3049">
        <f t="shared" si="7"/>
        <v>1</v>
      </c>
      <c r="U87" s="3049">
        <f t="shared" si="7"/>
        <v>1</v>
      </c>
      <c r="V87" s="3049">
        <f t="shared" si="7"/>
        <v>1</v>
      </c>
      <c r="W87" s="3049">
        <f t="shared" si="7"/>
        <v>1</v>
      </c>
      <c r="X87" s="3049">
        <f t="shared" si="7"/>
        <v>1</v>
      </c>
      <c r="Y87" s="3049">
        <f t="shared" si="7"/>
        <v>1</v>
      </c>
      <c r="Z87" s="3049">
        <f t="shared" si="7"/>
        <v>1</v>
      </c>
      <c r="AA87" s="3049">
        <f t="shared" si="7"/>
        <v>1</v>
      </c>
      <c r="AB87" s="3049">
        <f t="shared" si="7"/>
        <v>1</v>
      </c>
      <c r="AC87" s="3049">
        <f t="shared" si="7"/>
        <v>1</v>
      </c>
      <c r="AD87" s="3049">
        <f t="shared" si="7"/>
        <v>1.0000000000000002</v>
      </c>
      <c r="AE87" s="3049">
        <f t="shared" si="7"/>
        <v>1</v>
      </c>
      <c r="AF87" s="3049">
        <f t="shared" si="7"/>
        <v>1</v>
      </c>
      <c r="AG87" s="3049"/>
    </row>
    <row r="88" spans="1:33" s="3044" customFormat="1">
      <c r="A88" s="3043">
        <v>200</v>
      </c>
      <c r="B88" s="3060">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1</v>
      </c>
      <c r="T88" s="3049">
        <f t="shared" si="7"/>
        <v>1</v>
      </c>
      <c r="U88" s="3049">
        <f t="shared" si="7"/>
        <v>1</v>
      </c>
      <c r="V88" s="3049">
        <f t="shared" si="7"/>
        <v>1</v>
      </c>
      <c r="W88" s="3049">
        <f t="shared" si="7"/>
        <v>1</v>
      </c>
      <c r="X88" s="3049">
        <f t="shared" si="7"/>
        <v>1</v>
      </c>
      <c r="Y88" s="3049">
        <f t="shared" si="7"/>
        <v>1</v>
      </c>
      <c r="Z88" s="3049">
        <f t="shared" si="7"/>
        <v>1</v>
      </c>
      <c r="AA88" s="3049">
        <f t="shared" si="7"/>
        <v>1</v>
      </c>
      <c r="AB88" s="3049">
        <f t="shared" si="7"/>
        <v>1</v>
      </c>
      <c r="AC88" s="3049">
        <f t="shared" si="7"/>
        <v>1</v>
      </c>
      <c r="AD88" s="3049">
        <f t="shared" si="7"/>
        <v>1.0000000000000002</v>
      </c>
      <c r="AE88" s="3049">
        <f t="shared" si="7"/>
        <v>1</v>
      </c>
      <c r="AF88" s="3049">
        <f t="shared" si="7"/>
        <v>1</v>
      </c>
      <c r="AG88" s="3049"/>
    </row>
    <row r="89" spans="1:33" s="3044" customFormat="1">
      <c r="A89" s="3043">
        <v>200</v>
      </c>
      <c r="B89" s="3060">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1</v>
      </c>
      <c r="T89" s="3049">
        <f t="shared" si="7"/>
        <v>1</v>
      </c>
      <c r="U89" s="3049">
        <f t="shared" si="7"/>
        <v>1</v>
      </c>
      <c r="V89" s="3049">
        <f t="shared" si="7"/>
        <v>1</v>
      </c>
      <c r="W89" s="3049">
        <f t="shared" si="7"/>
        <v>1</v>
      </c>
      <c r="X89" s="3049">
        <f t="shared" si="7"/>
        <v>1</v>
      </c>
      <c r="Y89" s="3049">
        <f t="shared" si="7"/>
        <v>1</v>
      </c>
      <c r="Z89" s="3049">
        <f t="shared" si="7"/>
        <v>1</v>
      </c>
      <c r="AA89" s="3049">
        <f t="shared" si="7"/>
        <v>1</v>
      </c>
      <c r="AB89" s="3049">
        <f t="shared" si="7"/>
        <v>1</v>
      </c>
      <c r="AC89" s="3049">
        <f t="shared" si="7"/>
        <v>1</v>
      </c>
      <c r="AD89" s="3049">
        <f t="shared" si="7"/>
        <v>1.0000000000000002</v>
      </c>
      <c r="AE89" s="3049">
        <f t="shared" si="7"/>
        <v>1</v>
      </c>
      <c r="AF89" s="3049">
        <f t="shared" si="7"/>
        <v>1</v>
      </c>
      <c r="AG89" s="3049"/>
    </row>
    <row r="90" spans="1:33" s="3044" customFormat="1">
      <c r="A90" s="3043">
        <v>200</v>
      </c>
      <c r="B90" s="3060">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1</v>
      </c>
      <c r="T90" s="3049">
        <f t="shared" si="7"/>
        <v>1</v>
      </c>
      <c r="U90" s="3049">
        <f t="shared" si="7"/>
        <v>1</v>
      </c>
      <c r="V90" s="3049">
        <f t="shared" si="7"/>
        <v>1</v>
      </c>
      <c r="W90" s="3049">
        <f t="shared" si="7"/>
        <v>1</v>
      </c>
      <c r="X90" s="3049">
        <f t="shared" si="7"/>
        <v>1</v>
      </c>
      <c r="Y90" s="3049">
        <f t="shared" si="7"/>
        <v>1</v>
      </c>
      <c r="Z90" s="3049">
        <f t="shared" si="7"/>
        <v>1</v>
      </c>
      <c r="AA90" s="3049">
        <f t="shared" si="7"/>
        <v>1</v>
      </c>
      <c r="AB90" s="3049">
        <f t="shared" si="7"/>
        <v>1</v>
      </c>
      <c r="AC90" s="3049">
        <f t="shared" si="7"/>
        <v>1</v>
      </c>
      <c r="AD90" s="3049">
        <f t="shared" si="7"/>
        <v>1.0000000000000002</v>
      </c>
      <c r="AE90" s="3049">
        <f t="shared" si="7"/>
        <v>1</v>
      </c>
      <c r="AF90" s="3049">
        <f t="shared" si="7"/>
        <v>1</v>
      </c>
      <c r="AG90" s="3049"/>
    </row>
    <row r="91" spans="1:33" s="3044" customFormat="1">
      <c r="A91" s="3043">
        <v>200</v>
      </c>
      <c r="B91" s="3060">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1</v>
      </c>
      <c r="T91" s="3049">
        <f t="shared" si="7"/>
        <v>1</v>
      </c>
      <c r="U91" s="3049">
        <f t="shared" si="7"/>
        <v>1</v>
      </c>
      <c r="V91" s="3049">
        <f t="shared" si="7"/>
        <v>1</v>
      </c>
      <c r="W91" s="3049">
        <f t="shared" si="7"/>
        <v>1</v>
      </c>
      <c r="X91" s="3049">
        <f t="shared" si="7"/>
        <v>1</v>
      </c>
      <c r="Y91" s="3049">
        <f t="shared" si="7"/>
        <v>1</v>
      </c>
      <c r="Z91" s="3049">
        <f t="shared" si="7"/>
        <v>1</v>
      </c>
      <c r="AA91" s="3049">
        <f t="shared" si="7"/>
        <v>1</v>
      </c>
      <c r="AB91" s="3049">
        <f t="shared" si="7"/>
        <v>1</v>
      </c>
      <c r="AC91" s="3049">
        <f t="shared" si="7"/>
        <v>1</v>
      </c>
      <c r="AD91" s="3049">
        <f t="shared" si="7"/>
        <v>1.0000000000000002</v>
      </c>
      <c r="AE91" s="3049">
        <f t="shared" si="7"/>
        <v>1</v>
      </c>
      <c r="AF91" s="3049">
        <f t="shared" si="7"/>
        <v>1</v>
      </c>
      <c r="AG91" s="3049"/>
    </row>
    <row r="92" spans="1:33" s="3044" customFormat="1">
      <c r="A92" s="3043">
        <v>200</v>
      </c>
      <c r="B92" s="3060">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1</v>
      </c>
      <c r="T92" s="3049">
        <f t="shared" si="7"/>
        <v>1</v>
      </c>
      <c r="U92" s="3049">
        <f t="shared" si="7"/>
        <v>1</v>
      </c>
      <c r="V92" s="3049">
        <f t="shared" si="7"/>
        <v>1</v>
      </c>
      <c r="W92" s="3049">
        <f t="shared" si="7"/>
        <v>1</v>
      </c>
      <c r="X92" s="3049">
        <f t="shared" si="7"/>
        <v>1</v>
      </c>
      <c r="Y92" s="3049">
        <f t="shared" si="7"/>
        <v>1</v>
      </c>
      <c r="Z92" s="3049">
        <f t="shared" si="7"/>
        <v>1</v>
      </c>
      <c r="AA92" s="3049">
        <f t="shared" si="7"/>
        <v>1</v>
      </c>
      <c r="AB92" s="3049">
        <f t="shared" si="7"/>
        <v>1</v>
      </c>
      <c r="AC92" s="3049">
        <f t="shared" si="7"/>
        <v>1</v>
      </c>
      <c r="AD92" s="3049">
        <f t="shared" si="7"/>
        <v>1.0000000000000002</v>
      </c>
      <c r="AE92" s="3049">
        <f t="shared" si="7"/>
        <v>1</v>
      </c>
      <c r="AF92" s="3049">
        <f t="shared" si="7"/>
        <v>1</v>
      </c>
      <c r="AG92" s="3049"/>
    </row>
    <row r="93" spans="1:33" s="3044" customFormat="1">
      <c r="A93" s="3043">
        <v>200</v>
      </c>
      <c r="B93" s="3060">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1</v>
      </c>
      <c r="T93" s="3049">
        <f t="shared" si="7"/>
        <v>1</v>
      </c>
      <c r="U93" s="3049">
        <f t="shared" si="7"/>
        <v>1</v>
      </c>
      <c r="V93" s="3049">
        <f t="shared" si="7"/>
        <v>1</v>
      </c>
      <c r="W93" s="3049">
        <f t="shared" si="7"/>
        <v>1</v>
      </c>
      <c r="X93" s="3049">
        <f t="shared" si="7"/>
        <v>1</v>
      </c>
      <c r="Y93" s="3049">
        <f t="shared" si="7"/>
        <v>1</v>
      </c>
      <c r="Z93" s="3049">
        <f t="shared" si="7"/>
        <v>1</v>
      </c>
      <c r="AA93" s="3049">
        <f t="shared" si="7"/>
        <v>1</v>
      </c>
      <c r="AB93" s="3049">
        <f t="shared" si="7"/>
        <v>1</v>
      </c>
      <c r="AC93" s="3049">
        <f t="shared" si="7"/>
        <v>1</v>
      </c>
      <c r="AD93" s="3049">
        <f t="shared" si="7"/>
        <v>1.0000000000000002</v>
      </c>
      <c r="AE93" s="3049">
        <f t="shared" si="7"/>
        <v>1</v>
      </c>
      <c r="AF93" s="3049">
        <f t="shared" si="7"/>
        <v>1</v>
      </c>
      <c r="AG93" s="3049"/>
    </row>
    <row r="94" spans="1:33" s="3044" customFormat="1">
      <c r="A94" s="3043">
        <v>200</v>
      </c>
      <c r="B94" s="3060">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1</v>
      </c>
      <c r="T94" s="3049">
        <f t="shared" si="7"/>
        <v>1</v>
      </c>
      <c r="U94" s="3049">
        <f t="shared" si="7"/>
        <v>1</v>
      </c>
      <c r="V94" s="3049">
        <f t="shared" si="7"/>
        <v>1</v>
      </c>
      <c r="W94" s="3049">
        <f t="shared" si="7"/>
        <v>1</v>
      </c>
      <c r="X94" s="3049">
        <f t="shared" si="7"/>
        <v>1</v>
      </c>
      <c r="Y94" s="3049">
        <f t="shared" si="7"/>
        <v>1</v>
      </c>
      <c r="Z94" s="3049">
        <f t="shared" si="7"/>
        <v>1</v>
      </c>
      <c r="AA94" s="3049">
        <f t="shared" si="7"/>
        <v>1</v>
      </c>
      <c r="AB94" s="3049">
        <f t="shared" si="7"/>
        <v>1</v>
      </c>
      <c r="AC94" s="3049">
        <f t="shared" si="7"/>
        <v>1</v>
      </c>
      <c r="AD94" s="3049">
        <f t="shared" si="7"/>
        <v>1.0000000000000002</v>
      </c>
      <c r="AE94" s="3049">
        <f t="shared" si="7"/>
        <v>1</v>
      </c>
      <c r="AF94" s="3049">
        <f t="shared" si="7"/>
        <v>1</v>
      </c>
      <c r="AG94" s="3049"/>
    </row>
    <row r="95" spans="1:33" s="3044" customFormat="1">
      <c r="A95" s="3043">
        <v>200</v>
      </c>
      <c r="B95" s="3060">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1</v>
      </c>
      <c r="T95" s="3049">
        <f t="shared" si="7"/>
        <v>1</v>
      </c>
      <c r="U95" s="3049">
        <f t="shared" si="7"/>
        <v>1</v>
      </c>
      <c r="V95" s="3049">
        <f t="shared" si="7"/>
        <v>1</v>
      </c>
      <c r="W95" s="3049">
        <f t="shared" si="7"/>
        <v>1</v>
      </c>
      <c r="X95" s="3049">
        <f t="shared" si="7"/>
        <v>1</v>
      </c>
      <c r="Y95" s="3049">
        <f t="shared" si="7"/>
        <v>1</v>
      </c>
      <c r="Z95" s="3049">
        <f t="shared" si="7"/>
        <v>1</v>
      </c>
      <c r="AA95" s="3049">
        <f t="shared" si="7"/>
        <v>1</v>
      </c>
      <c r="AB95" s="3049">
        <f t="shared" si="7"/>
        <v>1</v>
      </c>
      <c r="AC95" s="3049">
        <f t="shared" si="7"/>
        <v>1</v>
      </c>
      <c r="AD95" s="3049">
        <f t="shared" si="7"/>
        <v>1.0000000000000002</v>
      </c>
      <c r="AE95" s="3049">
        <f t="shared" si="7"/>
        <v>1</v>
      </c>
      <c r="AF95" s="3049">
        <f t="shared" si="7"/>
        <v>1</v>
      </c>
      <c r="AG95" s="3049"/>
    </row>
    <row r="96" spans="1:33" s="3044" customFormat="1">
      <c r="A96" s="3043">
        <v>200</v>
      </c>
      <c r="B96" s="3060">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1</v>
      </c>
      <c r="T96" s="3049">
        <f t="shared" si="7"/>
        <v>1</v>
      </c>
      <c r="U96" s="3049">
        <f t="shared" si="7"/>
        <v>1</v>
      </c>
      <c r="V96" s="3049">
        <f t="shared" si="7"/>
        <v>1</v>
      </c>
      <c r="W96" s="3049">
        <f t="shared" si="7"/>
        <v>1</v>
      </c>
      <c r="X96" s="3049">
        <f t="shared" si="7"/>
        <v>1</v>
      </c>
      <c r="Y96" s="3049">
        <f t="shared" si="7"/>
        <v>1</v>
      </c>
      <c r="Z96" s="3049">
        <f t="shared" si="7"/>
        <v>1</v>
      </c>
      <c r="AA96" s="3049">
        <f t="shared" si="7"/>
        <v>1</v>
      </c>
      <c r="AB96" s="3049">
        <f t="shared" si="7"/>
        <v>1</v>
      </c>
      <c r="AC96" s="3049">
        <f t="shared" si="7"/>
        <v>1</v>
      </c>
      <c r="AD96" s="3049">
        <f t="shared" si="7"/>
        <v>1.0000000000000002</v>
      </c>
      <c r="AE96" s="3049">
        <f t="shared" si="7"/>
        <v>1</v>
      </c>
      <c r="AF96" s="3049">
        <f t="shared" si="7"/>
        <v>1</v>
      </c>
      <c r="AG96" s="3049"/>
    </row>
    <row r="97" spans="1:33" s="3044" customFormat="1">
      <c r="A97" s="3043">
        <v>200</v>
      </c>
      <c r="B97" s="3060">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1</v>
      </c>
      <c r="T97" s="3049">
        <f t="shared" si="7"/>
        <v>1</v>
      </c>
      <c r="U97" s="3049">
        <f t="shared" si="7"/>
        <v>1</v>
      </c>
      <c r="V97" s="3049">
        <f t="shared" si="7"/>
        <v>1</v>
      </c>
      <c r="W97" s="3049">
        <f t="shared" si="7"/>
        <v>1</v>
      </c>
      <c r="X97" s="3049">
        <f t="shared" si="7"/>
        <v>1</v>
      </c>
      <c r="Y97" s="3049">
        <f t="shared" si="7"/>
        <v>1</v>
      </c>
      <c r="Z97" s="3049">
        <f t="shared" si="7"/>
        <v>1</v>
      </c>
      <c r="AA97" s="3049">
        <f t="shared" si="7"/>
        <v>1</v>
      </c>
      <c r="AB97" s="3049">
        <f t="shared" si="7"/>
        <v>1</v>
      </c>
      <c r="AC97" s="3049">
        <f t="shared" si="7"/>
        <v>1</v>
      </c>
      <c r="AD97" s="3049">
        <f t="shared" si="7"/>
        <v>1.0000000000000002</v>
      </c>
      <c r="AE97" s="3049">
        <f t="shared" si="7"/>
        <v>1</v>
      </c>
      <c r="AF97" s="3049">
        <f t="shared" si="7"/>
        <v>1</v>
      </c>
      <c r="AG97" s="3049"/>
    </row>
    <row r="98" spans="1:33" s="3044" customFormat="1">
      <c r="A98" s="3043">
        <v>200</v>
      </c>
      <c r="B98" s="3060">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1</v>
      </c>
      <c r="T98" s="3049">
        <f t="shared" si="7"/>
        <v>1</v>
      </c>
      <c r="U98" s="3049">
        <f t="shared" si="7"/>
        <v>1</v>
      </c>
      <c r="V98" s="3049">
        <f t="shared" si="7"/>
        <v>1</v>
      </c>
      <c r="W98" s="3049">
        <f t="shared" si="7"/>
        <v>1</v>
      </c>
      <c r="X98" s="3049">
        <f t="shared" si="7"/>
        <v>1</v>
      </c>
      <c r="Y98" s="3049">
        <f t="shared" si="7"/>
        <v>1</v>
      </c>
      <c r="Z98" s="3049">
        <f t="shared" si="7"/>
        <v>1</v>
      </c>
      <c r="AA98" s="3049">
        <f t="shared" si="7"/>
        <v>1</v>
      </c>
      <c r="AB98" s="3049">
        <f t="shared" si="7"/>
        <v>1</v>
      </c>
      <c r="AC98" s="3049">
        <f t="shared" si="7"/>
        <v>1</v>
      </c>
      <c r="AD98" s="3049">
        <f t="shared" si="7"/>
        <v>1.0000000000000002</v>
      </c>
      <c r="AE98" s="3049">
        <f t="shared" si="7"/>
        <v>1</v>
      </c>
      <c r="AF98" s="3049">
        <f t="shared" si="7"/>
        <v>1</v>
      </c>
      <c r="AG98" s="3049"/>
    </row>
    <row r="99" spans="1:33" s="3044" customFormat="1">
      <c r="A99" s="3043">
        <v>200</v>
      </c>
      <c r="B99" s="3060">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1</v>
      </c>
      <c r="T99" s="3049">
        <f t="shared" si="7"/>
        <v>1</v>
      </c>
      <c r="U99" s="3049">
        <f t="shared" si="7"/>
        <v>1</v>
      </c>
      <c r="V99" s="3049">
        <f t="shared" si="7"/>
        <v>1</v>
      </c>
      <c r="W99" s="3049">
        <f t="shared" si="7"/>
        <v>1</v>
      </c>
      <c r="X99" s="3049">
        <f t="shared" si="7"/>
        <v>1</v>
      </c>
      <c r="Y99" s="3049">
        <f t="shared" si="7"/>
        <v>1</v>
      </c>
      <c r="Z99" s="3049">
        <f t="shared" si="7"/>
        <v>1</v>
      </c>
      <c r="AA99" s="3049">
        <f t="shared" si="7"/>
        <v>1</v>
      </c>
      <c r="AB99" s="3049">
        <f t="shared" si="7"/>
        <v>1</v>
      </c>
      <c r="AC99" s="3049">
        <f t="shared" si="7"/>
        <v>1</v>
      </c>
      <c r="AD99" s="3049">
        <f t="shared" si="7"/>
        <v>1.0000000000000002</v>
      </c>
      <c r="AE99" s="3049">
        <f t="shared" si="7"/>
        <v>1</v>
      </c>
      <c r="AF99" s="3049">
        <f t="shared" si="7"/>
        <v>1</v>
      </c>
      <c r="AG99" s="3049"/>
    </row>
    <row r="100" spans="1:33" s="3044" customFormat="1">
      <c r="A100" s="3043">
        <v>200</v>
      </c>
      <c r="B100" s="3060">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1</v>
      </c>
      <c r="T100" s="3049">
        <f t="shared" si="7"/>
        <v>1</v>
      </c>
      <c r="U100" s="3049">
        <f t="shared" si="7"/>
        <v>1</v>
      </c>
      <c r="V100" s="3049">
        <f t="shared" si="7"/>
        <v>1</v>
      </c>
      <c r="W100" s="3049">
        <f t="shared" si="7"/>
        <v>1</v>
      </c>
      <c r="X100" s="3049">
        <f t="shared" si="7"/>
        <v>1</v>
      </c>
      <c r="Y100" s="3049">
        <f t="shared" si="7"/>
        <v>1</v>
      </c>
      <c r="Z100" s="3049">
        <f t="shared" si="7"/>
        <v>1</v>
      </c>
      <c r="AA100" s="3049">
        <f t="shared" si="7"/>
        <v>1</v>
      </c>
      <c r="AB100" s="3049">
        <f t="shared" si="7"/>
        <v>1</v>
      </c>
      <c r="AC100" s="3049">
        <f t="shared" si="7"/>
        <v>1</v>
      </c>
      <c r="AD100" s="3049">
        <f t="shared" si="7"/>
        <v>1.0000000000000002</v>
      </c>
      <c r="AE100" s="3049">
        <f t="shared" si="7"/>
        <v>1</v>
      </c>
      <c r="AF100" s="3049">
        <f t="shared" si="7"/>
        <v>1</v>
      </c>
      <c r="AG100" s="3049"/>
    </row>
    <row r="101" spans="1:33" s="3044" customFormat="1">
      <c r="A101" s="3043">
        <v>200</v>
      </c>
      <c r="B101" s="3060">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1</v>
      </c>
      <c r="T101" s="3049">
        <f t="shared" si="7"/>
        <v>1</v>
      </c>
      <c r="U101" s="3049">
        <f t="shared" si="7"/>
        <v>1</v>
      </c>
      <c r="V101" s="3049">
        <f t="shared" si="7"/>
        <v>1</v>
      </c>
      <c r="W101" s="3049">
        <f t="shared" si="7"/>
        <v>1</v>
      </c>
      <c r="X101" s="3049">
        <f t="shared" si="7"/>
        <v>1</v>
      </c>
      <c r="Y101" s="3049">
        <f t="shared" si="7"/>
        <v>1</v>
      </c>
      <c r="Z101" s="3049">
        <f t="shared" si="7"/>
        <v>1</v>
      </c>
      <c r="AA101" s="3049">
        <f t="shared" si="7"/>
        <v>1</v>
      </c>
      <c r="AB101" s="3049">
        <f t="shared" si="7"/>
        <v>1</v>
      </c>
      <c r="AC101" s="3049">
        <f t="shared" si="7"/>
        <v>1</v>
      </c>
      <c r="AD101" s="3049">
        <f t="shared" si="7"/>
        <v>1.0000000000000002</v>
      </c>
      <c r="AE101" s="3049">
        <f t="shared" si="7"/>
        <v>1</v>
      </c>
      <c r="AF101" s="3049">
        <f t="shared" si="7"/>
        <v>1</v>
      </c>
      <c r="AG101" s="3049"/>
    </row>
    <row r="102" spans="1:33" s="3044" customFormat="1">
      <c r="A102" s="3043">
        <v>200</v>
      </c>
      <c r="B102" s="3060">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1</v>
      </c>
      <c r="T102" s="3049">
        <f t="shared" si="8"/>
        <v>1</v>
      </c>
      <c r="U102" s="3049">
        <f t="shared" si="8"/>
        <v>1</v>
      </c>
      <c r="V102" s="3049">
        <f t="shared" si="8"/>
        <v>1</v>
      </c>
      <c r="W102" s="3049">
        <f t="shared" si="8"/>
        <v>1</v>
      </c>
      <c r="X102" s="3049">
        <f t="shared" si="8"/>
        <v>1</v>
      </c>
      <c r="Y102" s="3049">
        <f t="shared" si="8"/>
        <v>1</v>
      </c>
      <c r="Z102" s="3049">
        <f t="shared" si="8"/>
        <v>1</v>
      </c>
      <c r="AA102" s="3049">
        <f t="shared" si="8"/>
        <v>1</v>
      </c>
      <c r="AB102" s="3049">
        <f t="shared" si="8"/>
        <v>1</v>
      </c>
      <c r="AC102" s="3049">
        <f t="shared" si="8"/>
        <v>1</v>
      </c>
      <c r="AD102" s="3049">
        <f t="shared" si="8"/>
        <v>1.0000000000000002</v>
      </c>
      <c r="AE102" s="3049">
        <f t="shared" si="8"/>
        <v>1</v>
      </c>
      <c r="AF102" s="3049">
        <f t="shared" si="8"/>
        <v>1</v>
      </c>
      <c r="AG102" s="3049"/>
    </row>
    <row r="103" spans="1:33" s="3044" customFormat="1">
      <c r="A103" s="3043">
        <v>200</v>
      </c>
      <c r="B103" s="3060">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1</v>
      </c>
      <c r="T103" s="3049">
        <f t="shared" si="8"/>
        <v>1</v>
      </c>
      <c r="U103" s="3049">
        <f t="shared" si="8"/>
        <v>1</v>
      </c>
      <c r="V103" s="3049">
        <f t="shared" si="8"/>
        <v>1</v>
      </c>
      <c r="W103" s="3049">
        <f t="shared" si="8"/>
        <v>1</v>
      </c>
      <c r="X103" s="3049">
        <f t="shared" si="8"/>
        <v>1</v>
      </c>
      <c r="Y103" s="3049">
        <f t="shared" si="8"/>
        <v>1</v>
      </c>
      <c r="Z103" s="3049">
        <f t="shared" si="8"/>
        <v>1</v>
      </c>
      <c r="AA103" s="3049">
        <f t="shared" si="8"/>
        <v>1</v>
      </c>
      <c r="AB103" s="3049">
        <f t="shared" si="8"/>
        <v>1</v>
      </c>
      <c r="AC103" s="3049">
        <f t="shared" si="8"/>
        <v>1</v>
      </c>
      <c r="AD103" s="3049">
        <f t="shared" si="8"/>
        <v>1.0000000000000002</v>
      </c>
      <c r="AE103" s="3049">
        <f t="shared" si="8"/>
        <v>1</v>
      </c>
      <c r="AF103" s="3049">
        <f t="shared" si="8"/>
        <v>1</v>
      </c>
      <c r="AG103" s="3049"/>
    </row>
    <row r="104" spans="1:33" s="3044" customFormat="1">
      <c r="A104" s="3043">
        <v>200</v>
      </c>
      <c r="B104" s="3060">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1</v>
      </c>
      <c r="T104" s="3049">
        <f t="shared" si="8"/>
        <v>1</v>
      </c>
      <c r="U104" s="3049">
        <f t="shared" si="8"/>
        <v>1</v>
      </c>
      <c r="V104" s="3049">
        <f t="shared" si="8"/>
        <v>1</v>
      </c>
      <c r="W104" s="3049">
        <f t="shared" si="8"/>
        <v>1</v>
      </c>
      <c r="X104" s="3049">
        <f t="shared" si="8"/>
        <v>1</v>
      </c>
      <c r="Y104" s="3049">
        <f t="shared" si="8"/>
        <v>1</v>
      </c>
      <c r="Z104" s="3049">
        <f t="shared" si="8"/>
        <v>1</v>
      </c>
      <c r="AA104" s="3049">
        <f t="shared" si="8"/>
        <v>1</v>
      </c>
      <c r="AB104" s="3049">
        <f t="shared" si="8"/>
        <v>1</v>
      </c>
      <c r="AC104" s="3049">
        <f t="shared" si="8"/>
        <v>1</v>
      </c>
      <c r="AD104" s="3049">
        <f t="shared" si="8"/>
        <v>1.0000000000000002</v>
      </c>
      <c r="AE104" s="3049">
        <f t="shared" si="8"/>
        <v>1</v>
      </c>
      <c r="AF104" s="3049">
        <f t="shared" si="8"/>
        <v>1</v>
      </c>
      <c r="AG104" s="3049"/>
    </row>
    <row r="105" spans="1:33" s="3044" customFormat="1">
      <c r="A105" s="3043"/>
      <c r="B105" s="3060"/>
    </row>
    <row r="106" spans="1:33" s="3044" customFormat="1">
      <c r="A106" s="3043"/>
      <c r="B106" s="3060"/>
    </row>
    <row r="107" spans="1:33" s="3044" customFormat="1">
      <c r="A107" s="3043"/>
      <c r="B107" s="3060"/>
    </row>
    <row r="108" spans="1:33" s="3044" customFormat="1">
      <c r="A108" s="3043"/>
      <c r="B108" s="3060"/>
    </row>
    <row r="109" spans="1:33" s="3044" customFormat="1">
      <c r="A109" s="3043"/>
      <c r="B109" s="3060"/>
    </row>
    <row r="110" spans="1:33" s="3044" customFormat="1">
      <c r="A110" s="3043"/>
      <c r="B110" s="3060"/>
    </row>
    <row r="111" spans="1:33" s="3044" customFormat="1">
      <c r="A111" s="3043"/>
      <c r="B111" s="3060"/>
    </row>
    <row r="112" spans="1:33" s="3044" customFormat="1">
      <c r="A112" s="3043"/>
      <c r="B112" s="3060"/>
    </row>
    <row r="113" spans="1:2" s="3044" customFormat="1">
      <c r="A113" s="3043"/>
      <c r="B113" s="3060"/>
    </row>
    <row r="114" spans="1:2" s="3044" customFormat="1">
      <c r="A114" s="3043"/>
      <c r="B114" s="3060"/>
    </row>
    <row r="115" spans="1:2" s="3044" customFormat="1">
      <c r="A115" s="3043"/>
      <c r="B115" s="3060"/>
    </row>
    <row r="116" spans="1:2" s="3044" customFormat="1">
      <c r="A116" s="3043"/>
      <c r="B116" s="3060"/>
    </row>
  </sheetData>
  <phoneticPr fontId="9" type="noConversion"/>
  <pageMargins left="0.7" right="0.7" top="0.75" bottom="0.75" header="0.3" footer="0.3"/>
  <pageSetup paperSize="9" scale="3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40"/>
  <dimension ref="A1:AF214"/>
  <sheetViews>
    <sheetView view="pageBreakPreview" zoomScale="70" zoomScaleNormal="70" zoomScaleSheetLayoutView="70" workbookViewId="0">
      <selection sqref="A1:XFD1048576"/>
    </sheetView>
  </sheetViews>
  <sheetFormatPr defaultRowHeight="15.75"/>
  <cols>
    <col min="1" max="1" width="17.75" style="3043" customWidth="1"/>
    <col min="2" max="2" width="9" style="3044"/>
    <col min="3" max="3" width="9.5" style="3044" customWidth="1"/>
    <col min="4" max="17" width="11.75" style="3044" bestFit="1" customWidth="1"/>
    <col min="18" max="29" width="12.25" style="3044" bestFit="1" customWidth="1"/>
    <col min="30" max="32" width="12.25" style="3047" bestFit="1" customWidth="1"/>
    <col min="33" max="16384" width="9" style="3047"/>
  </cols>
  <sheetData>
    <row r="1" spans="1:32" ht="21">
      <c r="A1" s="2747" t="str">
        <f>+封面!A3&amp;" "&amp;封面!A2</f>
        <v xml:space="preserve">        保險股份有限公司(○○分公司) 年度(月、季、半年)報表</v>
      </c>
    </row>
    <row r="2" spans="1:32" ht="21">
      <c r="A2" s="1175" t="s">
        <v>6066</v>
      </c>
    </row>
    <row r="3" spans="1:32">
      <c r="A3" s="3047"/>
    </row>
    <row r="4" spans="1:32" s="3059" customFormat="1">
      <c r="A4" s="3057" t="s">
        <v>6601</v>
      </c>
      <c r="B4" s="3058" t="s">
        <v>3715</v>
      </c>
      <c r="C4" s="3045" t="s">
        <v>3621</v>
      </c>
      <c r="D4" s="3045" t="s">
        <v>3623</v>
      </c>
      <c r="E4" s="3045" t="s">
        <v>3625</v>
      </c>
      <c r="F4" s="3045" t="s">
        <v>3627</v>
      </c>
      <c r="G4" s="3045" t="s">
        <v>3629</v>
      </c>
      <c r="H4" s="3045" t="s">
        <v>3631</v>
      </c>
      <c r="I4" s="3045" t="s">
        <v>3633</v>
      </c>
      <c r="J4" s="3045" t="s">
        <v>3635</v>
      </c>
      <c r="K4" s="3045" t="s">
        <v>3637</v>
      </c>
      <c r="L4" s="3045" t="s">
        <v>3639</v>
      </c>
      <c r="M4" s="3045" t="s">
        <v>3641</v>
      </c>
      <c r="N4" s="3045" t="s">
        <v>3643</v>
      </c>
      <c r="O4" s="3045" t="s">
        <v>3645</v>
      </c>
      <c r="P4" s="3045" t="s">
        <v>3716</v>
      </c>
      <c r="Q4" s="3045" t="s">
        <v>3717</v>
      </c>
      <c r="R4" s="3046" t="str">
        <f t="shared" ref="R4:AF4" si="0">C4&amp;"a"</f>
        <v>Z1a</v>
      </c>
      <c r="S4" s="3046" t="str">
        <f t="shared" si="0"/>
        <v>Z1p1a</v>
      </c>
      <c r="T4" s="3046" t="str">
        <f t="shared" si="0"/>
        <v>Z2a</v>
      </c>
      <c r="U4" s="3046" t="str">
        <f t="shared" si="0"/>
        <v>Z3a</v>
      </c>
      <c r="V4" s="3046" t="str">
        <f t="shared" si="0"/>
        <v>Z4a</v>
      </c>
      <c r="W4" s="3046" t="str">
        <f t="shared" si="0"/>
        <v>Z5a</v>
      </c>
      <c r="X4" s="3046" t="str">
        <f t="shared" si="0"/>
        <v>Z6a</v>
      </c>
      <c r="Y4" s="3046" t="str">
        <f t="shared" si="0"/>
        <v>Z7a</v>
      </c>
      <c r="Z4" s="3046" t="str">
        <f t="shared" si="0"/>
        <v>Z8a</v>
      </c>
      <c r="AA4" s="3046" t="str">
        <f t="shared" si="0"/>
        <v>Z9a</v>
      </c>
      <c r="AB4" s="3046" t="str">
        <f t="shared" si="0"/>
        <v>Z10a</v>
      </c>
      <c r="AC4" s="3046" t="str">
        <f t="shared" si="0"/>
        <v>Z11a</v>
      </c>
      <c r="AD4" s="3046" t="str">
        <f t="shared" si="0"/>
        <v>Z12a</v>
      </c>
      <c r="AE4" s="3046" t="str">
        <f t="shared" si="0"/>
        <v>Z13a</v>
      </c>
      <c r="AF4" s="3046" t="str">
        <f t="shared" si="0"/>
        <v>Z14a</v>
      </c>
    </row>
    <row r="5" spans="1:32">
      <c r="A5" s="3043">
        <v>200</v>
      </c>
      <c r="B5" s="3060">
        <v>1</v>
      </c>
      <c r="C5" s="3052">
        <v>1</v>
      </c>
      <c r="D5" s="3052">
        <v>1</v>
      </c>
      <c r="E5" s="3052">
        <v>1</v>
      </c>
      <c r="F5" s="3052">
        <v>1</v>
      </c>
      <c r="G5" s="3052">
        <v>1</v>
      </c>
      <c r="H5" s="3052">
        <v>1</v>
      </c>
      <c r="I5" s="3052">
        <v>1</v>
      </c>
      <c r="J5" s="3052">
        <v>1</v>
      </c>
      <c r="K5" s="3052">
        <v>1</v>
      </c>
      <c r="L5" s="3052">
        <v>1</v>
      </c>
      <c r="M5" s="3052">
        <v>1</v>
      </c>
      <c r="N5" s="3052">
        <v>1</v>
      </c>
      <c r="O5" s="3052">
        <v>1</v>
      </c>
      <c r="P5" s="3052">
        <v>1</v>
      </c>
      <c r="Q5" s="3052">
        <v>1</v>
      </c>
      <c r="R5" s="3053">
        <f t="shared" ref="R5:AF5" si="1">C5</f>
        <v>1</v>
      </c>
      <c r="S5" s="3053">
        <f t="shared" si="1"/>
        <v>1</v>
      </c>
      <c r="T5" s="3053">
        <f t="shared" si="1"/>
        <v>1</v>
      </c>
      <c r="U5" s="3053">
        <f t="shared" si="1"/>
        <v>1</v>
      </c>
      <c r="V5" s="3053">
        <f t="shared" si="1"/>
        <v>1</v>
      </c>
      <c r="W5" s="3053">
        <f t="shared" si="1"/>
        <v>1</v>
      </c>
      <c r="X5" s="3053">
        <f t="shared" si="1"/>
        <v>1</v>
      </c>
      <c r="Y5" s="3053">
        <f t="shared" si="1"/>
        <v>1</v>
      </c>
      <c r="Z5" s="3053">
        <f t="shared" si="1"/>
        <v>1</v>
      </c>
      <c r="AA5" s="3053">
        <f t="shared" si="1"/>
        <v>1</v>
      </c>
      <c r="AB5" s="3053">
        <f t="shared" si="1"/>
        <v>1</v>
      </c>
      <c r="AC5" s="3053">
        <f t="shared" si="1"/>
        <v>1</v>
      </c>
      <c r="AD5" s="3053">
        <f t="shared" si="1"/>
        <v>1</v>
      </c>
      <c r="AE5" s="3053">
        <f t="shared" si="1"/>
        <v>1</v>
      </c>
      <c r="AF5" s="3053">
        <f t="shared" si="1"/>
        <v>1</v>
      </c>
    </row>
    <row r="6" spans="1:32">
      <c r="A6" s="3043">
        <v>200</v>
      </c>
      <c r="B6" s="3060">
        <v>2</v>
      </c>
      <c r="C6" s="3052">
        <v>0</v>
      </c>
      <c r="D6" s="3052">
        <v>0</v>
      </c>
      <c r="E6" s="3052">
        <v>0</v>
      </c>
      <c r="F6" s="3052">
        <v>0</v>
      </c>
      <c r="G6" s="3052">
        <v>0</v>
      </c>
      <c r="H6" s="3052">
        <v>0</v>
      </c>
      <c r="I6" s="3052">
        <v>0</v>
      </c>
      <c r="J6" s="3052">
        <v>0</v>
      </c>
      <c r="K6" s="3052">
        <v>0</v>
      </c>
      <c r="L6" s="3052">
        <v>0</v>
      </c>
      <c r="M6" s="3052">
        <v>0</v>
      </c>
      <c r="N6" s="3052">
        <v>0</v>
      </c>
      <c r="O6" s="3052">
        <v>0</v>
      </c>
      <c r="P6" s="3052">
        <v>0</v>
      </c>
      <c r="Q6" s="3052">
        <v>0</v>
      </c>
      <c r="R6" s="3053">
        <f t="shared" ref="R6:AF21" si="2">C6+R5</f>
        <v>1</v>
      </c>
      <c r="S6" s="3053">
        <f t="shared" si="2"/>
        <v>1</v>
      </c>
      <c r="T6" s="3053">
        <f t="shared" si="2"/>
        <v>1</v>
      </c>
      <c r="U6" s="3053">
        <f t="shared" si="2"/>
        <v>1</v>
      </c>
      <c r="V6" s="3053">
        <f t="shared" si="2"/>
        <v>1</v>
      </c>
      <c r="W6" s="3053">
        <f t="shared" si="2"/>
        <v>1</v>
      </c>
      <c r="X6" s="3053">
        <f t="shared" si="2"/>
        <v>1</v>
      </c>
      <c r="Y6" s="3053">
        <f t="shared" si="2"/>
        <v>1</v>
      </c>
      <c r="Z6" s="3053">
        <f t="shared" si="2"/>
        <v>1</v>
      </c>
      <c r="AA6" s="3053">
        <f t="shared" si="2"/>
        <v>1</v>
      </c>
      <c r="AB6" s="3053">
        <f t="shared" si="2"/>
        <v>1</v>
      </c>
      <c r="AC6" s="3053">
        <f t="shared" si="2"/>
        <v>1</v>
      </c>
      <c r="AD6" s="3053">
        <f t="shared" si="2"/>
        <v>1</v>
      </c>
      <c r="AE6" s="3053">
        <f t="shared" si="2"/>
        <v>1</v>
      </c>
      <c r="AF6" s="3053">
        <f t="shared" si="2"/>
        <v>1</v>
      </c>
    </row>
    <row r="7" spans="1:32">
      <c r="A7" s="3043">
        <v>200</v>
      </c>
      <c r="B7" s="3060">
        <v>3</v>
      </c>
      <c r="C7" s="3052">
        <v>0</v>
      </c>
      <c r="D7" s="3052">
        <v>0</v>
      </c>
      <c r="E7" s="3052">
        <v>0</v>
      </c>
      <c r="F7" s="3052">
        <v>0</v>
      </c>
      <c r="G7" s="3052">
        <v>0</v>
      </c>
      <c r="H7" s="3052">
        <v>0</v>
      </c>
      <c r="I7" s="3052">
        <v>0</v>
      </c>
      <c r="J7" s="3052">
        <v>0</v>
      </c>
      <c r="K7" s="3052">
        <v>0</v>
      </c>
      <c r="L7" s="3052">
        <v>0</v>
      </c>
      <c r="M7" s="3052">
        <v>0</v>
      </c>
      <c r="N7" s="3052">
        <v>0</v>
      </c>
      <c r="O7" s="3052">
        <v>0</v>
      </c>
      <c r="P7" s="3052">
        <v>0</v>
      </c>
      <c r="Q7" s="3052">
        <v>0</v>
      </c>
      <c r="R7" s="3053">
        <f t="shared" si="2"/>
        <v>1</v>
      </c>
      <c r="S7" s="3053">
        <f t="shared" si="2"/>
        <v>1</v>
      </c>
      <c r="T7" s="3053">
        <f t="shared" si="2"/>
        <v>1</v>
      </c>
      <c r="U7" s="3053">
        <f t="shared" si="2"/>
        <v>1</v>
      </c>
      <c r="V7" s="3053">
        <f t="shared" si="2"/>
        <v>1</v>
      </c>
      <c r="W7" s="3053">
        <f t="shared" si="2"/>
        <v>1</v>
      </c>
      <c r="X7" s="3053">
        <f t="shared" si="2"/>
        <v>1</v>
      </c>
      <c r="Y7" s="3053">
        <f t="shared" si="2"/>
        <v>1</v>
      </c>
      <c r="Z7" s="3053">
        <f t="shared" si="2"/>
        <v>1</v>
      </c>
      <c r="AA7" s="3053">
        <f t="shared" si="2"/>
        <v>1</v>
      </c>
      <c r="AB7" s="3053">
        <f t="shared" si="2"/>
        <v>1</v>
      </c>
      <c r="AC7" s="3053">
        <f t="shared" si="2"/>
        <v>1</v>
      </c>
      <c r="AD7" s="3053">
        <f t="shared" si="2"/>
        <v>1</v>
      </c>
      <c r="AE7" s="3053">
        <f t="shared" si="2"/>
        <v>1</v>
      </c>
      <c r="AF7" s="3053">
        <f t="shared" si="2"/>
        <v>1</v>
      </c>
    </row>
    <row r="8" spans="1:32">
      <c r="A8" s="3043">
        <v>200</v>
      </c>
      <c r="B8" s="3060">
        <v>4</v>
      </c>
      <c r="C8" s="3052">
        <v>0</v>
      </c>
      <c r="D8" s="3052">
        <v>0</v>
      </c>
      <c r="E8" s="3052">
        <v>0</v>
      </c>
      <c r="F8" s="3052">
        <v>0</v>
      </c>
      <c r="G8" s="3052">
        <v>0</v>
      </c>
      <c r="H8" s="3052">
        <v>0</v>
      </c>
      <c r="I8" s="3052">
        <v>0</v>
      </c>
      <c r="J8" s="3052">
        <v>0</v>
      </c>
      <c r="K8" s="3052">
        <v>0</v>
      </c>
      <c r="L8" s="3052">
        <v>0</v>
      </c>
      <c r="M8" s="3052">
        <v>0</v>
      </c>
      <c r="N8" s="3052">
        <v>0</v>
      </c>
      <c r="O8" s="3052">
        <v>0</v>
      </c>
      <c r="P8" s="3052">
        <v>0</v>
      </c>
      <c r="Q8" s="3052">
        <v>0</v>
      </c>
      <c r="R8" s="3053">
        <f t="shared" si="2"/>
        <v>1</v>
      </c>
      <c r="S8" s="3053">
        <f t="shared" si="2"/>
        <v>1</v>
      </c>
      <c r="T8" s="3053">
        <f t="shared" si="2"/>
        <v>1</v>
      </c>
      <c r="U8" s="3053">
        <f t="shared" si="2"/>
        <v>1</v>
      </c>
      <c r="V8" s="3053">
        <f t="shared" si="2"/>
        <v>1</v>
      </c>
      <c r="W8" s="3053">
        <f t="shared" si="2"/>
        <v>1</v>
      </c>
      <c r="X8" s="3053">
        <f t="shared" si="2"/>
        <v>1</v>
      </c>
      <c r="Y8" s="3053">
        <f t="shared" si="2"/>
        <v>1</v>
      </c>
      <c r="Z8" s="3053">
        <f t="shared" si="2"/>
        <v>1</v>
      </c>
      <c r="AA8" s="3053">
        <f t="shared" si="2"/>
        <v>1</v>
      </c>
      <c r="AB8" s="3053">
        <f t="shared" si="2"/>
        <v>1</v>
      </c>
      <c r="AC8" s="3053">
        <f t="shared" si="2"/>
        <v>1</v>
      </c>
      <c r="AD8" s="3053">
        <f t="shared" si="2"/>
        <v>1</v>
      </c>
      <c r="AE8" s="3053">
        <f>P8+AE7</f>
        <v>1</v>
      </c>
      <c r="AF8" s="3053">
        <f t="shared" si="2"/>
        <v>1</v>
      </c>
    </row>
    <row r="9" spans="1:32">
      <c r="A9" s="3043">
        <v>200</v>
      </c>
      <c r="B9" s="3060">
        <v>5</v>
      </c>
      <c r="C9" s="3052">
        <v>0</v>
      </c>
      <c r="D9" s="3052">
        <v>0</v>
      </c>
      <c r="E9" s="3052">
        <v>0</v>
      </c>
      <c r="F9" s="3052">
        <v>0</v>
      </c>
      <c r="G9" s="3052">
        <v>0</v>
      </c>
      <c r="H9" s="3052">
        <v>0</v>
      </c>
      <c r="I9" s="3052">
        <v>0</v>
      </c>
      <c r="J9" s="3052">
        <v>0</v>
      </c>
      <c r="K9" s="3052">
        <v>0</v>
      </c>
      <c r="L9" s="3052">
        <v>0</v>
      </c>
      <c r="M9" s="3052">
        <v>0</v>
      </c>
      <c r="N9" s="3052">
        <v>0</v>
      </c>
      <c r="O9" s="3052">
        <v>0</v>
      </c>
      <c r="P9" s="3052">
        <v>0</v>
      </c>
      <c r="Q9" s="3052">
        <v>0</v>
      </c>
      <c r="R9" s="3053">
        <f t="shared" si="2"/>
        <v>1</v>
      </c>
      <c r="S9" s="3053">
        <f t="shared" si="2"/>
        <v>1</v>
      </c>
      <c r="T9" s="3053">
        <f t="shared" si="2"/>
        <v>1</v>
      </c>
      <c r="U9" s="3053">
        <f t="shared" si="2"/>
        <v>1</v>
      </c>
      <c r="V9" s="3053">
        <f t="shared" si="2"/>
        <v>1</v>
      </c>
      <c r="W9" s="3053">
        <f t="shared" si="2"/>
        <v>1</v>
      </c>
      <c r="X9" s="3053">
        <f t="shared" si="2"/>
        <v>1</v>
      </c>
      <c r="Y9" s="3053">
        <f t="shared" si="2"/>
        <v>1</v>
      </c>
      <c r="Z9" s="3053">
        <f t="shared" si="2"/>
        <v>1</v>
      </c>
      <c r="AA9" s="3053">
        <f t="shared" si="2"/>
        <v>1</v>
      </c>
      <c r="AB9" s="3053">
        <f t="shared" si="2"/>
        <v>1</v>
      </c>
      <c r="AC9" s="3053">
        <f t="shared" si="2"/>
        <v>1</v>
      </c>
      <c r="AD9" s="3053">
        <f t="shared" si="2"/>
        <v>1</v>
      </c>
      <c r="AE9" s="3053">
        <f t="shared" si="2"/>
        <v>1</v>
      </c>
      <c r="AF9" s="3053">
        <f t="shared" si="2"/>
        <v>1</v>
      </c>
    </row>
    <row r="10" spans="1:32">
      <c r="A10" s="3043">
        <v>200</v>
      </c>
      <c r="B10" s="3060">
        <v>6</v>
      </c>
      <c r="C10" s="3052">
        <v>0</v>
      </c>
      <c r="D10" s="3052">
        <v>0</v>
      </c>
      <c r="E10" s="3052">
        <v>0</v>
      </c>
      <c r="F10" s="3052">
        <v>0</v>
      </c>
      <c r="G10" s="3052">
        <v>0</v>
      </c>
      <c r="H10" s="3052">
        <v>0</v>
      </c>
      <c r="I10" s="3052">
        <v>0</v>
      </c>
      <c r="J10" s="3052">
        <v>0</v>
      </c>
      <c r="K10" s="3052">
        <v>0</v>
      </c>
      <c r="L10" s="3052">
        <v>0</v>
      </c>
      <c r="M10" s="3052">
        <v>0</v>
      </c>
      <c r="N10" s="3052">
        <v>0</v>
      </c>
      <c r="O10" s="3052">
        <v>0</v>
      </c>
      <c r="P10" s="3052">
        <v>0</v>
      </c>
      <c r="Q10" s="3052">
        <v>0</v>
      </c>
      <c r="R10" s="3053">
        <f t="shared" si="2"/>
        <v>1</v>
      </c>
      <c r="S10" s="3053">
        <f t="shared" si="2"/>
        <v>1</v>
      </c>
      <c r="T10" s="3053">
        <f t="shared" si="2"/>
        <v>1</v>
      </c>
      <c r="U10" s="3053">
        <f t="shared" si="2"/>
        <v>1</v>
      </c>
      <c r="V10" s="3053">
        <f t="shared" si="2"/>
        <v>1</v>
      </c>
      <c r="W10" s="3053">
        <f t="shared" si="2"/>
        <v>1</v>
      </c>
      <c r="X10" s="3053">
        <f t="shared" si="2"/>
        <v>1</v>
      </c>
      <c r="Y10" s="3053">
        <f t="shared" si="2"/>
        <v>1</v>
      </c>
      <c r="Z10" s="3053">
        <f t="shared" si="2"/>
        <v>1</v>
      </c>
      <c r="AA10" s="3053">
        <f t="shared" si="2"/>
        <v>1</v>
      </c>
      <c r="AB10" s="3053">
        <f t="shared" si="2"/>
        <v>1</v>
      </c>
      <c r="AC10" s="3053">
        <f t="shared" si="2"/>
        <v>1</v>
      </c>
      <c r="AD10" s="3053">
        <f t="shared" si="2"/>
        <v>1</v>
      </c>
      <c r="AE10" s="3053">
        <f t="shared" si="2"/>
        <v>1</v>
      </c>
      <c r="AF10" s="3053">
        <f t="shared" si="2"/>
        <v>1</v>
      </c>
    </row>
    <row r="11" spans="1:32">
      <c r="A11" s="3043">
        <v>200</v>
      </c>
      <c r="B11" s="3060">
        <v>7</v>
      </c>
      <c r="C11" s="3052">
        <v>0</v>
      </c>
      <c r="D11" s="3052">
        <v>0</v>
      </c>
      <c r="E11" s="3052">
        <v>0</v>
      </c>
      <c r="F11" s="3052">
        <v>0</v>
      </c>
      <c r="G11" s="3052">
        <v>0</v>
      </c>
      <c r="H11" s="3052">
        <v>0</v>
      </c>
      <c r="I11" s="3052">
        <v>0</v>
      </c>
      <c r="J11" s="3052">
        <v>0</v>
      </c>
      <c r="K11" s="3052">
        <v>0</v>
      </c>
      <c r="L11" s="3052">
        <v>0</v>
      </c>
      <c r="M11" s="3052">
        <v>0</v>
      </c>
      <c r="N11" s="3052">
        <v>0</v>
      </c>
      <c r="O11" s="3052">
        <v>0</v>
      </c>
      <c r="P11" s="3052">
        <v>0</v>
      </c>
      <c r="Q11" s="3052">
        <v>0</v>
      </c>
      <c r="R11" s="3053">
        <f t="shared" si="2"/>
        <v>1</v>
      </c>
      <c r="S11" s="3053">
        <f t="shared" si="2"/>
        <v>1</v>
      </c>
      <c r="T11" s="3053">
        <f t="shared" si="2"/>
        <v>1</v>
      </c>
      <c r="U11" s="3053">
        <f t="shared" si="2"/>
        <v>1</v>
      </c>
      <c r="V11" s="3053">
        <f t="shared" si="2"/>
        <v>1</v>
      </c>
      <c r="W11" s="3053">
        <f t="shared" si="2"/>
        <v>1</v>
      </c>
      <c r="X11" s="3053">
        <f t="shared" si="2"/>
        <v>1</v>
      </c>
      <c r="Y11" s="3053">
        <f t="shared" si="2"/>
        <v>1</v>
      </c>
      <c r="Z11" s="3053">
        <f t="shared" si="2"/>
        <v>1</v>
      </c>
      <c r="AA11" s="3053">
        <f t="shared" si="2"/>
        <v>1</v>
      </c>
      <c r="AB11" s="3053">
        <f t="shared" si="2"/>
        <v>1</v>
      </c>
      <c r="AC11" s="3053">
        <f t="shared" si="2"/>
        <v>1</v>
      </c>
      <c r="AD11" s="3053">
        <f t="shared" si="2"/>
        <v>1</v>
      </c>
      <c r="AE11" s="3053">
        <f t="shared" si="2"/>
        <v>1</v>
      </c>
      <c r="AF11" s="3053">
        <f t="shared" si="2"/>
        <v>1</v>
      </c>
    </row>
    <row r="12" spans="1:32">
      <c r="A12" s="3043">
        <v>200</v>
      </c>
      <c r="B12" s="3060">
        <v>8</v>
      </c>
      <c r="C12" s="3052">
        <v>0</v>
      </c>
      <c r="D12" s="3052">
        <v>0</v>
      </c>
      <c r="E12" s="3052">
        <v>0</v>
      </c>
      <c r="F12" s="3052">
        <v>0</v>
      </c>
      <c r="G12" s="3052">
        <v>0</v>
      </c>
      <c r="H12" s="3052">
        <v>0</v>
      </c>
      <c r="I12" s="3052">
        <v>0</v>
      </c>
      <c r="J12" s="3052">
        <v>0</v>
      </c>
      <c r="K12" s="3052">
        <v>0</v>
      </c>
      <c r="L12" s="3052">
        <v>0</v>
      </c>
      <c r="M12" s="3052">
        <v>0</v>
      </c>
      <c r="N12" s="3052">
        <v>0</v>
      </c>
      <c r="O12" s="3052">
        <v>0</v>
      </c>
      <c r="P12" s="3052">
        <v>0</v>
      </c>
      <c r="Q12" s="3052">
        <v>0</v>
      </c>
      <c r="R12" s="3053">
        <f t="shared" si="2"/>
        <v>1</v>
      </c>
      <c r="S12" s="3053">
        <f t="shared" si="2"/>
        <v>1</v>
      </c>
      <c r="T12" s="3053">
        <f t="shared" si="2"/>
        <v>1</v>
      </c>
      <c r="U12" s="3053">
        <f t="shared" si="2"/>
        <v>1</v>
      </c>
      <c r="V12" s="3053">
        <f t="shared" si="2"/>
        <v>1</v>
      </c>
      <c r="W12" s="3053">
        <f t="shared" si="2"/>
        <v>1</v>
      </c>
      <c r="X12" s="3053">
        <f t="shared" si="2"/>
        <v>1</v>
      </c>
      <c r="Y12" s="3053">
        <f t="shared" si="2"/>
        <v>1</v>
      </c>
      <c r="Z12" s="3053">
        <f t="shared" si="2"/>
        <v>1</v>
      </c>
      <c r="AA12" s="3053">
        <f t="shared" si="2"/>
        <v>1</v>
      </c>
      <c r="AB12" s="3053">
        <f t="shared" si="2"/>
        <v>1</v>
      </c>
      <c r="AC12" s="3053">
        <f t="shared" si="2"/>
        <v>1</v>
      </c>
      <c r="AD12" s="3053">
        <f t="shared" si="2"/>
        <v>1</v>
      </c>
      <c r="AE12" s="3053">
        <f t="shared" si="2"/>
        <v>1</v>
      </c>
      <c r="AF12" s="3053">
        <f t="shared" si="2"/>
        <v>1</v>
      </c>
    </row>
    <row r="13" spans="1:32">
      <c r="A13" s="3043">
        <v>200</v>
      </c>
      <c r="B13" s="3060">
        <v>9</v>
      </c>
      <c r="C13" s="3052">
        <v>0</v>
      </c>
      <c r="D13" s="3052">
        <v>0</v>
      </c>
      <c r="E13" s="3052">
        <v>0</v>
      </c>
      <c r="F13" s="3052">
        <v>0</v>
      </c>
      <c r="G13" s="3052">
        <v>0</v>
      </c>
      <c r="H13" s="3052">
        <v>0</v>
      </c>
      <c r="I13" s="3052">
        <v>0</v>
      </c>
      <c r="J13" s="3052">
        <v>0</v>
      </c>
      <c r="K13" s="3052">
        <v>0</v>
      </c>
      <c r="L13" s="3052">
        <v>0</v>
      </c>
      <c r="M13" s="3052">
        <v>0</v>
      </c>
      <c r="N13" s="3052">
        <v>0</v>
      </c>
      <c r="O13" s="3052">
        <v>0</v>
      </c>
      <c r="P13" s="3052">
        <v>0</v>
      </c>
      <c r="Q13" s="3052">
        <v>0</v>
      </c>
      <c r="R13" s="3053">
        <f t="shared" si="2"/>
        <v>1</v>
      </c>
      <c r="S13" s="3053">
        <f t="shared" si="2"/>
        <v>1</v>
      </c>
      <c r="T13" s="3053">
        <f t="shared" si="2"/>
        <v>1</v>
      </c>
      <c r="U13" s="3053">
        <f t="shared" si="2"/>
        <v>1</v>
      </c>
      <c r="V13" s="3053">
        <f t="shared" si="2"/>
        <v>1</v>
      </c>
      <c r="W13" s="3053">
        <f t="shared" si="2"/>
        <v>1</v>
      </c>
      <c r="X13" s="3053">
        <f t="shared" si="2"/>
        <v>1</v>
      </c>
      <c r="Y13" s="3053">
        <f t="shared" si="2"/>
        <v>1</v>
      </c>
      <c r="Z13" s="3053">
        <f t="shared" si="2"/>
        <v>1</v>
      </c>
      <c r="AA13" s="3053">
        <f t="shared" si="2"/>
        <v>1</v>
      </c>
      <c r="AB13" s="3053">
        <f t="shared" si="2"/>
        <v>1</v>
      </c>
      <c r="AC13" s="3053">
        <f t="shared" si="2"/>
        <v>1</v>
      </c>
      <c r="AD13" s="3053">
        <f t="shared" si="2"/>
        <v>1</v>
      </c>
      <c r="AE13" s="3053">
        <f t="shared" si="2"/>
        <v>1</v>
      </c>
      <c r="AF13" s="3053">
        <f t="shared" si="2"/>
        <v>1</v>
      </c>
    </row>
    <row r="14" spans="1:32">
      <c r="A14" s="3043">
        <v>200</v>
      </c>
      <c r="B14" s="3060">
        <v>10</v>
      </c>
      <c r="C14" s="3052">
        <v>0</v>
      </c>
      <c r="D14" s="3052">
        <v>0</v>
      </c>
      <c r="E14" s="3052">
        <v>0</v>
      </c>
      <c r="F14" s="3052">
        <v>0</v>
      </c>
      <c r="G14" s="3052">
        <v>0</v>
      </c>
      <c r="H14" s="3052">
        <v>0</v>
      </c>
      <c r="I14" s="3052">
        <v>0</v>
      </c>
      <c r="J14" s="3052">
        <v>0</v>
      </c>
      <c r="K14" s="3052">
        <v>0</v>
      </c>
      <c r="L14" s="3052">
        <v>0</v>
      </c>
      <c r="M14" s="3052">
        <v>0</v>
      </c>
      <c r="N14" s="3052">
        <v>0</v>
      </c>
      <c r="O14" s="3052">
        <v>0</v>
      </c>
      <c r="P14" s="3052">
        <v>0</v>
      </c>
      <c r="Q14" s="3052">
        <v>0</v>
      </c>
      <c r="R14" s="3053">
        <f t="shared" si="2"/>
        <v>1</v>
      </c>
      <c r="S14" s="3053">
        <f t="shared" si="2"/>
        <v>1</v>
      </c>
      <c r="T14" s="3053">
        <f t="shared" si="2"/>
        <v>1</v>
      </c>
      <c r="U14" s="3053">
        <f t="shared" si="2"/>
        <v>1</v>
      </c>
      <c r="V14" s="3053">
        <f t="shared" si="2"/>
        <v>1</v>
      </c>
      <c r="W14" s="3053">
        <f t="shared" si="2"/>
        <v>1</v>
      </c>
      <c r="X14" s="3053">
        <f t="shared" si="2"/>
        <v>1</v>
      </c>
      <c r="Y14" s="3053">
        <f t="shared" si="2"/>
        <v>1</v>
      </c>
      <c r="Z14" s="3053">
        <f t="shared" si="2"/>
        <v>1</v>
      </c>
      <c r="AA14" s="3053">
        <f t="shared" si="2"/>
        <v>1</v>
      </c>
      <c r="AB14" s="3053">
        <f t="shared" si="2"/>
        <v>1</v>
      </c>
      <c r="AC14" s="3053">
        <f t="shared" si="2"/>
        <v>1</v>
      </c>
      <c r="AD14" s="3053">
        <f t="shared" si="2"/>
        <v>1</v>
      </c>
      <c r="AE14" s="3053">
        <f t="shared" si="2"/>
        <v>1</v>
      </c>
      <c r="AF14" s="3053">
        <f t="shared" si="2"/>
        <v>1</v>
      </c>
    </row>
    <row r="15" spans="1:32">
      <c r="A15" s="3043">
        <v>200</v>
      </c>
      <c r="B15" s="3060">
        <v>11</v>
      </c>
      <c r="C15" s="3052">
        <v>0</v>
      </c>
      <c r="D15" s="3052">
        <v>0</v>
      </c>
      <c r="E15" s="3052">
        <v>0</v>
      </c>
      <c r="F15" s="3052">
        <v>0</v>
      </c>
      <c r="G15" s="3052">
        <v>0</v>
      </c>
      <c r="H15" s="3052">
        <v>0</v>
      </c>
      <c r="I15" s="3052">
        <v>0</v>
      </c>
      <c r="J15" s="3052">
        <v>0</v>
      </c>
      <c r="K15" s="3052">
        <v>0</v>
      </c>
      <c r="L15" s="3052">
        <v>0</v>
      </c>
      <c r="M15" s="3052">
        <v>0</v>
      </c>
      <c r="N15" s="3052">
        <v>0</v>
      </c>
      <c r="O15" s="3052">
        <v>0</v>
      </c>
      <c r="P15" s="3052">
        <v>0</v>
      </c>
      <c r="Q15" s="3052">
        <v>0</v>
      </c>
      <c r="R15" s="3053">
        <f t="shared" si="2"/>
        <v>1</v>
      </c>
      <c r="S15" s="3053">
        <f t="shared" si="2"/>
        <v>1</v>
      </c>
      <c r="T15" s="3053">
        <f t="shared" si="2"/>
        <v>1</v>
      </c>
      <c r="U15" s="3053">
        <f t="shared" si="2"/>
        <v>1</v>
      </c>
      <c r="V15" s="3053">
        <f t="shared" si="2"/>
        <v>1</v>
      </c>
      <c r="W15" s="3053">
        <f t="shared" si="2"/>
        <v>1</v>
      </c>
      <c r="X15" s="3053">
        <f t="shared" si="2"/>
        <v>1</v>
      </c>
      <c r="Y15" s="3053">
        <f t="shared" si="2"/>
        <v>1</v>
      </c>
      <c r="Z15" s="3053">
        <f t="shared" si="2"/>
        <v>1</v>
      </c>
      <c r="AA15" s="3053">
        <f t="shared" si="2"/>
        <v>1</v>
      </c>
      <c r="AB15" s="3053">
        <f t="shared" si="2"/>
        <v>1</v>
      </c>
      <c r="AC15" s="3053">
        <f t="shared" si="2"/>
        <v>1</v>
      </c>
      <c r="AD15" s="3053">
        <f t="shared" si="2"/>
        <v>1</v>
      </c>
      <c r="AE15" s="3053">
        <f t="shared" si="2"/>
        <v>1</v>
      </c>
      <c r="AF15" s="3053">
        <f t="shared" si="2"/>
        <v>1</v>
      </c>
    </row>
    <row r="16" spans="1:32">
      <c r="A16" s="3043">
        <v>200</v>
      </c>
      <c r="B16" s="3060">
        <v>12</v>
      </c>
      <c r="C16" s="3052">
        <v>0</v>
      </c>
      <c r="D16" s="3052">
        <v>0</v>
      </c>
      <c r="E16" s="3052">
        <v>0</v>
      </c>
      <c r="F16" s="3052">
        <v>0</v>
      </c>
      <c r="G16" s="3052">
        <v>0</v>
      </c>
      <c r="H16" s="3052">
        <v>0</v>
      </c>
      <c r="I16" s="3052">
        <v>0</v>
      </c>
      <c r="J16" s="3052">
        <v>0</v>
      </c>
      <c r="K16" s="3052">
        <v>0</v>
      </c>
      <c r="L16" s="3052">
        <v>0</v>
      </c>
      <c r="M16" s="3052">
        <v>0</v>
      </c>
      <c r="N16" s="3052">
        <v>0</v>
      </c>
      <c r="O16" s="3052">
        <v>0</v>
      </c>
      <c r="P16" s="3052">
        <v>0</v>
      </c>
      <c r="Q16" s="3052">
        <v>0</v>
      </c>
      <c r="R16" s="3053">
        <f t="shared" si="2"/>
        <v>1</v>
      </c>
      <c r="S16" s="3053">
        <f t="shared" si="2"/>
        <v>1</v>
      </c>
      <c r="T16" s="3053">
        <f t="shared" si="2"/>
        <v>1</v>
      </c>
      <c r="U16" s="3053">
        <f t="shared" si="2"/>
        <v>1</v>
      </c>
      <c r="V16" s="3053">
        <f t="shared" si="2"/>
        <v>1</v>
      </c>
      <c r="W16" s="3053">
        <f t="shared" si="2"/>
        <v>1</v>
      </c>
      <c r="X16" s="3053">
        <f t="shared" si="2"/>
        <v>1</v>
      </c>
      <c r="Y16" s="3053">
        <f t="shared" si="2"/>
        <v>1</v>
      </c>
      <c r="Z16" s="3053">
        <f t="shared" si="2"/>
        <v>1</v>
      </c>
      <c r="AA16" s="3053">
        <f t="shared" si="2"/>
        <v>1</v>
      </c>
      <c r="AB16" s="3053">
        <f t="shared" si="2"/>
        <v>1</v>
      </c>
      <c r="AC16" s="3053">
        <f t="shared" si="2"/>
        <v>1</v>
      </c>
      <c r="AD16" s="3053">
        <f t="shared" si="2"/>
        <v>1</v>
      </c>
      <c r="AE16" s="3053">
        <f t="shared" si="2"/>
        <v>1</v>
      </c>
      <c r="AF16" s="3053">
        <f t="shared" si="2"/>
        <v>1</v>
      </c>
    </row>
    <row r="17" spans="1:32">
      <c r="A17" s="3043">
        <v>200</v>
      </c>
      <c r="B17" s="3060">
        <v>13</v>
      </c>
      <c r="C17" s="3052">
        <v>0</v>
      </c>
      <c r="D17" s="3052">
        <v>0</v>
      </c>
      <c r="E17" s="3052">
        <v>0</v>
      </c>
      <c r="F17" s="3052">
        <v>0</v>
      </c>
      <c r="G17" s="3052">
        <v>0</v>
      </c>
      <c r="H17" s="3052">
        <v>0</v>
      </c>
      <c r="I17" s="3052">
        <v>0</v>
      </c>
      <c r="J17" s="3052">
        <v>0</v>
      </c>
      <c r="K17" s="3052">
        <v>0</v>
      </c>
      <c r="L17" s="3052">
        <v>0</v>
      </c>
      <c r="M17" s="3052">
        <v>0</v>
      </c>
      <c r="N17" s="3052">
        <v>0</v>
      </c>
      <c r="O17" s="3052">
        <v>0</v>
      </c>
      <c r="P17" s="3052">
        <v>0</v>
      </c>
      <c r="Q17" s="3052">
        <v>0</v>
      </c>
      <c r="R17" s="3053">
        <f t="shared" si="2"/>
        <v>1</v>
      </c>
      <c r="S17" s="3053">
        <f t="shared" si="2"/>
        <v>1</v>
      </c>
      <c r="T17" s="3053">
        <f t="shared" si="2"/>
        <v>1</v>
      </c>
      <c r="U17" s="3053">
        <f t="shared" si="2"/>
        <v>1</v>
      </c>
      <c r="V17" s="3053">
        <f t="shared" si="2"/>
        <v>1</v>
      </c>
      <c r="W17" s="3053">
        <f t="shared" si="2"/>
        <v>1</v>
      </c>
      <c r="X17" s="3053">
        <f t="shared" si="2"/>
        <v>1</v>
      </c>
      <c r="Y17" s="3053">
        <f t="shared" si="2"/>
        <v>1</v>
      </c>
      <c r="Z17" s="3053">
        <f t="shared" si="2"/>
        <v>1</v>
      </c>
      <c r="AA17" s="3053">
        <f t="shared" si="2"/>
        <v>1</v>
      </c>
      <c r="AB17" s="3053">
        <f t="shared" si="2"/>
        <v>1</v>
      </c>
      <c r="AC17" s="3053">
        <f t="shared" si="2"/>
        <v>1</v>
      </c>
      <c r="AD17" s="3053">
        <f t="shared" si="2"/>
        <v>1</v>
      </c>
      <c r="AE17" s="3053">
        <f t="shared" si="2"/>
        <v>1</v>
      </c>
      <c r="AF17" s="3053">
        <f t="shared" si="2"/>
        <v>1</v>
      </c>
    </row>
    <row r="18" spans="1:32">
      <c r="A18" s="3043">
        <v>200</v>
      </c>
      <c r="B18" s="3060">
        <v>14</v>
      </c>
      <c r="C18" s="3052">
        <v>0</v>
      </c>
      <c r="D18" s="3052">
        <v>0</v>
      </c>
      <c r="E18" s="3052">
        <v>0</v>
      </c>
      <c r="F18" s="3052">
        <v>0</v>
      </c>
      <c r="G18" s="3052">
        <v>0</v>
      </c>
      <c r="H18" s="3052">
        <v>0</v>
      </c>
      <c r="I18" s="3052">
        <v>0</v>
      </c>
      <c r="J18" s="3052">
        <v>0</v>
      </c>
      <c r="K18" s="3052">
        <v>0</v>
      </c>
      <c r="L18" s="3052">
        <v>0</v>
      </c>
      <c r="M18" s="3052">
        <v>0</v>
      </c>
      <c r="N18" s="3052">
        <v>0</v>
      </c>
      <c r="O18" s="3052">
        <v>3.9050868734262408E-4</v>
      </c>
      <c r="P18" s="3052">
        <v>0</v>
      </c>
      <c r="Q18" s="3052">
        <v>0</v>
      </c>
      <c r="R18" s="3053">
        <f t="shared" si="2"/>
        <v>1</v>
      </c>
      <c r="S18" s="3053">
        <f t="shared" si="2"/>
        <v>1</v>
      </c>
      <c r="T18" s="3053">
        <f t="shared" si="2"/>
        <v>1</v>
      </c>
      <c r="U18" s="3053">
        <f t="shared" si="2"/>
        <v>1</v>
      </c>
      <c r="V18" s="3053">
        <f t="shared" si="2"/>
        <v>1</v>
      </c>
      <c r="W18" s="3053">
        <f t="shared" si="2"/>
        <v>1</v>
      </c>
      <c r="X18" s="3053">
        <f t="shared" si="2"/>
        <v>1</v>
      </c>
      <c r="Y18" s="3053">
        <f t="shared" si="2"/>
        <v>1</v>
      </c>
      <c r="Z18" s="3053">
        <f t="shared" si="2"/>
        <v>1</v>
      </c>
      <c r="AA18" s="3053">
        <f t="shared" si="2"/>
        <v>1</v>
      </c>
      <c r="AB18" s="3053">
        <f t="shared" si="2"/>
        <v>1</v>
      </c>
      <c r="AC18" s="3053">
        <f t="shared" si="2"/>
        <v>1</v>
      </c>
      <c r="AD18" s="3053">
        <f t="shared" si="2"/>
        <v>1.0003905086873426</v>
      </c>
      <c r="AE18" s="3053">
        <f t="shared" si="2"/>
        <v>1</v>
      </c>
      <c r="AF18" s="3053">
        <f t="shared" si="2"/>
        <v>1</v>
      </c>
    </row>
    <row r="19" spans="1:32">
      <c r="A19" s="3043">
        <v>200</v>
      </c>
      <c r="B19" s="3060">
        <v>15</v>
      </c>
      <c r="C19" s="3052">
        <v>0</v>
      </c>
      <c r="D19" s="3052">
        <v>0</v>
      </c>
      <c r="E19" s="3052">
        <v>0</v>
      </c>
      <c r="F19" s="3052">
        <v>0</v>
      </c>
      <c r="G19" s="3052">
        <v>0</v>
      </c>
      <c r="H19" s="3052">
        <v>0</v>
      </c>
      <c r="I19" s="3052">
        <v>0</v>
      </c>
      <c r="J19" s="3052">
        <v>0</v>
      </c>
      <c r="K19" s="3052">
        <v>0</v>
      </c>
      <c r="L19" s="3052">
        <v>0</v>
      </c>
      <c r="M19" s="3052">
        <v>0</v>
      </c>
      <c r="N19" s="3052">
        <v>0</v>
      </c>
      <c r="O19" s="3052">
        <v>0</v>
      </c>
      <c r="P19" s="3052">
        <v>0</v>
      </c>
      <c r="Q19" s="3052">
        <v>0</v>
      </c>
      <c r="R19" s="3053">
        <f t="shared" si="2"/>
        <v>1</v>
      </c>
      <c r="S19" s="3053">
        <f t="shared" si="2"/>
        <v>1</v>
      </c>
      <c r="T19" s="3053">
        <f t="shared" si="2"/>
        <v>1</v>
      </c>
      <c r="U19" s="3053">
        <f t="shared" si="2"/>
        <v>1</v>
      </c>
      <c r="V19" s="3053">
        <f t="shared" si="2"/>
        <v>1</v>
      </c>
      <c r="W19" s="3053">
        <f t="shared" si="2"/>
        <v>1</v>
      </c>
      <c r="X19" s="3053">
        <f t="shared" si="2"/>
        <v>1</v>
      </c>
      <c r="Y19" s="3053">
        <f t="shared" si="2"/>
        <v>1</v>
      </c>
      <c r="Z19" s="3053">
        <f t="shared" si="2"/>
        <v>1</v>
      </c>
      <c r="AA19" s="3053">
        <f t="shared" si="2"/>
        <v>1</v>
      </c>
      <c r="AB19" s="3053">
        <f t="shared" si="2"/>
        <v>1</v>
      </c>
      <c r="AC19" s="3053">
        <f t="shared" si="2"/>
        <v>1</v>
      </c>
      <c r="AD19" s="3053">
        <f t="shared" si="2"/>
        <v>1.0003905086873426</v>
      </c>
      <c r="AE19" s="3053">
        <f t="shared" si="2"/>
        <v>1</v>
      </c>
      <c r="AF19" s="3053">
        <f t="shared" si="2"/>
        <v>1</v>
      </c>
    </row>
    <row r="20" spans="1:32">
      <c r="A20" s="3043">
        <v>200</v>
      </c>
      <c r="B20" s="3060">
        <v>16</v>
      </c>
      <c r="C20" s="3052">
        <v>0</v>
      </c>
      <c r="D20" s="3052">
        <v>0</v>
      </c>
      <c r="E20" s="3052">
        <v>0</v>
      </c>
      <c r="F20" s="3052">
        <v>0</v>
      </c>
      <c r="G20" s="3052">
        <v>0</v>
      </c>
      <c r="H20" s="3052">
        <v>0</v>
      </c>
      <c r="I20" s="3052">
        <v>0</v>
      </c>
      <c r="J20" s="3052">
        <v>0</v>
      </c>
      <c r="K20" s="3052">
        <v>0</v>
      </c>
      <c r="L20" s="3052">
        <v>0</v>
      </c>
      <c r="M20" s="3052">
        <v>0</v>
      </c>
      <c r="N20" s="3052">
        <v>0</v>
      </c>
      <c r="O20" s="3052">
        <v>0</v>
      </c>
      <c r="P20" s="3052">
        <v>0</v>
      </c>
      <c r="Q20" s="3052">
        <v>0</v>
      </c>
      <c r="R20" s="3053">
        <f t="shared" si="2"/>
        <v>1</v>
      </c>
      <c r="S20" s="3053">
        <f t="shared" si="2"/>
        <v>1</v>
      </c>
      <c r="T20" s="3053">
        <f t="shared" si="2"/>
        <v>1</v>
      </c>
      <c r="U20" s="3053">
        <f t="shared" si="2"/>
        <v>1</v>
      </c>
      <c r="V20" s="3053">
        <f t="shared" si="2"/>
        <v>1</v>
      </c>
      <c r="W20" s="3053">
        <f t="shared" si="2"/>
        <v>1</v>
      </c>
      <c r="X20" s="3053">
        <f t="shared" si="2"/>
        <v>1</v>
      </c>
      <c r="Y20" s="3053">
        <f t="shared" si="2"/>
        <v>1</v>
      </c>
      <c r="Z20" s="3053">
        <f t="shared" si="2"/>
        <v>1</v>
      </c>
      <c r="AA20" s="3053">
        <f t="shared" si="2"/>
        <v>1</v>
      </c>
      <c r="AB20" s="3053">
        <f t="shared" si="2"/>
        <v>1</v>
      </c>
      <c r="AC20" s="3053">
        <f t="shared" si="2"/>
        <v>1</v>
      </c>
      <c r="AD20" s="3053">
        <f t="shared" si="2"/>
        <v>1.0003905086873426</v>
      </c>
      <c r="AE20" s="3053">
        <f t="shared" si="2"/>
        <v>1</v>
      </c>
      <c r="AF20" s="3053">
        <f t="shared" si="2"/>
        <v>1</v>
      </c>
    </row>
    <row r="21" spans="1:32">
      <c r="A21" s="3043">
        <v>200</v>
      </c>
      <c r="B21" s="3060">
        <v>17</v>
      </c>
      <c r="C21" s="3052">
        <v>0</v>
      </c>
      <c r="D21" s="3052">
        <v>0</v>
      </c>
      <c r="E21" s="3052">
        <v>0</v>
      </c>
      <c r="F21" s="3052">
        <v>0</v>
      </c>
      <c r="G21" s="3052">
        <v>0</v>
      </c>
      <c r="H21" s="3052">
        <v>0</v>
      </c>
      <c r="I21" s="3052">
        <v>0</v>
      </c>
      <c r="J21" s="3052">
        <v>0</v>
      </c>
      <c r="K21" s="3052">
        <v>0</v>
      </c>
      <c r="L21" s="3052">
        <v>0</v>
      </c>
      <c r="M21" s="3052">
        <v>0</v>
      </c>
      <c r="N21" s="3052">
        <v>0</v>
      </c>
      <c r="O21" s="3052">
        <v>0</v>
      </c>
      <c r="P21" s="3052">
        <v>0</v>
      </c>
      <c r="Q21" s="3052">
        <v>0</v>
      </c>
      <c r="R21" s="3053">
        <f t="shared" si="2"/>
        <v>1</v>
      </c>
      <c r="S21" s="3053">
        <f t="shared" si="2"/>
        <v>1</v>
      </c>
      <c r="T21" s="3053">
        <f t="shared" si="2"/>
        <v>1</v>
      </c>
      <c r="U21" s="3053">
        <f t="shared" si="2"/>
        <v>1</v>
      </c>
      <c r="V21" s="3053">
        <f t="shared" si="2"/>
        <v>1</v>
      </c>
      <c r="W21" s="3053">
        <f t="shared" si="2"/>
        <v>1</v>
      </c>
      <c r="X21" s="3053">
        <f t="shared" si="2"/>
        <v>1</v>
      </c>
      <c r="Y21" s="3053">
        <f t="shared" si="2"/>
        <v>1</v>
      </c>
      <c r="Z21" s="3053">
        <f t="shared" si="2"/>
        <v>1</v>
      </c>
      <c r="AA21" s="3053">
        <f t="shared" si="2"/>
        <v>1</v>
      </c>
      <c r="AB21" s="3053">
        <f t="shared" si="2"/>
        <v>1</v>
      </c>
      <c r="AC21" s="3053">
        <f t="shared" si="2"/>
        <v>1</v>
      </c>
      <c r="AD21" s="3053">
        <f t="shared" si="2"/>
        <v>1.0003905086873426</v>
      </c>
      <c r="AE21" s="3053">
        <f t="shared" si="2"/>
        <v>1</v>
      </c>
      <c r="AF21" s="3053">
        <f t="shared" si="2"/>
        <v>1</v>
      </c>
    </row>
    <row r="22" spans="1:32">
      <c r="A22" s="3043">
        <v>200</v>
      </c>
      <c r="B22" s="3060">
        <v>18</v>
      </c>
      <c r="C22" s="3052">
        <v>0</v>
      </c>
      <c r="D22" s="3052">
        <v>0</v>
      </c>
      <c r="E22" s="3052">
        <v>0</v>
      </c>
      <c r="F22" s="3052">
        <v>0</v>
      </c>
      <c r="G22" s="3052">
        <v>0</v>
      </c>
      <c r="H22" s="3052">
        <v>0</v>
      </c>
      <c r="I22" s="3052">
        <v>0</v>
      </c>
      <c r="J22" s="3052">
        <v>0</v>
      </c>
      <c r="K22" s="3052">
        <v>0</v>
      </c>
      <c r="L22" s="3052">
        <v>0</v>
      </c>
      <c r="M22" s="3052">
        <v>0</v>
      </c>
      <c r="N22" s="3052">
        <v>0</v>
      </c>
      <c r="O22" s="3052">
        <v>0</v>
      </c>
      <c r="P22" s="3052">
        <v>0</v>
      </c>
      <c r="Q22" s="3052">
        <v>0</v>
      </c>
      <c r="R22" s="3053">
        <f t="shared" ref="R22:AF37" si="3">C22+R21</f>
        <v>1</v>
      </c>
      <c r="S22" s="3053">
        <f t="shared" si="3"/>
        <v>1</v>
      </c>
      <c r="T22" s="3053">
        <f t="shared" si="3"/>
        <v>1</v>
      </c>
      <c r="U22" s="3053">
        <f t="shared" si="3"/>
        <v>1</v>
      </c>
      <c r="V22" s="3053">
        <f t="shared" si="3"/>
        <v>1</v>
      </c>
      <c r="W22" s="3053">
        <f t="shared" si="3"/>
        <v>1</v>
      </c>
      <c r="X22" s="3053">
        <f t="shared" si="3"/>
        <v>1</v>
      </c>
      <c r="Y22" s="3053">
        <f t="shared" si="3"/>
        <v>1</v>
      </c>
      <c r="Z22" s="3053">
        <f t="shared" si="3"/>
        <v>1</v>
      </c>
      <c r="AA22" s="3053">
        <f t="shared" si="3"/>
        <v>1</v>
      </c>
      <c r="AB22" s="3053">
        <f t="shared" si="3"/>
        <v>1</v>
      </c>
      <c r="AC22" s="3053">
        <f t="shared" si="3"/>
        <v>1</v>
      </c>
      <c r="AD22" s="3053">
        <f t="shared" si="3"/>
        <v>1.0003905086873426</v>
      </c>
      <c r="AE22" s="3053">
        <f t="shared" si="3"/>
        <v>1</v>
      </c>
      <c r="AF22" s="3053">
        <f t="shared" si="3"/>
        <v>1</v>
      </c>
    </row>
    <row r="23" spans="1:32">
      <c r="A23" s="3043">
        <v>200</v>
      </c>
      <c r="B23" s="3060">
        <v>19</v>
      </c>
      <c r="C23" s="3052">
        <v>0</v>
      </c>
      <c r="D23" s="3052">
        <v>0</v>
      </c>
      <c r="E23" s="3052">
        <v>0</v>
      </c>
      <c r="F23" s="3052">
        <v>0</v>
      </c>
      <c r="G23" s="3052">
        <v>0</v>
      </c>
      <c r="H23" s="3052">
        <v>0</v>
      </c>
      <c r="I23" s="3052">
        <v>0</v>
      </c>
      <c r="J23" s="3052">
        <v>0</v>
      </c>
      <c r="K23" s="3052">
        <v>0</v>
      </c>
      <c r="L23" s="3052">
        <v>0</v>
      </c>
      <c r="M23" s="3052">
        <v>0</v>
      </c>
      <c r="N23" s="3052">
        <v>0</v>
      </c>
      <c r="O23" s="3052">
        <v>0</v>
      </c>
      <c r="P23" s="3052">
        <v>0</v>
      </c>
      <c r="Q23" s="3052">
        <v>0</v>
      </c>
      <c r="R23" s="3053">
        <f t="shared" si="3"/>
        <v>1</v>
      </c>
      <c r="S23" s="3053">
        <f t="shared" si="3"/>
        <v>1</v>
      </c>
      <c r="T23" s="3053">
        <f t="shared" si="3"/>
        <v>1</v>
      </c>
      <c r="U23" s="3053">
        <f t="shared" si="3"/>
        <v>1</v>
      </c>
      <c r="V23" s="3053">
        <f t="shared" si="3"/>
        <v>1</v>
      </c>
      <c r="W23" s="3053">
        <f t="shared" si="3"/>
        <v>1</v>
      </c>
      <c r="X23" s="3053">
        <f t="shared" si="3"/>
        <v>1</v>
      </c>
      <c r="Y23" s="3053">
        <f t="shared" si="3"/>
        <v>1</v>
      </c>
      <c r="Z23" s="3053">
        <f t="shared" si="3"/>
        <v>1</v>
      </c>
      <c r="AA23" s="3053">
        <f t="shared" si="3"/>
        <v>1</v>
      </c>
      <c r="AB23" s="3053">
        <f t="shared" si="3"/>
        <v>1</v>
      </c>
      <c r="AC23" s="3053">
        <f t="shared" si="3"/>
        <v>1</v>
      </c>
      <c r="AD23" s="3053">
        <f t="shared" si="3"/>
        <v>1.0003905086873426</v>
      </c>
      <c r="AE23" s="3053">
        <f t="shared" si="3"/>
        <v>1</v>
      </c>
      <c r="AF23" s="3053">
        <f t="shared" si="3"/>
        <v>1</v>
      </c>
    </row>
    <row r="24" spans="1:32">
      <c r="A24" s="3043">
        <v>200</v>
      </c>
      <c r="B24" s="3060">
        <v>20</v>
      </c>
      <c r="C24" s="3052">
        <v>0</v>
      </c>
      <c r="D24" s="3052">
        <v>0</v>
      </c>
      <c r="E24" s="3052">
        <v>0</v>
      </c>
      <c r="F24" s="3052">
        <v>0</v>
      </c>
      <c r="G24" s="3052">
        <v>0</v>
      </c>
      <c r="H24" s="3052">
        <v>0</v>
      </c>
      <c r="I24" s="3052">
        <v>0</v>
      </c>
      <c r="J24" s="3052">
        <v>0</v>
      </c>
      <c r="K24" s="3052">
        <v>0</v>
      </c>
      <c r="L24" s="3052">
        <v>0</v>
      </c>
      <c r="M24" s="3052">
        <v>0</v>
      </c>
      <c r="N24" s="3052">
        <v>0</v>
      </c>
      <c r="O24" s="3052">
        <v>0</v>
      </c>
      <c r="P24" s="3052">
        <v>0</v>
      </c>
      <c r="Q24" s="3052">
        <v>0</v>
      </c>
      <c r="R24" s="3053">
        <f t="shared" si="3"/>
        <v>1</v>
      </c>
      <c r="S24" s="3053">
        <f t="shared" si="3"/>
        <v>1</v>
      </c>
      <c r="T24" s="3053">
        <f t="shared" si="3"/>
        <v>1</v>
      </c>
      <c r="U24" s="3053">
        <f t="shared" si="3"/>
        <v>1</v>
      </c>
      <c r="V24" s="3053">
        <f t="shared" si="3"/>
        <v>1</v>
      </c>
      <c r="W24" s="3053">
        <f t="shared" si="3"/>
        <v>1</v>
      </c>
      <c r="X24" s="3053">
        <f t="shared" si="3"/>
        <v>1</v>
      </c>
      <c r="Y24" s="3053">
        <f t="shared" si="3"/>
        <v>1</v>
      </c>
      <c r="Z24" s="3053">
        <f t="shared" si="3"/>
        <v>1</v>
      </c>
      <c r="AA24" s="3053">
        <f t="shared" si="3"/>
        <v>1</v>
      </c>
      <c r="AB24" s="3053">
        <f t="shared" si="3"/>
        <v>1</v>
      </c>
      <c r="AC24" s="3053">
        <f t="shared" si="3"/>
        <v>1</v>
      </c>
      <c r="AD24" s="3053">
        <f t="shared" si="3"/>
        <v>1.0003905086873426</v>
      </c>
      <c r="AE24" s="3053">
        <f t="shared" si="3"/>
        <v>1</v>
      </c>
      <c r="AF24" s="3053">
        <f t="shared" si="3"/>
        <v>1</v>
      </c>
    </row>
    <row r="25" spans="1:32">
      <c r="A25" s="3043">
        <v>200</v>
      </c>
      <c r="B25" s="3060">
        <v>21</v>
      </c>
      <c r="C25" s="3052">
        <v>0</v>
      </c>
      <c r="D25" s="3052">
        <v>0</v>
      </c>
      <c r="E25" s="3052">
        <v>0</v>
      </c>
      <c r="F25" s="3052">
        <v>0</v>
      </c>
      <c r="G25" s="3052">
        <v>0</v>
      </c>
      <c r="H25" s="3052">
        <v>0</v>
      </c>
      <c r="I25" s="3052">
        <v>0</v>
      </c>
      <c r="J25" s="3052">
        <v>0</v>
      </c>
      <c r="K25" s="3052">
        <v>0</v>
      </c>
      <c r="L25" s="3052">
        <v>0</v>
      </c>
      <c r="M25" s="3052">
        <v>0</v>
      </c>
      <c r="N25" s="3052">
        <v>0</v>
      </c>
      <c r="O25" s="3052">
        <v>0</v>
      </c>
      <c r="P25" s="3052">
        <v>0</v>
      </c>
      <c r="Q25" s="3052">
        <v>0</v>
      </c>
      <c r="R25" s="3053">
        <f t="shared" si="3"/>
        <v>1</v>
      </c>
      <c r="S25" s="3053">
        <f t="shared" si="3"/>
        <v>1</v>
      </c>
      <c r="T25" s="3053">
        <f t="shared" si="3"/>
        <v>1</v>
      </c>
      <c r="U25" s="3053">
        <f t="shared" si="3"/>
        <v>1</v>
      </c>
      <c r="V25" s="3053">
        <f t="shared" si="3"/>
        <v>1</v>
      </c>
      <c r="W25" s="3053">
        <f t="shared" si="3"/>
        <v>1</v>
      </c>
      <c r="X25" s="3053">
        <f t="shared" si="3"/>
        <v>1</v>
      </c>
      <c r="Y25" s="3053">
        <f t="shared" si="3"/>
        <v>1</v>
      </c>
      <c r="Z25" s="3053">
        <f t="shared" si="3"/>
        <v>1</v>
      </c>
      <c r="AA25" s="3053">
        <f t="shared" si="3"/>
        <v>1</v>
      </c>
      <c r="AB25" s="3053">
        <f t="shared" si="3"/>
        <v>1</v>
      </c>
      <c r="AC25" s="3053">
        <f t="shared" si="3"/>
        <v>1</v>
      </c>
      <c r="AD25" s="3053">
        <f t="shared" si="3"/>
        <v>1.0003905086873426</v>
      </c>
      <c r="AE25" s="3053">
        <f t="shared" si="3"/>
        <v>1</v>
      </c>
      <c r="AF25" s="3053">
        <f t="shared" si="3"/>
        <v>1</v>
      </c>
    </row>
    <row r="26" spans="1:32">
      <c r="A26" s="3043">
        <v>200</v>
      </c>
      <c r="B26" s="3060">
        <v>22</v>
      </c>
      <c r="C26" s="3052">
        <v>0</v>
      </c>
      <c r="D26" s="3052">
        <v>0</v>
      </c>
      <c r="E26" s="3052">
        <v>0</v>
      </c>
      <c r="F26" s="3052">
        <v>0</v>
      </c>
      <c r="G26" s="3052">
        <v>0</v>
      </c>
      <c r="H26" s="3052">
        <v>0</v>
      </c>
      <c r="I26" s="3052">
        <v>0</v>
      </c>
      <c r="J26" s="3052">
        <v>0</v>
      </c>
      <c r="K26" s="3052">
        <v>0</v>
      </c>
      <c r="L26" s="3052">
        <v>0</v>
      </c>
      <c r="M26" s="3052">
        <v>0</v>
      </c>
      <c r="N26" s="3052">
        <v>0</v>
      </c>
      <c r="O26" s="3052">
        <v>0</v>
      </c>
      <c r="P26" s="3052">
        <v>0</v>
      </c>
      <c r="Q26" s="3052">
        <v>0</v>
      </c>
      <c r="R26" s="3053">
        <f t="shared" si="3"/>
        <v>1</v>
      </c>
      <c r="S26" s="3053">
        <f t="shared" si="3"/>
        <v>1</v>
      </c>
      <c r="T26" s="3053">
        <f t="shared" si="3"/>
        <v>1</v>
      </c>
      <c r="U26" s="3053">
        <f t="shared" si="3"/>
        <v>1</v>
      </c>
      <c r="V26" s="3053">
        <f t="shared" si="3"/>
        <v>1</v>
      </c>
      <c r="W26" s="3053">
        <f t="shared" si="3"/>
        <v>1</v>
      </c>
      <c r="X26" s="3053">
        <f t="shared" si="3"/>
        <v>1</v>
      </c>
      <c r="Y26" s="3053">
        <f t="shared" si="3"/>
        <v>1</v>
      </c>
      <c r="Z26" s="3053">
        <f t="shared" si="3"/>
        <v>1</v>
      </c>
      <c r="AA26" s="3053">
        <f t="shared" si="3"/>
        <v>1</v>
      </c>
      <c r="AB26" s="3053">
        <f t="shared" si="3"/>
        <v>1</v>
      </c>
      <c r="AC26" s="3053">
        <f t="shared" si="3"/>
        <v>1</v>
      </c>
      <c r="AD26" s="3053">
        <f t="shared" si="3"/>
        <v>1.0003905086873426</v>
      </c>
      <c r="AE26" s="3053">
        <f t="shared" si="3"/>
        <v>1</v>
      </c>
      <c r="AF26" s="3053">
        <f t="shared" si="3"/>
        <v>1</v>
      </c>
    </row>
    <row r="27" spans="1:32">
      <c r="A27" s="3043">
        <v>200</v>
      </c>
      <c r="B27" s="3060">
        <v>23</v>
      </c>
      <c r="C27" s="3052">
        <v>0</v>
      </c>
      <c r="D27" s="3052">
        <v>0</v>
      </c>
      <c r="E27" s="3052">
        <v>0</v>
      </c>
      <c r="F27" s="3052">
        <v>0</v>
      </c>
      <c r="G27" s="3052">
        <v>0</v>
      </c>
      <c r="H27" s="3052">
        <v>0</v>
      </c>
      <c r="I27" s="3052">
        <v>0</v>
      </c>
      <c r="J27" s="3052">
        <v>0</v>
      </c>
      <c r="K27" s="3052">
        <v>0</v>
      </c>
      <c r="L27" s="3052">
        <v>0</v>
      </c>
      <c r="M27" s="3052">
        <v>0</v>
      </c>
      <c r="N27" s="3052">
        <v>0</v>
      </c>
      <c r="O27" s="3052">
        <v>0</v>
      </c>
      <c r="P27" s="3052">
        <v>0</v>
      </c>
      <c r="Q27" s="3052">
        <v>0</v>
      </c>
      <c r="R27" s="3053">
        <f t="shared" si="3"/>
        <v>1</v>
      </c>
      <c r="S27" s="3053">
        <f t="shared" si="3"/>
        <v>1</v>
      </c>
      <c r="T27" s="3053">
        <f t="shared" si="3"/>
        <v>1</v>
      </c>
      <c r="U27" s="3053">
        <f t="shared" si="3"/>
        <v>1</v>
      </c>
      <c r="V27" s="3053">
        <f t="shared" si="3"/>
        <v>1</v>
      </c>
      <c r="W27" s="3053">
        <f t="shared" si="3"/>
        <v>1</v>
      </c>
      <c r="X27" s="3053">
        <f t="shared" si="3"/>
        <v>1</v>
      </c>
      <c r="Y27" s="3053">
        <f t="shared" si="3"/>
        <v>1</v>
      </c>
      <c r="Z27" s="3053">
        <f t="shared" si="3"/>
        <v>1</v>
      </c>
      <c r="AA27" s="3053">
        <f t="shared" si="3"/>
        <v>1</v>
      </c>
      <c r="AB27" s="3053">
        <f t="shared" si="3"/>
        <v>1</v>
      </c>
      <c r="AC27" s="3053">
        <f t="shared" si="3"/>
        <v>1</v>
      </c>
      <c r="AD27" s="3053">
        <f t="shared" si="3"/>
        <v>1.0003905086873426</v>
      </c>
      <c r="AE27" s="3053">
        <f t="shared" si="3"/>
        <v>1</v>
      </c>
      <c r="AF27" s="3053">
        <f t="shared" si="3"/>
        <v>1</v>
      </c>
    </row>
    <row r="28" spans="1:32">
      <c r="A28" s="3043">
        <v>200</v>
      </c>
      <c r="B28" s="3060">
        <v>24</v>
      </c>
      <c r="C28" s="3052">
        <v>0</v>
      </c>
      <c r="D28" s="3052">
        <v>0</v>
      </c>
      <c r="E28" s="3052">
        <v>0</v>
      </c>
      <c r="F28" s="3052">
        <v>0</v>
      </c>
      <c r="G28" s="3052">
        <v>0</v>
      </c>
      <c r="H28" s="3052">
        <v>0</v>
      </c>
      <c r="I28" s="3052">
        <v>0</v>
      </c>
      <c r="J28" s="3052">
        <v>0</v>
      </c>
      <c r="K28" s="3052">
        <v>0</v>
      </c>
      <c r="L28" s="3052">
        <v>0</v>
      </c>
      <c r="M28" s="3052">
        <v>0</v>
      </c>
      <c r="N28" s="3052">
        <v>0</v>
      </c>
      <c r="O28" s="3052">
        <v>0</v>
      </c>
      <c r="P28" s="3052">
        <v>0</v>
      </c>
      <c r="Q28" s="3052">
        <v>0</v>
      </c>
      <c r="R28" s="3053">
        <f t="shared" si="3"/>
        <v>1</v>
      </c>
      <c r="S28" s="3053">
        <f t="shared" si="3"/>
        <v>1</v>
      </c>
      <c r="T28" s="3053">
        <f t="shared" si="3"/>
        <v>1</v>
      </c>
      <c r="U28" s="3053">
        <f t="shared" si="3"/>
        <v>1</v>
      </c>
      <c r="V28" s="3053">
        <f t="shared" si="3"/>
        <v>1</v>
      </c>
      <c r="W28" s="3053">
        <f t="shared" si="3"/>
        <v>1</v>
      </c>
      <c r="X28" s="3053">
        <f t="shared" si="3"/>
        <v>1</v>
      </c>
      <c r="Y28" s="3053">
        <f t="shared" si="3"/>
        <v>1</v>
      </c>
      <c r="Z28" s="3053">
        <f t="shared" si="3"/>
        <v>1</v>
      </c>
      <c r="AA28" s="3053">
        <f t="shared" si="3"/>
        <v>1</v>
      </c>
      <c r="AB28" s="3053">
        <f t="shared" si="3"/>
        <v>1</v>
      </c>
      <c r="AC28" s="3053">
        <f t="shared" si="3"/>
        <v>1</v>
      </c>
      <c r="AD28" s="3053">
        <f t="shared" si="3"/>
        <v>1.0003905086873426</v>
      </c>
      <c r="AE28" s="3053">
        <f t="shared" si="3"/>
        <v>1</v>
      </c>
      <c r="AF28" s="3053">
        <f t="shared" si="3"/>
        <v>1</v>
      </c>
    </row>
    <row r="29" spans="1:32">
      <c r="A29" s="3043">
        <v>200</v>
      </c>
      <c r="B29" s="3060">
        <v>25</v>
      </c>
      <c r="C29" s="3052">
        <v>0</v>
      </c>
      <c r="D29" s="3052">
        <v>0</v>
      </c>
      <c r="E29" s="3052">
        <v>0</v>
      </c>
      <c r="F29" s="3052">
        <v>0</v>
      </c>
      <c r="G29" s="3052">
        <v>0</v>
      </c>
      <c r="H29" s="3052">
        <v>0</v>
      </c>
      <c r="I29" s="3052">
        <v>0</v>
      </c>
      <c r="J29" s="3052">
        <v>0</v>
      </c>
      <c r="K29" s="3052">
        <v>0</v>
      </c>
      <c r="L29" s="3052">
        <v>0</v>
      </c>
      <c r="M29" s="3052">
        <v>0</v>
      </c>
      <c r="N29" s="3052">
        <v>0</v>
      </c>
      <c r="O29" s="3052">
        <v>0</v>
      </c>
      <c r="P29" s="3052">
        <v>0</v>
      </c>
      <c r="Q29" s="3052">
        <v>0</v>
      </c>
      <c r="R29" s="3053">
        <f t="shared" si="3"/>
        <v>1</v>
      </c>
      <c r="S29" s="3053">
        <f t="shared" si="3"/>
        <v>1</v>
      </c>
      <c r="T29" s="3053">
        <f t="shared" si="3"/>
        <v>1</v>
      </c>
      <c r="U29" s="3053">
        <f t="shared" si="3"/>
        <v>1</v>
      </c>
      <c r="V29" s="3053">
        <f t="shared" si="3"/>
        <v>1</v>
      </c>
      <c r="W29" s="3053">
        <f t="shared" si="3"/>
        <v>1</v>
      </c>
      <c r="X29" s="3053">
        <f t="shared" si="3"/>
        <v>1</v>
      </c>
      <c r="Y29" s="3053">
        <f t="shared" si="3"/>
        <v>1</v>
      </c>
      <c r="Z29" s="3053">
        <f t="shared" si="3"/>
        <v>1</v>
      </c>
      <c r="AA29" s="3053">
        <f t="shared" si="3"/>
        <v>1</v>
      </c>
      <c r="AB29" s="3053">
        <f t="shared" si="3"/>
        <v>1</v>
      </c>
      <c r="AC29" s="3053">
        <f t="shared" si="3"/>
        <v>1</v>
      </c>
      <c r="AD29" s="3053">
        <f t="shared" si="3"/>
        <v>1.0003905086873426</v>
      </c>
      <c r="AE29" s="3053">
        <f t="shared" si="3"/>
        <v>1</v>
      </c>
      <c r="AF29" s="3053">
        <f t="shared" si="3"/>
        <v>1</v>
      </c>
    </row>
    <row r="30" spans="1:32">
      <c r="A30" s="3043">
        <v>200</v>
      </c>
      <c r="B30" s="3060">
        <v>26</v>
      </c>
      <c r="C30" s="3052">
        <v>0</v>
      </c>
      <c r="D30" s="3052">
        <v>0</v>
      </c>
      <c r="E30" s="3052">
        <v>0</v>
      </c>
      <c r="F30" s="3052">
        <v>0</v>
      </c>
      <c r="G30" s="3052">
        <v>0</v>
      </c>
      <c r="H30" s="3052">
        <v>0</v>
      </c>
      <c r="I30" s="3052">
        <v>0</v>
      </c>
      <c r="J30" s="3052">
        <v>0</v>
      </c>
      <c r="K30" s="3052">
        <v>0</v>
      </c>
      <c r="L30" s="3052">
        <v>0</v>
      </c>
      <c r="M30" s="3052">
        <v>0</v>
      </c>
      <c r="N30" s="3052">
        <v>0</v>
      </c>
      <c r="O30" s="3052">
        <v>0</v>
      </c>
      <c r="P30" s="3052">
        <v>0</v>
      </c>
      <c r="Q30" s="3052">
        <v>0</v>
      </c>
      <c r="R30" s="3053">
        <f t="shared" si="3"/>
        <v>1</v>
      </c>
      <c r="S30" s="3053">
        <f t="shared" si="3"/>
        <v>1</v>
      </c>
      <c r="T30" s="3053">
        <f t="shared" si="3"/>
        <v>1</v>
      </c>
      <c r="U30" s="3053">
        <f t="shared" si="3"/>
        <v>1</v>
      </c>
      <c r="V30" s="3053">
        <f t="shared" si="3"/>
        <v>1</v>
      </c>
      <c r="W30" s="3053">
        <f t="shared" si="3"/>
        <v>1</v>
      </c>
      <c r="X30" s="3053">
        <f t="shared" si="3"/>
        <v>1</v>
      </c>
      <c r="Y30" s="3053">
        <f t="shared" si="3"/>
        <v>1</v>
      </c>
      <c r="Z30" s="3053">
        <f t="shared" si="3"/>
        <v>1</v>
      </c>
      <c r="AA30" s="3053">
        <f t="shared" si="3"/>
        <v>1</v>
      </c>
      <c r="AB30" s="3053">
        <f t="shared" si="3"/>
        <v>1</v>
      </c>
      <c r="AC30" s="3053">
        <f t="shared" si="3"/>
        <v>1</v>
      </c>
      <c r="AD30" s="3053">
        <f t="shared" si="3"/>
        <v>1.0003905086873426</v>
      </c>
      <c r="AE30" s="3053">
        <f t="shared" si="3"/>
        <v>1</v>
      </c>
      <c r="AF30" s="3053">
        <f t="shared" si="3"/>
        <v>1</v>
      </c>
    </row>
    <row r="31" spans="1:32">
      <c r="A31" s="3043">
        <v>200</v>
      </c>
      <c r="B31" s="3060">
        <v>27</v>
      </c>
      <c r="C31" s="3052">
        <v>0</v>
      </c>
      <c r="D31" s="3052">
        <v>0</v>
      </c>
      <c r="E31" s="3052">
        <v>0</v>
      </c>
      <c r="F31" s="3052">
        <v>0</v>
      </c>
      <c r="G31" s="3052">
        <v>0</v>
      </c>
      <c r="H31" s="3052">
        <v>0</v>
      </c>
      <c r="I31" s="3052">
        <v>0</v>
      </c>
      <c r="J31" s="3052">
        <v>0</v>
      </c>
      <c r="K31" s="3052">
        <v>0</v>
      </c>
      <c r="L31" s="3052">
        <v>0</v>
      </c>
      <c r="M31" s="3052">
        <v>0</v>
      </c>
      <c r="N31" s="3052">
        <v>0</v>
      </c>
      <c r="O31" s="3052">
        <v>0</v>
      </c>
      <c r="P31" s="3052">
        <v>0</v>
      </c>
      <c r="Q31" s="3052">
        <v>0</v>
      </c>
      <c r="R31" s="3053">
        <f t="shared" si="3"/>
        <v>1</v>
      </c>
      <c r="S31" s="3053">
        <f t="shared" si="3"/>
        <v>1</v>
      </c>
      <c r="T31" s="3053">
        <f t="shared" si="3"/>
        <v>1</v>
      </c>
      <c r="U31" s="3053">
        <f t="shared" si="3"/>
        <v>1</v>
      </c>
      <c r="V31" s="3053">
        <f t="shared" si="3"/>
        <v>1</v>
      </c>
      <c r="W31" s="3053">
        <f t="shared" si="3"/>
        <v>1</v>
      </c>
      <c r="X31" s="3053">
        <f t="shared" si="3"/>
        <v>1</v>
      </c>
      <c r="Y31" s="3053">
        <f t="shared" si="3"/>
        <v>1</v>
      </c>
      <c r="Z31" s="3053">
        <f t="shared" si="3"/>
        <v>1</v>
      </c>
      <c r="AA31" s="3053">
        <f t="shared" si="3"/>
        <v>1</v>
      </c>
      <c r="AB31" s="3053">
        <f t="shared" si="3"/>
        <v>1</v>
      </c>
      <c r="AC31" s="3053">
        <f t="shared" si="3"/>
        <v>1</v>
      </c>
      <c r="AD31" s="3053">
        <f t="shared" si="3"/>
        <v>1.0003905086873426</v>
      </c>
      <c r="AE31" s="3053">
        <f t="shared" si="3"/>
        <v>1</v>
      </c>
      <c r="AF31" s="3053">
        <f t="shared" si="3"/>
        <v>1</v>
      </c>
    </row>
    <row r="32" spans="1:32">
      <c r="A32" s="3043">
        <v>200</v>
      </c>
      <c r="B32" s="3060">
        <v>28</v>
      </c>
      <c r="C32" s="3052">
        <v>0</v>
      </c>
      <c r="D32" s="3052">
        <v>0</v>
      </c>
      <c r="E32" s="3052">
        <v>0</v>
      </c>
      <c r="F32" s="3052">
        <v>0</v>
      </c>
      <c r="G32" s="3052">
        <v>0</v>
      </c>
      <c r="H32" s="3052">
        <v>0</v>
      </c>
      <c r="I32" s="3052">
        <v>0</v>
      </c>
      <c r="J32" s="3052">
        <v>0</v>
      </c>
      <c r="K32" s="3052">
        <v>0</v>
      </c>
      <c r="L32" s="3052">
        <v>0</v>
      </c>
      <c r="M32" s="3052">
        <v>0</v>
      </c>
      <c r="N32" s="3052">
        <v>0</v>
      </c>
      <c r="O32" s="3052">
        <v>0</v>
      </c>
      <c r="P32" s="3052">
        <v>0</v>
      </c>
      <c r="Q32" s="3052">
        <v>0</v>
      </c>
      <c r="R32" s="3053">
        <f t="shared" si="3"/>
        <v>1</v>
      </c>
      <c r="S32" s="3053">
        <f t="shared" si="3"/>
        <v>1</v>
      </c>
      <c r="T32" s="3053">
        <f t="shared" si="3"/>
        <v>1</v>
      </c>
      <c r="U32" s="3053">
        <f t="shared" si="3"/>
        <v>1</v>
      </c>
      <c r="V32" s="3053">
        <f t="shared" si="3"/>
        <v>1</v>
      </c>
      <c r="W32" s="3053">
        <f t="shared" si="3"/>
        <v>1</v>
      </c>
      <c r="X32" s="3053">
        <f t="shared" si="3"/>
        <v>1</v>
      </c>
      <c r="Y32" s="3053">
        <f t="shared" si="3"/>
        <v>1</v>
      </c>
      <c r="Z32" s="3053">
        <f t="shared" si="3"/>
        <v>1</v>
      </c>
      <c r="AA32" s="3053">
        <f t="shared" si="3"/>
        <v>1</v>
      </c>
      <c r="AB32" s="3053">
        <f t="shared" si="3"/>
        <v>1</v>
      </c>
      <c r="AC32" s="3053">
        <f t="shared" si="3"/>
        <v>1</v>
      </c>
      <c r="AD32" s="3053">
        <f t="shared" si="3"/>
        <v>1.0003905086873426</v>
      </c>
      <c r="AE32" s="3053">
        <f t="shared" si="3"/>
        <v>1</v>
      </c>
      <c r="AF32" s="3053">
        <f t="shared" si="3"/>
        <v>1</v>
      </c>
    </row>
    <row r="33" spans="1:32">
      <c r="A33" s="3043">
        <v>200</v>
      </c>
      <c r="B33" s="3060">
        <v>29</v>
      </c>
      <c r="C33" s="3052">
        <v>0</v>
      </c>
      <c r="D33" s="3052">
        <v>0</v>
      </c>
      <c r="E33" s="3052">
        <v>0</v>
      </c>
      <c r="F33" s="3052">
        <v>0</v>
      </c>
      <c r="G33" s="3052">
        <v>0</v>
      </c>
      <c r="H33" s="3052">
        <v>0</v>
      </c>
      <c r="I33" s="3052">
        <v>0</v>
      </c>
      <c r="J33" s="3052">
        <v>0</v>
      </c>
      <c r="K33" s="3052">
        <v>0</v>
      </c>
      <c r="L33" s="3052">
        <v>0</v>
      </c>
      <c r="M33" s="3052">
        <v>0</v>
      </c>
      <c r="N33" s="3052">
        <v>0</v>
      </c>
      <c r="O33" s="3052">
        <v>0</v>
      </c>
      <c r="P33" s="3052">
        <v>0</v>
      </c>
      <c r="Q33" s="3052">
        <v>0</v>
      </c>
      <c r="R33" s="3053">
        <f t="shared" si="3"/>
        <v>1</v>
      </c>
      <c r="S33" s="3053">
        <f t="shared" si="3"/>
        <v>1</v>
      </c>
      <c r="T33" s="3053">
        <f t="shared" si="3"/>
        <v>1</v>
      </c>
      <c r="U33" s="3053">
        <f t="shared" si="3"/>
        <v>1</v>
      </c>
      <c r="V33" s="3053">
        <f t="shared" si="3"/>
        <v>1</v>
      </c>
      <c r="W33" s="3053">
        <f t="shared" si="3"/>
        <v>1</v>
      </c>
      <c r="X33" s="3053">
        <f t="shared" si="3"/>
        <v>1</v>
      </c>
      <c r="Y33" s="3053">
        <f t="shared" si="3"/>
        <v>1</v>
      </c>
      <c r="Z33" s="3053">
        <f t="shared" si="3"/>
        <v>1</v>
      </c>
      <c r="AA33" s="3053">
        <f t="shared" si="3"/>
        <v>1</v>
      </c>
      <c r="AB33" s="3053">
        <f t="shared" si="3"/>
        <v>1</v>
      </c>
      <c r="AC33" s="3053">
        <f t="shared" si="3"/>
        <v>1</v>
      </c>
      <c r="AD33" s="3053">
        <f t="shared" si="3"/>
        <v>1.0003905086873426</v>
      </c>
      <c r="AE33" s="3053">
        <f t="shared" si="3"/>
        <v>1</v>
      </c>
      <c r="AF33" s="3053">
        <f t="shared" si="3"/>
        <v>1</v>
      </c>
    </row>
    <row r="34" spans="1:32">
      <c r="A34" s="3043">
        <v>200</v>
      </c>
      <c r="B34" s="3060">
        <v>30</v>
      </c>
      <c r="C34" s="3052">
        <v>0</v>
      </c>
      <c r="D34" s="3052">
        <v>0</v>
      </c>
      <c r="E34" s="3052">
        <v>0</v>
      </c>
      <c r="F34" s="3052">
        <v>0</v>
      </c>
      <c r="G34" s="3052">
        <v>0</v>
      </c>
      <c r="H34" s="3052">
        <v>0</v>
      </c>
      <c r="I34" s="3052">
        <v>0</v>
      </c>
      <c r="J34" s="3052">
        <v>0</v>
      </c>
      <c r="K34" s="3052">
        <v>0</v>
      </c>
      <c r="L34" s="3052">
        <v>0</v>
      </c>
      <c r="M34" s="3052">
        <v>0</v>
      </c>
      <c r="N34" s="3052">
        <v>0</v>
      </c>
      <c r="O34" s="3052">
        <v>0</v>
      </c>
      <c r="P34" s="3052">
        <v>0</v>
      </c>
      <c r="Q34" s="3052">
        <v>0</v>
      </c>
      <c r="R34" s="3053">
        <f t="shared" si="3"/>
        <v>1</v>
      </c>
      <c r="S34" s="3053">
        <f t="shared" si="3"/>
        <v>1</v>
      </c>
      <c r="T34" s="3053">
        <f t="shared" si="3"/>
        <v>1</v>
      </c>
      <c r="U34" s="3053">
        <f t="shared" si="3"/>
        <v>1</v>
      </c>
      <c r="V34" s="3053">
        <f t="shared" si="3"/>
        <v>1</v>
      </c>
      <c r="W34" s="3053">
        <f t="shared" si="3"/>
        <v>1</v>
      </c>
      <c r="X34" s="3053">
        <f t="shared" si="3"/>
        <v>1</v>
      </c>
      <c r="Y34" s="3053">
        <f t="shared" si="3"/>
        <v>1</v>
      </c>
      <c r="Z34" s="3053">
        <f t="shared" si="3"/>
        <v>1</v>
      </c>
      <c r="AA34" s="3053">
        <f t="shared" si="3"/>
        <v>1</v>
      </c>
      <c r="AB34" s="3053">
        <f t="shared" si="3"/>
        <v>1</v>
      </c>
      <c r="AC34" s="3053">
        <f t="shared" si="3"/>
        <v>1</v>
      </c>
      <c r="AD34" s="3053">
        <f t="shared" si="3"/>
        <v>1.0003905086873426</v>
      </c>
      <c r="AE34" s="3053">
        <f t="shared" si="3"/>
        <v>1</v>
      </c>
      <c r="AF34" s="3053">
        <f t="shared" si="3"/>
        <v>1</v>
      </c>
    </row>
    <row r="35" spans="1:32">
      <c r="A35" s="3043">
        <v>200</v>
      </c>
      <c r="B35" s="3060">
        <v>31</v>
      </c>
      <c r="C35" s="3052">
        <v>0</v>
      </c>
      <c r="D35" s="3052">
        <v>0</v>
      </c>
      <c r="E35" s="3052">
        <v>0</v>
      </c>
      <c r="F35" s="3052">
        <v>0</v>
      </c>
      <c r="G35" s="3052">
        <v>0</v>
      </c>
      <c r="H35" s="3052">
        <v>0</v>
      </c>
      <c r="I35" s="3052">
        <v>0</v>
      </c>
      <c r="J35" s="3052">
        <v>0</v>
      </c>
      <c r="K35" s="3052">
        <v>0</v>
      </c>
      <c r="L35" s="3052">
        <v>0</v>
      </c>
      <c r="M35" s="3052">
        <v>0</v>
      </c>
      <c r="N35" s="3052">
        <v>0</v>
      </c>
      <c r="O35" s="3052">
        <v>0</v>
      </c>
      <c r="P35" s="3052">
        <v>0</v>
      </c>
      <c r="Q35" s="3052">
        <v>0</v>
      </c>
      <c r="R35" s="3053">
        <f t="shared" si="3"/>
        <v>1</v>
      </c>
      <c r="S35" s="3053">
        <f t="shared" si="3"/>
        <v>1</v>
      </c>
      <c r="T35" s="3053">
        <f t="shared" si="3"/>
        <v>1</v>
      </c>
      <c r="U35" s="3053">
        <f t="shared" si="3"/>
        <v>1</v>
      </c>
      <c r="V35" s="3053">
        <f t="shared" si="3"/>
        <v>1</v>
      </c>
      <c r="W35" s="3053">
        <f t="shared" si="3"/>
        <v>1</v>
      </c>
      <c r="X35" s="3053">
        <f t="shared" si="3"/>
        <v>1</v>
      </c>
      <c r="Y35" s="3053">
        <f t="shared" si="3"/>
        <v>1</v>
      </c>
      <c r="Z35" s="3053">
        <f t="shared" si="3"/>
        <v>1</v>
      </c>
      <c r="AA35" s="3053">
        <f t="shared" si="3"/>
        <v>1</v>
      </c>
      <c r="AB35" s="3053">
        <f t="shared" si="3"/>
        <v>1</v>
      </c>
      <c r="AC35" s="3053">
        <f t="shared" si="3"/>
        <v>1</v>
      </c>
      <c r="AD35" s="3053">
        <f t="shared" si="3"/>
        <v>1.0003905086873426</v>
      </c>
      <c r="AE35" s="3053">
        <f t="shared" si="3"/>
        <v>1</v>
      </c>
      <c r="AF35" s="3053">
        <f t="shared" si="3"/>
        <v>1</v>
      </c>
    </row>
    <row r="36" spans="1:32">
      <c r="A36" s="3043">
        <v>200</v>
      </c>
      <c r="B36" s="3060">
        <v>32</v>
      </c>
      <c r="C36" s="3052">
        <v>0</v>
      </c>
      <c r="D36" s="3052">
        <v>0</v>
      </c>
      <c r="E36" s="3052">
        <v>0</v>
      </c>
      <c r="F36" s="3052">
        <v>0</v>
      </c>
      <c r="G36" s="3052">
        <v>0</v>
      </c>
      <c r="H36" s="3052">
        <v>0</v>
      </c>
      <c r="I36" s="3052">
        <v>0</v>
      </c>
      <c r="J36" s="3052">
        <v>0</v>
      </c>
      <c r="K36" s="3052">
        <v>0</v>
      </c>
      <c r="L36" s="3052">
        <v>0</v>
      </c>
      <c r="M36" s="3052">
        <v>0</v>
      </c>
      <c r="N36" s="3052">
        <v>0</v>
      </c>
      <c r="O36" s="3052">
        <v>0</v>
      </c>
      <c r="P36" s="3052">
        <v>0</v>
      </c>
      <c r="Q36" s="3052">
        <v>0</v>
      </c>
      <c r="R36" s="3053">
        <f t="shared" si="3"/>
        <v>1</v>
      </c>
      <c r="S36" s="3053">
        <f t="shared" si="3"/>
        <v>1</v>
      </c>
      <c r="T36" s="3053">
        <f t="shared" si="3"/>
        <v>1</v>
      </c>
      <c r="U36" s="3053">
        <f t="shared" si="3"/>
        <v>1</v>
      </c>
      <c r="V36" s="3053">
        <f t="shared" si="3"/>
        <v>1</v>
      </c>
      <c r="W36" s="3053">
        <f t="shared" si="3"/>
        <v>1</v>
      </c>
      <c r="X36" s="3053">
        <f t="shared" si="3"/>
        <v>1</v>
      </c>
      <c r="Y36" s="3053">
        <f t="shared" si="3"/>
        <v>1</v>
      </c>
      <c r="Z36" s="3053">
        <f t="shared" si="3"/>
        <v>1</v>
      </c>
      <c r="AA36" s="3053">
        <f t="shared" si="3"/>
        <v>1</v>
      </c>
      <c r="AB36" s="3053">
        <f t="shared" si="3"/>
        <v>1</v>
      </c>
      <c r="AC36" s="3053">
        <f t="shared" si="3"/>
        <v>1</v>
      </c>
      <c r="AD36" s="3053">
        <f t="shared" si="3"/>
        <v>1.0003905086873426</v>
      </c>
      <c r="AE36" s="3053">
        <f t="shared" si="3"/>
        <v>1</v>
      </c>
      <c r="AF36" s="3053">
        <f t="shared" si="3"/>
        <v>1</v>
      </c>
    </row>
    <row r="37" spans="1:32">
      <c r="A37" s="3043">
        <v>200</v>
      </c>
      <c r="B37" s="3060">
        <v>33</v>
      </c>
      <c r="C37" s="3052">
        <v>0</v>
      </c>
      <c r="D37" s="3052">
        <v>0</v>
      </c>
      <c r="E37" s="3052">
        <v>0</v>
      </c>
      <c r="F37" s="3052">
        <v>0</v>
      </c>
      <c r="G37" s="3052">
        <v>0</v>
      </c>
      <c r="H37" s="3052">
        <v>0</v>
      </c>
      <c r="I37" s="3052">
        <v>0</v>
      </c>
      <c r="J37" s="3052">
        <v>0</v>
      </c>
      <c r="K37" s="3052">
        <v>0</v>
      </c>
      <c r="L37" s="3052">
        <v>0</v>
      </c>
      <c r="M37" s="3052">
        <v>0</v>
      </c>
      <c r="N37" s="3052">
        <v>0</v>
      </c>
      <c r="O37" s="3052">
        <v>0</v>
      </c>
      <c r="P37" s="3052">
        <v>0</v>
      </c>
      <c r="Q37" s="3052">
        <v>0</v>
      </c>
      <c r="R37" s="3053">
        <f t="shared" si="3"/>
        <v>1</v>
      </c>
      <c r="S37" s="3053">
        <f t="shared" si="3"/>
        <v>1</v>
      </c>
      <c r="T37" s="3053">
        <f t="shared" si="3"/>
        <v>1</v>
      </c>
      <c r="U37" s="3053">
        <f t="shared" si="3"/>
        <v>1</v>
      </c>
      <c r="V37" s="3053">
        <f t="shared" si="3"/>
        <v>1</v>
      </c>
      <c r="W37" s="3053">
        <f t="shared" si="3"/>
        <v>1</v>
      </c>
      <c r="X37" s="3053">
        <f t="shared" si="3"/>
        <v>1</v>
      </c>
      <c r="Y37" s="3053">
        <f t="shared" si="3"/>
        <v>1</v>
      </c>
      <c r="Z37" s="3053">
        <f t="shared" si="3"/>
        <v>1</v>
      </c>
      <c r="AA37" s="3053">
        <f t="shared" si="3"/>
        <v>1</v>
      </c>
      <c r="AB37" s="3053">
        <f t="shared" si="3"/>
        <v>1</v>
      </c>
      <c r="AC37" s="3053">
        <f t="shared" si="3"/>
        <v>1</v>
      </c>
      <c r="AD37" s="3053">
        <f t="shared" si="3"/>
        <v>1.0003905086873426</v>
      </c>
      <c r="AE37" s="3053">
        <f t="shared" si="3"/>
        <v>1</v>
      </c>
      <c r="AF37" s="3053">
        <f t="shared" si="3"/>
        <v>1</v>
      </c>
    </row>
    <row r="38" spans="1:32">
      <c r="A38" s="3043">
        <v>200</v>
      </c>
      <c r="B38" s="3060">
        <v>34</v>
      </c>
      <c r="C38" s="3052">
        <v>0</v>
      </c>
      <c r="D38" s="3052">
        <v>0</v>
      </c>
      <c r="E38" s="3052">
        <v>0</v>
      </c>
      <c r="F38" s="3052">
        <v>0</v>
      </c>
      <c r="G38" s="3052">
        <v>0</v>
      </c>
      <c r="H38" s="3052">
        <v>0</v>
      </c>
      <c r="I38" s="3052">
        <v>0</v>
      </c>
      <c r="J38" s="3052">
        <v>0</v>
      </c>
      <c r="K38" s="3052">
        <v>0</v>
      </c>
      <c r="L38" s="3052">
        <v>0</v>
      </c>
      <c r="M38" s="3052">
        <v>0</v>
      </c>
      <c r="N38" s="3052">
        <v>0</v>
      </c>
      <c r="O38" s="3052">
        <v>0</v>
      </c>
      <c r="P38" s="3052">
        <v>0</v>
      </c>
      <c r="Q38" s="3052">
        <v>0</v>
      </c>
      <c r="R38" s="3053">
        <f t="shared" ref="R38:AF53" si="4">C38+R37</f>
        <v>1</v>
      </c>
      <c r="S38" s="3053">
        <f t="shared" si="4"/>
        <v>1</v>
      </c>
      <c r="T38" s="3053">
        <f t="shared" si="4"/>
        <v>1</v>
      </c>
      <c r="U38" s="3053">
        <f t="shared" si="4"/>
        <v>1</v>
      </c>
      <c r="V38" s="3053">
        <f t="shared" si="4"/>
        <v>1</v>
      </c>
      <c r="W38" s="3053">
        <f t="shared" si="4"/>
        <v>1</v>
      </c>
      <c r="X38" s="3053">
        <f t="shared" si="4"/>
        <v>1</v>
      </c>
      <c r="Y38" s="3053">
        <f t="shared" si="4"/>
        <v>1</v>
      </c>
      <c r="Z38" s="3053">
        <f t="shared" si="4"/>
        <v>1</v>
      </c>
      <c r="AA38" s="3053">
        <f t="shared" si="4"/>
        <v>1</v>
      </c>
      <c r="AB38" s="3053">
        <f t="shared" si="4"/>
        <v>1</v>
      </c>
      <c r="AC38" s="3053">
        <f t="shared" si="4"/>
        <v>1</v>
      </c>
      <c r="AD38" s="3053">
        <f t="shared" si="4"/>
        <v>1.0003905086873426</v>
      </c>
      <c r="AE38" s="3053">
        <f t="shared" si="4"/>
        <v>1</v>
      </c>
      <c r="AF38" s="3053">
        <f t="shared" si="4"/>
        <v>1</v>
      </c>
    </row>
    <row r="39" spans="1:32">
      <c r="A39" s="3043">
        <v>200</v>
      </c>
      <c r="B39" s="3060">
        <v>35</v>
      </c>
      <c r="C39" s="3052">
        <v>0</v>
      </c>
      <c r="D39" s="3052">
        <v>0</v>
      </c>
      <c r="E39" s="3052">
        <v>0</v>
      </c>
      <c r="F39" s="3052">
        <v>0</v>
      </c>
      <c r="G39" s="3052">
        <v>0</v>
      </c>
      <c r="H39" s="3052">
        <v>0</v>
      </c>
      <c r="I39" s="3052">
        <v>0</v>
      </c>
      <c r="J39" s="3052">
        <v>0</v>
      </c>
      <c r="K39" s="3052">
        <v>0</v>
      </c>
      <c r="L39" s="3052">
        <v>0</v>
      </c>
      <c r="M39" s="3052">
        <v>0</v>
      </c>
      <c r="N39" s="3052">
        <v>0</v>
      </c>
      <c r="O39" s="3052">
        <v>0</v>
      </c>
      <c r="P39" s="3052">
        <v>0</v>
      </c>
      <c r="Q39" s="3052">
        <v>0</v>
      </c>
      <c r="R39" s="3053">
        <f t="shared" si="4"/>
        <v>1</v>
      </c>
      <c r="S39" s="3053">
        <f t="shared" si="4"/>
        <v>1</v>
      </c>
      <c r="T39" s="3053">
        <f t="shared" si="4"/>
        <v>1</v>
      </c>
      <c r="U39" s="3053">
        <f t="shared" si="4"/>
        <v>1</v>
      </c>
      <c r="V39" s="3053">
        <f t="shared" si="4"/>
        <v>1</v>
      </c>
      <c r="W39" s="3053">
        <f t="shared" si="4"/>
        <v>1</v>
      </c>
      <c r="X39" s="3053">
        <f t="shared" si="4"/>
        <v>1</v>
      </c>
      <c r="Y39" s="3053">
        <f t="shared" si="4"/>
        <v>1</v>
      </c>
      <c r="Z39" s="3053">
        <f t="shared" si="4"/>
        <v>1</v>
      </c>
      <c r="AA39" s="3053">
        <f t="shared" si="4"/>
        <v>1</v>
      </c>
      <c r="AB39" s="3053">
        <f t="shared" si="4"/>
        <v>1</v>
      </c>
      <c r="AC39" s="3053">
        <f t="shared" si="4"/>
        <v>1</v>
      </c>
      <c r="AD39" s="3053">
        <f t="shared" si="4"/>
        <v>1.0003905086873426</v>
      </c>
      <c r="AE39" s="3053">
        <f t="shared" si="4"/>
        <v>1</v>
      </c>
      <c r="AF39" s="3053">
        <f t="shared" si="4"/>
        <v>1</v>
      </c>
    </row>
    <row r="40" spans="1:32">
      <c r="A40" s="3043">
        <v>200</v>
      </c>
      <c r="B40" s="3060">
        <v>36</v>
      </c>
      <c r="C40" s="3052">
        <v>0</v>
      </c>
      <c r="D40" s="3052">
        <v>0</v>
      </c>
      <c r="E40" s="3052">
        <v>0</v>
      </c>
      <c r="F40" s="3052">
        <v>0</v>
      </c>
      <c r="G40" s="3052">
        <v>0</v>
      </c>
      <c r="H40" s="3052">
        <v>0</v>
      </c>
      <c r="I40" s="3052">
        <v>0</v>
      </c>
      <c r="J40" s="3052">
        <v>0</v>
      </c>
      <c r="K40" s="3052">
        <v>0</v>
      </c>
      <c r="L40" s="3052">
        <v>0</v>
      </c>
      <c r="M40" s="3052">
        <v>0</v>
      </c>
      <c r="N40" s="3052">
        <v>0</v>
      </c>
      <c r="O40" s="3052">
        <v>0</v>
      </c>
      <c r="P40" s="3052">
        <v>0</v>
      </c>
      <c r="Q40" s="3052">
        <v>0</v>
      </c>
      <c r="R40" s="3053">
        <f t="shared" si="4"/>
        <v>1</v>
      </c>
      <c r="S40" s="3053">
        <f t="shared" si="4"/>
        <v>1</v>
      </c>
      <c r="T40" s="3053">
        <f t="shared" si="4"/>
        <v>1</v>
      </c>
      <c r="U40" s="3053">
        <f t="shared" si="4"/>
        <v>1</v>
      </c>
      <c r="V40" s="3053">
        <f t="shared" si="4"/>
        <v>1</v>
      </c>
      <c r="W40" s="3053">
        <f t="shared" si="4"/>
        <v>1</v>
      </c>
      <c r="X40" s="3053">
        <f t="shared" si="4"/>
        <v>1</v>
      </c>
      <c r="Y40" s="3053">
        <f t="shared" si="4"/>
        <v>1</v>
      </c>
      <c r="Z40" s="3053">
        <f t="shared" si="4"/>
        <v>1</v>
      </c>
      <c r="AA40" s="3053">
        <f t="shared" si="4"/>
        <v>1</v>
      </c>
      <c r="AB40" s="3053">
        <f t="shared" si="4"/>
        <v>1</v>
      </c>
      <c r="AC40" s="3053">
        <f t="shared" si="4"/>
        <v>1</v>
      </c>
      <c r="AD40" s="3053">
        <f t="shared" si="4"/>
        <v>1.0003905086873426</v>
      </c>
      <c r="AE40" s="3053">
        <f t="shared" si="4"/>
        <v>1</v>
      </c>
      <c r="AF40" s="3053">
        <f t="shared" si="4"/>
        <v>1</v>
      </c>
    </row>
    <row r="41" spans="1:32">
      <c r="A41" s="3043">
        <v>200</v>
      </c>
      <c r="B41" s="3060">
        <v>37</v>
      </c>
      <c r="C41" s="3052">
        <v>0</v>
      </c>
      <c r="D41" s="3052">
        <v>0</v>
      </c>
      <c r="E41" s="3052">
        <v>0</v>
      </c>
      <c r="F41" s="3052">
        <v>0</v>
      </c>
      <c r="G41" s="3052">
        <v>0</v>
      </c>
      <c r="H41" s="3052">
        <v>0</v>
      </c>
      <c r="I41" s="3052">
        <v>0</v>
      </c>
      <c r="J41" s="3052">
        <v>0</v>
      </c>
      <c r="K41" s="3052">
        <v>0</v>
      </c>
      <c r="L41" s="3052">
        <v>0</v>
      </c>
      <c r="M41" s="3052">
        <v>0</v>
      </c>
      <c r="N41" s="3052">
        <v>0</v>
      </c>
      <c r="O41" s="3052">
        <v>0</v>
      </c>
      <c r="P41" s="3052">
        <v>0</v>
      </c>
      <c r="Q41" s="3052">
        <v>0</v>
      </c>
      <c r="R41" s="3053">
        <f t="shared" si="4"/>
        <v>1</v>
      </c>
      <c r="S41" s="3053">
        <f t="shared" si="4"/>
        <v>1</v>
      </c>
      <c r="T41" s="3053">
        <f t="shared" si="4"/>
        <v>1</v>
      </c>
      <c r="U41" s="3053">
        <f t="shared" si="4"/>
        <v>1</v>
      </c>
      <c r="V41" s="3053">
        <f t="shared" si="4"/>
        <v>1</v>
      </c>
      <c r="W41" s="3053">
        <f t="shared" si="4"/>
        <v>1</v>
      </c>
      <c r="X41" s="3053">
        <f t="shared" si="4"/>
        <v>1</v>
      </c>
      <c r="Y41" s="3053">
        <f t="shared" si="4"/>
        <v>1</v>
      </c>
      <c r="Z41" s="3053">
        <f t="shared" si="4"/>
        <v>1</v>
      </c>
      <c r="AA41" s="3053">
        <f t="shared" si="4"/>
        <v>1</v>
      </c>
      <c r="AB41" s="3053">
        <f t="shared" si="4"/>
        <v>1</v>
      </c>
      <c r="AC41" s="3053">
        <f t="shared" si="4"/>
        <v>1</v>
      </c>
      <c r="AD41" s="3053">
        <f t="shared" si="4"/>
        <v>1.0003905086873426</v>
      </c>
      <c r="AE41" s="3053">
        <f t="shared" si="4"/>
        <v>1</v>
      </c>
      <c r="AF41" s="3053">
        <f t="shared" si="4"/>
        <v>1</v>
      </c>
    </row>
    <row r="42" spans="1:32">
      <c r="A42" s="3043">
        <v>200</v>
      </c>
      <c r="B42" s="3060">
        <v>38</v>
      </c>
      <c r="C42" s="3052">
        <v>0</v>
      </c>
      <c r="D42" s="3052">
        <v>0</v>
      </c>
      <c r="E42" s="3052">
        <v>0</v>
      </c>
      <c r="F42" s="3052">
        <v>0</v>
      </c>
      <c r="G42" s="3052">
        <v>0</v>
      </c>
      <c r="H42" s="3052">
        <v>0</v>
      </c>
      <c r="I42" s="3052">
        <v>0</v>
      </c>
      <c r="J42" s="3052">
        <v>0</v>
      </c>
      <c r="K42" s="3052">
        <v>0</v>
      </c>
      <c r="L42" s="3052">
        <v>0</v>
      </c>
      <c r="M42" s="3052">
        <v>0</v>
      </c>
      <c r="N42" s="3052">
        <v>0</v>
      </c>
      <c r="O42" s="3052">
        <v>0</v>
      </c>
      <c r="P42" s="3052">
        <v>0</v>
      </c>
      <c r="Q42" s="3052">
        <v>0</v>
      </c>
      <c r="R42" s="3053">
        <f t="shared" si="4"/>
        <v>1</v>
      </c>
      <c r="S42" s="3053">
        <f t="shared" si="4"/>
        <v>1</v>
      </c>
      <c r="T42" s="3053">
        <f t="shared" si="4"/>
        <v>1</v>
      </c>
      <c r="U42" s="3053">
        <f t="shared" si="4"/>
        <v>1</v>
      </c>
      <c r="V42" s="3053">
        <f t="shared" si="4"/>
        <v>1</v>
      </c>
      <c r="W42" s="3053">
        <f t="shared" si="4"/>
        <v>1</v>
      </c>
      <c r="X42" s="3053">
        <f t="shared" si="4"/>
        <v>1</v>
      </c>
      <c r="Y42" s="3053">
        <f t="shared" si="4"/>
        <v>1</v>
      </c>
      <c r="Z42" s="3053">
        <f t="shared" si="4"/>
        <v>1</v>
      </c>
      <c r="AA42" s="3053">
        <f t="shared" si="4"/>
        <v>1</v>
      </c>
      <c r="AB42" s="3053">
        <f t="shared" si="4"/>
        <v>1</v>
      </c>
      <c r="AC42" s="3053">
        <f t="shared" si="4"/>
        <v>1</v>
      </c>
      <c r="AD42" s="3053">
        <f t="shared" si="4"/>
        <v>1.0003905086873426</v>
      </c>
      <c r="AE42" s="3053">
        <f t="shared" si="4"/>
        <v>1</v>
      </c>
      <c r="AF42" s="3053">
        <f t="shared" si="4"/>
        <v>1</v>
      </c>
    </row>
    <row r="43" spans="1:32">
      <c r="A43" s="3043">
        <v>200</v>
      </c>
      <c r="B43" s="3060">
        <v>39</v>
      </c>
      <c r="C43" s="3052">
        <v>0</v>
      </c>
      <c r="D43" s="3052">
        <v>0</v>
      </c>
      <c r="E43" s="3052">
        <v>0</v>
      </c>
      <c r="F43" s="3052">
        <v>0</v>
      </c>
      <c r="G43" s="3052">
        <v>0</v>
      </c>
      <c r="H43" s="3052">
        <v>0</v>
      </c>
      <c r="I43" s="3052">
        <v>0</v>
      </c>
      <c r="J43" s="3052">
        <v>0</v>
      </c>
      <c r="K43" s="3052">
        <v>0</v>
      </c>
      <c r="L43" s="3052">
        <v>0</v>
      </c>
      <c r="M43" s="3052">
        <v>0</v>
      </c>
      <c r="N43" s="3052">
        <v>0</v>
      </c>
      <c r="O43" s="3052">
        <v>0</v>
      </c>
      <c r="P43" s="3052">
        <v>0</v>
      </c>
      <c r="Q43" s="3052">
        <v>0</v>
      </c>
      <c r="R43" s="3053">
        <f t="shared" si="4"/>
        <v>1</v>
      </c>
      <c r="S43" s="3053">
        <f t="shared" si="4"/>
        <v>1</v>
      </c>
      <c r="T43" s="3053">
        <f t="shared" si="4"/>
        <v>1</v>
      </c>
      <c r="U43" s="3053">
        <f t="shared" si="4"/>
        <v>1</v>
      </c>
      <c r="V43" s="3053">
        <f t="shared" si="4"/>
        <v>1</v>
      </c>
      <c r="W43" s="3053">
        <f t="shared" si="4"/>
        <v>1</v>
      </c>
      <c r="X43" s="3053">
        <f t="shared" si="4"/>
        <v>1</v>
      </c>
      <c r="Y43" s="3053">
        <f t="shared" si="4"/>
        <v>1</v>
      </c>
      <c r="Z43" s="3053">
        <f t="shared" si="4"/>
        <v>1</v>
      </c>
      <c r="AA43" s="3053">
        <f t="shared" si="4"/>
        <v>1</v>
      </c>
      <c r="AB43" s="3053">
        <f t="shared" si="4"/>
        <v>1</v>
      </c>
      <c r="AC43" s="3053">
        <f t="shared" si="4"/>
        <v>1</v>
      </c>
      <c r="AD43" s="3053">
        <f t="shared" si="4"/>
        <v>1.0003905086873426</v>
      </c>
      <c r="AE43" s="3053">
        <f t="shared" si="4"/>
        <v>1</v>
      </c>
      <c r="AF43" s="3053">
        <f t="shared" si="4"/>
        <v>1</v>
      </c>
    </row>
    <row r="44" spans="1:32">
      <c r="A44" s="3043">
        <v>200</v>
      </c>
      <c r="B44" s="3060">
        <v>40</v>
      </c>
      <c r="C44" s="3052">
        <v>0</v>
      </c>
      <c r="D44" s="3052">
        <v>0</v>
      </c>
      <c r="E44" s="3052">
        <v>0</v>
      </c>
      <c r="F44" s="3052">
        <v>0</v>
      </c>
      <c r="G44" s="3052">
        <v>0</v>
      </c>
      <c r="H44" s="3052">
        <v>0</v>
      </c>
      <c r="I44" s="3052">
        <v>0</v>
      </c>
      <c r="J44" s="3052">
        <v>0</v>
      </c>
      <c r="K44" s="3052">
        <v>0</v>
      </c>
      <c r="L44" s="3052">
        <v>0</v>
      </c>
      <c r="M44" s="3052">
        <v>0</v>
      </c>
      <c r="N44" s="3052">
        <v>0</v>
      </c>
      <c r="O44" s="3052">
        <v>0</v>
      </c>
      <c r="P44" s="3052">
        <v>0</v>
      </c>
      <c r="Q44" s="3052">
        <v>0</v>
      </c>
      <c r="R44" s="3053">
        <f t="shared" si="4"/>
        <v>1</v>
      </c>
      <c r="S44" s="3053">
        <f t="shared" si="4"/>
        <v>1</v>
      </c>
      <c r="T44" s="3053">
        <f t="shared" si="4"/>
        <v>1</v>
      </c>
      <c r="U44" s="3053">
        <f t="shared" si="4"/>
        <v>1</v>
      </c>
      <c r="V44" s="3053">
        <f t="shared" si="4"/>
        <v>1</v>
      </c>
      <c r="W44" s="3053">
        <f t="shared" si="4"/>
        <v>1</v>
      </c>
      <c r="X44" s="3053">
        <f t="shared" si="4"/>
        <v>1</v>
      </c>
      <c r="Y44" s="3053">
        <f t="shared" si="4"/>
        <v>1</v>
      </c>
      <c r="Z44" s="3053">
        <f t="shared" si="4"/>
        <v>1</v>
      </c>
      <c r="AA44" s="3053">
        <f t="shared" si="4"/>
        <v>1</v>
      </c>
      <c r="AB44" s="3053">
        <f t="shared" si="4"/>
        <v>1</v>
      </c>
      <c r="AC44" s="3053">
        <f t="shared" si="4"/>
        <v>1</v>
      </c>
      <c r="AD44" s="3053">
        <f t="shared" si="4"/>
        <v>1.0003905086873426</v>
      </c>
      <c r="AE44" s="3053">
        <f t="shared" si="4"/>
        <v>1</v>
      </c>
      <c r="AF44" s="3053">
        <f t="shared" si="4"/>
        <v>1</v>
      </c>
    </row>
    <row r="45" spans="1:32">
      <c r="A45" s="3043">
        <v>200</v>
      </c>
      <c r="B45" s="3060">
        <v>41</v>
      </c>
      <c r="C45" s="3052">
        <v>0</v>
      </c>
      <c r="D45" s="3052">
        <v>0</v>
      </c>
      <c r="E45" s="3052">
        <v>0</v>
      </c>
      <c r="F45" s="3052">
        <v>0</v>
      </c>
      <c r="G45" s="3052">
        <v>0</v>
      </c>
      <c r="H45" s="3052">
        <v>0</v>
      </c>
      <c r="I45" s="3052">
        <v>0</v>
      </c>
      <c r="J45" s="3052">
        <v>0</v>
      </c>
      <c r="K45" s="3052">
        <v>0</v>
      </c>
      <c r="L45" s="3052">
        <v>0</v>
      </c>
      <c r="M45" s="3052">
        <v>0</v>
      </c>
      <c r="N45" s="3052">
        <v>0</v>
      </c>
      <c r="O45" s="3052">
        <v>0</v>
      </c>
      <c r="P45" s="3052">
        <v>0</v>
      </c>
      <c r="Q45" s="3052">
        <v>0</v>
      </c>
      <c r="R45" s="3053">
        <f t="shared" si="4"/>
        <v>1</v>
      </c>
      <c r="S45" s="3053">
        <f t="shared" si="4"/>
        <v>1</v>
      </c>
      <c r="T45" s="3053">
        <f t="shared" si="4"/>
        <v>1</v>
      </c>
      <c r="U45" s="3053">
        <f t="shared" si="4"/>
        <v>1</v>
      </c>
      <c r="V45" s="3053">
        <f t="shared" si="4"/>
        <v>1</v>
      </c>
      <c r="W45" s="3053">
        <f t="shared" si="4"/>
        <v>1</v>
      </c>
      <c r="X45" s="3053">
        <f t="shared" si="4"/>
        <v>1</v>
      </c>
      <c r="Y45" s="3053">
        <f t="shared" si="4"/>
        <v>1</v>
      </c>
      <c r="Z45" s="3053">
        <f t="shared" si="4"/>
        <v>1</v>
      </c>
      <c r="AA45" s="3053">
        <f t="shared" si="4"/>
        <v>1</v>
      </c>
      <c r="AB45" s="3053">
        <f t="shared" si="4"/>
        <v>1</v>
      </c>
      <c r="AC45" s="3053">
        <f t="shared" si="4"/>
        <v>1</v>
      </c>
      <c r="AD45" s="3053">
        <f t="shared" si="4"/>
        <v>1.0003905086873426</v>
      </c>
      <c r="AE45" s="3053">
        <f t="shared" si="4"/>
        <v>1</v>
      </c>
      <c r="AF45" s="3053">
        <f t="shared" si="4"/>
        <v>1</v>
      </c>
    </row>
    <row r="46" spans="1:32">
      <c r="A46" s="3043">
        <v>200</v>
      </c>
      <c r="B46" s="3060">
        <v>42</v>
      </c>
      <c r="C46" s="3052">
        <v>0</v>
      </c>
      <c r="D46" s="3052">
        <v>0</v>
      </c>
      <c r="E46" s="3052">
        <v>0</v>
      </c>
      <c r="F46" s="3052">
        <v>0</v>
      </c>
      <c r="G46" s="3052">
        <v>0</v>
      </c>
      <c r="H46" s="3052">
        <v>0</v>
      </c>
      <c r="I46" s="3052">
        <v>0</v>
      </c>
      <c r="J46" s="3052">
        <v>0</v>
      </c>
      <c r="K46" s="3052">
        <v>0</v>
      </c>
      <c r="L46" s="3052">
        <v>0</v>
      </c>
      <c r="M46" s="3052">
        <v>0</v>
      </c>
      <c r="N46" s="3052">
        <v>0</v>
      </c>
      <c r="O46" s="3052">
        <v>0</v>
      </c>
      <c r="P46" s="3052">
        <v>0</v>
      </c>
      <c r="Q46" s="3052">
        <v>0</v>
      </c>
      <c r="R46" s="3053">
        <f t="shared" si="4"/>
        <v>1</v>
      </c>
      <c r="S46" s="3053">
        <f t="shared" si="4"/>
        <v>1</v>
      </c>
      <c r="T46" s="3053">
        <f t="shared" si="4"/>
        <v>1</v>
      </c>
      <c r="U46" s="3053">
        <f t="shared" si="4"/>
        <v>1</v>
      </c>
      <c r="V46" s="3053">
        <f t="shared" si="4"/>
        <v>1</v>
      </c>
      <c r="W46" s="3053">
        <f t="shared" si="4"/>
        <v>1</v>
      </c>
      <c r="X46" s="3053">
        <f t="shared" si="4"/>
        <v>1</v>
      </c>
      <c r="Y46" s="3053">
        <f t="shared" si="4"/>
        <v>1</v>
      </c>
      <c r="Z46" s="3053">
        <f t="shared" si="4"/>
        <v>1</v>
      </c>
      <c r="AA46" s="3053">
        <f t="shared" si="4"/>
        <v>1</v>
      </c>
      <c r="AB46" s="3053">
        <f t="shared" si="4"/>
        <v>1</v>
      </c>
      <c r="AC46" s="3053">
        <f t="shared" si="4"/>
        <v>1</v>
      </c>
      <c r="AD46" s="3053">
        <f t="shared" si="4"/>
        <v>1.0003905086873426</v>
      </c>
      <c r="AE46" s="3053">
        <f t="shared" si="4"/>
        <v>1</v>
      </c>
      <c r="AF46" s="3053">
        <f t="shared" si="4"/>
        <v>1</v>
      </c>
    </row>
    <row r="47" spans="1:32">
      <c r="A47" s="3043">
        <v>200</v>
      </c>
      <c r="B47" s="3060">
        <v>43</v>
      </c>
      <c r="C47" s="3052">
        <v>0</v>
      </c>
      <c r="D47" s="3052">
        <v>0</v>
      </c>
      <c r="E47" s="3052">
        <v>0</v>
      </c>
      <c r="F47" s="3052">
        <v>0</v>
      </c>
      <c r="G47" s="3052">
        <v>0</v>
      </c>
      <c r="H47" s="3052">
        <v>0</v>
      </c>
      <c r="I47" s="3052">
        <v>0</v>
      </c>
      <c r="J47" s="3052">
        <v>0</v>
      </c>
      <c r="K47" s="3052">
        <v>0</v>
      </c>
      <c r="L47" s="3052">
        <v>0</v>
      </c>
      <c r="M47" s="3052">
        <v>0</v>
      </c>
      <c r="N47" s="3052">
        <v>0</v>
      </c>
      <c r="O47" s="3052">
        <v>0</v>
      </c>
      <c r="P47" s="3052">
        <v>0</v>
      </c>
      <c r="Q47" s="3052">
        <v>0</v>
      </c>
      <c r="R47" s="3053">
        <f t="shared" si="4"/>
        <v>1</v>
      </c>
      <c r="S47" s="3053">
        <f t="shared" si="4"/>
        <v>1</v>
      </c>
      <c r="T47" s="3053">
        <f t="shared" si="4"/>
        <v>1</v>
      </c>
      <c r="U47" s="3053">
        <f t="shared" si="4"/>
        <v>1</v>
      </c>
      <c r="V47" s="3053">
        <f t="shared" si="4"/>
        <v>1</v>
      </c>
      <c r="W47" s="3053">
        <f t="shared" si="4"/>
        <v>1</v>
      </c>
      <c r="X47" s="3053">
        <f t="shared" si="4"/>
        <v>1</v>
      </c>
      <c r="Y47" s="3053">
        <f t="shared" si="4"/>
        <v>1</v>
      </c>
      <c r="Z47" s="3053">
        <f t="shared" si="4"/>
        <v>1</v>
      </c>
      <c r="AA47" s="3053">
        <f t="shared" si="4"/>
        <v>1</v>
      </c>
      <c r="AB47" s="3053">
        <f t="shared" si="4"/>
        <v>1</v>
      </c>
      <c r="AC47" s="3053">
        <f t="shared" si="4"/>
        <v>1</v>
      </c>
      <c r="AD47" s="3053">
        <f t="shared" si="4"/>
        <v>1.0003905086873426</v>
      </c>
      <c r="AE47" s="3053">
        <f t="shared" si="4"/>
        <v>1</v>
      </c>
      <c r="AF47" s="3053">
        <f t="shared" si="4"/>
        <v>1</v>
      </c>
    </row>
    <row r="48" spans="1:32">
      <c r="A48" s="3043">
        <v>200</v>
      </c>
      <c r="B48" s="3060">
        <v>44</v>
      </c>
      <c r="C48" s="3052">
        <v>0</v>
      </c>
      <c r="D48" s="3052">
        <v>0</v>
      </c>
      <c r="E48" s="3052">
        <v>0</v>
      </c>
      <c r="F48" s="3052">
        <v>0</v>
      </c>
      <c r="G48" s="3052">
        <v>0</v>
      </c>
      <c r="H48" s="3052">
        <v>0</v>
      </c>
      <c r="I48" s="3052">
        <v>0</v>
      </c>
      <c r="J48" s="3052">
        <v>0</v>
      </c>
      <c r="K48" s="3052">
        <v>0</v>
      </c>
      <c r="L48" s="3052">
        <v>0</v>
      </c>
      <c r="M48" s="3052">
        <v>0</v>
      </c>
      <c r="N48" s="3052">
        <v>0</v>
      </c>
      <c r="O48" s="3052">
        <v>0</v>
      </c>
      <c r="P48" s="3052">
        <v>0</v>
      </c>
      <c r="Q48" s="3052">
        <v>0</v>
      </c>
      <c r="R48" s="3053">
        <f t="shared" si="4"/>
        <v>1</v>
      </c>
      <c r="S48" s="3053">
        <f t="shared" si="4"/>
        <v>1</v>
      </c>
      <c r="T48" s="3053">
        <f t="shared" si="4"/>
        <v>1</v>
      </c>
      <c r="U48" s="3053">
        <f t="shared" si="4"/>
        <v>1</v>
      </c>
      <c r="V48" s="3053">
        <f t="shared" si="4"/>
        <v>1</v>
      </c>
      <c r="W48" s="3053">
        <f t="shared" si="4"/>
        <v>1</v>
      </c>
      <c r="X48" s="3053">
        <f t="shared" si="4"/>
        <v>1</v>
      </c>
      <c r="Y48" s="3053">
        <f t="shared" si="4"/>
        <v>1</v>
      </c>
      <c r="Z48" s="3053">
        <f t="shared" si="4"/>
        <v>1</v>
      </c>
      <c r="AA48" s="3053">
        <f t="shared" si="4"/>
        <v>1</v>
      </c>
      <c r="AB48" s="3053">
        <f t="shared" si="4"/>
        <v>1</v>
      </c>
      <c r="AC48" s="3053">
        <f t="shared" si="4"/>
        <v>1</v>
      </c>
      <c r="AD48" s="3053">
        <f t="shared" si="4"/>
        <v>1.0003905086873426</v>
      </c>
      <c r="AE48" s="3053">
        <f t="shared" si="4"/>
        <v>1</v>
      </c>
      <c r="AF48" s="3053">
        <f t="shared" si="4"/>
        <v>1</v>
      </c>
    </row>
    <row r="49" spans="1:32">
      <c r="A49" s="3043">
        <v>200</v>
      </c>
      <c r="B49" s="3060">
        <v>45</v>
      </c>
      <c r="C49" s="3052">
        <v>0</v>
      </c>
      <c r="D49" s="3052">
        <v>0</v>
      </c>
      <c r="E49" s="3052">
        <v>0</v>
      </c>
      <c r="F49" s="3052">
        <v>0</v>
      </c>
      <c r="G49" s="3052">
        <v>0</v>
      </c>
      <c r="H49" s="3052">
        <v>0</v>
      </c>
      <c r="I49" s="3052">
        <v>0</v>
      </c>
      <c r="J49" s="3052">
        <v>0</v>
      </c>
      <c r="K49" s="3052">
        <v>0</v>
      </c>
      <c r="L49" s="3052">
        <v>0</v>
      </c>
      <c r="M49" s="3052">
        <v>0</v>
      </c>
      <c r="N49" s="3052">
        <v>0</v>
      </c>
      <c r="O49" s="3052">
        <v>0</v>
      </c>
      <c r="P49" s="3052">
        <v>0</v>
      </c>
      <c r="Q49" s="3052">
        <v>0</v>
      </c>
      <c r="R49" s="3053">
        <f t="shared" si="4"/>
        <v>1</v>
      </c>
      <c r="S49" s="3053">
        <f t="shared" si="4"/>
        <v>1</v>
      </c>
      <c r="T49" s="3053">
        <f t="shared" si="4"/>
        <v>1</v>
      </c>
      <c r="U49" s="3053">
        <f t="shared" si="4"/>
        <v>1</v>
      </c>
      <c r="V49" s="3053">
        <f t="shared" si="4"/>
        <v>1</v>
      </c>
      <c r="W49" s="3053">
        <f t="shared" si="4"/>
        <v>1</v>
      </c>
      <c r="X49" s="3053">
        <f t="shared" si="4"/>
        <v>1</v>
      </c>
      <c r="Y49" s="3053">
        <f t="shared" si="4"/>
        <v>1</v>
      </c>
      <c r="Z49" s="3053">
        <f t="shared" si="4"/>
        <v>1</v>
      </c>
      <c r="AA49" s="3053">
        <f t="shared" si="4"/>
        <v>1</v>
      </c>
      <c r="AB49" s="3053">
        <f t="shared" si="4"/>
        <v>1</v>
      </c>
      <c r="AC49" s="3053">
        <f t="shared" si="4"/>
        <v>1</v>
      </c>
      <c r="AD49" s="3053">
        <f t="shared" si="4"/>
        <v>1.0003905086873426</v>
      </c>
      <c r="AE49" s="3053">
        <f t="shared" si="4"/>
        <v>1</v>
      </c>
      <c r="AF49" s="3053">
        <f t="shared" si="4"/>
        <v>1</v>
      </c>
    </row>
    <row r="50" spans="1:32">
      <c r="A50" s="3043">
        <v>200</v>
      </c>
      <c r="B50" s="3060">
        <v>46</v>
      </c>
      <c r="C50" s="3052">
        <v>0</v>
      </c>
      <c r="D50" s="3052">
        <v>0</v>
      </c>
      <c r="E50" s="3052">
        <v>0</v>
      </c>
      <c r="F50" s="3052">
        <v>0</v>
      </c>
      <c r="G50" s="3052">
        <v>0</v>
      </c>
      <c r="H50" s="3052">
        <v>0</v>
      </c>
      <c r="I50" s="3052">
        <v>0</v>
      </c>
      <c r="J50" s="3052">
        <v>0</v>
      </c>
      <c r="K50" s="3052">
        <v>0</v>
      </c>
      <c r="L50" s="3052">
        <v>0</v>
      </c>
      <c r="M50" s="3052">
        <v>0</v>
      </c>
      <c r="N50" s="3052">
        <v>0</v>
      </c>
      <c r="O50" s="3052">
        <v>0</v>
      </c>
      <c r="P50" s="3052">
        <v>0</v>
      </c>
      <c r="Q50" s="3052">
        <v>0</v>
      </c>
      <c r="R50" s="3053">
        <f t="shared" si="4"/>
        <v>1</v>
      </c>
      <c r="S50" s="3053">
        <f t="shared" si="4"/>
        <v>1</v>
      </c>
      <c r="T50" s="3053">
        <f t="shared" si="4"/>
        <v>1</v>
      </c>
      <c r="U50" s="3053">
        <f t="shared" si="4"/>
        <v>1</v>
      </c>
      <c r="V50" s="3053">
        <f t="shared" si="4"/>
        <v>1</v>
      </c>
      <c r="W50" s="3053">
        <f t="shared" si="4"/>
        <v>1</v>
      </c>
      <c r="X50" s="3053">
        <f t="shared" si="4"/>
        <v>1</v>
      </c>
      <c r="Y50" s="3053">
        <f t="shared" si="4"/>
        <v>1</v>
      </c>
      <c r="Z50" s="3053">
        <f t="shared" si="4"/>
        <v>1</v>
      </c>
      <c r="AA50" s="3053">
        <f t="shared" si="4"/>
        <v>1</v>
      </c>
      <c r="AB50" s="3053">
        <f t="shared" si="4"/>
        <v>1</v>
      </c>
      <c r="AC50" s="3053">
        <f t="shared" si="4"/>
        <v>1</v>
      </c>
      <c r="AD50" s="3053">
        <f t="shared" si="4"/>
        <v>1.0003905086873426</v>
      </c>
      <c r="AE50" s="3053">
        <f t="shared" si="4"/>
        <v>1</v>
      </c>
      <c r="AF50" s="3053">
        <f t="shared" si="4"/>
        <v>1</v>
      </c>
    </row>
    <row r="51" spans="1:32">
      <c r="A51" s="3043">
        <v>200</v>
      </c>
      <c r="B51" s="3060">
        <v>47</v>
      </c>
      <c r="C51" s="3052">
        <v>0</v>
      </c>
      <c r="D51" s="3052">
        <v>0</v>
      </c>
      <c r="E51" s="3052">
        <v>0</v>
      </c>
      <c r="F51" s="3052">
        <v>0</v>
      </c>
      <c r="G51" s="3052">
        <v>0</v>
      </c>
      <c r="H51" s="3052">
        <v>0</v>
      </c>
      <c r="I51" s="3052">
        <v>0</v>
      </c>
      <c r="J51" s="3052">
        <v>0</v>
      </c>
      <c r="K51" s="3052">
        <v>0</v>
      </c>
      <c r="L51" s="3052">
        <v>0</v>
      </c>
      <c r="M51" s="3052">
        <v>0</v>
      </c>
      <c r="N51" s="3052">
        <v>0</v>
      </c>
      <c r="O51" s="3052">
        <v>0</v>
      </c>
      <c r="P51" s="3052">
        <v>0</v>
      </c>
      <c r="Q51" s="3052">
        <v>0</v>
      </c>
      <c r="R51" s="3053">
        <f t="shared" si="4"/>
        <v>1</v>
      </c>
      <c r="S51" s="3053">
        <f t="shared" si="4"/>
        <v>1</v>
      </c>
      <c r="T51" s="3053">
        <f t="shared" si="4"/>
        <v>1</v>
      </c>
      <c r="U51" s="3053">
        <f t="shared" si="4"/>
        <v>1</v>
      </c>
      <c r="V51" s="3053">
        <f t="shared" si="4"/>
        <v>1</v>
      </c>
      <c r="W51" s="3053">
        <f t="shared" si="4"/>
        <v>1</v>
      </c>
      <c r="X51" s="3053">
        <f t="shared" si="4"/>
        <v>1</v>
      </c>
      <c r="Y51" s="3053">
        <f t="shared" si="4"/>
        <v>1</v>
      </c>
      <c r="Z51" s="3053">
        <f t="shared" si="4"/>
        <v>1</v>
      </c>
      <c r="AA51" s="3053">
        <f t="shared" si="4"/>
        <v>1</v>
      </c>
      <c r="AB51" s="3053">
        <f t="shared" si="4"/>
        <v>1</v>
      </c>
      <c r="AC51" s="3053">
        <f t="shared" si="4"/>
        <v>1</v>
      </c>
      <c r="AD51" s="3053">
        <f t="shared" si="4"/>
        <v>1.0003905086873426</v>
      </c>
      <c r="AE51" s="3053">
        <f t="shared" si="4"/>
        <v>1</v>
      </c>
      <c r="AF51" s="3053">
        <f t="shared" si="4"/>
        <v>1</v>
      </c>
    </row>
    <row r="52" spans="1:32">
      <c r="A52" s="3043">
        <v>200</v>
      </c>
      <c r="B52" s="3060">
        <v>48</v>
      </c>
      <c r="C52" s="3052">
        <v>0</v>
      </c>
      <c r="D52" s="3052">
        <v>0</v>
      </c>
      <c r="E52" s="3052">
        <v>0</v>
      </c>
      <c r="F52" s="3052">
        <v>0</v>
      </c>
      <c r="G52" s="3052">
        <v>0</v>
      </c>
      <c r="H52" s="3052">
        <v>0</v>
      </c>
      <c r="I52" s="3052">
        <v>0</v>
      </c>
      <c r="J52" s="3052">
        <v>0</v>
      </c>
      <c r="K52" s="3052">
        <v>0</v>
      </c>
      <c r="L52" s="3052">
        <v>0</v>
      </c>
      <c r="M52" s="3052">
        <v>0</v>
      </c>
      <c r="N52" s="3052">
        <v>0</v>
      </c>
      <c r="O52" s="3052">
        <v>0</v>
      </c>
      <c r="P52" s="3052">
        <v>0</v>
      </c>
      <c r="Q52" s="3052">
        <v>0</v>
      </c>
      <c r="R52" s="3053">
        <f t="shared" si="4"/>
        <v>1</v>
      </c>
      <c r="S52" s="3053">
        <f t="shared" si="4"/>
        <v>1</v>
      </c>
      <c r="T52" s="3053">
        <f t="shared" si="4"/>
        <v>1</v>
      </c>
      <c r="U52" s="3053">
        <f t="shared" si="4"/>
        <v>1</v>
      </c>
      <c r="V52" s="3053">
        <f t="shared" si="4"/>
        <v>1</v>
      </c>
      <c r="W52" s="3053">
        <f t="shared" si="4"/>
        <v>1</v>
      </c>
      <c r="X52" s="3053">
        <f t="shared" si="4"/>
        <v>1</v>
      </c>
      <c r="Y52" s="3053">
        <f t="shared" si="4"/>
        <v>1</v>
      </c>
      <c r="Z52" s="3053">
        <f t="shared" si="4"/>
        <v>1</v>
      </c>
      <c r="AA52" s="3053">
        <f t="shared" si="4"/>
        <v>1</v>
      </c>
      <c r="AB52" s="3053">
        <f t="shared" si="4"/>
        <v>1</v>
      </c>
      <c r="AC52" s="3053">
        <f t="shared" si="4"/>
        <v>1</v>
      </c>
      <c r="AD52" s="3053">
        <f t="shared" si="4"/>
        <v>1.0003905086873426</v>
      </c>
      <c r="AE52" s="3053">
        <f t="shared" si="4"/>
        <v>1</v>
      </c>
      <c r="AF52" s="3053">
        <f t="shared" si="4"/>
        <v>1</v>
      </c>
    </row>
    <row r="53" spans="1:32">
      <c r="A53" s="3043">
        <v>200</v>
      </c>
      <c r="B53" s="3060">
        <v>49</v>
      </c>
      <c r="C53" s="3052">
        <v>0</v>
      </c>
      <c r="D53" s="3052">
        <v>0</v>
      </c>
      <c r="E53" s="3052">
        <v>0</v>
      </c>
      <c r="F53" s="3052">
        <v>0</v>
      </c>
      <c r="G53" s="3052">
        <v>0</v>
      </c>
      <c r="H53" s="3052">
        <v>0</v>
      </c>
      <c r="I53" s="3052">
        <v>0</v>
      </c>
      <c r="J53" s="3052">
        <v>0</v>
      </c>
      <c r="K53" s="3052">
        <v>0</v>
      </c>
      <c r="L53" s="3052">
        <v>0</v>
      </c>
      <c r="M53" s="3052">
        <v>0</v>
      </c>
      <c r="N53" s="3052">
        <v>0</v>
      </c>
      <c r="O53" s="3052">
        <v>0</v>
      </c>
      <c r="P53" s="3052">
        <v>0</v>
      </c>
      <c r="Q53" s="3052">
        <v>0</v>
      </c>
      <c r="R53" s="3053">
        <f t="shared" si="4"/>
        <v>1</v>
      </c>
      <c r="S53" s="3053">
        <f t="shared" si="4"/>
        <v>1</v>
      </c>
      <c r="T53" s="3053">
        <f t="shared" si="4"/>
        <v>1</v>
      </c>
      <c r="U53" s="3053">
        <f t="shared" si="4"/>
        <v>1</v>
      </c>
      <c r="V53" s="3053">
        <f t="shared" si="4"/>
        <v>1</v>
      </c>
      <c r="W53" s="3053">
        <f t="shared" si="4"/>
        <v>1</v>
      </c>
      <c r="X53" s="3053">
        <f t="shared" si="4"/>
        <v>1</v>
      </c>
      <c r="Y53" s="3053">
        <f t="shared" si="4"/>
        <v>1</v>
      </c>
      <c r="Z53" s="3053">
        <f t="shared" si="4"/>
        <v>1</v>
      </c>
      <c r="AA53" s="3053">
        <f t="shared" si="4"/>
        <v>1</v>
      </c>
      <c r="AB53" s="3053">
        <f t="shared" si="4"/>
        <v>1</v>
      </c>
      <c r="AC53" s="3053">
        <f t="shared" si="4"/>
        <v>1</v>
      </c>
      <c r="AD53" s="3053">
        <f t="shared" si="4"/>
        <v>1.0003905086873426</v>
      </c>
      <c r="AE53" s="3053">
        <f t="shared" si="4"/>
        <v>1</v>
      </c>
      <c r="AF53" s="3053">
        <f t="shared" si="4"/>
        <v>1</v>
      </c>
    </row>
    <row r="54" spans="1:32">
      <c r="A54" s="3043">
        <v>200</v>
      </c>
      <c r="B54" s="3060">
        <v>50</v>
      </c>
      <c r="C54" s="3052">
        <v>0</v>
      </c>
      <c r="D54" s="3052">
        <v>0</v>
      </c>
      <c r="E54" s="3052">
        <v>0</v>
      </c>
      <c r="F54" s="3052">
        <v>0</v>
      </c>
      <c r="G54" s="3052">
        <v>0</v>
      </c>
      <c r="H54" s="3052">
        <v>0</v>
      </c>
      <c r="I54" s="3052">
        <v>0</v>
      </c>
      <c r="J54" s="3052">
        <v>0</v>
      </c>
      <c r="K54" s="3052">
        <v>0</v>
      </c>
      <c r="L54" s="3052">
        <v>0</v>
      </c>
      <c r="M54" s="3052">
        <v>0</v>
      </c>
      <c r="N54" s="3052">
        <v>0</v>
      </c>
      <c r="O54" s="3052">
        <v>0</v>
      </c>
      <c r="P54" s="3052">
        <v>0</v>
      </c>
      <c r="Q54" s="3052">
        <v>0</v>
      </c>
      <c r="R54" s="3053">
        <f t="shared" ref="R54:AF69" si="5">C54+R53</f>
        <v>1</v>
      </c>
      <c r="S54" s="3053">
        <f t="shared" si="5"/>
        <v>1</v>
      </c>
      <c r="T54" s="3053">
        <f t="shared" si="5"/>
        <v>1</v>
      </c>
      <c r="U54" s="3053">
        <f t="shared" si="5"/>
        <v>1</v>
      </c>
      <c r="V54" s="3053">
        <f t="shared" si="5"/>
        <v>1</v>
      </c>
      <c r="W54" s="3053">
        <f t="shared" si="5"/>
        <v>1</v>
      </c>
      <c r="X54" s="3053">
        <f t="shared" si="5"/>
        <v>1</v>
      </c>
      <c r="Y54" s="3053">
        <f t="shared" si="5"/>
        <v>1</v>
      </c>
      <c r="Z54" s="3053">
        <f t="shared" si="5"/>
        <v>1</v>
      </c>
      <c r="AA54" s="3053">
        <f t="shared" si="5"/>
        <v>1</v>
      </c>
      <c r="AB54" s="3053">
        <f t="shared" si="5"/>
        <v>1</v>
      </c>
      <c r="AC54" s="3053">
        <f t="shared" si="5"/>
        <v>1</v>
      </c>
      <c r="AD54" s="3053">
        <f t="shared" si="5"/>
        <v>1.0003905086873426</v>
      </c>
      <c r="AE54" s="3053">
        <f t="shared" si="5"/>
        <v>1</v>
      </c>
      <c r="AF54" s="3053">
        <f t="shared" si="5"/>
        <v>1</v>
      </c>
    </row>
    <row r="55" spans="1:32">
      <c r="A55" s="3043">
        <v>200</v>
      </c>
      <c r="B55" s="3060">
        <v>51</v>
      </c>
      <c r="C55" s="3052">
        <v>0</v>
      </c>
      <c r="D55" s="3052">
        <v>0</v>
      </c>
      <c r="E55" s="3052">
        <v>0</v>
      </c>
      <c r="F55" s="3052">
        <v>0</v>
      </c>
      <c r="G55" s="3052">
        <v>0</v>
      </c>
      <c r="H55" s="3052">
        <v>0</v>
      </c>
      <c r="I55" s="3052">
        <v>0</v>
      </c>
      <c r="J55" s="3052">
        <v>0</v>
      </c>
      <c r="K55" s="3052">
        <v>0</v>
      </c>
      <c r="L55" s="3052">
        <v>0</v>
      </c>
      <c r="M55" s="3052">
        <v>0</v>
      </c>
      <c r="N55" s="3052">
        <v>0</v>
      </c>
      <c r="O55" s="3052">
        <v>0</v>
      </c>
      <c r="P55" s="3052">
        <v>0</v>
      </c>
      <c r="Q55" s="3052">
        <v>0</v>
      </c>
      <c r="R55" s="3053">
        <f t="shared" si="5"/>
        <v>1</v>
      </c>
      <c r="S55" s="3053">
        <f t="shared" si="5"/>
        <v>1</v>
      </c>
      <c r="T55" s="3053">
        <f t="shared" si="5"/>
        <v>1</v>
      </c>
      <c r="U55" s="3053">
        <f t="shared" si="5"/>
        <v>1</v>
      </c>
      <c r="V55" s="3053">
        <f t="shared" si="5"/>
        <v>1</v>
      </c>
      <c r="W55" s="3053">
        <f t="shared" si="5"/>
        <v>1</v>
      </c>
      <c r="X55" s="3053">
        <f t="shared" si="5"/>
        <v>1</v>
      </c>
      <c r="Y55" s="3053">
        <f t="shared" si="5"/>
        <v>1</v>
      </c>
      <c r="Z55" s="3053">
        <f t="shared" si="5"/>
        <v>1</v>
      </c>
      <c r="AA55" s="3053">
        <f t="shared" si="5"/>
        <v>1</v>
      </c>
      <c r="AB55" s="3053">
        <f t="shared" si="5"/>
        <v>1</v>
      </c>
      <c r="AC55" s="3053">
        <f t="shared" si="5"/>
        <v>1</v>
      </c>
      <c r="AD55" s="3053">
        <f t="shared" si="5"/>
        <v>1.0003905086873426</v>
      </c>
      <c r="AE55" s="3053">
        <f t="shared" si="5"/>
        <v>1</v>
      </c>
      <c r="AF55" s="3053">
        <f t="shared" si="5"/>
        <v>1</v>
      </c>
    </row>
    <row r="56" spans="1:32">
      <c r="A56" s="3043">
        <v>200</v>
      </c>
      <c r="B56" s="3060">
        <v>52</v>
      </c>
      <c r="C56" s="3052">
        <v>0</v>
      </c>
      <c r="D56" s="3052">
        <v>0</v>
      </c>
      <c r="E56" s="3052">
        <v>0</v>
      </c>
      <c r="F56" s="3052">
        <v>0</v>
      </c>
      <c r="G56" s="3052">
        <v>0</v>
      </c>
      <c r="H56" s="3052">
        <v>0</v>
      </c>
      <c r="I56" s="3052">
        <v>0</v>
      </c>
      <c r="J56" s="3052">
        <v>0</v>
      </c>
      <c r="K56" s="3052">
        <v>0</v>
      </c>
      <c r="L56" s="3052">
        <v>0</v>
      </c>
      <c r="M56" s="3052">
        <v>0</v>
      </c>
      <c r="N56" s="3052">
        <v>0</v>
      </c>
      <c r="O56" s="3052">
        <v>0</v>
      </c>
      <c r="P56" s="3052">
        <v>0</v>
      </c>
      <c r="Q56" s="3052">
        <v>0</v>
      </c>
      <c r="R56" s="3053">
        <f t="shared" si="5"/>
        <v>1</v>
      </c>
      <c r="S56" s="3053">
        <f t="shared" si="5"/>
        <v>1</v>
      </c>
      <c r="T56" s="3053">
        <f t="shared" si="5"/>
        <v>1</v>
      </c>
      <c r="U56" s="3053">
        <f t="shared" si="5"/>
        <v>1</v>
      </c>
      <c r="V56" s="3053">
        <f t="shared" si="5"/>
        <v>1</v>
      </c>
      <c r="W56" s="3053">
        <f t="shared" si="5"/>
        <v>1</v>
      </c>
      <c r="X56" s="3053">
        <f t="shared" si="5"/>
        <v>1</v>
      </c>
      <c r="Y56" s="3053">
        <f t="shared" si="5"/>
        <v>1</v>
      </c>
      <c r="Z56" s="3053">
        <f t="shared" si="5"/>
        <v>1</v>
      </c>
      <c r="AA56" s="3053">
        <f t="shared" si="5"/>
        <v>1</v>
      </c>
      <c r="AB56" s="3053">
        <f t="shared" si="5"/>
        <v>1</v>
      </c>
      <c r="AC56" s="3053">
        <f t="shared" si="5"/>
        <v>1</v>
      </c>
      <c r="AD56" s="3053">
        <f t="shared" si="5"/>
        <v>1.0003905086873426</v>
      </c>
      <c r="AE56" s="3053">
        <f t="shared" si="5"/>
        <v>1</v>
      </c>
      <c r="AF56" s="3053">
        <f t="shared" si="5"/>
        <v>1</v>
      </c>
    </row>
    <row r="57" spans="1:32">
      <c r="A57" s="3043">
        <v>200</v>
      </c>
      <c r="B57" s="3060">
        <v>53</v>
      </c>
      <c r="C57" s="3052">
        <v>0</v>
      </c>
      <c r="D57" s="3052">
        <v>0</v>
      </c>
      <c r="E57" s="3052">
        <v>0</v>
      </c>
      <c r="F57" s="3052">
        <v>0</v>
      </c>
      <c r="G57" s="3052">
        <v>0</v>
      </c>
      <c r="H57" s="3052">
        <v>0</v>
      </c>
      <c r="I57" s="3052">
        <v>0</v>
      </c>
      <c r="J57" s="3052">
        <v>0</v>
      </c>
      <c r="K57" s="3052">
        <v>0</v>
      </c>
      <c r="L57" s="3052">
        <v>0</v>
      </c>
      <c r="M57" s="3052">
        <v>0</v>
      </c>
      <c r="N57" s="3052">
        <v>0</v>
      </c>
      <c r="O57" s="3052">
        <v>0</v>
      </c>
      <c r="P57" s="3052">
        <v>0</v>
      </c>
      <c r="Q57" s="3052">
        <v>0</v>
      </c>
      <c r="R57" s="3053">
        <f t="shared" si="5"/>
        <v>1</v>
      </c>
      <c r="S57" s="3053">
        <f t="shared" si="5"/>
        <v>1</v>
      </c>
      <c r="T57" s="3053">
        <f t="shared" si="5"/>
        <v>1</v>
      </c>
      <c r="U57" s="3053">
        <f t="shared" si="5"/>
        <v>1</v>
      </c>
      <c r="V57" s="3053">
        <f t="shared" si="5"/>
        <v>1</v>
      </c>
      <c r="W57" s="3053">
        <f t="shared" si="5"/>
        <v>1</v>
      </c>
      <c r="X57" s="3053">
        <f t="shared" si="5"/>
        <v>1</v>
      </c>
      <c r="Y57" s="3053">
        <f t="shared" si="5"/>
        <v>1</v>
      </c>
      <c r="Z57" s="3053">
        <f t="shared" si="5"/>
        <v>1</v>
      </c>
      <c r="AA57" s="3053">
        <f t="shared" si="5"/>
        <v>1</v>
      </c>
      <c r="AB57" s="3053">
        <f t="shared" si="5"/>
        <v>1</v>
      </c>
      <c r="AC57" s="3053">
        <f t="shared" si="5"/>
        <v>1</v>
      </c>
      <c r="AD57" s="3053">
        <f t="shared" si="5"/>
        <v>1.0003905086873426</v>
      </c>
      <c r="AE57" s="3053">
        <f t="shared" si="5"/>
        <v>1</v>
      </c>
      <c r="AF57" s="3053">
        <f t="shared" si="5"/>
        <v>1</v>
      </c>
    </row>
    <row r="58" spans="1:32">
      <c r="A58" s="3043">
        <v>200</v>
      </c>
      <c r="B58" s="3060">
        <v>54</v>
      </c>
      <c r="C58" s="3052">
        <v>0</v>
      </c>
      <c r="D58" s="3052">
        <v>0</v>
      </c>
      <c r="E58" s="3052">
        <v>0</v>
      </c>
      <c r="F58" s="3052">
        <v>0</v>
      </c>
      <c r="G58" s="3052">
        <v>0</v>
      </c>
      <c r="H58" s="3052">
        <v>0</v>
      </c>
      <c r="I58" s="3052">
        <v>0</v>
      </c>
      <c r="J58" s="3052">
        <v>0</v>
      </c>
      <c r="K58" s="3052">
        <v>0</v>
      </c>
      <c r="L58" s="3052">
        <v>0</v>
      </c>
      <c r="M58" s="3052">
        <v>0</v>
      </c>
      <c r="N58" s="3052">
        <v>0</v>
      </c>
      <c r="O58" s="3052">
        <v>0</v>
      </c>
      <c r="P58" s="3052">
        <v>0</v>
      </c>
      <c r="Q58" s="3052">
        <v>0</v>
      </c>
      <c r="R58" s="3053">
        <f t="shared" si="5"/>
        <v>1</v>
      </c>
      <c r="S58" s="3053">
        <f t="shared" si="5"/>
        <v>1</v>
      </c>
      <c r="T58" s="3053">
        <f t="shared" si="5"/>
        <v>1</v>
      </c>
      <c r="U58" s="3053">
        <f t="shared" si="5"/>
        <v>1</v>
      </c>
      <c r="V58" s="3053">
        <f t="shared" si="5"/>
        <v>1</v>
      </c>
      <c r="W58" s="3053">
        <f t="shared" si="5"/>
        <v>1</v>
      </c>
      <c r="X58" s="3053">
        <f t="shared" si="5"/>
        <v>1</v>
      </c>
      <c r="Y58" s="3053">
        <f t="shared" si="5"/>
        <v>1</v>
      </c>
      <c r="Z58" s="3053">
        <f t="shared" si="5"/>
        <v>1</v>
      </c>
      <c r="AA58" s="3053">
        <f t="shared" si="5"/>
        <v>1</v>
      </c>
      <c r="AB58" s="3053">
        <f t="shared" si="5"/>
        <v>1</v>
      </c>
      <c r="AC58" s="3053">
        <f t="shared" si="5"/>
        <v>1</v>
      </c>
      <c r="AD58" s="3053">
        <f t="shared" si="5"/>
        <v>1.0003905086873426</v>
      </c>
      <c r="AE58" s="3053">
        <f t="shared" si="5"/>
        <v>1</v>
      </c>
      <c r="AF58" s="3053">
        <f t="shared" si="5"/>
        <v>1</v>
      </c>
    </row>
    <row r="59" spans="1:32">
      <c r="A59" s="3043">
        <v>200</v>
      </c>
      <c r="B59" s="3060">
        <v>55</v>
      </c>
      <c r="C59" s="3052">
        <v>0</v>
      </c>
      <c r="D59" s="3052">
        <v>0</v>
      </c>
      <c r="E59" s="3052">
        <v>0</v>
      </c>
      <c r="F59" s="3052">
        <v>0</v>
      </c>
      <c r="G59" s="3052">
        <v>0</v>
      </c>
      <c r="H59" s="3052">
        <v>0</v>
      </c>
      <c r="I59" s="3052">
        <v>0</v>
      </c>
      <c r="J59" s="3052">
        <v>0</v>
      </c>
      <c r="K59" s="3052">
        <v>0</v>
      </c>
      <c r="L59" s="3052">
        <v>0</v>
      </c>
      <c r="M59" s="3052">
        <v>0</v>
      </c>
      <c r="N59" s="3052">
        <v>0</v>
      </c>
      <c r="O59" s="3052">
        <v>0</v>
      </c>
      <c r="P59" s="3052">
        <v>0</v>
      </c>
      <c r="Q59" s="3052">
        <v>0</v>
      </c>
      <c r="R59" s="3053">
        <f t="shared" si="5"/>
        <v>1</v>
      </c>
      <c r="S59" s="3053">
        <f t="shared" si="5"/>
        <v>1</v>
      </c>
      <c r="T59" s="3053">
        <f t="shared" si="5"/>
        <v>1</v>
      </c>
      <c r="U59" s="3053">
        <f t="shared" si="5"/>
        <v>1</v>
      </c>
      <c r="V59" s="3053">
        <f t="shared" si="5"/>
        <v>1</v>
      </c>
      <c r="W59" s="3053">
        <f t="shared" si="5"/>
        <v>1</v>
      </c>
      <c r="X59" s="3053">
        <f t="shared" si="5"/>
        <v>1</v>
      </c>
      <c r="Y59" s="3053">
        <f t="shared" si="5"/>
        <v>1</v>
      </c>
      <c r="Z59" s="3053">
        <f t="shared" si="5"/>
        <v>1</v>
      </c>
      <c r="AA59" s="3053">
        <f t="shared" si="5"/>
        <v>1</v>
      </c>
      <c r="AB59" s="3053">
        <f t="shared" si="5"/>
        <v>1</v>
      </c>
      <c r="AC59" s="3053">
        <f t="shared" si="5"/>
        <v>1</v>
      </c>
      <c r="AD59" s="3053">
        <f t="shared" si="5"/>
        <v>1.0003905086873426</v>
      </c>
      <c r="AE59" s="3053">
        <f t="shared" si="5"/>
        <v>1</v>
      </c>
      <c r="AF59" s="3053">
        <f t="shared" si="5"/>
        <v>1</v>
      </c>
    </row>
    <row r="60" spans="1:32">
      <c r="A60" s="3043">
        <v>200</v>
      </c>
      <c r="B60" s="3060">
        <v>56</v>
      </c>
      <c r="C60" s="3052">
        <v>0</v>
      </c>
      <c r="D60" s="3052">
        <v>0</v>
      </c>
      <c r="E60" s="3052">
        <v>0</v>
      </c>
      <c r="F60" s="3052">
        <v>0</v>
      </c>
      <c r="G60" s="3052">
        <v>0</v>
      </c>
      <c r="H60" s="3052">
        <v>0</v>
      </c>
      <c r="I60" s="3052">
        <v>0</v>
      </c>
      <c r="J60" s="3052">
        <v>0</v>
      </c>
      <c r="K60" s="3052">
        <v>0</v>
      </c>
      <c r="L60" s="3052">
        <v>0</v>
      </c>
      <c r="M60" s="3052">
        <v>0</v>
      </c>
      <c r="N60" s="3052">
        <v>0</v>
      </c>
      <c r="O60" s="3052">
        <v>0</v>
      </c>
      <c r="P60" s="3052">
        <v>0</v>
      </c>
      <c r="Q60" s="3052">
        <v>0</v>
      </c>
      <c r="R60" s="3053">
        <f t="shared" si="5"/>
        <v>1</v>
      </c>
      <c r="S60" s="3053">
        <f t="shared" si="5"/>
        <v>1</v>
      </c>
      <c r="T60" s="3053">
        <f t="shared" si="5"/>
        <v>1</v>
      </c>
      <c r="U60" s="3053">
        <f t="shared" si="5"/>
        <v>1</v>
      </c>
      <c r="V60" s="3053">
        <f t="shared" si="5"/>
        <v>1</v>
      </c>
      <c r="W60" s="3053">
        <f t="shared" si="5"/>
        <v>1</v>
      </c>
      <c r="X60" s="3053">
        <f t="shared" si="5"/>
        <v>1</v>
      </c>
      <c r="Y60" s="3053">
        <f t="shared" si="5"/>
        <v>1</v>
      </c>
      <c r="Z60" s="3053">
        <f t="shared" si="5"/>
        <v>1</v>
      </c>
      <c r="AA60" s="3053">
        <f t="shared" si="5"/>
        <v>1</v>
      </c>
      <c r="AB60" s="3053">
        <f t="shared" si="5"/>
        <v>1</v>
      </c>
      <c r="AC60" s="3053">
        <f t="shared" si="5"/>
        <v>1</v>
      </c>
      <c r="AD60" s="3053">
        <f t="shared" si="5"/>
        <v>1.0003905086873426</v>
      </c>
      <c r="AE60" s="3053">
        <f t="shared" si="5"/>
        <v>1</v>
      </c>
      <c r="AF60" s="3053">
        <f t="shared" si="5"/>
        <v>1</v>
      </c>
    </row>
    <row r="61" spans="1:32">
      <c r="A61" s="3043">
        <v>200</v>
      </c>
      <c r="B61" s="3060">
        <v>57</v>
      </c>
      <c r="C61" s="3052">
        <v>0</v>
      </c>
      <c r="D61" s="3052">
        <v>0</v>
      </c>
      <c r="E61" s="3052">
        <v>0</v>
      </c>
      <c r="F61" s="3052">
        <v>0</v>
      </c>
      <c r="G61" s="3052">
        <v>0</v>
      </c>
      <c r="H61" s="3052">
        <v>0</v>
      </c>
      <c r="I61" s="3052">
        <v>0</v>
      </c>
      <c r="J61" s="3052">
        <v>0</v>
      </c>
      <c r="K61" s="3052">
        <v>0</v>
      </c>
      <c r="L61" s="3052">
        <v>0</v>
      </c>
      <c r="M61" s="3052">
        <v>0</v>
      </c>
      <c r="N61" s="3052">
        <v>0</v>
      </c>
      <c r="O61" s="3052">
        <v>0</v>
      </c>
      <c r="P61" s="3052">
        <v>0</v>
      </c>
      <c r="Q61" s="3052">
        <v>0</v>
      </c>
      <c r="R61" s="3053">
        <f t="shared" si="5"/>
        <v>1</v>
      </c>
      <c r="S61" s="3053">
        <f t="shared" si="5"/>
        <v>1</v>
      </c>
      <c r="T61" s="3053">
        <f t="shared" si="5"/>
        <v>1</v>
      </c>
      <c r="U61" s="3053">
        <f t="shared" si="5"/>
        <v>1</v>
      </c>
      <c r="V61" s="3053">
        <f t="shared" si="5"/>
        <v>1</v>
      </c>
      <c r="W61" s="3053">
        <f t="shared" si="5"/>
        <v>1</v>
      </c>
      <c r="X61" s="3053">
        <f t="shared" si="5"/>
        <v>1</v>
      </c>
      <c r="Y61" s="3053">
        <f t="shared" si="5"/>
        <v>1</v>
      </c>
      <c r="Z61" s="3053">
        <f t="shared" si="5"/>
        <v>1</v>
      </c>
      <c r="AA61" s="3053">
        <f t="shared" si="5"/>
        <v>1</v>
      </c>
      <c r="AB61" s="3053">
        <f t="shared" si="5"/>
        <v>1</v>
      </c>
      <c r="AC61" s="3053">
        <f t="shared" si="5"/>
        <v>1</v>
      </c>
      <c r="AD61" s="3053">
        <f t="shared" si="5"/>
        <v>1.0003905086873426</v>
      </c>
      <c r="AE61" s="3053">
        <f t="shared" si="5"/>
        <v>1</v>
      </c>
      <c r="AF61" s="3053">
        <f t="shared" si="5"/>
        <v>1</v>
      </c>
    </row>
    <row r="62" spans="1:32">
      <c r="A62" s="3043">
        <v>200</v>
      </c>
      <c r="B62" s="3060">
        <v>58</v>
      </c>
      <c r="C62" s="3052">
        <v>0</v>
      </c>
      <c r="D62" s="3052">
        <v>0</v>
      </c>
      <c r="E62" s="3052">
        <v>0</v>
      </c>
      <c r="F62" s="3052">
        <v>0</v>
      </c>
      <c r="G62" s="3052">
        <v>0</v>
      </c>
      <c r="H62" s="3052">
        <v>0</v>
      </c>
      <c r="I62" s="3052">
        <v>0</v>
      </c>
      <c r="J62" s="3052">
        <v>0</v>
      </c>
      <c r="K62" s="3052">
        <v>0</v>
      </c>
      <c r="L62" s="3052">
        <v>0</v>
      </c>
      <c r="M62" s="3052">
        <v>0</v>
      </c>
      <c r="N62" s="3052">
        <v>0</v>
      </c>
      <c r="O62" s="3052">
        <v>0</v>
      </c>
      <c r="P62" s="3052">
        <v>0</v>
      </c>
      <c r="Q62" s="3052">
        <v>0</v>
      </c>
      <c r="R62" s="3053">
        <f t="shared" si="5"/>
        <v>1</v>
      </c>
      <c r="S62" s="3053">
        <f t="shared" si="5"/>
        <v>1</v>
      </c>
      <c r="T62" s="3053">
        <f t="shared" si="5"/>
        <v>1</v>
      </c>
      <c r="U62" s="3053">
        <f t="shared" si="5"/>
        <v>1</v>
      </c>
      <c r="V62" s="3053">
        <f t="shared" si="5"/>
        <v>1</v>
      </c>
      <c r="W62" s="3053">
        <f t="shared" si="5"/>
        <v>1</v>
      </c>
      <c r="X62" s="3053">
        <f t="shared" si="5"/>
        <v>1</v>
      </c>
      <c r="Y62" s="3053">
        <f t="shared" si="5"/>
        <v>1</v>
      </c>
      <c r="Z62" s="3053">
        <f t="shared" si="5"/>
        <v>1</v>
      </c>
      <c r="AA62" s="3053">
        <f t="shared" si="5"/>
        <v>1</v>
      </c>
      <c r="AB62" s="3053">
        <f t="shared" si="5"/>
        <v>1</v>
      </c>
      <c r="AC62" s="3053">
        <f t="shared" si="5"/>
        <v>1</v>
      </c>
      <c r="AD62" s="3053">
        <f t="shared" si="5"/>
        <v>1.0003905086873426</v>
      </c>
      <c r="AE62" s="3053">
        <f t="shared" si="5"/>
        <v>1</v>
      </c>
      <c r="AF62" s="3053">
        <f t="shared" si="5"/>
        <v>1</v>
      </c>
    </row>
    <row r="63" spans="1:32">
      <c r="A63" s="3043">
        <v>200</v>
      </c>
      <c r="B63" s="3060">
        <v>59</v>
      </c>
      <c r="C63" s="3052">
        <v>0</v>
      </c>
      <c r="D63" s="3052">
        <v>0</v>
      </c>
      <c r="E63" s="3052">
        <v>0</v>
      </c>
      <c r="F63" s="3052">
        <v>0</v>
      </c>
      <c r="G63" s="3052">
        <v>0</v>
      </c>
      <c r="H63" s="3052">
        <v>0</v>
      </c>
      <c r="I63" s="3052">
        <v>0</v>
      </c>
      <c r="J63" s="3052">
        <v>0</v>
      </c>
      <c r="K63" s="3052">
        <v>0</v>
      </c>
      <c r="L63" s="3052">
        <v>0</v>
      </c>
      <c r="M63" s="3052">
        <v>0</v>
      </c>
      <c r="N63" s="3052">
        <v>0</v>
      </c>
      <c r="O63" s="3052">
        <v>0</v>
      </c>
      <c r="P63" s="3052">
        <v>0</v>
      </c>
      <c r="Q63" s="3052">
        <v>0</v>
      </c>
      <c r="R63" s="3053">
        <f t="shared" si="5"/>
        <v>1</v>
      </c>
      <c r="S63" s="3053">
        <f t="shared" si="5"/>
        <v>1</v>
      </c>
      <c r="T63" s="3053">
        <f t="shared" si="5"/>
        <v>1</v>
      </c>
      <c r="U63" s="3053">
        <f t="shared" si="5"/>
        <v>1</v>
      </c>
      <c r="V63" s="3053">
        <f t="shared" si="5"/>
        <v>1</v>
      </c>
      <c r="W63" s="3053">
        <f t="shared" si="5"/>
        <v>1</v>
      </c>
      <c r="X63" s="3053">
        <f t="shared" si="5"/>
        <v>1</v>
      </c>
      <c r="Y63" s="3053">
        <f t="shared" si="5"/>
        <v>1</v>
      </c>
      <c r="Z63" s="3053">
        <f t="shared" si="5"/>
        <v>1</v>
      </c>
      <c r="AA63" s="3053">
        <f t="shared" si="5"/>
        <v>1</v>
      </c>
      <c r="AB63" s="3053">
        <f t="shared" si="5"/>
        <v>1</v>
      </c>
      <c r="AC63" s="3053">
        <f t="shared" si="5"/>
        <v>1</v>
      </c>
      <c r="AD63" s="3053">
        <f t="shared" si="5"/>
        <v>1.0003905086873426</v>
      </c>
      <c r="AE63" s="3053">
        <f t="shared" si="5"/>
        <v>1</v>
      </c>
      <c r="AF63" s="3053">
        <f t="shared" si="5"/>
        <v>1</v>
      </c>
    </row>
    <row r="64" spans="1:32">
      <c r="A64" s="3043">
        <v>200</v>
      </c>
      <c r="B64" s="3060">
        <v>60</v>
      </c>
      <c r="C64" s="3052">
        <v>0</v>
      </c>
      <c r="D64" s="3052">
        <v>0</v>
      </c>
      <c r="E64" s="3052">
        <v>0</v>
      </c>
      <c r="F64" s="3052">
        <v>0</v>
      </c>
      <c r="G64" s="3052">
        <v>0</v>
      </c>
      <c r="H64" s="3052">
        <v>0</v>
      </c>
      <c r="I64" s="3052">
        <v>0</v>
      </c>
      <c r="J64" s="3052">
        <v>0</v>
      </c>
      <c r="K64" s="3052">
        <v>0</v>
      </c>
      <c r="L64" s="3052">
        <v>0</v>
      </c>
      <c r="M64" s="3052">
        <v>0</v>
      </c>
      <c r="N64" s="3052">
        <v>0</v>
      </c>
      <c r="O64" s="3052">
        <v>0</v>
      </c>
      <c r="P64" s="3052">
        <v>0</v>
      </c>
      <c r="Q64" s="3052">
        <v>0</v>
      </c>
      <c r="R64" s="3053">
        <f t="shared" si="5"/>
        <v>1</v>
      </c>
      <c r="S64" s="3053">
        <f t="shared" si="5"/>
        <v>1</v>
      </c>
      <c r="T64" s="3053">
        <f t="shared" si="5"/>
        <v>1</v>
      </c>
      <c r="U64" s="3053">
        <f t="shared" si="5"/>
        <v>1</v>
      </c>
      <c r="V64" s="3053">
        <f t="shared" si="5"/>
        <v>1</v>
      </c>
      <c r="W64" s="3053">
        <f t="shared" si="5"/>
        <v>1</v>
      </c>
      <c r="X64" s="3053">
        <f t="shared" si="5"/>
        <v>1</v>
      </c>
      <c r="Y64" s="3053">
        <f t="shared" si="5"/>
        <v>1</v>
      </c>
      <c r="Z64" s="3053">
        <f t="shared" si="5"/>
        <v>1</v>
      </c>
      <c r="AA64" s="3053">
        <f t="shared" si="5"/>
        <v>1</v>
      </c>
      <c r="AB64" s="3053">
        <f t="shared" si="5"/>
        <v>1</v>
      </c>
      <c r="AC64" s="3053">
        <f t="shared" si="5"/>
        <v>1</v>
      </c>
      <c r="AD64" s="3053">
        <f t="shared" si="5"/>
        <v>1.0003905086873426</v>
      </c>
      <c r="AE64" s="3053">
        <f t="shared" si="5"/>
        <v>1</v>
      </c>
      <c r="AF64" s="3053">
        <f t="shared" si="5"/>
        <v>1</v>
      </c>
    </row>
    <row r="65" spans="1:32">
      <c r="A65" s="3043">
        <v>200</v>
      </c>
      <c r="B65" s="3060">
        <v>61</v>
      </c>
      <c r="C65" s="3052">
        <v>0</v>
      </c>
      <c r="D65" s="3052">
        <v>0</v>
      </c>
      <c r="E65" s="3052">
        <v>0</v>
      </c>
      <c r="F65" s="3052">
        <v>0</v>
      </c>
      <c r="G65" s="3052">
        <v>0</v>
      </c>
      <c r="H65" s="3052">
        <v>0</v>
      </c>
      <c r="I65" s="3052">
        <v>0</v>
      </c>
      <c r="J65" s="3052">
        <v>0</v>
      </c>
      <c r="K65" s="3052">
        <v>0</v>
      </c>
      <c r="L65" s="3052">
        <v>0</v>
      </c>
      <c r="M65" s="3052">
        <v>0</v>
      </c>
      <c r="N65" s="3052">
        <v>0</v>
      </c>
      <c r="O65" s="3052">
        <v>0</v>
      </c>
      <c r="P65" s="3052">
        <v>0</v>
      </c>
      <c r="Q65" s="3052">
        <v>0</v>
      </c>
      <c r="R65" s="3053">
        <f t="shared" si="5"/>
        <v>1</v>
      </c>
      <c r="S65" s="3053">
        <f t="shared" si="5"/>
        <v>1</v>
      </c>
      <c r="T65" s="3053">
        <f t="shared" si="5"/>
        <v>1</v>
      </c>
      <c r="U65" s="3053">
        <f t="shared" si="5"/>
        <v>1</v>
      </c>
      <c r="V65" s="3053">
        <f t="shared" si="5"/>
        <v>1</v>
      </c>
      <c r="W65" s="3053">
        <f t="shared" si="5"/>
        <v>1</v>
      </c>
      <c r="X65" s="3053">
        <f t="shared" si="5"/>
        <v>1</v>
      </c>
      <c r="Y65" s="3053">
        <f t="shared" si="5"/>
        <v>1</v>
      </c>
      <c r="Z65" s="3053">
        <f t="shared" si="5"/>
        <v>1</v>
      </c>
      <c r="AA65" s="3053">
        <f t="shared" si="5"/>
        <v>1</v>
      </c>
      <c r="AB65" s="3053">
        <f t="shared" si="5"/>
        <v>1</v>
      </c>
      <c r="AC65" s="3053">
        <f t="shared" si="5"/>
        <v>1</v>
      </c>
      <c r="AD65" s="3053">
        <f t="shared" si="5"/>
        <v>1.0003905086873426</v>
      </c>
      <c r="AE65" s="3053">
        <f t="shared" si="5"/>
        <v>1</v>
      </c>
      <c r="AF65" s="3053">
        <f t="shared" si="5"/>
        <v>1</v>
      </c>
    </row>
    <row r="66" spans="1:32">
      <c r="A66" s="3043">
        <v>200</v>
      </c>
      <c r="B66" s="3060">
        <v>62</v>
      </c>
      <c r="C66" s="3052">
        <v>0</v>
      </c>
      <c r="D66" s="3052">
        <v>0</v>
      </c>
      <c r="E66" s="3052">
        <v>0</v>
      </c>
      <c r="F66" s="3052">
        <v>0</v>
      </c>
      <c r="G66" s="3052">
        <v>0</v>
      </c>
      <c r="H66" s="3052">
        <v>0</v>
      </c>
      <c r="I66" s="3052">
        <v>0</v>
      </c>
      <c r="J66" s="3052">
        <v>0</v>
      </c>
      <c r="K66" s="3052">
        <v>0</v>
      </c>
      <c r="L66" s="3052">
        <v>0</v>
      </c>
      <c r="M66" s="3052">
        <v>0</v>
      </c>
      <c r="N66" s="3052">
        <v>0</v>
      </c>
      <c r="O66" s="3052">
        <v>0</v>
      </c>
      <c r="P66" s="3052">
        <v>0</v>
      </c>
      <c r="Q66" s="3052">
        <v>0</v>
      </c>
      <c r="R66" s="3053">
        <f t="shared" si="5"/>
        <v>1</v>
      </c>
      <c r="S66" s="3053">
        <f t="shared" si="5"/>
        <v>1</v>
      </c>
      <c r="T66" s="3053">
        <f t="shared" si="5"/>
        <v>1</v>
      </c>
      <c r="U66" s="3053">
        <f t="shared" si="5"/>
        <v>1</v>
      </c>
      <c r="V66" s="3053">
        <f t="shared" si="5"/>
        <v>1</v>
      </c>
      <c r="W66" s="3053">
        <f t="shared" si="5"/>
        <v>1</v>
      </c>
      <c r="X66" s="3053">
        <f t="shared" si="5"/>
        <v>1</v>
      </c>
      <c r="Y66" s="3053">
        <f t="shared" si="5"/>
        <v>1</v>
      </c>
      <c r="Z66" s="3053">
        <f t="shared" si="5"/>
        <v>1</v>
      </c>
      <c r="AA66" s="3053">
        <f t="shared" si="5"/>
        <v>1</v>
      </c>
      <c r="AB66" s="3053">
        <f t="shared" si="5"/>
        <v>1</v>
      </c>
      <c r="AC66" s="3053">
        <f t="shared" si="5"/>
        <v>1</v>
      </c>
      <c r="AD66" s="3053">
        <f t="shared" si="5"/>
        <v>1.0003905086873426</v>
      </c>
      <c r="AE66" s="3053">
        <f t="shared" si="5"/>
        <v>1</v>
      </c>
      <c r="AF66" s="3053">
        <f t="shared" si="5"/>
        <v>1</v>
      </c>
    </row>
    <row r="67" spans="1:32">
      <c r="A67" s="3043">
        <v>200</v>
      </c>
      <c r="B67" s="3060">
        <v>63</v>
      </c>
      <c r="C67" s="3052">
        <v>0</v>
      </c>
      <c r="D67" s="3052">
        <v>0</v>
      </c>
      <c r="E67" s="3052">
        <v>0</v>
      </c>
      <c r="F67" s="3052">
        <v>0</v>
      </c>
      <c r="G67" s="3052">
        <v>0</v>
      </c>
      <c r="H67" s="3052">
        <v>0</v>
      </c>
      <c r="I67" s="3052">
        <v>0</v>
      </c>
      <c r="J67" s="3052">
        <v>0</v>
      </c>
      <c r="K67" s="3052">
        <v>0</v>
      </c>
      <c r="L67" s="3052">
        <v>0</v>
      </c>
      <c r="M67" s="3052">
        <v>0</v>
      </c>
      <c r="N67" s="3052">
        <v>0</v>
      </c>
      <c r="O67" s="3052">
        <v>0</v>
      </c>
      <c r="P67" s="3052">
        <v>0</v>
      </c>
      <c r="Q67" s="3052">
        <v>0</v>
      </c>
      <c r="R67" s="3053">
        <f t="shared" si="5"/>
        <v>1</v>
      </c>
      <c r="S67" s="3053">
        <f t="shared" si="5"/>
        <v>1</v>
      </c>
      <c r="T67" s="3053">
        <f t="shared" si="5"/>
        <v>1</v>
      </c>
      <c r="U67" s="3053">
        <f t="shared" si="5"/>
        <v>1</v>
      </c>
      <c r="V67" s="3053">
        <f t="shared" si="5"/>
        <v>1</v>
      </c>
      <c r="W67" s="3053">
        <f t="shared" si="5"/>
        <v>1</v>
      </c>
      <c r="X67" s="3053">
        <f t="shared" si="5"/>
        <v>1</v>
      </c>
      <c r="Y67" s="3053">
        <f t="shared" si="5"/>
        <v>1</v>
      </c>
      <c r="Z67" s="3053">
        <f t="shared" si="5"/>
        <v>1</v>
      </c>
      <c r="AA67" s="3053">
        <f t="shared" si="5"/>
        <v>1</v>
      </c>
      <c r="AB67" s="3053">
        <f t="shared" si="5"/>
        <v>1</v>
      </c>
      <c r="AC67" s="3053">
        <f t="shared" si="5"/>
        <v>1</v>
      </c>
      <c r="AD67" s="3053">
        <f t="shared" si="5"/>
        <v>1.0003905086873426</v>
      </c>
      <c r="AE67" s="3053">
        <f t="shared" si="5"/>
        <v>1</v>
      </c>
      <c r="AF67" s="3053">
        <f t="shared" si="5"/>
        <v>1</v>
      </c>
    </row>
    <row r="68" spans="1:32">
      <c r="A68" s="3043">
        <v>200</v>
      </c>
      <c r="B68" s="3060">
        <v>64</v>
      </c>
      <c r="C68" s="3052">
        <v>0</v>
      </c>
      <c r="D68" s="3052">
        <v>0</v>
      </c>
      <c r="E68" s="3052">
        <v>0</v>
      </c>
      <c r="F68" s="3052">
        <v>0</v>
      </c>
      <c r="G68" s="3052">
        <v>0</v>
      </c>
      <c r="H68" s="3052">
        <v>0</v>
      </c>
      <c r="I68" s="3052">
        <v>0</v>
      </c>
      <c r="J68" s="3052">
        <v>0</v>
      </c>
      <c r="K68" s="3052">
        <v>0</v>
      </c>
      <c r="L68" s="3052">
        <v>0</v>
      </c>
      <c r="M68" s="3052">
        <v>0</v>
      </c>
      <c r="N68" s="3052">
        <v>0</v>
      </c>
      <c r="O68" s="3052">
        <v>0</v>
      </c>
      <c r="P68" s="3052">
        <v>0</v>
      </c>
      <c r="Q68" s="3052">
        <v>0</v>
      </c>
      <c r="R68" s="3053">
        <f t="shared" si="5"/>
        <v>1</v>
      </c>
      <c r="S68" s="3053">
        <f t="shared" si="5"/>
        <v>1</v>
      </c>
      <c r="T68" s="3053">
        <f t="shared" si="5"/>
        <v>1</v>
      </c>
      <c r="U68" s="3053">
        <f t="shared" si="5"/>
        <v>1</v>
      </c>
      <c r="V68" s="3053">
        <f t="shared" si="5"/>
        <v>1</v>
      </c>
      <c r="W68" s="3053">
        <f t="shared" si="5"/>
        <v>1</v>
      </c>
      <c r="X68" s="3053">
        <f t="shared" si="5"/>
        <v>1</v>
      </c>
      <c r="Y68" s="3053">
        <f t="shared" si="5"/>
        <v>1</v>
      </c>
      <c r="Z68" s="3053">
        <f t="shared" si="5"/>
        <v>1</v>
      </c>
      <c r="AA68" s="3053">
        <f t="shared" si="5"/>
        <v>1</v>
      </c>
      <c r="AB68" s="3053">
        <f t="shared" si="5"/>
        <v>1</v>
      </c>
      <c r="AC68" s="3053">
        <f t="shared" si="5"/>
        <v>1</v>
      </c>
      <c r="AD68" s="3053">
        <f t="shared" si="5"/>
        <v>1.0003905086873426</v>
      </c>
      <c r="AE68" s="3053">
        <f t="shared" si="5"/>
        <v>1</v>
      </c>
      <c r="AF68" s="3053">
        <f t="shared" si="5"/>
        <v>1</v>
      </c>
    </row>
    <row r="69" spans="1:32">
      <c r="A69" s="3043">
        <v>200</v>
      </c>
      <c r="B69" s="3060">
        <v>65</v>
      </c>
      <c r="C69" s="3052">
        <v>0</v>
      </c>
      <c r="D69" s="3052">
        <v>0</v>
      </c>
      <c r="E69" s="3052">
        <v>0</v>
      </c>
      <c r="F69" s="3052">
        <v>0</v>
      </c>
      <c r="G69" s="3052">
        <v>0</v>
      </c>
      <c r="H69" s="3052">
        <v>0</v>
      </c>
      <c r="I69" s="3052">
        <v>0</v>
      </c>
      <c r="J69" s="3052">
        <v>0</v>
      </c>
      <c r="K69" s="3052">
        <v>0</v>
      </c>
      <c r="L69" s="3052">
        <v>0</v>
      </c>
      <c r="M69" s="3052">
        <v>0</v>
      </c>
      <c r="N69" s="3052">
        <v>0</v>
      </c>
      <c r="O69" s="3052">
        <v>0</v>
      </c>
      <c r="P69" s="3052">
        <v>0</v>
      </c>
      <c r="Q69" s="3052">
        <v>0</v>
      </c>
      <c r="R69" s="3053">
        <f t="shared" si="5"/>
        <v>1</v>
      </c>
      <c r="S69" s="3053">
        <f t="shared" si="5"/>
        <v>1</v>
      </c>
      <c r="T69" s="3053">
        <f t="shared" si="5"/>
        <v>1</v>
      </c>
      <c r="U69" s="3053">
        <f t="shared" si="5"/>
        <v>1</v>
      </c>
      <c r="V69" s="3053">
        <f t="shared" si="5"/>
        <v>1</v>
      </c>
      <c r="W69" s="3053">
        <f t="shared" si="5"/>
        <v>1</v>
      </c>
      <c r="X69" s="3053">
        <f t="shared" si="5"/>
        <v>1</v>
      </c>
      <c r="Y69" s="3053">
        <f t="shared" si="5"/>
        <v>1</v>
      </c>
      <c r="Z69" s="3053">
        <f t="shared" si="5"/>
        <v>1</v>
      </c>
      <c r="AA69" s="3053">
        <f t="shared" si="5"/>
        <v>1</v>
      </c>
      <c r="AB69" s="3053">
        <f t="shared" si="5"/>
        <v>1</v>
      </c>
      <c r="AC69" s="3053">
        <f t="shared" si="5"/>
        <v>1</v>
      </c>
      <c r="AD69" s="3053">
        <f t="shared" si="5"/>
        <v>1.0003905086873426</v>
      </c>
      <c r="AE69" s="3053">
        <f t="shared" si="5"/>
        <v>1</v>
      </c>
      <c r="AF69" s="3053">
        <f t="shared" si="5"/>
        <v>1</v>
      </c>
    </row>
    <row r="70" spans="1:32">
      <c r="A70" s="3043">
        <v>200</v>
      </c>
      <c r="B70" s="3060">
        <v>66</v>
      </c>
      <c r="C70" s="3052">
        <v>0</v>
      </c>
      <c r="D70" s="3052">
        <v>0</v>
      </c>
      <c r="E70" s="3052">
        <v>0</v>
      </c>
      <c r="F70" s="3052">
        <v>0</v>
      </c>
      <c r="G70" s="3052">
        <v>0</v>
      </c>
      <c r="H70" s="3052">
        <v>0</v>
      </c>
      <c r="I70" s="3052">
        <v>0</v>
      </c>
      <c r="J70" s="3052">
        <v>0</v>
      </c>
      <c r="K70" s="3052">
        <v>0</v>
      </c>
      <c r="L70" s="3052">
        <v>0</v>
      </c>
      <c r="M70" s="3052">
        <v>0</v>
      </c>
      <c r="N70" s="3052">
        <v>0</v>
      </c>
      <c r="O70" s="3052">
        <v>0</v>
      </c>
      <c r="P70" s="3052">
        <v>0</v>
      </c>
      <c r="Q70" s="3052">
        <v>0</v>
      </c>
      <c r="R70" s="3053">
        <f t="shared" ref="R70:AF85" si="6">C70+R69</f>
        <v>1</v>
      </c>
      <c r="S70" s="3053">
        <f t="shared" si="6"/>
        <v>1</v>
      </c>
      <c r="T70" s="3053">
        <f t="shared" si="6"/>
        <v>1</v>
      </c>
      <c r="U70" s="3053">
        <f t="shared" si="6"/>
        <v>1</v>
      </c>
      <c r="V70" s="3053">
        <f t="shared" si="6"/>
        <v>1</v>
      </c>
      <c r="W70" s="3053">
        <f t="shared" si="6"/>
        <v>1</v>
      </c>
      <c r="X70" s="3053">
        <f t="shared" si="6"/>
        <v>1</v>
      </c>
      <c r="Y70" s="3053">
        <f t="shared" si="6"/>
        <v>1</v>
      </c>
      <c r="Z70" s="3053">
        <f t="shared" si="6"/>
        <v>1</v>
      </c>
      <c r="AA70" s="3053">
        <f t="shared" si="6"/>
        <v>1</v>
      </c>
      <c r="AB70" s="3053">
        <f t="shared" si="6"/>
        <v>1</v>
      </c>
      <c r="AC70" s="3053">
        <f t="shared" si="6"/>
        <v>1</v>
      </c>
      <c r="AD70" s="3053">
        <f t="shared" si="6"/>
        <v>1.0003905086873426</v>
      </c>
      <c r="AE70" s="3053">
        <f t="shared" si="6"/>
        <v>1</v>
      </c>
      <c r="AF70" s="3053">
        <f t="shared" si="6"/>
        <v>1</v>
      </c>
    </row>
    <row r="71" spans="1:32">
      <c r="A71" s="3043">
        <v>200</v>
      </c>
      <c r="B71" s="3060">
        <v>67</v>
      </c>
      <c r="C71" s="3052">
        <v>0</v>
      </c>
      <c r="D71" s="3052">
        <v>0</v>
      </c>
      <c r="E71" s="3052">
        <v>0</v>
      </c>
      <c r="F71" s="3052">
        <v>0</v>
      </c>
      <c r="G71" s="3052">
        <v>0</v>
      </c>
      <c r="H71" s="3052">
        <v>0</v>
      </c>
      <c r="I71" s="3052">
        <v>0</v>
      </c>
      <c r="J71" s="3052">
        <v>0</v>
      </c>
      <c r="K71" s="3052">
        <v>0</v>
      </c>
      <c r="L71" s="3052">
        <v>0</v>
      </c>
      <c r="M71" s="3052">
        <v>0</v>
      </c>
      <c r="N71" s="3052">
        <v>0</v>
      </c>
      <c r="O71" s="3052">
        <v>0</v>
      </c>
      <c r="P71" s="3052">
        <v>0</v>
      </c>
      <c r="Q71" s="3052">
        <v>0</v>
      </c>
      <c r="R71" s="3053">
        <f t="shared" si="6"/>
        <v>1</v>
      </c>
      <c r="S71" s="3053">
        <f t="shared" si="6"/>
        <v>1</v>
      </c>
      <c r="T71" s="3053">
        <f t="shared" si="6"/>
        <v>1</v>
      </c>
      <c r="U71" s="3053">
        <f t="shared" si="6"/>
        <v>1</v>
      </c>
      <c r="V71" s="3053">
        <f t="shared" si="6"/>
        <v>1</v>
      </c>
      <c r="W71" s="3053">
        <f t="shared" si="6"/>
        <v>1</v>
      </c>
      <c r="X71" s="3053">
        <f t="shared" si="6"/>
        <v>1</v>
      </c>
      <c r="Y71" s="3053">
        <f t="shared" si="6"/>
        <v>1</v>
      </c>
      <c r="Z71" s="3053">
        <f t="shared" si="6"/>
        <v>1</v>
      </c>
      <c r="AA71" s="3053">
        <f t="shared" si="6"/>
        <v>1</v>
      </c>
      <c r="AB71" s="3053">
        <f t="shared" si="6"/>
        <v>1</v>
      </c>
      <c r="AC71" s="3053">
        <f t="shared" si="6"/>
        <v>1</v>
      </c>
      <c r="AD71" s="3053">
        <f t="shared" si="6"/>
        <v>1.0003905086873426</v>
      </c>
      <c r="AE71" s="3053">
        <f t="shared" si="6"/>
        <v>1</v>
      </c>
      <c r="AF71" s="3053">
        <f t="shared" si="6"/>
        <v>1</v>
      </c>
    </row>
    <row r="72" spans="1:32">
      <c r="A72" s="3043">
        <v>200</v>
      </c>
      <c r="B72" s="3060">
        <v>68</v>
      </c>
      <c r="C72" s="3052">
        <v>0</v>
      </c>
      <c r="D72" s="3052">
        <v>0</v>
      </c>
      <c r="E72" s="3052">
        <v>0</v>
      </c>
      <c r="F72" s="3052">
        <v>0</v>
      </c>
      <c r="G72" s="3052">
        <v>0</v>
      </c>
      <c r="H72" s="3052">
        <v>0</v>
      </c>
      <c r="I72" s="3052">
        <v>0</v>
      </c>
      <c r="J72" s="3052">
        <v>0</v>
      </c>
      <c r="K72" s="3052">
        <v>0</v>
      </c>
      <c r="L72" s="3052">
        <v>0</v>
      </c>
      <c r="M72" s="3052">
        <v>0</v>
      </c>
      <c r="N72" s="3052">
        <v>0</v>
      </c>
      <c r="O72" s="3052">
        <v>0</v>
      </c>
      <c r="P72" s="3052">
        <v>0</v>
      </c>
      <c r="Q72" s="3052">
        <v>0</v>
      </c>
      <c r="R72" s="3053">
        <f t="shared" si="6"/>
        <v>1</v>
      </c>
      <c r="S72" s="3053">
        <f t="shared" si="6"/>
        <v>1</v>
      </c>
      <c r="T72" s="3053">
        <f t="shared" si="6"/>
        <v>1</v>
      </c>
      <c r="U72" s="3053">
        <f t="shared" si="6"/>
        <v>1</v>
      </c>
      <c r="V72" s="3053">
        <f t="shared" si="6"/>
        <v>1</v>
      </c>
      <c r="W72" s="3053">
        <f t="shared" si="6"/>
        <v>1</v>
      </c>
      <c r="X72" s="3053">
        <f t="shared" si="6"/>
        <v>1</v>
      </c>
      <c r="Y72" s="3053">
        <f t="shared" si="6"/>
        <v>1</v>
      </c>
      <c r="Z72" s="3053">
        <f t="shared" si="6"/>
        <v>1</v>
      </c>
      <c r="AA72" s="3053">
        <f t="shared" si="6"/>
        <v>1</v>
      </c>
      <c r="AB72" s="3053">
        <f t="shared" si="6"/>
        <v>1</v>
      </c>
      <c r="AC72" s="3053">
        <f t="shared" si="6"/>
        <v>1</v>
      </c>
      <c r="AD72" s="3053">
        <f t="shared" si="6"/>
        <v>1.0003905086873426</v>
      </c>
      <c r="AE72" s="3053">
        <f t="shared" si="6"/>
        <v>1</v>
      </c>
      <c r="AF72" s="3053">
        <f t="shared" si="6"/>
        <v>1</v>
      </c>
    </row>
    <row r="73" spans="1:32">
      <c r="A73" s="3043">
        <v>200</v>
      </c>
      <c r="B73" s="3060">
        <v>69</v>
      </c>
      <c r="C73" s="3052">
        <v>0</v>
      </c>
      <c r="D73" s="3052">
        <v>0</v>
      </c>
      <c r="E73" s="3052">
        <v>0</v>
      </c>
      <c r="F73" s="3052">
        <v>0</v>
      </c>
      <c r="G73" s="3052">
        <v>0</v>
      </c>
      <c r="H73" s="3052">
        <v>0</v>
      </c>
      <c r="I73" s="3052">
        <v>0</v>
      </c>
      <c r="J73" s="3052">
        <v>0</v>
      </c>
      <c r="K73" s="3052">
        <v>0</v>
      </c>
      <c r="L73" s="3052">
        <v>0</v>
      </c>
      <c r="M73" s="3052">
        <v>0</v>
      </c>
      <c r="N73" s="3052">
        <v>0</v>
      </c>
      <c r="O73" s="3052">
        <v>0</v>
      </c>
      <c r="P73" s="3052">
        <v>0</v>
      </c>
      <c r="Q73" s="3052">
        <v>0</v>
      </c>
      <c r="R73" s="3053">
        <f t="shared" si="6"/>
        <v>1</v>
      </c>
      <c r="S73" s="3053">
        <f t="shared" si="6"/>
        <v>1</v>
      </c>
      <c r="T73" s="3053">
        <f t="shared" si="6"/>
        <v>1</v>
      </c>
      <c r="U73" s="3053">
        <f t="shared" si="6"/>
        <v>1</v>
      </c>
      <c r="V73" s="3053">
        <f t="shared" si="6"/>
        <v>1</v>
      </c>
      <c r="W73" s="3053">
        <f t="shared" si="6"/>
        <v>1</v>
      </c>
      <c r="X73" s="3053">
        <f t="shared" si="6"/>
        <v>1</v>
      </c>
      <c r="Y73" s="3053">
        <f t="shared" si="6"/>
        <v>1</v>
      </c>
      <c r="Z73" s="3053">
        <f t="shared" si="6"/>
        <v>1</v>
      </c>
      <c r="AA73" s="3053">
        <f t="shared" si="6"/>
        <v>1</v>
      </c>
      <c r="AB73" s="3053">
        <f t="shared" si="6"/>
        <v>1</v>
      </c>
      <c r="AC73" s="3053">
        <f t="shared" si="6"/>
        <v>1</v>
      </c>
      <c r="AD73" s="3053">
        <f t="shared" si="6"/>
        <v>1.0003905086873426</v>
      </c>
      <c r="AE73" s="3053">
        <f t="shared" si="6"/>
        <v>1</v>
      </c>
      <c r="AF73" s="3053">
        <f t="shared" si="6"/>
        <v>1</v>
      </c>
    </row>
    <row r="74" spans="1:32">
      <c r="A74" s="3043">
        <v>200</v>
      </c>
      <c r="B74" s="3060">
        <v>70</v>
      </c>
      <c r="C74" s="3052">
        <v>0</v>
      </c>
      <c r="D74" s="3052">
        <v>0</v>
      </c>
      <c r="E74" s="3052">
        <v>0</v>
      </c>
      <c r="F74" s="3052">
        <v>0</v>
      </c>
      <c r="G74" s="3052">
        <v>0</v>
      </c>
      <c r="H74" s="3052">
        <v>0</v>
      </c>
      <c r="I74" s="3052">
        <v>0</v>
      </c>
      <c r="J74" s="3052">
        <v>0</v>
      </c>
      <c r="K74" s="3052">
        <v>0</v>
      </c>
      <c r="L74" s="3052">
        <v>0</v>
      </c>
      <c r="M74" s="3052">
        <v>0</v>
      </c>
      <c r="N74" s="3052">
        <v>0</v>
      </c>
      <c r="O74" s="3052">
        <v>0</v>
      </c>
      <c r="P74" s="3052">
        <v>0</v>
      </c>
      <c r="Q74" s="3052">
        <v>0</v>
      </c>
      <c r="R74" s="3053">
        <f t="shared" si="6"/>
        <v>1</v>
      </c>
      <c r="S74" s="3053">
        <f t="shared" si="6"/>
        <v>1</v>
      </c>
      <c r="T74" s="3053">
        <f t="shared" si="6"/>
        <v>1</v>
      </c>
      <c r="U74" s="3053">
        <f t="shared" si="6"/>
        <v>1</v>
      </c>
      <c r="V74" s="3053">
        <f t="shared" si="6"/>
        <v>1</v>
      </c>
      <c r="W74" s="3053">
        <f t="shared" si="6"/>
        <v>1</v>
      </c>
      <c r="X74" s="3053">
        <f t="shared" si="6"/>
        <v>1</v>
      </c>
      <c r="Y74" s="3053">
        <f t="shared" si="6"/>
        <v>1</v>
      </c>
      <c r="Z74" s="3053">
        <f t="shared" si="6"/>
        <v>1</v>
      </c>
      <c r="AA74" s="3053">
        <f t="shared" si="6"/>
        <v>1</v>
      </c>
      <c r="AB74" s="3053">
        <f t="shared" si="6"/>
        <v>1</v>
      </c>
      <c r="AC74" s="3053">
        <f t="shared" si="6"/>
        <v>1</v>
      </c>
      <c r="AD74" s="3053">
        <f t="shared" si="6"/>
        <v>1.0003905086873426</v>
      </c>
      <c r="AE74" s="3053">
        <f t="shared" si="6"/>
        <v>1</v>
      </c>
      <c r="AF74" s="3053">
        <f t="shared" si="6"/>
        <v>1</v>
      </c>
    </row>
    <row r="75" spans="1:32">
      <c r="A75" s="3043">
        <v>200</v>
      </c>
      <c r="B75" s="3060">
        <v>71</v>
      </c>
      <c r="C75" s="3052">
        <v>0</v>
      </c>
      <c r="D75" s="3052">
        <v>0</v>
      </c>
      <c r="E75" s="3052">
        <v>0</v>
      </c>
      <c r="F75" s="3052">
        <v>0</v>
      </c>
      <c r="G75" s="3052">
        <v>0</v>
      </c>
      <c r="H75" s="3052">
        <v>0</v>
      </c>
      <c r="I75" s="3052">
        <v>0</v>
      </c>
      <c r="J75" s="3052">
        <v>0</v>
      </c>
      <c r="K75" s="3052">
        <v>0</v>
      </c>
      <c r="L75" s="3052">
        <v>0</v>
      </c>
      <c r="M75" s="3052">
        <v>0</v>
      </c>
      <c r="N75" s="3052">
        <v>0</v>
      </c>
      <c r="O75" s="3052">
        <v>0</v>
      </c>
      <c r="P75" s="3052">
        <v>0</v>
      </c>
      <c r="Q75" s="3052">
        <v>0</v>
      </c>
      <c r="R75" s="3053">
        <f t="shared" si="6"/>
        <v>1</v>
      </c>
      <c r="S75" s="3053">
        <f t="shared" si="6"/>
        <v>1</v>
      </c>
      <c r="T75" s="3053">
        <f t="shared" si="6"/>
        <v>1</v>
      </c>
      <c r="U75" s="3053">
        <f t="shared" si="6"/>
        <v>1</v>
      </c>
      <c r="V75" s="3053">
        <f t="shared" si="6"/>
        <v>1</v>
      </c>
      <c r="W75" s="3053">
        <f t="shared" si="6"/>
        <v>1</v>
      </c>
      <c r="X75" s="3053">
        <f t="shared" si="6"/>
        <v>1</v>
      </c>
      <c r="Y75" s="3053">
        <f t="shared" si="6"/>
        <v>1</v>
      </c>
      <c r="Z75" s="3053">
        <f t="shared" si="6"/>
        <v>1</v>
      </c>
      <c r="AA75" s="3053">
        <f t="shared" si="6"/>
        <v>1</v>
      </c>
      <c r="AB75" s="3053">
        <f t="shared" si="6"/>
        <v>1</v>
      </c>
      <c r="AC75" s="3053">
        <f t="shared" si="6"/>
        <v>1</v>
      </c>
      <c r="AD75" s="3053">
        <f t="shared" si="6"/>
        <v>1.0003905086873426</v>
      </c>
      <c r="AE75" s="3053">
        <f t="shared" si="6"/>
        <v>1</v>
      </c>
      <c r="AF75" s="3053">
        <f t="shared" si="6"/>
        <v>1</v>
      </c>
    </row>
    <row r="76" spans="1:32">
      <c r="A76" s="3043">
        <v>200</v>
      </c>
      <c r="B76" s="3060">
        <v>72</v>
      </c>
      <c r="C76" s="3052">
        <v>0</v>
      </c>
      <c r="D76" s="3052">
        <v>0</v>
      </c>
      <c r="E76" s="3052">
        <v>0</v>
      </c>
      <c r="F76" s="3052">
        <v>0</v>
      </c>
      <c r="G76" s="3052">
        <v>0</v>
      </c>
      <c r="H76" s="3052">
        <v>0</v>
      </c>
      <c r="I76" s="3052">
        <v>0</v>
      </c>
      <c r="J76" s="3052">
        <v>0</v>
      </c>
      <c r="K76" s="3052">
        <v>0</v>
      </c>
      <c r="L76" s="3052">
        <v>0</v>
      </c>
      <c r="M76" s="3052">
        <v>0</v>
      </c>
      <c r="N76" s="3052">
        <v>0</v>
      </c>
      <c r="O76" s="3052">
        <v>0</v>
      </c>
      <c r="P76" s="3052">
        <v>0</v>
      </c>
      <c r="Q76" s="3052">
        <v>0</v>
      </c>
      <c r="R76" s="3053">
        <f t="shared" si="6"/>
        <v>1</v>
      </c>
      <c r="S76" s="3053">
        <f t="shared" si="6"/>
        <v>1</v>
      </c>
      <c r="T76" s="3053">
        <f t="shared" si="6"/>
        <v>1</v>
      </c>
      <c r="U76" s="3053">
        <f t="shared" si="6"/>
        <v>1</v>
      </c>
      <c r="V76" s="3053">
        <f t="shared" si="6"/>
        <v>1</v>
      </c>
      <c r="W76" s="3053">
        <f t="shared" si="6"/>
        <v>1</v>
      </c>
      <c r="X76" s="3053">
        <f t="shared" si="6"/>
        <v>1</v>
      </c>
      <c r="Y76" s="3053">
        <f t="shared" si="6"/>
        <v>1</v>
      </c>
      <c r="Z76" s="3053">
        <f t="shared" si="6"/>
        <v>1</v>
      </c>
      <c r="AA76" s="3053">
        <f t="shared" si="6"/>
        <v>1</v>
      </c>
      <c r="AB76" s="3053">
        <f t="shared" si="6"/>
        <v>1</v>
      </c>
      <c r="AC76" s="3053">
        <f t="shared" si="6"/>
        <v>1</v>
      </c>
      <c r="AD76" s="3053">
        <f t="shared" si="6"/>
        <v>1.0003905086873426</v>
      </c>
      <c r="AE76" s="3053">
        <f t="shared" si="6"/>
        <v>1</v>
      </c>
      <c r="AF76" s="3053">
        <f t="shared" si="6"/>
        <v>1</v>
      </c>
    </row>
    <row r="77" spans="1:32">
      <c r="A77" s="3043">
        <v>200</v>
      </c>
      <c r="B77" s="3060">
        <v>73</v>
      </c>
      <c r="C77" s="3052">
        <v>0</v>
      </c>
      <c r="D77" s="3052">
        <v>0</v>
      </c>
      <c r="E77" s="3052">
        <v>0</v>
      </c>
      <c r="F77" s="3052">
        <v>0</v>
      </c>
      <c r="G77" s="3052">
        <v>0</v>
      </c>
      <c r="H77" s="3052">
        <v>0</v>
      </c>
      <c r="I77" s="3052">
        <v>0</v>
      </c>
      <c r="J77" s="3052">
        <v>0</v>
      </c>
      <c r="K77" s="3052">
        <v>0</v>
      </c>
      <c r="L77" s="3052">
        <v>0</v>
      </c>
      <c r="M77" s="3052">
        <v>0</v>
      </c>
      <c r="N77" s="3052">
        <v>0</v>
      </c>
      <c r="O77" s="3052">
        <v>0</v>
      </c>
      <c r="P77" s="3052">
        <v>0</v>
      </c>
      <c r="Q77" s="3052">
        <v>0</v>
      </c>
      <c r="R77" s="3053">
        <f t="shared" si="6"/>
        <v>1</v>
      </c>
      <c r="S77" s="3053">
        <f t="shared" si="6"/>
        <v>1</v>
      </c>
      <c r="T77" s="3053">
        <f t="shared" si="6"/>
        <v>1</v>
      </c>
      <c r="U77" s="3053">
        <f t="shared" si="6"/>
        <v>1</v>
      </c>
      <c r="V77" s="3053">
        <f t="shared" si="6"/>
        <v>1</v>
      </c>
      <c r="W77" s="3053">
        <f t="shared" si="6"/>
        <v>1</v>
      </c>
      <c r="X77" s="3053">
        <f t="shared" si="6"/>
        <v>1</v>
      </c>
      <c r="Y77" s="3053">
        <f t="shared" si="6"/>
        <v>1</v>
      </c>
      <c r="Z77" s="3053">
        <f t="shared" si="6"/>
        <v>1</v>
      </c>
      <c r="AA77" s="3053">
        <f t="shared" si="6"/>
        <v>1</v>
      </c>
      <c r="AB77" s="3053">
        <f t="shared" si="6"/>
        <v>1</v>
      </c>
      <c r="AC77" s="3053">
        <f t="shared" si="6"/>
        <v>1</v>
      </c>
      <c r="AD77" s="3053">
        <f t="shared" si="6"/>
        <v>1.0003905086873426</v>
      </c>
      <c r="AE77" s="3053">
        <f t="shared" si="6"/>
        <v>1</v>
      </c>
      <c r="AF77" s="3053">
        <f t="shared" si="6"/>
        <v>1</v>
      </c>
    </row>
    <row r="78" spans="1:32">
      <c r="A78" s="3043">
        <v>200</v>
      </c>
      <c r="B78" s="3060">
        <v>74</v>
      </c>
      <c r="C78" s="3052">
        <v>0</v>
      </c>
      <c r="D78" s="3052">
        <v>0</v>
      </c>
      <c r="E78" s="3052">
        <v>0</v>
      </c>
      <c r="F78" s="3052">
        <v>0</v>
      </c>
      <c r="G78" s="3052">
        <v>0</v>
      </c>
      <c r="H78" s="3052">
        <v>0</v>
      </c>
      <c r="I78" s="3052">
        <v>0</v>
      </c>
      <c r="J78" s="3052">
        <v>0</v>
      </c>
      <c r="K78" s="3052">
        <v>0</v>
      </c>
      <c r="L78" s="3052">
        <v>0</v>
      </c>
      <c r="M78" s="3052">
        <v>0</v>
      </c>
      <c r="N78" s="3052">
        <v>0</v>
      </c>
      <c r="O78" s="3052">
        <v>0</v>
      </c>
      <c r="P78" s="3052">
        <v>0</v>
      </c>
      <c r="Q78" s="3052">
        <v>0</v>
      </c>
      <c r="R78" s="3053">
        <f t="shared" si="6"/>
        <v>1</v>
      </c>
      <c r="S78" s="3053">
        <f t="shared" si="6"/>
        <v>1</v>
      </c>
      <c r="T78" s="3053">
        <f t="shared" si="6"/>
        <v>1</v>
      </c>
      <c r="U78" s="3053">
        <f t="shared" si="6"/>
        <v>1</v>
      </c>
      <c r="V78" s="3053">
        <f t="shared" si="6"/>
        <v>1</v>
      </c>
      <c r="W78" s="3053">
        <f t="shared" si="6"/>
        <v>1</v>
      </c>
      <c r="X78" s="3053">
        <f t="shared" si="6"/>
        <v>1</v>
      </c>
      <c r="Y78" s="3053">
        <f t="shared" si="6"/>
        <v>1</v>
      </c>
      <c r="Z78" s="3053">
        <f t="shared" si="6"/>
        <v>1</v>
      </c>
      <c r="AA78" s="3053">
        <f t="shared" si="6"/>
        <v>1</v>
      </c>
      <c r="AB78" s="3053">
        <f t="shared" si="6"/>
        <v>1</v>
      </c>
      <c r="AC78" s="3053">
        <f t="shared" si="6"/>
        <v>1</v>
      </c>
      <c r="AD78" s="3053">
        <f t="shared" si="6"/>
        <v>1.0003905086873426</v>
      </c>
      <c r="AE78" s="3053">
        <f t="shared" si="6"/>
        <v>1</v>
      </c>
      <c r="AF78" s="3053">
        <f t="shared" si="6"/>
        <v>1</v>
      </c>
    </row>
    <row r="79" spans="1:32">
      <c r="A79" s="3043">
        <v>200</v>
      </c>
      <c r="B79" s="3060">
        <v>75</v>
      </c>
      <c r="C79" s="3052">
        <v>0</v>
      </c>
      <c r="D79" s="3052">
        <v>0</v>
      </c>
      <c r="E79" s="3052">
        <v>0</v>
      </c>
      <c r="F79" s="3052">
        <v>0</v>
      </c>
      <c r="G79" s="3052">
        <v>0</v>
      </c>
      <c r="H79" s="3052">
        <v>0</v>
      </c>
      <c r="I79" s="3052">
        <v>0</v>
      </c>
      <c r="J79" s="3052">
        <v>0</v>
      </c>
      <c r="K79" s="3052">
        <v>0</v>
      </c>
      <c r="L79" s="3052">
        <v>0</v>
      </c>
      <c r="M79" s="3052">
        <v>0</v>
      </c>
      <c r="N79" s="3052">
        <v>0</v>
      </c>
      <c r="O79" s="3052">
        <v>0</v>
      </c>
      <c r="P79" s="3052">
        <v>0</v>
      </c>
      <c r="Q79" s="3052">
        <v>0</v>
      </c>
      <c r="R79" s="3053">
        <f t="shared" si="6"/>
        <v>1</v>
      </c>
      <c r="S79" s="3053">
        <f t="shared" si="6"/>
        <v>1</v>
      </c>
      <c r="T79" s="3053">
        <f t="shared" si="6"/>
        <v>1</v>
      </c>
      <c r="U79" s="3053">
        <f t="shared" si="6"/>
        <v>1</v>
      </c>
      <c r="V79" s="3053">
        <f t="shared" si="6"/>
        <v>1</v>
      </c>
      <c r="W79" s="3053">
        <f t="shared" si="6"/>
        <v>1</v>
      </c>
      <c r="X79" s="3053">
        <f t="shared" si="6"/>
        <v>1</v>
      </c>
      <c r="Y79" s="3053">
        <f t="shared" si="6"/>
        <v>1</v>
      </c>
      <c r="Z79" s="3053">
        <f t="shared" si="6"/>
        <v>1</v>
      </c>
      <c r="AA79" s="3053">
        <f t="shared" si="6"/>
        <v>1</v>
      </c>
      <c r="AB79" s="3053">
        <f t="shared" si="6"/>
        <v>1</v>
      </c>
      <c r="AC79" s="3053">
        <f t="shared" si="6"/>
        <v>1</v>
      </c>
      <c r="AD79" s="3053">
        <f t="shared" si="6"/>
        <v>1.0003905086873426</v>
      </c>
      <c r="AE79" s="3053">
        <f t="shared" si="6"/>
        <v>1</v>
      </c>
      <c r="AF79" s="3053">
        <f t="shared" si="6"/>
        <v>1</v>
      </c>
    </row>
    <row r="80" spans="1:32">
      <c r="A80" s="3043">
        <v>200</v>
      </c>
      <c r="B80" s="3060">
        <v>76</v>
      </c>
      <c r="C80" s="3052">
        <v>0</v>
      </c>
      <c r="D80" s="3052">
        <v>0</v>
      </c>
      <c r="E80" s="3052">
        <v>0</v>
      </c>
      <c r="F80" s="3052">
        <v>0</v>
      </c>
      <c r="G80" s="3052">
        <v>0</v>
      </c>
      <c r="H80" s="3052">
        <v>0</v>
      </c>
      <c r="I80" s="3052">
        <v>0</v>
      </c>
      <c r="J80" s="3052">
        <v>0</v>
      </c>
      <c r="K80" s="3052">
        <v>0</v>
      </c>
      <c r="L80" s="3052">
        <v>0</v>
      </c>
      <c r="M80" s="3052">
        <v>0</v>
      </c>
      <c r="N80" s="3052">
        <v>0</v>
      </c>
      <c r="O80" s="3052">
        <v>0</v>
      </c>
      <c r="P80" s="3052">
        <v>0</v>
      </c>
      <c r="Q80" s="3052">
        <v>0</v>
      </c>
      <c r="R80" s="3053">
        <f t="shared" si="6"/>
        <v>1</v>
      </c>
      <c r="S80" s="3053">
        <f t="shared" si="6"/>
        <v>1</v>
      </c>
      <c r="T80" s="3053">
        <f t="shared" si="6"/>
        <v>1</v>
      </c>
      <c r="U80" s="3053">
        <f t="shared" si="6"/>
        <v>1</v>
      </c>
      <c r="V80" s="3053">
        <f t="shared" si="6"/>
        <v>1</v>
      </c>
      <c r="W80" s="3053">
        <f t="shared" si="6"/>
        <v>1</v>
      </c>
      <c r="X80" s="3053">
        <f t="shared" si="6"/>
        <v>1</v>
      </c>
      <c r="Y80" s="3053">
        <f t="shared" si="6"/>
        <v>1</v>
      </c>
      <c r="Z80" s="3053">
        <f t="shared" si="6"/>
        <v>1</v>
      </c>
      <c r="AA80" s="3053">
        <f t="shared" si="6"/>
        <v>1</v>
      </c>
      <c r="AB80" s="3053">
        <f t="shared" si="6"/>
        <v>1</v>
      </c>
      <c r="AC80" s="3053">
        <f t="shared" si="6"/>
        <v>1</v>
      </c>
      <c r="AD80" s="3053">
        <f t="shared" si="6"/>
        <v>1.0003905086873426</v>
      </c>
      <c r="AE80" s="3053">
        <f t="shared" si="6"/>
        <v>1</v>
      </c>
      <c r="AF80" s="3053">
        <f t="shared" si="6"/>
        <v>1</v>
      </c>
    </row>
    <row r="81" spans="1:32">
      <c r="A81" s="3043">
        <v>200</v>
      </c>
      <c r="B81" s="3060">
        <v>77</v>
      </c>
      <c r="C81" s="3052">
        <v>0</v>
      </c>
      <c r="D81" s="3052">
        <v>0</v>
      </c>
      <c r="E81" s="3052">
        <v>0</v>
      </c>
      <c r="F81" s="3052">
        <v>0</v>
      </c>
      <c r="G81" s="3052">
        <v>0</v>
      </c>
      <c r="H81" s="3052">
        <v>0</v>
      </c>
      <c r="I81" s="3052">
        <v>0</v>
      </c>
      <c r="J81" s="3052">
        <v>0</v>
      </c>
      <c r="K81" s="3052">
        <v>0</v>
      </c>
      <c r="L81" s="3052">
        <v>0</v>
      </c>
      <c r="M81" s="3052">
        <v>0</v>
      </c>
      <c r="N81" s="3052">
        <v>0</v>
      </c>
      <c r="O81" s="3052">
        <v>0</v>
      </c>
      <c r="P81" s="3052">
        <v>0</v>
      </c>
      <c r="Q81" s="3052">
        <v>0</v>
      </c>
      <c r="R81" s="3053">
        <f t="shared" si="6"/>
        <v>1</v>
      </c>
      <c r="S81" s="3053">
        <f t="shared" si="6"/>
        <v>1</v>
      </c>
      <c r="T81" s="3053">
        <f t="shared" si="6"/>
        <v>1</v>
      </c>
      <c r="U81" s="3053">
        <f t="shared" si="6"/>
        <v>1</v>
      </c>
      <c r="V81" s="3053">
        <f t="shared" si="6"/>
        <v>1</v>
      </c>
      <c r="W81" s="3053">
        <f t="shared" si="6"/>
        <v>1</v>
      </c>
      <c r="X81" s="3053">
        <f t="shared" si="6"/>
        <v>1</v>
      </c>
      <c r="Y81" s="3053">
        <f t="shared" si="6"/>
        <v>1</v>
      </c>
      <c r="Z81" s="3053">
        <f t="shared" si="6"/>
        <v>1</v>
      </c>
      <c r="AA81" s="3053">
        <f t="shared" si="6"/>
        <v>1</v>
      </c>
      <c r="AB81" s="3053">
        <f t="shared" si="6"/>
        <v>1</v>
      </c>
      <c r="AC81" s="3053">
        <f t="shared" si="6"/>
        <v>1</v>
      </c>
      <c r="AD81" s="3053">
        <f t="shared" si="6"/>
        <v>1.0003905086873426</v>
      </c>
      <c r="AE81" s="3053">
        <f t="shared" si="6"/>
        <v>1</v>
      </c>
      <c r="AF81" s="3053">
        <f t="shared" si="6"/>
        <v>1</v>
      </c>
    </row>
    <row r="82" spans="1:32">
      <c r="A82" s="3043">
        <v>200</v>
      </c>
      <c r="B82" s="3060">
        <v>78</v>
      </c>
      <c r="C82" s="3052">
        <v>0</v>
      </c>
      <c r="D82" s="3052">
        <v>0</v>
      </c>
      <c r="E82" s="3052">
        <v>0</v>
      </c>
      <c r="F82" s="3052">
        <v>0</v>
      </c>
      <c r="G82" s="3052">
        <v>0</v>
      </c>
      <c r="H82" s="3052">
        <v>0</v>
      </c>
      <c r="I82" s="3052">
        <v>0</v>
      </c>
      <c r="J82" s="3052">
        <v>0</v>
      </c>
      <c r="K82" s="3052">
        <v>0</v>
      </c>
      <c r="L82" s="3052">
        <v>0</v>
      </c>
      <c r="M82" s="3052">
        <v>0</v>
      </c>
      <c r="N82" s="3052">
        <v>0</v>
      </c>
      <c r="O82" s="3052">
        <v>0</v>
      </c>
      <c r="P82" s="3052">
        <v>0</v>
      </c>
      <c r="Q82" s="3052">
        <v>0</v>
      </c>
      <c r="R82" s="3053">
        <f t="shared" si="6"/>
        <v>1</v>
      </c>
      <c r="S82" s="3053">
        <f t="shared" si="6"/>
        <v>1</v>
      </c>
      <c r="T82" s="3053">
        <f t="shared" si="6"/>
        <v>1</v>
      </c>
      <c r="U82" s="3053">
        <f t="shared" si="6"/>
        <v>1</v>
      </c>
      <c r="V82" s="3053">
        <f t="shared" si="6"/>
        <v>1</v>
      </c>
      <c r="W82" s="3053">
        <f t="shared" si="6"/>
        <v>1</v>
      </c>
      <c r="X82" s="3053">
        <f t="shared" si="6"/>
        <v>1</v>
      </c>
      <c r="Y82" s="3053">
        <f t="shared" si="6"/>
        <v>1</v>
      </c>
      <c r="Z82" s="3053">
        <f t="shared" si="6"/>
        <v>1</v>
      </c>
      <c r="AA82" s="3053">
        <f t="shared" si="6"/>
        <v>1</v>
      </c>
      <c r="AB82" s="3053">
        <f t="shared" si="6"/>
        <v>1</v>
      </c>
      <c r="AC82" s="3053">
        <f t="shared" si="6"/>
        <v>1</v>
      </c>
      <c r="AD82" s="3053">
        <f t="shared" si="6"/>
        <v>1.0003905086873426</v>
      </c>
      <c r="AE82" s="3053">
        <f t="shared" si="6"/>
        <v>1</v>
      </c>
      <c r="AF82" s="3053">
        <f t="shared" si="6"/>
        <v>1</v>
      </c>
    </row>
    <row r="83" spans="1:32">
      <c r="A83" s="3043">
        <v>200</v>
      </c>
      <c r="B83" s="3060">
        <v>79</v>
      </c>
      <c r="C83" s="3052">
        <v>0</v>
      </c>
      <c r="D83" s="3052">
        <v>0</v>
      </c>
      <c r="E83" s="3052">
        <v>0</v>
      </c>
      <c r="F83" s="3052">
        <v>0</v>
      </c>
      <c r="G83" s="3052">
        <v>0</v>
      </c>
      <c r="H83" s="3052">
        <v>0</v>
      </c>
      <c r="I83" s="3052">
        <v>0</v>
      </c>
      <c r="J83" s="3052">
        <v>0</v>
      </c>
      <c r="K83" s="3052">
        <v>0</v>
      </c>
      <c r="L83" s="3052">
        <v>0</v>
      </c>
      <c r="M83" s="3052">
        <v>0</v>
      </c>
      <c r="N83" s="3052">
        <v>0</v>
      </c>
      <c r="O83" s="3052">
        <v>0</v>
      </c>
      <c r="P83" s="3052">
        <v>0</v>
      </c>
      <c r="Q83" s="3052">
        <v>0</v>
      </c>
      <c r="R83" s="3053">
        <f t="shared" si="6"/>
        <v>1</v>
      </c>
      <c r="S83" s="3053">
        <f t="shared" si="6"/>
        <v>1</v>
      </c>
      <c r="T83" s="3053">
        <f t="shared" si="6"/>
        <v>1</v>
      </c>
      <c r="U83" s="3053">
        <f t="shared" si="6"/>
        <v>1</v>
      </c>
      <c r="V83" s="3053">
        <f t="shared" si="6"/>
        <v>1</v>
      </c>
      <c r="W83" s="3053">
        <f t="shared" si="6"/>
        <v>1</v>
      </c>
      <c r="X83" s="3053">
        <f t="shared" si="6"/>
        <v>1</v>
      </c>
      <c r="Y83" s="3053">
        <f t="shared" si="6"/>
        <v>1</v>
      </c>
      <c r="Z83" s="3053">
        <f t="shared" si="6"/>
        <v>1</v>
      </c>
      <c r="AA83" s="3053">
        <f t="shared" si="6"/>
        <v>1</v>
      </c>
      <c r="AB83" s="3053">
        <f t="shared" si="6"/>
        <v>1</v>
      </c>
      <c r="AC83" s="3053">
        <f t="shared" si="6"/>
        <v>1</v>
      </c>
      <c r="AD83" s="3053">
        <f t="shared" si="6"/>
        <v>1.0003905086873426</v>
      </c>
      <c r="AE83" s="3053">
        <f t="shared" si="6"/>
        <v>1</v>
      </c>
      <c r="AF83" s="3053">
        <f t="shared" si="6"/>
        <v>1</v>
      </c>
    </row>
    <row r="84" spans="1:32">
      <c r="A84" s="3043">
        <v>200</v>
      </c>
      <c r="B84" s="3060">
        <v>80</v>
      </c>
      <c r="C84" s="3052">
        <v>0</v>
      </c>
      <c r="D84" s="3052">
        <v>0</v>
      </c>
      <c r="E84" s="3052">
        <v>0</v>
      </c>
      <c r="F84" s="3052">
        <v>0</v>
      </c>
      <c r="G84" s="3052">
        <v>0</v>
      </c>
      <c r="H84" s="3052">
        <v>0</v>
      </c>
      <c r="I84" s="3052">
        <v>0</v>
      </c>
      <c r="J84" s="3052">
        <v>0</v>
      </c>
      <c r="K84" s="3052">
        <v>0</v>
      </c>
      <c r="L84" s="3052">
        <v>0</v>
      </c>
      <c r="M84" s="3052">
        <v>0</v>
      </c>
      <c r="N84" s="3052">
        <v>0</v>
      </c>
      <c r="O84" s="3052">
        <v>0</v>
      </c>
      <c r="P84" s="3052">
        <v>0</v>
      </c>
      <c r="Q84" s="3052">
        <v>0</v>
      </c>
      <c r="R84" s="3053">
        <f t="shared" si="6"/>
        <v>1</v>
      </c>
      <c r="S84" s="3053">
        <f t="shared" si="6"/>
        <v>1</v>
      </c>
      <c r="T84" s="3053">
        <f t="shared" si="6"/>
        <v>1</v>
      </c>
      <c r="U84" s="3053">
        <f t="shared" si="6"/>
        <v>1</v>
      </c>
      <c r="V84" s="3053">
        <f t="shared" si="6"/>
        <v>1</v>
      </c>
      <c r="W84" s="3053">
        <f t="shared" si="6"/>
        <v>1</v>
      </c>
      <c r="X84" s="3053">
        <f t="shared" si="6"/>
        <v>1</v>
      </c>
      <c r="Y84" s="3053">
        <f t="shared" si="6"/>
        <v>1</v>
      </c>
      <c r="Z84" s="3053">
        <f t="shared" si="6"/>
        <v>1</v>
      </c>
      <c r="AA84" s="3053">
        <f t="shared" si="6"/>
        <v>1</v>
      </c>
      <c r="AB84" s="3053">
        <f t="shared" si="6"/>
        <v>1</v>
      </c>
      <c r="AC84" s="3053">
        <f t="shared" si="6"/>
        <v>1</v>
      </c>
      <c r="AD84" s="3053">
        <f t="shared" si="6"/>
        <v>1.0003905086873426</v>
      </c>
      <c r="AE84" s="3053">
        <f t="shared" si="6"/>
        <v>1</v>
      </c>
      <c r="AF84" s="3053">
        <f t="shared" si="6"/>
        <v>1</v>
      </c>
    </row>
    <row r="85" spans="1:32">
      <c r="A85" s="3043">
        <v>200</v>
      </c>
      <c r="B85" s="3060">
        <v>81</v>
      </c>
      <c r="C85" s="3052">
        <v>0</v>
      </c>
      <c r="D85" s="3052">
        <v>0</v>
      </c>
      <c r="E85" s="3052">
        <v>0</v>
      </c>
      <c r="F85" s="3052">
        <v>0</v>
      </c>
      <c r="G85" s="3052">
        <v>0</v>
      </c>
      <c r="H85" s="3052">
        <v>0</v>
      </c>
      <c r="I85" s="3052">
        <v>0</v>
      </c>
      <c r="J85" s="3052">
        <v>0</v>
      </c>
      <c r="K85" s="3052">
        <v>0</v>
      </c>
      <c r="L85" s="3052">
        <v>0</v>
      </c>
      <c r="M85" s="3052">
        <v>0</v>
      </c>
      <c r="N85" s="3052">
        <v>0</v>
      </c>
      <c r="O85" s="3052">
        <v>0</v>
      </c>
      <c r="P85" s="3052">
        <v>0</v>
      </c>
      <c r="Q85" s="3052">
        <v>0</v>
      </c>
      <c r="R85" s="3053">
        <f t="shared" si="6"/>
        <v>1</v>
      </c>
      <c r="S85" s="3053">
        <f t="shared" si="6"/>
        <v>1</v>
      </c>
      <c r="T85" s="3053">
        <f t="shared" si="6"/>
        <v>1</v>
      </c>
      <c r="U85" s="3053">
        <f t="shared" si="6"/>
        <v>1</v>
      </c>
      <c r="V85" s="3053">
        <f t="shared" si="6"/>
        <v>1</v>
      </c>
      <c r="W85" s="3053">
        <f t="shared" si="6"/>
        <v>1</v>
      </c>
      <c r="X85" s="3053">
        <f t="shared" si="6"/>
        <v>1</v>
      </c>
      <c r="Y85" s="3053">
        <f t="shared" si="6"/>
        <v>1</v>
      </c>
      <c r="Z85" s="3053">
        <f t="shared" si="6"/>
        <v>1</v>
      </c>
      <c r="AA85" s="3053">
        <f t="shared" si="6"/>
        <v>1</v>
      </c>
      <c r="AB85" s="3053">
        <f t="shared" si="6"/>
        <v>1</v>
      </c>
      <c r="AC85" s="3053">
        <f t="shared" si="6"/>
        <v>1</v>
      </c>
      <c r="AD85" s="3053">
        <f t="shared" si="6"/>
        <v>1.0003905086873426</v>
      </c>
      <c r="AE85" s="3053">
        <f t="shared" si="6"/>
        <v>1</v>
      </c>
      <c r="AF85" s="3053">
        <f t="shared" si="6"/>
        <v>1</v>
      </c>
    </row>
    <row r="86" spans="1:32">
      <c r="A86" s="3043">
        <v>200</v>
      </c>
      <c r="B86" s="3060">
        <v>82</v>
      </c>
      <c r="C86" s="3052">
        <v>0</v>
      </c>
      <c r="D86" s="3052">
        <v>0</v>
      </c>
      <c r="E86" s="3052">
        <v>0</v>
      </c>
      <c r="F86" s="3052">
        <v>0</v>
      </c>
      <c r="G86" s="3052">
        <v>0</v>
      </c>
      <c r="H86" s="3052">
        <v>0</v>
      </c>
      <c r="I86" s="3052">
        <v>0</v>
      </c>
      <c r="J86" s="3052">
        <v>0</v>
      </c>
      <c r="K86" s="3052">
        <v>0</v>
      </c>
      <c r="L86" s="3052">
        <v>0</v>
      </c>
      <c r="M86" s="3052">
        <v>0</v>
      </c>
      <c r="N86" s="3052">
        <v>0</v>
      </c>
      <c r="O86" s="3052">
        <v>0</v>
      </c>
      <c r="P86" s="3052">
        <v>0</v>
      </c>
      <c r="Q86" s="3052">
        <v>0</v>
      </c>
      <c r="R86" s="3053">
        <f t="shared" ref="R86:AF101" si="7">C86+R85</f>
        <v>1</v>
      </c>
      <c r="S86" s="3053">
        <f t="shared" si="7"/>
        <v>1</v>
      </c>
      <c r="T86" s="3053">
        <f t="shared" si="7"/>
        <v>1</v>
      </c>
      <c r="U86" s="3053">
        <f t="shared" si="7"/>
        <v>1</v>
      </c>
      <c r="V86" s="3053">
        <f t="shared" si="7"/>
        <v>1</v>
      </c>
      <c r="W86" s="3053">
        <f t="shared" si="7"/>
        <v>1</v>
      </c>
      <c r="X86" s="3053">
        <f t="shared" si="7"/>
        <v>1</v>
      </c>
      <c r="Y86" s="3053">
        <f t="shared" si="7"/>
        <v>1</v>
      </c>
      <c r="Z86" s="3053">
        <f t="shared" si="7"/>
        <v>1</v>
      </c>
      <c r="AA86" s="3053">
        <f t="shared" si="7"/>
        <v>1</v>
      </c>
      <c r="AB86" s="3053">
        <f t="shared" si="7"/>
        <v>1</v>
      </c>
      <c r="AC86" s="3053">
        <f t="shared" si="7"/>
        <v>1</v>
      </c>
      <c r="AD86" s="3053">
        <f t="shared" si="7"/>
        <v>1.0003905086873426</v>
      </c>
      <c r="AE86" s="3053">
        <f t="shared" si="7"/>
        <v>1</v>
      </c>
      <c r="AF86" s="3053">
        <f t="shared" si="7"/>
        <v>1</v>
      </c>
    </row>
    <row r="87" spans="1:32">
      <c r="A87" s="3043">
        <v>200</v>
      </c>
      <c r="B87" s="3060">
        <v>83</v>
      </c>
      <c r="C87" s="3052">
        <v>0</v>
      </c>
      <c r="D87" s="3052">
        <v>0</v>
      </c>
      <c r="E87" s="3052">
        <v>0</v>
      </c>
      <c r="F87" s="3052">
        <v>0</v>
      </c>
      <c r="G87" s="3052">
        <v>0</v>
      </c>
      <c r="H87" s="3052">
        <v>0</v>
      </c>
      <c r="I87" s="3052">
        <v>0</v>
      </c>
      <c r="J87" s="3052">
        <v>0</v>
      </c>
      <c r="K87" s="3052">
        <v>0</v>
      </c>
      <c r="L87" s="3052">
        <v>0</v>
      </c>
      <c r="M87" s="3052">
        <v>0</v>
      </c>
      <c r="N87" s="3052">
        <v>0</v>
      </c>
      <c r="O87" s="3052">
        <v>0</v>
      </c>
      <c r="P87" s="3052">
        <v>0</v>
      </c>
      <c r="Q87" s="3052">
        <v>0</v>
      </c>
      <c r="R87" s="3053">
        <f t="shared" si="7"/>
        <v>1</v>
      </c>
      <c r="S87" s="3053">
        <f t="shared" si="7"/>
        <v>1</v>
      </c>
      <c r="T87" s="3053">
        <f t="shared" si="7"/>
        <v>1</v>
      </c>
      <c r="U87" s="3053">
        <f t="shared" si="7"/>
        <v>1</v>
      </c>
      <c r="V87" s="3053">
        <f t="shared" si="7"/>
        <v>1</v>
      </c>
      <c r="W87" s="3053">
        <f t="shared" si="7"/>
        <v>1</v>
      </c>
      <c r="X87" s="3053">
        <f t="shared" si="7"/>
        <v>1</v>
      </c>
      <c r="Y87" s="3053">
        <f t="shared" si="7"/>
        <v>1</v>
      </c>
      <c r="Z87" s="3053">
        <f t="shared" si="7"/>
        <v>1</v>
      </c>
      <c r="AA87" s="3053">
        <f t="shared" si="7"/>
        <v>1</v>
      </c>
      <c r="AB87" s="3053">
        <f t="shared" si="7"/>
        <v>1</v>
      </c>
      <c r="AC87" s="3053">
        <f t="shared" si="7"/>
        <v>1</v>
      </c>
      <c r="AD87" s="3053">
        <f t="shared" si="7"/>
        <v>1.0003905086873426</v>
      </c>
      <c r="AE87" s="3053">
        <f t="shared" si="7"/>
        <v>1</v>
      </c>
      <c r="AF87" s="3053">
        <f t="shared" si="7"/>
        <v>1</v>
      </c>
    </row>
    <row r="88" spans="1:32">
      <c r="A88" s="3043">
        <v>200</v>
      </c>
      <c r="B88" s="3060">
        <v>84</v>
      </c>
      <c r="C88" s="3052">
        <v>0</v>
      </c>
      <c r="D88" s="3052">
        <v>0</v>
      </c>
      <c r="E88" s="3052">
        <v>0</v>
      </c>
      <c r="F88" s="3052">
        <v>0</v>
      </c>
      <c r="G88" s="3052">
        <v>0</v>
      </c>
      <c r="H88" s="3052">
        <v>0</v>
      </c>
      <c r="I88" s="3052">
        <v>0</v>
      </c>
      <c r="J88" s="3052">
        <v>0</v>
      </c>
      <c r="K88" s="3052">
        <v>0</v>
      </c>
      <c r="L88" s="3052">
        <v>0</v>
      </c>
      <c r="M88" s="3052">
        <v>0</v>
      </c>
      <c r="N88" s="3052">
        <v>0</v>
      </c>
      <c r="O88" s="3052">
        <v>0</v>
      </c>
      <c r="P88" s="3052">
        <v>0</v>
      </c>
      <c r="Q88" s="3052">
        <v>0</v>
      </c>
      <c r="R88" s="3053">
        <f t="shared" si="7"/>
        <v>1</v>
      </c>
      <c r="S88" s="3053">
        <f t="shared" si="7"/>
        <v>1</v>
      </c>
      <c r="T88" s="3053">
        <f t="shared" si="7"/>
        <v>1</v>
      </c>
      <c r="U88" s="3053">
        <f t="shared" si="7"/>
        <v>1</v>
      </c>
      <c r="V88" s="3053">
        <f t="shared" si="7"/>
        <v>1</v>
      </c>
      <c r="W88" s="3053">
        <f t="shared" si="7"/>
        <v>1</v>
      </c>
      <c r="X88" s="3053">
        <f t="shared" si="7"/>
        <v>1</v>
      </c>
      <c r="Y88" s="3053">
        <f t="shared" si="7"/>
        <v>1</v>
      </c>
      <c r="Z88" s="3053">
        <f t="shared" si="7"/>
        <v>1</v>
      </c>
      <c r="AA88" s="3053">
        <f t="shared" si="7"/>
        <v>1</v>
      </c>
      <c r="AB88" s="3053">
        <f t="shared" si="7"/>
        <v>1</v>
      </c>
      <c r="AC88" s="3053">
        <f t="shared" si="7"/>
        <v>1</v>
      </c>
      <c r="AD88" s="3053">
        <f t="shared" si="7"/>
        <v>1.0003905086873426</v>
      </c>
      <c r="AE88" s="3053">
        <f t="shared" si="7"/>
        <v>1</v>
      </c>
      <c r="AF88" s="3053">
        <f t="shared" si="7"/>
        <v>1</v>
      </c>
    </row>
    <row r="89" spans="1:32">
      <c r="A89" s="3043">
        <v>200</v>
      </c>
      <c r="B89" s="3060">
        <v>85</v>
      </c>
      <c r="C89" s="3052">
        <v>0</v>
      </c>
      <c r="D89" s="3052">
        <v>0</v>
      </c>
      <c r="E89" s="3052">
        <v>0</v>
      </c>
      <c r="F89" s="3052">
        <v>0</v>
      </c>
      <c r="G89" s="3052">
        <v>0</v>
      </c>
      <c r="H89" s="3052">
        <v>0</v>
      </c>
      <c r="I89" s="3052">
        <v>0</v>
      </c>
      <c r="J89" s="3052">
        <v>0</v>
      </c>
      <c r="K89" s="3052">
        <v>0</v>
      </c>
      <c r="L89" s="3052">
        <v>0</v>
      </c>
      <c r="M89" s="3052">
        <v>0</v>
      </c>
      <c r="N89" s="3052">
        <v>0</v>
      </c>
      <c r="O89" s="3052">
        <v>0</v>
      </c>
      <c r="P89" s="3052">
        <v>0</v>
      </c>
      <c r="Q89" s="3052">
        <v>0</v>
      </c>
      <c r="R89" s="3053">
        <f t="shared" si="7"/>
        <v>1</v>
      </c>
      <c r="S89" s="3053">
        <f t="shared" si="7"/>
        <v>1</v>
      </c>
      <c r="T89" s="3053">
        <f t="shared" si="7"/>
        <v>1</v>
      </c>
      <c r="U89" s="3053">
        <f t="shared" si="7"/>
        <v>1</v>
      </c>
      <c r="V89" s="3053">
        <f t="shared" si="7"/>
        <v>1</v>
      </c>
      <c r="W89" s="3053">
        <f t="shared" si="7"/>
        <v>1</v>
      </c>
      <c r="X89" s="3053">
        <f t="shared" si="7"/>
        <v>1</v>
      </c>
      <c r="Y89" s="3053">
        <f t="shared" si="7"/>
        <v>1</v>
      </c>
      <c r="Z89" s="3053">
        <f t="shared" si="7"/>
        <v>1</v>
      </c>
      <c r="AA89" s="3053">
        <f t="shared" si="7"/>
        <v>1</v>
      </c>
      <c r="AB89" s="3053">
        <f t="shared" si="7"/>
        <v>1</v>
      </c>
      <c r="AC89" s="3053">
        <f t="shared" si="7"/>
        <v>1</v>
      </c>
      <c r="AD89" s="3053">
        <f t="shared" si="7"/>
        <v>1.0003905086873426</v>
      </c>
      <c r="AE89" s="3053">
        <f t="shared" si="7"/>
        <v>1</v>
      </c>
      <c r="AF89" s="3053">
        <f t="shared" si="7"/>
        <v>1</v>
      </c>
    </row>
    <row r="90" spans="1:32">
      <c r="A90" s="3043">
        <v>200</v>
      </c>
      <c r="B90" s="3060">
        <v>86</v>
      </c>
      <c r="C90" s="3052">
        <v>0</v>
      </c>
      <c r="D90" s="3052">
        <v>0</v>
      </c>
      <c r="E90" s="3052">
        <v>0</v>
      </c>
      <c r="F90" s="3052">
        <v>0</v>
      </c>
      <c r="G90" s="3052">
        <v>0</v>
      </c>
      <c r="H90" s="3052">
        <v>0</v>
      </c>
      <c r="I90" s="3052">
        <v>0</v>
      </c>
      <c r="J90" s="3052">
        <v>0</v>
      </c>
      <c r="K90" s="3052">
        <v>0</v>
      </c>
      <c r="L90" s="3052">
        <v>0</v>
      </c>
      <c r="M90" s="3052">
        <v>0</v>
      </c>
      <c r="N90" s="3052">
        <v>0</v>
      </c>
      <c r="O90" s="3052">
        <v>0</v>
      </c>
      <c r="P90" s="3052">
        <v>0</v>
      </c>
      <c r="Q90" s="3052">
        <v>0</v>
      </c>
      <c r="R90" s="3053">
        <f t="shared" si="7"/>
        <v>1</v>
      </c>
      <c r="S90" s="3053">
        <f t="shared" si="7"/>
        <v>1</v>
      </c>
      <c r="T90" s="3053">
        <f t="shared" si="7"/>
        <v>1</v>
      </c>
      <c r="U90" s="3053">
        <f t="shared" si="7"/>
        <v>1</v>
      </c>
      <c r="V90" s="3053">
        <f t="shared" si="7"/>
        <v>1</v>
      </c>
      <c r="W90" s="3053">
        <f t="shared" si="7"/>
        <v>1</v>
      </c>
      <c r="X90" s="3053">
        <f t="shared" si="7"/>
        <v>1</v>
      </c>
      <c r="Y90" s="3053">
        <f t="shared" si="7"/>
        <v>1</v>
      </c>
      <c r="Z90" s="3053">
        <f t="shared" si="7"/>
        <v>1</v>
      </c>
      <c r="AA90" s="3053">
        <f t="shared" si="7"/>
        <v>1</v>
      </c>
      <c r="AB90" s="3053">
        <f t="shared" si="7"/>
        <v>1</v>
      </c>
      <c r="AC90" s="3053">
        <f t="shared" si="7"/>
        <v>1</v>
      </c>
      <c r="AD90" s="3053">
        <f t="shared" si="7"/>
        <v>1.0003905086873426</v>
      </c>
      <c r="AE90" s="3053">
        <f t="shared" si="7"/>
        <v>1</v>
      </c>
      <c r="AF90" s="3053">
        <f t="shared" si="7"/>
        <v>1</v>
      </c>
    </row>
    <row r="91" spans="1:32">
      <c r="A91" s="3043">
        <v>200</v>
      </c>
      <c r="B91" s="3060">
        <v>87</v>
      </c>
      <c r="C91" s="3052">
        <v>0</v>
      </c>
      <c r="D91" s="3052">
        <v>0</v>
      </c>
      <c r="E91" s="3052">
        <v>0</v>
      </c>
      <c r="F91" s="3052">
        <v>0</v>
      </c>
      <c r="G91" s="3052">
        <v>0</v>
      </c>
      <c r="H91" s="3052">
        <v>0</v>
      </c>
      <c r="I91" s="3052">
        <v>0</v>
      </c>
      <c r="J91" s="3052">
        <v>0</v>
      </c>
      <c r="K91" s="3052">
        <v>0</v>
      </c>
      <c r="L91" s="3052">
        <v>0</v>
      </c>
      <c r="M91" s="3052">
        <v>0</v>
      </c>
      <c r="N91" s="3052">
        <v>0</v>
      </c>
      <c r="O91" s="3052">
        <v>0</v>
      </c>
      <c r="P91" s="3052">
        <v>0</v>
      </c>
      <c r="Q91" s="3052">
        <v>0</v>
      </c>
      <c r="R91" s="3053">
        <f t="shared" si="7"/>
        <v>1</v>
      </c>
      <c r="S91" s="3053">
        <f t="shared" si="7"/>
        <v>1</v>
      </c>
      <c r="T91" s="3053">
        <f t="shared" si="7"/>
        <v>1</v>
      </c>
      <c r="U91" s="3053">
        <f t="shared" si="7"/>
        <v>1</v>
      </c>
      <c r="V91" s="3053">
        <f t="shared" si="7"/>
        <v>1</v>
      </c>
      <c r="W91" s="3053">
        <f t="shared" si="7"/>
        <v>1</v>
      </c>
      <c r="X91" s="3053">
        <f t="shared" si="7"/>
        <v>1</v>
      </c>
      <c r="Y91" s="3053">
        <f t="shared" si="7"/>
        <v>1</v>
      </c>
      <c r="Z91" s="3053">
        <f t="shared" si="7"/>
        <v>1</v>
      </c>
      <c r="AA91" s="3053">
        <f t="shared" si="7"/>
        <v>1</v>
      </c>
      <c r="AB91" s="3053">
        <f t="shared" si="7"/>
        <v>1</v>
      </c>
      <c r="AC91" s="3053">
        <f t="shared" si="7"/>
        <v>1</v>
      </c>
      <c r="AD91" s="3053">
        <f t="shared" si="7"/>
        <v>1.0003905086873426</v>
      </c>
      <c r="AE91" s="3053">
        <f t="shared" si="7"/>
        <v>1</v>
      </c>
      <c r="AF91" s="3053">
        <f t="shared" si="7"/>
        <v>1</v>
      </c>
    </row>
    <row r="92" spans="1:32">
      <c r="A92" s="3043">
        <v>200</v>
      </c>
      <c r="B92" s="3060">
        <v>88</v>
      </c>
      <c r="C92" s="3052">
        <v>0</v>
      </c>
      <c r="D92" s="3052">
        <v>0</v>
      </c>
      <c r="E92" s="3052">
        <v>0</v>
      </c>
      <c r="F92" s="3052">
        <v>0</v>
      </c>
      <c r="G92" s="3052">
        <v>0</v>
      </c>
      <c r="H92" s="3052">
        <v>0</v>
      </c>
      <c r="I92" s="3052">
        <v>0</v>
      </c>
      <c r="J92" s="3052">
        <v>0</v>
      </c>
      <c r="K92" s="3052">
        <v>0</v>
      </c>
      <c r="L92" s="3052">
        <v>0</v>
      </c>
      <c r="M92" s="3052">
        <v>0</v>
      </c>
      <c r="N92" s="3052">
        <v>0</v>
      </c>
      <c r="O92" s="3052">
        <v>0</v>
      </c>
      <c r="P92" s="3052">
        <v>0</v>
      </c>
      <c r="Q92" s="3052">
        <v>0</v>
      </c>
      <c r="R92" s="3053">
        <f t="shared" si="7"/>
        <v>1</v>
      </c>
      <c r="S92" s="3053">
        <f t="shared" si="7"/>
        <v>1</v>
      </c>
      <c r="T92" s="3053">
        <f t="shared" si="7"/>
        <v>1</v>
      </c>
      <c r="U92" s="3053">
        <f t="shared" si="7"/>
        <v>1</v>
      </c>
      <c r="V92" s="3053">
        <f t="shared" si="7"/>
        <v>1</v>
      </c>
      <c r="W92" s="3053">
        <f t="shared" si="7"/>
        <v>1</v>
      </c>
      <c r="X92" s="3053">
        <f t="shared" si="7"/>
        <v>1</v>
      </c>
      <c r="Y92" s="3053">
        <f t="shared" si="7"/>
        <v>1</v>
      </c>
      <c r="Z92" s="3053">
        <f t="shared" si="7"/>
        <v>1</v>
      </c>
      <c r="AA92" s="3053">
        <f t="shared" si="7"/>
        <v>1</v>
      </c>
      <c r="AB92" s="3053">
        <f t="shared" si="7"/>
        <v>1</v>
      </c>
      <c r="AC92" s="3053">
        <f t="shared" si="7"/>
        <v>1</v>
      </c>
      <c r="AD92" s="3053">
        <f t="shared" si="7"/>
        <v>1.0003905086873426</v>
      </c>
      <c r="AE92" s="3053">
        <f t="shared" si="7"/>
        <v>1</v>
      </c>
      <c r="AF92" s="3053">
        <f t="shared" si="7"/>
        <v>1</v>
      </c>
    </row>
    <row r="93" spans="1:32">
      <c r="A93" s="3043">
        <v>200</v>
      </c>
      <c r="B93" s="3060">
        <v>89</v>
      </c>
      <c r="C93" s="3052">
        <v>0</v>
      </c>
      <c r="D93" s="3052">
        <v>0</v>
      </c>
      <c r="E93" s="3052">
        <v>0</v>
      </c>
      <c r="F93" s="3052">
        <v>0</v>
      </c>
      <c r="G93" s="3052">
        <v>0</v>
      </c>
      <c r="H93" s="3052">
        <v>0</v>
      </c>
      <c r="I93" s="3052">
        <v>0</v>
      </c>
      <c r="J93" s="3052">
        <v>0</v>
      </c>
      <c r="K93" s="3052">
        <v>0</v>
      </c>
      <c r="L93" s="3052">
        <v>0</v>
      </c>
      <c r="M93" s="3052">
        <v>0</v>
      </c>
      <c r="N93" s="3052">
        <v>0</v>
      </c>
      <c r="O93" s="3052">
        <v>0</v>
      </c>
      <c r="P93" s="3052">
        <v>0</v>
      </c>
      <c r="Q93" s="3052">
        <v>0</v>
      </c>
      <c r="R93" s="3053">
        <f t="shared" si="7"/>
        <v>1</v>
      </c>
      <c r="S93" s="3053">
        <f t="shared" si="7"/>
        <v>1</v>
      </c>
      <c r="T93" s="3053">
        <f t="shared" si="7"/>
        <v>1</v>
      </c>
      <c r="U93" s="3053">
        <f t="shared" si="7"/>
        <v>1</v>
      </c>
      <c r="V93" s="3053">
        <f t="shared" si="7"/>
        <v>1</v>
      </c>
      <c r="W93" s="3053">
        <f t="shared" si="7"/>
        <v>1</v>
      </c>
      <c r="X93" s="3053">
        <f t="shared" si="7"/>
        <v>1</v>
      </c>
      <c r="Y93" s="3053">
        <f t="shared" si="7"/>
        <v>1</v>
      </c>
      <c r="Z93" s="3053">
        <f t="shared" si="7"/>
        <v>1</v>
      </c>
      <c r="AA93" s="3053">
        <f t="shared" si="7"/>
        <v>1</v>
      </c>
      <c r="AB93" s="3053">
        <f t="shared" si="7"/>
        <v>1</v>
      </c>
      <c r="AC93" s="3053">
        <f t="shared" si="7"/>
        <v>1</v>
      </c>
      <c r="AD93" s="3053">
        <f t="shared" si="7"/>
        <v>1.0003905086873426</v>
      </c>
      <c r="AE93" s="3053">
        <f t="shared" si="7"/>
        <v>1</v>
      </c>
      <c r="AF93" s="3053">
        <f t="shared" si="7"/>
        <v>1</v>
      </c>
    </row>
    <row r="94" spans="1:32">
      <c r="A94" s="3043">
        <v>200</v>
      </c>
      <c r="B94" s="3060">
        <v>90</v>
      </c>
      <c r="C94" s="3052">
        <v>0</v>
      </c>
      <c r="D94" s="3052">
        <v>0</v>
      </c>
      <c r="E94" s="3052">
        <v>0</v>
      </c>
      <c r="F94" s="3052">
        <v>0</v>
      </c>
      <c r="G94" s="3052">
        <v>0</v>
      </c>
      <c r="H94" s="3052">
        <v>0</v>
      </c>
      <c r="I94" s="3052">
        <v>0</v>
      </c>
      <c r="J94" s="3052">
        <v>0</v>
      </c>
      <c r="K94" s="3052">
        <v>0</v>
      </c>
      <c r="L94" s="3052">
        <v>0</v>
      </c>
      <c r="M94" s="3052">
        <v>0</v>
      </c>
      <c r="N94" s="3052">
        <v>0</v>
      </c>
      <c r="O94" s="3052">
        <v>0</v>
      </c>
      <c r="P94" s="3052">
        <v>0</v>
      </c>
      <c r="Q94" s="3052">
        <v>0</v>
      </c>
      <c r="R94" s="3053">
        <f t="shared" si="7"/>
        <v>1</v>
      </c>
      <c r="S94" s="3053">
        <f t="shared" si="7"/>
        <v>1</v>
      </c>
      <c r="T94" s="3053">
        <f t="shared" si="7"/>
        <v>1</v>
      </c>
      <c r="U94" s="3053">
        <f t="shared" si="7"/>
        <v>1</v>
      </c>
      <c r="V94" s="3053">
        <f t="shared" si="7"/>
        <v>1</v>
      </c>
      <c r="W94" s="3053">
        <f t="shared" si="7"/>
        <v>1</v>
      </c>
      <c r="X94" s="3053">
        <f t="shared" si="7"/>
        <v>1</v>
      </c>
      <c r="Y94" s="3053">
        <f t="shared" si="7"/>
        <v>1</v>
      </c>
      <c r="Z94" s="3053">
        <f t="shared" si="7"/>
        <v>1</v>
      </c>
      <c r="AA94" s="3053">
        <f t="shared" si="7"/>
        <v>1</v>
      </c>
      <c r="AB94" s="3053">
        <f t="shared" si="7"/>
        <v>1</v>
      </c>
      <c r="AC94" s="3053">
        <f t="shared" si="7"/>
        <v>1</v>
      </c>
      <c r="AD94" s="3053">
        <f t="shared" si="7"/>
        <v>1.0003905086873426</v>
      </c>
      <c r="AE94" s="3053">
        <f t="shared" si="7"/>
        <v>1</v>
      </c>
      <c r="AF94" s="3053">
        <f t="shared" si="7"/>
        <v>1</v>
      </c>
    </row>
    <row r="95" spans="1:32">
      <c r="A95" s="3043">
        <v>200</v>
      </c>
      <c r="B95" s="3060">
        <v>91</v>
      </c>
      <c r="C95" s="3052">
        <v>0</v>
      </c>
      <c r="D95" s="3052">
        <v>0</v>
      </c>
      <c r="E95" s="3052">
        <v>0</v>
      </c>
      <c r="F95" s="3052">
        <v>0</v>
      </c>
      <c r="G95" s="3052">
        <v>0</v>
      </c>
      <c r="H95" s="3052">
        <v>0</v>
      </c>
      <c r="I95" s="3052">
        <v>0</v>
      </c>
      <c r="J95" s="3052">
        <v>0</v>
      </c>
      <c r="K95" s="3052">
        <v>0</v>
      </c>
      <c r="L95" s="3052">
        <v>0</v>
      </c>
      <c r="M95" s="3052">
        <v>0</v>
      </c>
      <c r="N95" s="3052">
        <v>0</v>
      </c>
      <c r="O95" s="3052">
        <v>0</v>
      </c>
      <c r="P95" s="3052">
        <v>0</v>
      </c>
      <c r="Q95" s="3052">
        <v>0</v>
      </c>
      <c r="R95" s="3053">
        <f t="shared" si="7"/>
        <v>1</v>
      </c>
      <c r="S95" s="3053">
        <f t="shared" si="7"/>
        <v>1</v>
      </c>
      <c r="T95" s="3053">
        <f t="shared" si="7"/>
        <v>1</v>
      </c>
      <c r="U95" s="3053">
        <f t="shared" si="7"/>
        <v>1</v>
      </c>
      <c r="V95" s="3053">
        <f t="shared" si="7"/>
        <v>1</v>
      </c>
      <c r="W95" s="3053">
        <f t="shared" si="7"/>
        <v>1</v>
      </c>
      <c r="X95" s="3053">
        <f t="shared" si="7"/>
        <v>1</v>
      </c>
      <c r="Y95" s="3053">
        <f t="shared" si="7"/>
        <v>1</v>
      </c>
      <c r="Z95" s="3053">
        <f t="shared" si="7"/>
        <v>1</v>
      </c>
      <c r="AA95" s="3053">
        <f t="shared" si="7"/>
        <v>1</v>
      </c>
      <c r="AB95" s="3053">
        <f t="shared" si="7"/>
        <v>1</v>
      </c>
      <c r="AC95" s="3053">
        <f t="shared" si="7"/>
        <v>1</v>
      </c>
      <c r="AD95" s="3053">
        <f t="shared" si="7"/>
        <v>1.0003905086873426</v>
      </c>
      <c r="AE95" s="3053">
        <f t="shared" si="7"/>
        <v>1</v>
      </c>
      <c r="AF95" s="3053">
        <f t="shared" si="7"/>
        <v>1</v>
      </c>
    </row>
    <row r="96" spans="1:32">
      <c r="A96" s="3043">
        <v>200</v>
      </c>
      <c r="B96" s="3060">
        <v>92</v>
      </c>
      <c r="C96" s="3052">
        <v>0</v>
      </c>
      <c r="D96" s="3052">
        <v>0</v>
      </c>
      <c r="E96" s="3052">
        <v>0</v>
      </c>
      <c r="F96" s="3052">
        <v>0</v>
      </c>
      <c r="G96" s="3052">
        <v>0</v>
      </c>
      <c r="H96" s="3052">
        <v>0</v>
      </c>
      <c r="I96" s="3052">
        <v>0</v>
      </c>
      <c r="J96" s="3052">
        <v>0</v>
      </c>
      <c r="K96" s="3052">
        <v>0</v>
      </c>
      <c r="L96" s="3052">
        <v>0</v>
      </c>
      <c r="M96" s="3052">
        <v>0</v>
      </c>
      <c r="N96" s="3052">
        <v>0</v>
      </c>
      <c r="O96" s="3052">
        <v>0</v>
      </c>
      <c r="P96" s="3052">
        <v>0</v>
      </c>
      <c r="Q96" s="3052">
        <v>0</v>
      </c>
      <c r="R96" s="3053">
        <f t="shared" si="7"/>
        <v>1</v>
      </c>
      <c r="S96" s="3053">
        <f t="shared" si="7"/>
        <v>1</v>
      </c>
      <c r="T96" s="3053">
        <f t="shared" si="7"/>
        <v>1</v>
      </c>
      <c r="U96" s="3053">
        <f t="shared" si="7"/>
        <v>1</v>
      </c>
      <c r="V96" s="3053">
        <f t="shared" si="7"/>
        <v>1</v>
      </c>
      <c r="W96" s="3053">
        <f t="shared" si="7"/>
        <v>1</v>
      </c>
      <c r="X96" s="3053">
        <f t="shared" si="7"/>
        <v>1</v>
      </c>
      <c r="Y96" s="3053">
        <f t="shared" si="7"/>
        <v>1</v>
      </c>
      <c r="Z96" s="3053">
        <f t="shared" si="7"/>
        <v>1</v>
      </c>
      <c r="AA96" s="3053">
        <f t="shared" si="7"/>
        <v>1</v>
      </c>
      <c r="AB96" s="3053">
        <f t="shared" si="7"/>
        <v>1</v>
      </c>
      <c r="AC96" s="3053">
        <f t="shared" si="7"/>
        <v>1</v>
      </c>
      <c r="AD96" s="3053">
        <f t="shared" si="7"/>
        <v>1.0003905086873426</v>
      </c>
      <c r="AE96" s="3053">
        <f t="shared" si="7"/>
        <v>1</v>
      </c>
      <c r="AF96" s="3053">
        <f t="shared" si="7"/>
        <v>1</v>
      </c>
    </row>
    <row r="97" spans="1:32">
      <c r="A97" s="3043">
        <v>200</v>
      </c>
      <c r="B97" s="3060">
        <v>93</v>
      </c>
      <c r="C97" s="3052">
        <v>0</v>
      </c>
      <c r="D97" s="3052">
        <v>0</v>
      </c>
      <c r="E97" s="3052">
        <v>0</v>
      </c>
      <c r="F97" s="3052">
        <v>0</v>
      </c>
      <c r="G97" s="3052">
        <v>0</v>
      </c>
      <c r="H97" s="3052">
        <v>0</v>
      </c>
      <c r="I97" s="3052">
        <v>0</v>
      </c>
      <c r="J97" s="3052">
        <v>0</v>
      </c>
      <c r="K97" s="3052">
        <v>0</v>
      </c>
      <c r="L97" s="3052">
        <v>0</v>
      </c>
      <c r="M97" s="3052">
        <v>0</v>
      </c>
      <c r="N97" s="3052">
        <v>0</v>
      </c>
      <c r="O97" s="3052">
        <v>0</v>
      </c>
      <c r="P97" s="3052">
        <v>0</v>
      </c>
      <c r="Q97" s="3052">
        <v>0</v>
      </c>
      <c r="R97" s="3053">
        <f t="shared" si="7"/>
        <v>1</v>
      </c>
      <c r="S97" s="3053">
        <f t="shared" si="7"/>
        <v>1</v>
      </c>
      <c r="T97" s="3053">
        <f t="shared" si="7"/>
        <v>1</v>
      </c>
      <c r="U97" s="3053">
        <f t="shared" si="7"/>
        <v>1</v>
      </c>
      <c r="V97" s="3053">
        <f t="shared" si="7"/>
        <v>1</v>
      </c>
      <c r="W97" s="3053">
        <f t="shared" si="7"/>
        <v>1</v>
      </c>
      <c r="X97" s="3053">
        <f t="shared" si="7"/>
        <v>1</v>
      </c>
      <c r="Y97" s="3053">
        <f t="shared" si="7"/>
        <v>1</v>
      </c>
      <c r="Z97" s="3053">
        <f t="shared" si="7"/>
        <v>1</v>
      </c>
      <c r="AA97" s="3053">
        <f t="shared" si="7"/>
        <v>1</v>
      </c>
      <c r="AB97" s="3053">
        <f t="shared" si="7"/>
        <v>1</v>
      </c>
      <c r="AC97" s="3053">
        <f t="shared" si="7"/>
        <v>1</v>
      </c>
      <c r="AD97" s="3053">
        <f t="shared" si="7"/>
        <v>1.0003905086873426</v>
      </c>
      <c r="AE97" s="3053">
        <f t="shared" si="7"/>
        <v>1</v>
      </c>
      <c r="AF97" s="3053">
        <f t="shared" si="7"/>
        <v>1</v>
      </c>
    </row>
    <row r="98" spans="1:32">
      <c r="A98" s="3043">
        <v>200</v>
      </c>
      <c r="B98" s="3060">
        <v>94</v>
      </c>
      <c r="C98" s="3052">
        <v>0</v>
      </c>
      <c r="D98" s="3052">
        <v>0</v>
      </c>
      <c r="E98" s="3052">
        <v>0</v>
      </c>
      <c r="F98" s="3052">
        <v>0</v>
      </c>
      <c r="G98" s="3052">
        <v>0</v>
      </c>
      <c r="H98" s="3052">
        <v>0</v>
      </c>
      <c r="I98" s="3052">
        <v>0</v>
      </c>
      <c r="J98" s="3052">
        <v>0</v>
      </c>
      <c r="K98" s="3052">
        <v>0</v>
      </c>
      <c r="L98" s="3052">
        <v>0</v>
      </c>
      <c r="M98" s="3052">
        <v>0</v>
      </c>
      <c r="N98" s="3052">
        <v>0</v>
      </c>
      <c r="O98" s="3052">
        <v>0</v>
      </c>
      <c r="P98" s="3052">
        <v>0</v>
      </c>
      <c r="Q98" s="3052">
        <v>0</v>
      </c>
      <c r="R98" s="3053">
        <f t="shared" si="7"/>
        <v>1</v>
      </c>
      <c r="S98" s="3053">
        <f t="shared" si="7"/>
        <v>1</v>
      </c>
      <c r="T98" s="3053">
        <f t="shared" si="7"/>
        <v>1</v>
      </c>
      <c r="U98" s="3053">
        <f t="shared" si="7"/>
        <v>1</v>
      </c>
      <c r="V98" s="3053">
        <f t="shared" si="7"/>
        <v>1</v>
      </c>
      <c r="W98" s="3053">
        <f t="shared" si="7"/>
        <v>1</v>
      </c>
      <c r="X98" s="3053">
        <f t="shared" si="7"/>
        <v>1</v>
      </c>
      <c r="Y98" s="3053">
        <f t="shared" si="7"/>
        <v>1</v>
      </c>
      <c r="Z98" s="3053">
        <f t="shared" si="7"/>
        <v>1</v>
      </c>
      <c r="AA98" s="3053">
        <f t="shared" si="7"/>
        <v>1</v>
      </c>
      <c r="AB98" s="3053">
        <f t="shared" si="7"/>
        <v>1</v>
      </c>
      <c r="AC98" s="3053">
        <f t="shared" si="7"/>
        <v>1</v>
      </c>
      <c r="AD98" s="3053">
        <f t="shared" si="7"/>
        <v>1.0003905086873426</v>
      </c>
      <c r="AE98" s="3053">
        <f t="shared" si="7"/>
        <v>1</v>
      </c>
      <c r="AF98" s="3053">
        <f t="shared" si="7"/>
        <v>1</v>
      </c>
    </row>
    <row r="99" spans="1:32">
      <c r="A99" s="3043">
        <v>200</v>
      </c>
      <c r="B99" s="3060">
        <v>95</v>
      </c>
      <c r="C99" s="3052">
        <v>0</v>
      </c>
      <c r="D99" s="3052">
        <v>0</v>
      </c>
      <c r="E99" s="3052">
        <v>0</v>
      </c>
      <c r="F99" s="3052">
        <v>0</v>
      </c>
      <c r="G99" s="3052">
        <v>0</v>
      </c>
      <c r="H99" s="3052">
        <v>0</v>
      </c>
      <c r="I99" s="3052">
        <v>0</v>
      </c>
      <c r="J99" s="3052">
        <v>0</v>
      </c>
      <c r="K99" s="3052">
        <v>0</v>
      </c>
      <c r="L99" s="3052">
        <v>0</v>
      </c>
      <c r="M99" s="3052">
        <v>0</v>
      </c>
      <c r="N99" s="3052">
        <v>0</v>
      </c>
      <c r="O99" s="3052">
        <v>0</v>
      </c>
      <c r="P99" s="3052">
        <v>0</v>
      </c>
      <c r="Q99" s="3052">
        <v>0</v>
      </c>
      <c r="R99" s="3053">
        <f t="shared" si="7"/>
        <v>1</v>
      </c>
      <c r="S99" s="3053">
        <f t="shared" si="7"/>
        <v>1</v>
      </c>
      <c r="T99" s="3053">
        <f t="shared" si="7"/>
        <v>1</v>
      </c>
      <c r="U99" s="3053">
        <f t="shared" si="7"/>
        <v>1</v>
      </c>
      <c r="V99" s="3053">
        <f t="shared" si="7"/>
        <v>1</v>
      </c>
      <c r="W99" s="3053">
        <f t="shared" si="7"/>
        <v>1</v>
      </c>
      <c r="X99" s="3053">
        <f t="shared" si="7"/>
        <v>1</v>
      </c>
      <c r="Y99" s="3053">
        <f t="shared" si="7"/>
        <v>1</v>
      </c>
      <c r="Z99" s="3053">
        <f t="shared" si="7"/>
        <v>1</v>
      </c>
      <c r="AA99" s="3053">
        <f t="shared" si="7"/>
        <v>1</v>
      </c>
      <c r="AB99" s="3053">
        <f t="shared" si="7"/>
        <v>1</v>
      </c>
      <c r="AC99" s="3053">
        <f t="shared" si="7"/>
        <v>1</v>
      </c>
      <c r="AD99" s="3053">
        <f t="shared" si="7"/>
        <v>1.0003905086873426</v>
      </c>
      <c r="AE99" s="3053">
        <f t="shared" si="7"/>
        <v>1</v>
      </c>
      <c r="AF99" s="3053">
        <f t="shared" si="7"/>
        <v>1</v>
      </c>
    </row>
    <row r="100" spans="1:32">
      <c r="A100" s="3043">
        <v>200</v>
      </c>
      <c r="B100" s="3060">
        <v>96</v>
      </c>
      <c r="C100" s="3052">
        <v>0</v>
      </c>
      <c r="D100" s="3052">
        <v>0</v>
      </c>
      <c r="E100" s="3052">
        <v>0</v>
      </c>
      <c r="F100" s="3052">
        <v>0</v>
      </c>
      <c r="G100" s="3052">
        <v>0</v>
      </c>
      <c r="H100" s="3052">
        <v>0</v>
      </c>
      <c r="I100" s="3052">
        <v>0</v>
      </c>
      <c r="J100" s="3052">
        <v>0</v>
      </c>
      <c r="K100" s="3052">
        <v>0</v>
      </c>
      <c r="L100" s="3052">
        <v>0</v>
      </c>
      <c r="M100" s="3052">
        <v>0</v>
      </c>
      <c r="N100" s="3052">
        <v>0</v>
      </c>
      <c r="O100" s="3052">
        <v>0</v>
      </c>
      <c r="P100" s="3052">
        <v>0</v>
      </c>
      <c r="Q100" s="3052">
        <v>0</v>
      </c>
      <c r="R100" s="3053">
        <f t="shared" si="7"/>
        <v>1</v>
      </c>
      <c r="S100" s="3053">
        <f t="shared" si="7"/>
        <v>1</v>
      </c>
      <c r="T100" s="3053">
        <f t="shared" si="7"/>
        <v>1</v>
      </c>
      <c r="U100" s="3053">
        <f t="shared" si="7"/>
        <v>1</v>
      </c>
      <c r="V100" s="3053">
        <f t="shared" si="7"/>
        <v>1</v>
      </c>
      <c r="W100" s="3053">
        <f t="shared" si="7"/>
        <v>1</v>
      </c>
      <c r="X100" s="3053">
        <f t="shared" si="7"/>
        <v>1</v>
      </c>
      <c r="Y100" s="3053">
        <f t="shared" si="7"/>
        <v>1</v>
      </c>
      <c r="Z100" s="3053">
        <f t="shared" si="7"/>
        <v>1</v>
      </c>
      <c r="AA100" s="3053">
        <f t="shared" si="7"/>
        <v>1</v>
      </c>
      <c r="AB100" s="3053">
        <f t="shared" si="7"/>
        <v>1</v>
      </c>
      <c r="AC100" s="3053">
        <f t="shared" si="7"/>
        <v>1</v>
      </c>
      <c r="AD100" s="3053">
        <f t="shared" si="7"/>
        <v>1.0003905086873426</v>
      </c>
      <c r="AE100" s="3053">
        <f t="shared" si="7"/>
        <v>1</v>
      </c>
      <c r="AF100" s="3053">
        <f t="shared" si="7"/>
        <v>1</v>
      </c>
    </row>
    <row r="101" spans="1:32">
      <c r="A101" s="3043">
        <v>200</v>
      </c>
      <c r="B101" s="3060">
        <v>97</v>
      </c>
      <c r="C101" s="3052">
        <v>0</v>
      </c>
      <c r="D101" s="3052">
        <v>0</v>
      </c>
      <c r="E101" s="3052">
        <v>0</v>
      </c>
      <c r="F101" s="3052">
        <v>0</v>
      </c>
      <c r="G101" s="3052">
        <v>0</v>
      </c>
      <c r="H101" s="3052">
        <v>0</v>
      </c>
      <c r="I101" s="3052">
        <v>0</v>
      </c>
      <c r="J101" s="3052">
        <v>0</v>
      </c>
      <c r="K101" s="3052">
        <v>0</v>
      </c>
      <c r="L101" s="3052">
        <v>0</v>
      </c>
      <c r="M101" s="3052">
        <v>0</v>
      </c>
      <c r="N101" s="3052">
        <v>0</v>
      </c>
      <c r="O101" s="3052">
        <v>0</v>
      </c>
      <c r="P101" s="3052">
        <v>0</v>
      </c>
      <c r="Q101" s="3052">
        <v>0</v>
      </c>
      <c r="R101" s="3053">
        <f t="shared" si="7"/>
        <v>1</v>
      </c>
      <c r="S101" s="3053">
        <f t="shared" si="7"/>
        <v>1</v>
      </c>
      <c r="T101" s="3053">
        <f t="shared" si="7"/>
        <v>1</v>
      </c>
      <c r="U101" s="3053">
        <f t="shared" si="7"/>
        <v>1</v>
      </c>
      <c r="V101" s="3053">
        <f t="shared" si="7"/>
        <v>1</v>
      </c>
      <c r="W101" s="3053">
        <f t="shared" si="7"/>
        <v>1</v>
      </c>
      <c r="X101" s="3053">
        <f t="shared" si="7"/>
        <v>1</v>
      </c>
      <c r="Y101" s="3053">
        <f t="shared" si="7"/>
        <v>1</v>
      </c>
      <c r="Z101" s="3053">
        <f t="shared" si="7"/>
        <v>1</v>
      </c>
      <c r="AA101" s="3053">
        <f t="shared" si="7"/>
        <v>1</v>
      </c>
      <c r="AB101" s="3053">
        <f t="shared" si="7"/>
        <v>1</v>
      </c>
      <c r="AC101" s="3053">
        <f t="shared" si="7"/>
        <v>1</v>
      </c>
      <c r="AD101" s="3053">
        <f t="shared" si="7"/>
        <v>1.0003905086873426</v>
      </c>
      <c r="AE101" s="3053">
        <f t="shared" si="7"/>
        <v>1</v>
      </c>
      <c r="AF101" s="3053">
        <f t="shared" si="7"/>
        <v>1</v>
      </c>
    </row>
    <row r="102" spans="1:32">
      <c r="A102" s="3043">
        <v>200</v>
      </c>
      <c r="B102" s="3060">
        <v>98</v>
      </c>
      <c r="C102" s="3052">
        <v>0</v>
      </c>
      <c r="D102" s="3052">
        <v>0</v>
      </c>
      <c r="E102" s="3052">
        <v>0</v>
      </c>
      <c r="F102" s="3052">
        <v>0</v>
      </c>
      <c r="G102" s="3052">
        <v>0</v>
      </c>
      <c r="H102" s="3052">
        <v>0</v>
      </c>
      <c r="I102" s="3052">
        <v>0</v>
      </c>
      <c r="J102" s="3052">
        <v>0</v>
      </c>
      <c r="K102" s="3052">
        <v>0</v>
      </c>
      <c r="L102" s="3052">
        <v>0</v>
      </c>
      <c r="M102" s="3052">
        <v>0</v>
      </c>
      <c r="N102" s="3052">
        <v>0</v>
      </c>
      <c r="O102" s="3052">
        <v>0</v>
      </c>
      <c r="P102" s="3052">
        <v>0</v>
      </c>
      <c r="Q102" s="3052">
        <v>0</v>
      </c>
      <c r="R102" s="3053">
        <f t="shared" ref="R102:AF104" si="8">C102+R101</f>
        <v>1</v>
      </c>
      <c r="S102" s="3053">
        <f t="shared" si="8"/>
        <v>1</v>
      </c>
      <c r="T102" s="3053">
        <f t="shared" si="8"/>
        <v>1</v>
      </c>
      <c r="U102" s="3053">
        <f t="shared" si="8"/>
        <v>1</v>
      </c>
      <c r="V102" s="3053">
        <f t="shared" si="8"/>
        <v>1</v>
      </c>
      <c r="W102" s="3053">
        <f t="shared" si="8"/>
        <v>1</v>
      </c>
      <c r="X102" s="3053">
        <f t="shared" si="8"/>
        <v>1</v>
      </c>
      <c r="Y102" s="3053">
        <f t="shared" si="8"/>
        <v>1</v>
      </c>
      <c r="Z102" s="3053">
        <f t="shared" si="8"/>
        <v>1</v>
      </c>
      <c r="AA102" s="3053">
        <f t="shared" si="8"/>
        <v>1</v>
      </c>
      <c r="AB102" s="3053">
        <f t="shared" si="8"/>
        <v>1</v>
      </c>
      <c r="AC102" s="3053">
        <f t="shared" si="8"/>
        <v>1</v>
      </c>
      <c r="AD102" s="3053">
        <f t="shared" si="8"/>
        <v>1.0003905086873426</v>
      </c>
      <c r="AE102" s="3053">
        <f t="shared" si="8"/>
        <v>1</v>
      </c>
      <c r="AF102" s="3053">
        <f t="shared" si="8"/>
        <v>1</v>
      </c>
    </row>
    <row r="103" spans="1:32">
      <c r="A103" s="3043">
        <v>200</v>
      </c>
      <c r="B103" s="3060">
        <v>99</v>
      </c>
      <c r="C103" s="3052">
        <v>0</v>
      </c>
      <c r="D103" s="3052">
        <v>0</v>
      </c>
      <c r="E103" s="3052">
        <v>0</v>
      </c>
      <c r="F103" s="3052">
        <v>0</v>
      </c>
      <c r="G103" s="3052">
        <v>0</v>
      </c>
      <c r="H103" s="3052">
        <v>0</v>
      </c>
      <c r="I103" s="3052">
        <v>0</v>
      </c>
      <c r="J103" s="3052">
        <v>0</v>
      </c>
      <c r="K103" s="3052">
        <v>0</v>
      </c>
      <c r="L103" s="3052">
        <v>0</v>
      </c>
      <c r="M103" s="3052">
        <v>0</v>
      </c>
      <c r="N103" s="3052">
        <v>0</v>
      </c>
      <c r="O103" s="3052">
        <v>0</v>
      </c>
      <c r="P103" s="3052">
        <v>0</v>
      </c>
      <c r="Q103" s="3052">
        <v>0</v>
      </c>
      <c r="R103" s="3053">
        <f t="shared" si="8"/>
        <v>1</v>
      </c>
      <c r="S103" s="3053">
        <f t="shared" si="8"/>
        <v>1</v>
      </c>
      <c r="T103" s="3053">
        <f t="shared" si="8"/>
        <v>1</v>
      </c>
      <c r="U103" s="3053">
        <f t="shared" si="8"/>
        <v>1</v>
      </c>
      <c r="V103" s="3053">
        <f t="shared" si="8"/>
        <v>1</v>
      </c>
      <c r="W103" s="3053">
        <f t="shared" si="8"/>
        <v>1</v>
      </c>
      <c r="X103" s="3053">
        <f t="shared" si="8"/>
        <v>1</v>
      </c>
      <c r="Y103" s="3053">
        <f t="shared" si="8"/>
        <v>1</v>
      </c>
      <c r="Z103" s="3053">
        <f t="shared" si="8"/>
        <v>1</v>
      </c>
      <c r="AA103" s="3053">
        <f t="shared" si="8"/>
        <v>1</v>
      </c>
      <c r="AB103" s="3053">
        <f t="shared" si="8"/>
        <v>1</v>
      </c>
      <c r="AC103" s="3053">
        <f t="shared" si="8"/>
        <v>1</v>
      </c>
      <c r="AD103" s="3053">
        <f t="shared" si="8"/>
        <v>1.0003905086873426</v>
      </c>
      <c r="AE103" s="3053">
        <f t="shared" si="8"/>
        <v>1</v>
      </c>
      <c r="AF103" s="3053">
        <f t="shared" si="8"/>
        <v>1</v>
      </c>
    </row>
    <row r="104" spans="1:32">
      <c r="A104" s="3043">
        <v>200</v>
      </c>
      <c r="B104" s="3060">
        <v>100</v>
      </c>
      <c r="C104" s="3052">
        <v>0</v>
      </c>
      <c r="D104" s="3052">
        <v>0</v>
      </c>
      <c r="E104" s="3052">
        <v>0</v>
      </c>
      <c r="F104" s="3052">
        <v>0</v>
      </c>
      <c r="G104" s="3052">
        <v>0</v>
      </c>
      <c r="H104" s="3052">
        <v>0</v>
      </c>
      <c r="I104" s="3052">
        <v>0</v>
      </c>
      <c r="J104" s="3052">
        <v>0</v>
      </c>
      <c r="K104" s="3052">
        <v>0</v>
      </c>
      <c r="L104" s="3052">
        <v>0</v>
      </c>
      <c r="M104" s="3052">
        <v>0</v>
      </c>
      <c r="N104" s="3052">
        <v>0</v>
      </c>
      <c r="O104" s="3052">
        <v>0</v>
      </c>
      <c r="P104" s="3052">
        <v>0</v>
      </c>
      <c r="Q104" s="3052">
        <v>0</v>
      </c>
      <c r="R104" s="3053">
        <f t="shared" si="8"/>
        <v>1</v>
      </c>
      <c r="S104" s="3053">
        <f t="shared" si="8"/>
        <v>1</v>
      </c>
      <c r="T104" s="3053">
        <f t="shared" si="8"/>
        <v>1</v>
      </c>
      <c r="U104" s="3053">
        <f t="shared" si="8"/>
        <v>1</v>
      </c>
      <c r="V104" s="3053">
        <f t="shared" si="8"/>
        <v>1</v>
      </c>
      <c r="W104" s="3053">
        <f t="shared" si="8"/>
        <v>1</v>
      </c>
      <c r="X104" s="3053">
        <f t="shared" si="8"/>
        <v>1</v>
      </c>
      <c r="Y104" s="3053">
        <f t="shared" si="8"/>
        <v>1</v>
      </c>
      <c r="Z104" s="3053">
        <f t="shared" si="8"/>
        <v>1</v>
      </c>
      <c r="AA104" s="3053">
        <f t="shared" si="8"/>
        <v>1</v>
      </c>
      <c r="AB104" s="3053">
        <f t="shared" si="8"/>
        <v>1</v>
      </c>
      <c r="AC104" s="3053">
        <f t="shared" si="8"/>
        <v>1</v>
      </c>
      <c r="AD104" s="3053">
        <f t="shared" si="8"/>
        <v>1.0003905086873426</v>
      </c>
      <c r="AE104" s="3053">
        <f t="shared" si="8"/>
        <v>1</v>
      </c>
      <c r="AF104" s="3053">
        <f t="shared" si="8"/>
        <v>1</v>
      </c>
    </row>
    <row r="105" spans="1:32">
      <c r="B105" s="3060"/>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c r="B106" s="3060"/>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c r="B107" s="3060"/>
      <c r="C107" s="1197"/>
      <c r="D107" s="1197"/>
      <c r="E107" s="1197"/>
      <c r="F107" s="1197"/>
      <c r="G107" s="1197"/>
      <c r="H107" s="1197"/>
      <c r="I107" s="1197"/>
      <c r="J107" s="1197"/>
      <c r="K107" s="1197"/>
      <c r="L107" s="1197"/>
      <c r="M107" s="1197"/>
      <c r="N107" s="1197"/>
      <c r="O107" s="1197"/>
      <c r="P107" s="1197"/>
      <c r="Q107" s="1197"/>
      <c r="R107" s="1197"/>
      <c r="S107" s="1197"/>
      <c r="T107" s="1197"/>
      <c r="U107" s="1197"/>
      <c r="V107" s="1197"/>
      <c r="W107" s="1197"/>
      <c r="X107" s="1197"/>
      <c r="Y107" s="1197"/>
      <c r="Z107" s="1197"/>
      <c r="AA107" s="1197"/>
      <c r="AB107" s="1197"/>
      <c r="AC107" s="1197"/>
      <c r="AD107" s="1197"/>
      <c r="AE107" s="1197"/>
      <c r="AF107" s="1197"/>
    </row>
    <row r="108" spans="1:32">
      <c r="B108" s="3060"/>
      <c r="C108" s="1197"/>
      <c r="D108" s="1197"/>
      <c r="E108" s="1197"/>
      <c r="F108" s="1197"/>
      <c r="G108" s="1197"/>
      <c r="H108" s="1197"/>
      <c r="I108" s="1197"/>
      <c r="J108" s="1197"/>
      <c r="K108" s="1197"/>
      <c r="L108" s="1197"/>
      <c r="M108" s="1197"/>
      <c r="N108" s="1197"/>
      <c r="O108" s="1197"/>
      <c r="P108" s="1197"/>
      <c r="Q108" s="1197"/>
      <c r="R108" s="1197"/>
      <c r="S108" s="1197"/>
      <c r="T108" s="1197"/>
      <c r="U108" s="1197"/>
      <c r="V108" s="1197"/>
      <c r="W108" s="1197"/>
      <c r="X108" s="1197"/>
      <c r="Y108" s="1197"/>
      <c r="Z108" s="1197"/>
      <c r="AA108" s="1197"/>
      <c r="AB108" s="1197"/>
      <c r="AC108" s="1197"/>
      <c r="AD108" s="1197"/>
      <c r="AE108" s="1197"/>
      <c r="AF108" s="1197"/>
    </row>
    <row r="109" spans="1:32">
      <c r="B109" s="3060"/>
      <c r="C109" s="1197"/>
      <c r="D109" s="1197"/>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row>
    <row r="110" spans="1:32">
      <c r="B110" s="3060"/>
      <c r="C110" s="1197"/>
      <c r="D110" s="1197"/>
      <c r="E110" s="1197"/>
      <c r="F110" s="119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row>
    <row r="111" spans="1:32">
      <c r="B111" s="3060"/>
      <c r="C111" s="1197"/>
      <c r="D111" s="1197"/>
      <c r="E111" s="1197"/>
      <c r="F111" s="1197"/>
      <c r="G111" s="1197"/>
      <c r="H111" s="1197"/>
      <c r="I111" s="1197"/>
      <c r="J111" s="1197"/>
      <c r="K111" s="1197"/>
      <c r="L111" s="1197"/>
      <c r="M111" s="1197"/>
      <c r="N111" s="1197"/>
      <c r="O111" s="1197"/>
      <c r="P111" s="1197"/>
      <c r="Q111" s="1197"/>
      <c r="R111" s="1197"/>
      <c r="S111" s="1197"/>
      <c r="T111" s="1197"/>
      <c r="U111" s="1197"/>
      <c r="V111" s="1197"/>
      <c r="W111" s="1197"/>
      <c r="X111" s="1197"/>
      <c r="Y111" s="1197"/>
      <c r="Z111" s="1197"/>
      <c r="AA111" s="1197"/>
      <c r="AB111" s="1197"/>
      <c r="AC111" s="1197"/>
      <c r="AD111" s="1197"/>
      <c r="AE111" s="1197"/>
      <c r="AF111" s="1197"/>
    </row>
    <row r="112" spans="1:32">
      <c r="B112" s="3060"/>
      <c r="C112" s="1197"/>
      <c r="D112" s="1197"/>
      <c r="E112" s="1197"/>
      <c r="F112" s="1197"/>
      <c r="G112" s="1197"/>
      <c r="H112" s="1197"/>
      <c r="I112" s="1197"/>
      <c r="J112" s="1197"/>
      <c r="K112" s="1197"/>
      <c r="L112" s="1197"/>
      <c r="M112" s="1197"/>
      <c r="N112" s="1197"/>
      <c r="O112" s="1197"/>
      <c r="P112" s="1197"/>
      <c r="Q112" s="1197"/>
      <c r="R112" s="1197"/>
      <c r="S112" s="1197"/>
      <c r="T112" s="1197"/>
      <c r="U112" s="1197"/>
      <c r="V112" s="1197"/>
      <c r="W112" s="1197"/>
      <c r="X112" s="1197"/>
      <c r="Y112" s="1197"/>
      <c r="Z112" s="1197"/>
      <c r="AA112" s="1197"/>
      <c r="AB112" s="1197"/>
      <c r="AC112" s="1197"/>
      <c r="AD112" s="1197"/>
      <c r="AE112" s="1197"/>
      <c r="AF112" s="1197"/>
    </row>
    <row r="113" spans="1:32">
      <c r="B113" s="3060"/>
      <c r="C113" s="1197"/>
      <c r="D113" s="1197"/>
      <c r="E113" s="1197"/>
      <c r="F113" s="1197"/>
      <c r="G113" s="1197"/>
      <c r="H113" s="1197"/>
      <c r="I113" s="1197"/>
      <c r="J113" s="1197"/>
      <c r="K113" s="1197"/>
      <c r="L113" s="1197"/>
      <c r="M113" s="1197"/>
      <c r="N113" s="1197"/>
      <c r="O113" s="1197"/>
      <c r="P113" s="1197"/>
      <c r="Q113" s="1197"/>
      <c r="R113" s="1197"/>
      <c r="S113" s="1197"/>
      <c r="T113" s="1197"/>
      <c r="U113" s="1197"/>
      <c r="V113" s="1197"/>
      <c r="W113" s="1197"/>
      <c r="X113" s="1197"/>
      <c r="Y113" s="1197"/>
      <c r="Z113" s="1197"/>
      <c r="AA113" s="1197"/>
      <c r="AB113" s="1197"/>
      <c r="AC113" s="1197"/>
      <c r="AD113" s="1197"/>
      <c r="AE113" s="1197"/>
      <c r="AF113" s="1197"/>
    </row>
    <row r="114" spans="1:32">
      <c r="A114" s="3057" t="s">
        <v>6602</v>
      </c>
      <c r="B114" s="3058" t="s">
        <v>3715</v>
      </c>
      <c r="C114" s="3045" t="s">
        <v>3621</v>
      </c>
      <c r="D114" s="3045" t="s">
        <v>3623</v>
      </c>
      <c r="E114" s="3045" t="s">
        <v>3625</v>
      </c>
      <c r="F114" s="3045" t="s">
        <v>3627</v>
      </c>
      <c r="G114" s="3045" t="s">
        <v>3629</v>
      </c>
      <c r="H114" s="3045" t="s">
        <v>3631</v>
      </c>
      <c r="I114" s="3045" t="s">
        <v>3633</v>
      </c>
      <c r="J114" s="3045" t="s">
        <v>3635</v>
      </c>
      <c r="K114" s="3045" t="s">
        <v>3637</v>
      </c>
      <c r="L114" s="3045" t="s">
        <v>3639</v>
      </c>
      <c r="M114" s="3045" t="s">
        <v>3641</v>
      </c>
      <c r="N114" s="3045" t="s">
        <v>3643</v>
      </c>
      <c r="O114" s="3045" t="s">
        <v>3645</v>
      </c>
      <c r="P114" s="3045" t="s">
        <v>3716</v>
      </c>
      <c r="Q114" s="3045" t="s">
        <v>3717</v>
      </c>
      <c r="R114" s="3046" t="str">
        <f t="shared" ref="R114:AF114" si="9">C114&amp;"a"</f>
        <v>Z1a</v>
      </c>
      <c r="S114" s="3046" t="str">
        <f t="shared" si="9"/>
        <v>Z1p1a</v>
      </c>
      <c r="T114" s="3046" t="str">
        <f t="shared" si="9"/>
        <v>Z2a</v>
      </c>
      <c r="U114" s="3046" t="str">
        <f t="shared" si="9"/>
        <v>Z3a</v>
      </c>
      <c r="V114" s="3046" t="str">
        <f t="shared" si="9"/>
        <v>Z4a</v>
      </c>
      <c r="W114" s="3046" t="str">
        <f t="shared" si="9"/>
        <v>Z5a</v>
      </c>
      <c r="X114" s="3046" t="str">
        <f t="shared" si="9"/>
        <v>Z6a</v>
      </c>
      <c r="Y114" s="3046" t="str">
        <f t="shared" si="9"/>
        <v>Z7a</v>
      </c>
      <c r="Z114" s="3046" t="str">
        <f t="shared" si="9"/>
        <v>Z8a</v>
      </c>
      <c r="AA114" s="3046" t="str">
        <f t="shared" si="9"/>
        <v>Z9a</v>
      </c>
      <c r="AB114" s="3046" t="str">
        <f t="shared" si="9"/>
        <v>Z10a</v>
      </c>
      <c r="AC114" s="3046" t="str">
        <f t="shared" si="9"/>
        <v>Z11a</v>
      </c>
      <c r="AD114" s="3046" t="str">
        <f t="shared" si="9"/>
        <v>Z12a</v>
      </c>
      <c r="AE114" s="3046" t="str">
        <f t="shared" si="9"/>
        <v>Z13a</v>
      </c>
      <c r="AF114" s="3046" t="str">
        <f t="shared" si="9"/>
        <v>Z14a</v>
      </c>
    </row>
    <row r="115" spans="1:32">
      <c r="A115" s="3043">
        <v>200</v>
      </c>
      <c r="B115" s="3060">
        <v>1</v>
      </c>
      <c r="C115" s="3052">
        <v>1</v>
      </c>
      <c r="D115" s="3052">
        <v>1</v>
      </c>
      <c r="E115" s="3052">
        <v>1</v>
      </c>
      <c r="F115" s="3052">
        <v>1</v>
      </c>
      <c r="G115" s="3052">
        <v>1</v>
      </c>
      <c r="H115" s="3052">
        <v>1</v>
      </c>
      <c r="I115" s="3052">
        <v>1</v>
      </c>
      <c r="J115" s="3052">
        <v>1</v>
      </c>
      <c r="K115" s="3052">
        <v>1</v>
      </c>
      <c r="L115" s="3052">
        <v>1</v>
      </c>
      <c r="M115" s="3052">
        <v>1</v>
      </c>
      <c r="N115" s="3052">
        <v>1</v>
      </c>
      <c r="O115" s="3052">
        <v>1</v>
      </c>
      <c r="P115" s="3052">
        <v>1</v>
      </c>
      <c r="Q115" s="3052">
        <v>1</v>
      </c>
      <c r="R115" s="3053">
        <f t="shared" ref="R115:AF115" si="10">C115</f>
        <v>1</v>
      </c>
      <c r="S115" s="3053">
        <f t="shared" si="10"/>
        <v>1</v>
      </c>
      <c r="T115" s="3053">
        <f t="shared" si="10"/>
        <v>1</v>
      </c>
      <c r="U115" s="3053">
        <f t="shared" si="10"/>
        <v>1</v>
      </c>
      <c r="V115" s="3053">
        <f t="shared" si="10"/>
        <v>1</v>
      </c>
      <c r="W115" s="3053">
        <f t="shared" si="10"/>
        <v>1</v>
      </c>
      <c r="X115" s="3053">
        <f t="shared" si="10"/>
        <v>1</v>
      </c>
      <c r="Y115" s="3053">
        <f t="shared" si="10"/>
        <v>1</v>
      </c>
      <c r="Z115" s="3053">
        <f t="shared" si="10"/>
        <v>1</v>
      </c>
      <c r="AA115" s="3053">
        <f t="shared" si="10"/>
        <v>1</v>
      </c>
      <c r="AB115" s="3053">
        <f t="shared" si="10"/>
        <v>1</v>
      </c>
      <c r="AC115" s="3053">
        <f t="shared" si="10"/>
        <v>1</v>
      </c>
      <c r="AD115" s="3053">
        <f t="shared" si="10"/>
        <v>1</v>
      </c>
      <c r="AE115" s="3053">
        <f t="shared" si="10"/>
        <v>1</v>
      </c>
      <c r="AF115" s="3053">
        <f t="shared" si="10"/>
        <v>1</v>
      </c>
    </row>
    <row r="116" spans="1:32">
      <c r="A116" s="3043">
        <v>200</v>
      </c>
      <c r="B116" s="3060">
        <v>2</v>
      </c>
      <c r="C116" s="3052">
        <v>0</v>
      </c>
      <c r="D116" s="3052">
        <v>0</v>
      </c>
      <c r="E116" s="3052">
        <v>0</v>
      </c>
      <c r="F116" s="3052">
        <v>0</v>
      </c>
      <c r="G116" s="3052">
        <v>0</v>
      </c>
      <c r="H116" s="3052">
        <v>0</v>
      </c>
      <c r="I116" s="3052">
        <v>0</v>
      </c>
      <c r="J116" s="3052">
        <v>0</v>
      </c>
      <c r="K116" s="3052">
        <v>0</v>
      </c>
      <c r="L116" s="3052">
        <v>0</v>
      </c>
      <c r="M116" s="3052">
        <v>0</v>
      </c>
      <c r="N116" s="3052">
        <v>0</v>
      </c>
      <c r="O116" s="3052">
        <v>0</v>
      </c>
      <c r="P116" s="3052">
        <v>0</v>
      </c>
      <c r="Q116" s="3052">
        <v>0</v>
      </c>
      <c r="R116" s="3053">
        <f t="shared" ref="R116:AF131" si="11">C116+R115</f>
        <v>1</v>
      </c>
      <c r="S116" s="3053">
        <f t="shared" si="11"/>
        <v>1</v>
      </c>
      <c r="T116" s="3053">
        <f t="shared" si="11"/>
        <v>1</v>
      </c>
      <c r="U116" s="3053">
        <f t="shared" si="11"/>
        <v>1</v>
      </c>
      <c r="V116" s="3053">
        <f t="shared" si="11"/>
        <v>1</v>
      </c>
      <c r="W116" s="3053">
        <f t="shared" si="11"/>
        <v>1</v>
      </c>
      <c r="X116" s="3053">
        <f t="shared" si="11"/>
        <v>1</v>
      </c>
      <c r="Y116" s="3053">
        <f t="shared" si="11"/>
        <v>1</v>
      </c>
      <c r="Z116" s="3053">
        <f t="shared" si="11"/>
        <v>1</v>
      </c>
      <c r="AA116" s="3053">
        <f t="shared" si="11"/>
        <v>1</v>
      </c>
      <c r="AB116" s="3053">
        <f t="shared" si="11"/>
        <v>1</v>
      </c>
      <c r="AC116" s="3053">
        <f t="shared" si="11"/>
        <v>1</v>
      </c>
      <c r="AD116" s="3053">
        <f t="shared" si="11"/>
        <v>1</v>
      </c>
      <c r="AE116" s="3053">
        <f t="shared" si="11"/>
        <v>1</v>
      </c>
      <c r="AF116" s="3053">
        <f t="shared" si="11"/>
        <v>1</v>
      </c>
    </row>
    <row r="117" spans="1:32">
      <c r="A117" s="3043">
        <v>200</v>
      </c>
      <c r="B117" s="3060">
        <v>3</v>
      </c>
      <c r="C117" s="3052">
        <v>0</v>
      </c>
      <c r="D117" s="3052">
        <v>0</v>
      </c>
      <c r="E117" s="3052">
        <v>0</v>
      </c>
      <c r="F117" s="3052">
        <v>0</v>
      </c>
      <c r="G117" s="3052">
        <v>0</v>
      </c>
      <c r="H117" s="3052">
        <v>0</v>
      </c>
      <c r="I117" s="3052">
        <v>0</v>
      </c>
      <c r="J117" s="3052">
        <v>0</v>
      </c>
      <c r="K117" s="3052">
        <v>0</v>
      </c>
      <c r="L117" s="3052">
        <v>0</v>
      </c>
      <c r="M117" s="3052">
        <v>0</v>
      </c>
      <c r="N117" s="3052">
        <v>0</v>
      </c>
      <c r="O117" s="3052">
        <v>0</v>
      </c>
      <c r="P117" s="3052">
        <v>0</v>
      </c>
      <c r="Q117" s="3052">
        <v>0</v>
      </c>
      <c r="R117" s="3053">
        <f t="shared" si="11"/>
        <v>1</v>
      </c>
      <c r="S117" s="3053">
        <f t="shared" si="11"/>
        <v>1</v>
      </c>
      <c r="T117" s="3053">
        <f t="shared" si="11"/>
        <v>1</v>
      </c>
      <c r="U117" s="3053">
        <f t="shared" si="11"/>
        <v>1</v>
      </c>
      <c r="V117" s="3053">
        <f t="shared" si="11"/>
        <v>1</v>
      </c>
      <c r="W117" s="3053">
        <f t="shared" si="11"/>
        <v>1</v>
      </c>
      <c r="X117" s="3053">
        <f t="shared" si="11"/>
        <v>1</v>
      </c>
      <c r="Y117" s="3053">
        <f t="shared" si="11"/>
        <v>1</v>
      </c>
      <c r="Z117" s="3053">
        <f t="shared" si="11"/>
        <v>1</v>
      </c>
      <c r="AA117" s="3053">
        <f t="shared" si="11"/>
        <v>1</v>
      </c>
      <c r="AB117" s="3053">
        <f t="shared" si="11"/>
        <v>1</v>
      </c>
      <c r="AC117" s="3053">
        <f t="shared" si="11"/>
        <v>1</v>
      </c>
      <c r="AD117" s="3053">
        <f t="shared" si="11"/>
        <v>1</v>
      </c>
      <c r="AE117" s="3053">
        <f t="shared" si="11"/>
        <v>1</v>
      </c>
      <c r="AF117" s="3053">
        <f t="shared" si="11"/>
        <v>1</v>
      </c>
    </row>
    <row r="118" spans="1:32">
      <c r="A118" s="3043">
        <v>200</v>
      </c>
      <c r="B118" s="3060">
        <v>4</v>
      </c>
      <c r="C118" s="3052">
        <v>0</v>
      </c>
      <c r="D118" s="3052">
        <v>0</v>
      </c>
      <c r="E118" s="3052">
        <v>0</v>
      </c>
      <c r="F118" s="3052">
        <v>0</v>
      </c>
      <c r="G118" s="3052">
        <v>0</v>
      </c>
      <c r="H118" s="3052">
        <v>0</v>
      </c>
      <c r="I118" s="3052">
        <v>0</v>
      </c>
      <c r="J118" s="3052">
        <v>0</v>
      </c>
      <c r="K118" s="3052">
        <v>0</v>
      </c>
      <c r="L118" s="3052">
        <v>0</v>
      </c>
      <c r="M118" s="3052">
        <v>0</v>
      </c>
      <c r="N118" s="3052">
        <v>0</v>
      </c>
      <c r="O118" s="3052">
        <v>0</v>
      </c>
      <c r="P118" s="3052">
        <v>0</v>
      </c>
      <c r="Q118" s="3052">
        <v>0</v>
      </c>
      <c r="R118" s="3053">
        <f t="shared" si="11"/>
        <v>1</v>
      </c>
      <c r="S118" s="3053">
        <f t="shared" si="11"/>
        <v>1</v>
      </c>
      <c r="T118" s="3053">
        <f t="shared" si="11"/>
        <v>1</v>
      </c>
      <c r="U118" s="3053">
        <f t="shared" si="11"/>
        <v>1</v>
      </c>
      <c r="V118" s="3053">
        <f t="shared" si="11"/>
        <v>1</v>
      </c>
      <c r="W118" s="3053">
        <f t="shared" si="11"/>
        <v>1</v>
      </c>
      <c r="X118" s="3053">
        <f t="shared" si="11"/>
        <v>1</v>
      </c>
      <c r="Y118" s="3053">
        <f t="shared" si="11"/>
        <v>1</v>
      </c>
      <c r="Z118" s="3053">
        <f t="shared" si="11"/>
        <v>1</v>
      </c>
      <c r="AA118" s="3053">
        <f t="shared" si="11"/>
        <v>1</v>
      </c>
      <c r="AB118" s="3053">
        <f t="shared" si="11"/>
        <v>1</v>
      </c>
      <c r="AC118" s="3053">
        <f t="shared" si="11"/>
        <v>1</v>
      </c>
      <c r="AD118" s="3053">
        <f t="shared" si="11"/>
        <v>1</v>
      </c>
      <c r="AE118" s="3053">
        <f>P118+AE117</f>
        <v>1</v>
      </c>
      <c r="AF118" s="3053">
        <f t="shared" si="11"/>
        <v>1</v>
      </c>
    </row>
    <row r="119" spans="1:32">
      <c r="A119" s="3043">
        <v>200</v>
      </c>
      <c r="B119" s="3060">
        <v>5</v>
      </c>
      <c r="C119" s="3052">
        <v>0</v>
      </c>
      <c r="D119" s="3052">
        <v>0</v>
      </c>
      <c r="E119" s="3052">
        <v>0</v>
      </c>
      <c r="F119" s="3052">
        <v>0</v>
      </c>
      <c r="G119" s="3052">
        <v>0</v>
      </c>
      <c r="H119" s="3052">
        <v>0</v>
      </c>
      <c r="I119" s="3052">
        <v>0</v>
      </c>
      <c r="J119" s="3052">
        <v>0</v>
      </c>
      <c r="K119" s="3052">
        <v>0</v>
      </c>
      <c r="L119" s="3052">
        <v>0</v>
      </c>
      <c r="M119" s="3052">
        <v>0</v>
      </c>
      <c r="N119" s="3052">
        <v>0</v>
      </c>
      <c r="O119" s="3052">
        <v>0</v>
      </c>
      <c r="P119" s="3052">
        <v>0</v>
      </c>
      <c r="Q119" s="3052">
        <v>0</v>
      </c>
      <c r="R119" s="3053">
        <f t="shared" si="11"/>
        <v>1</v>
      </c>
      <c r="S119" s="3053">
        <f t="shared" si="11"/>
        <v>1</v>
      </c>
      <c r="T119" s="3053">
        <f t="shared" si="11"/>
        <v>1</v>
      </c>
      <c r="U119" s="3053">
        <f t="shared" si="11"/>
        <v>1</v>
      </c>
      <c r="V119" s="3053">
        <f t="shared" si="11"/>
        <v>1</v>
      </c>
      <c r="W119" s="3053">
        <f t="shared" si="11"/>
        <v>1</v>
      </c>
      <c r="X119" s="3053">
        <f t="shared" si="11"/>
        <v>1</v>
      </c>
      <c r="Y119" s="3053">
        <f t="shared" si="11"/>
        <v>1</v>
      </c>
      <c r="Z119" s="3053">
        <f t="shared" si="11"/>
        <v>1</v>
      </c>
      <c r="AA119" s="3053">
        <f t="shared" si="11"/>
        <v>1</v>
      </c>
      <c r="AB119" s="3053">
        <f t="shared" si="11"/>
        <v>1</v>
      </c>
      <c r="AC119" s="3053">
        <f t="shared" si="11"/>
        <v>1</v>
      </c>
      <c r="AD119" s="3053">
        <f t="shared" si="11"/>
        <v>1</v>
      </c>
      <c r="AE119" s="3053">
        <f t="shared" si="11"/>
        <v>1</v>
      </c>
      <c r="AF119" s="3053">
        <f t="shared" si="11"/>
        <v>1</v>
      </c>
    </row>
    <row r="120" spans="1:32">
      <c r="A120" s="3043">
        <v>200</v>
      </c>
      <c r="B120" s="3060">
        <v>6</v>
      </c>
      <c r="C120" s="3052">
        <v>0</v>
      </c>
      <c r="D120" s="3052">
        <v>0</v>
      </c>
      <c r="E120" s="3052">
        <v>0</v>
      </c>
      <c r="F120" s="3052">
        <v>0</v>
      </c>
      <c r="G120" s="3052">
        <v>0</v>
      </c>
      <c r="H120" s="3052">
        <v>0</v>
      </c>
      <c r="I120" s="3052">
        <v>0</v>
      </c>
      <c r="J120" s="3052">
        <v>0</v>
      </c>
      <c r="K120" s="3052">
        <v>0</v>
      </c>
      <c r="L120" s="3052">
        <v>0</v>
      </c>
      <c r="M120" s="3052">
        <v>0</v>
      </c>
      <c r="N120" s="3052">
        <v>0</v>
      </c>
      <c r="O120" s="3052">
        <v>0</v>
      </c>
      <c r="P120" s="3052">
        <v>0</v>
      </c>
      <c r="Q120" s="3052">
        <v>0</v>
      </c>
      <c r="R120" s="3053">
        <f t="shared" si="11"/>
        <v>1</v>
      </c>
      <c r="S120" s="3053">
        <f t="shared" si="11"/>
        <v>1</v>
      </c>
      <c r="T120" s="3053">
        <f t="shared" si="11"/>
        <v>1</v>
      </c>
      <c r="U120" s="3053">
        <f t="shared" si="11"/>
        <v>1</v>
      </c>
      <c r="V120" s="3053">
        <f t="shared" si="11"/>
        <v>1</v>
      </c>
      <c r="W120" s="3053">
        <f t="shared" si="11"/>
        <v>1</v>
      </c>
      <c r="X120" s="3053">
        <f t="shared" si="11"/>
        <v>1</v>
      </c>
      <c r="Y120" s="3053">
        <f t="shared" si="11"/>
        <v>1</v>
      </c>
      <c r="Z120" s="3053">
        <f t="shared" si="11"/>
        <v>1</v>
      </c>
      <c r="AA120" s="3053">
        <f t="shared" si="11"/>
        <v>1</v>
      </c>
      <c r="AB120" s="3053">
        <f t="shared" si="11"/>
        <v>1</v>
      </c>
      <c r="AC120" s="3053">
        <f t="shared" si="11"/>
        <v>1</v>
      </c>
      <c r="AD120" s="3053">
        <f t="shared" si="11"/>
        <v>1</v>
      </c>
      <c r="AE120" s="3053">
        <f t="shared" si="11"/>
        <v>1</v>
      </c>
      <c r="AF120" s="3053">
        <f t="shared" si="11"/>
        <v>1</v>
      </c>
    </row>
    <row r="121" spans="1:32">
      <c r="A121" s="3043">
        <v>200</v>
      </c>
      <c r="B121" s="3060">
        <v>7</v>
      </c>
      <c r="C121" s="3052">
        <v>0</v>
      </c>
      <c r="D121" s="3052">
        <v>0</v>
      </c>
      <c r="E121" s="3052">
        <v>0</v>
      </c>
      <c r="F121" s="3052">
        <v>0</v>
      </c>
      <c r="G121" s="3052">
        <v>0</v>
      </c>
      <c r="H121" s="3052">
        <v>0</v>
      </c>
      <c r="I121" s="3052">
        <v>0</v>
      </c>
      <c r="J121" s="3052">
        <v>0</v>
      </c>
      <c r="K121" s="3052">
        <v>0</v>
      </c>
      <c r="L121" s="3052">
        <v>0</v>
      </c>
      <c r="M121" s="3052">
        <v>0</v>
      </c>
      <c r="N121" s="3052">
        <v>0</v>
      </c>
      <c r="O121" s="3052">
        <v>0</v>
      </c>
      <c r="P121" s="3052">
        <v>0</v>
      </c>
      <c r="Q121" s="3052">
        <v>0</v>
      </c>
      <c r="R121" s="3053">
        <f t="shared" si="11"/>
        <v>1</v>
      </c>
      <c r="S121" s="3053">
        <f t="shared" si="11"/>
        <v>1</v>
      </c>
      <c r="T121" s="3053">
        <f t="shared" si="11"/>
        <v>1</v>
      </c>
      <c r="U121" s="3053">
        <f t="shared" si="11"/>
        <v>1</v>
      </c>
      <c r="V121" s="3053">
        <f t="shared" si="11"/>
        <v>1</v>
      </c>
      <c r="W121" s="3053">
        <f t="shared" si="11"/>
        <v>1</v>
      </c>
      <c r="X121" s="3053">
        <f t="shared" si="11"/>
        <v>1</v>
      </c>
      <c r="Y121" s="3053">
        <f t="shared" si="11"/>
        <v>1</v>
      </c>
      <c r="Z121" s="3053">
        <f t="shared" si="11"/>
        <v>1</v>
      </c>
      <c r="AA121" s="3053">
        <f t="shared" si="11"/>
        <v>1</v>
      </c>
      <c r="AB121" s="3053">
        <f t="shared" si="11"/>
        <v>1</v>
      </c>
      <c r="AC121" s="3053">
        <f t="shared" si="11"/>
        <v>1</v>
      </c>
      <c r="AD121" s="3053">
        <f t="shared" si="11"/>
        <v>1</v>
      </c>
      <c r="AE121" s="3053">
        <f t="shared" si="11"/>
        <v>1</v>
      </c>
      <c r="AF121" s="3053">
        <f t="shared" si="11"/>
        <v>1</v>
      </c>
    </row>
    <row r="122" spans="1:32">
      <c r="A122" s="3043">
        <v>200</v>
      </c>
      <c r="B122" s="3060">
        <v>8</v>
      </c>
      <c r="C122" s="3052">
        <v>0</v>
      </c>
      <c r="D122" s="3052">
        <v>0</v>
      </c>
      <c r="E122" s="3052">
        <v>0</v>
      </c>
      <c r="F122" s="3052">
        <v>0</v>
      </c>
      <c r="G122" s="3052">
        <v>0</v>
      </c>
      <c r="H122" s="3052">
        <v>0</v>
      </c>
      <c r="I122" s="3052">
        <v>0</v>
      </c>
      <c r="J122" s="3052">
        <v>0</v>
      </c>
      <c r="K122" s="3052">
        <v>0</v>
      </c>
      <c r="L122" s="3052">
        <v>0</v>
      </c>
      <c r="M122" s="3052">
        <v>0</v>
      </c>
      <c r="N122" s="3052">
        <v>0</v>
      </c>
      <c r="O122" s="3052">
        <v>0</v>
      </c>
      <c r="P122" s="3052">
        <v>0</v>
      </c>
      <c r="Q122" s="3052">
        <v>0</v>
      </c>
      <c r="R122" s="3053">
        <f t="shared" si="11"/>
        <v>1</v>
      </c>
      <c r="S122" s="3053">
        <f t="shared" si="11"/>
        <v>1</v>
      </c>
      <c r="T122" s="3053">
        <f t="shared" si="11"/>
        <v>1</v>
      </c>
      <c r="U122" s="3053">
        <f t="shared" si="11"/>
        <v>1</v>
      </c>
      <c r="V122" s="3053">
        <f t="shared" si="11"/>
        <v>1</v>
      </c>
      <c r="W122" s="3053">
        <f t="shared" si="11"/>
        <v>1</v>
      </c>
      <c r="X122" s="3053">
        <f t="shared" si="11"/>
        <v>1</v>
      </c>
      <c r="Y122" s="3053">
        <f t="shared" si="11"/>
        <v>1</v>
      </c>
      <c r="Z122" s="3053">
        <f t="shared" si="11"/>
        <v>1</v>
      </c>
      <c r="AA122" s="3053">
        <f t="shared" si="11"/>
        <v>1</v>
      </c>
      <c r="AB122" s="3053">
        <f t="shared" si="11"/>
        <v>1</v>
      </c>
      <c r="AC122" s="3053">
        <f t="shared" si="11"/>
        <v>1</v>
      </c>
      <c r="AD122" s="3053">
        <f t="shared" si="11"/>
        <v>1</v>
      </c>
      <c r="AE122" s="3053">
        <f t="shared" si="11"/>
        <v>1</v>
      </c>
      <c r="AF122" s="3053">
        <f t="shared" si="11"/>
        <v>1</v>
      </c>
    </row>
    <row r="123" spans="1:32">
      <c r="A123" s="3043">
        <v>200</v>
      </c>
      <c r="B123" s="3060">
        <v>9</v>
      </c>
      <c r="C123" s="3052">
        <v>0</v>
      </c>
      <c r="D123" s="3052">
        <v>0</v>
      </c>
      <c r="E123" s="3052">
        <v>0</v>
      </c>
      <c r="F123" s="3052">
        <v>0</v>
      </c>
      <c r="G123" s="3052">
        <v>0</v>
      </c>
      <c r="H123" s="3052">
        <v>0</v>
      </c>
      <c r="I123" s="3052">
        <v>0</v>
      </c>
      <c r="J123" s="3052">
        <v>0</v>
      </c>
      <c r="K123" s="3052">
        <v>0</v>
      </c>
      <c r="L123" s="3052">
        <v>0</v>
      </c>
      <c r="M123" s="3052">
        <v>0</v>
      </c>
      <c r="N123" s="3052">
        <v>0</v>
      </c>
      <c r="O123" s="3052">
        <v>0</v>
      </c>
      <c r="P123" s="3052">
        <v>0</v>
      </c>
      <c r="Q123" s="3052">
        <v>0</v>
      </c>
      <c r="R123" s="3053">
        <f t="shared" si="11"/>
        <v>1</v>
      </c>
      <c r="S123" s="3053">
        <f t="shared" si="11"/>
        <v>1</v>
      </c>
      <c r="T123" s="3053">
        <f t="shared" si="11"/>
        <v>1</v>
      </c>
      <c r="U123" s="3053">
        <f t="shared" si="11"/>
        <v>1</v>
      </c>
      <c r="V123" s="3053">
        <f t="shared" si="11"/>
        <v>1</v>
      </c>
      <c r="W123" s="3053">
        <f t="shared" si="11"/>
        <v>1</v>
      </c>
      <c r="X123" s="3053">
        <f t="shared" si="11"/>
        <v>1</v>
      </c>
      <c r="Y123" s="3053">
        <f t="shared" si="11"/>
        <v>1</v>
      </c>
      <c r="Z123" s="3053">
        <f t="shared" si="11"/>
        <v>1</v>
      </c>
      <c r="AA123" s="3053">
        <f t="shared" si="11"/>
        <v>1</v>
      </c>
      <c r="AB123" s="3053">
        <f t="shared" si="11"/>
        <v>1</v>
      </c>
      <c r="AC123" s="3053">
        <f t="shared" si="11"/>
        <v>1</v>
      </c>
      <c r="AD123" s="3053">
        <f t="shared" si="11"/>
        <v>1</v>
      </c>
      <c r="AE123" s="3053">
        <f t="shared" si="11"/>
        <v>1</v>
      </c>
      <c r="AF123" s="3053">
        <f t="shared" si="11"/>
        <v>1</v>
      </c>
    </row>
    <row r="124" spans="1:32">
      <c r="A124" s="3043">
        <v>200</v>
      </c>
      <c r="B124" s="3060">
        <v>10</v>
      </c>
      <c r="C124" s="3052">
        <v>0</v>
      </c>
      <c r="D124" s="3052">
        <v>0</v>
      </c>
      <c r="E124" s="3052">
        <v>0</v>
      </c>
      <c r="F124" s="3052">
        <v>0</v>
      </c>
      <c r="G124" s="3052">
        <v>0</v>
      </c>
      <c r="H124" s="3052">
        <v>0</v>
      </c>
      <c r="I124" s="3052">
        <v>0</v>
      </c>
      <c r="J124" s="3052">
        <v>0</v>
      </c>
      <c r="K124" s="3052">
        <v>0</v>
      </c>
      <c r="L124" s="3052">
        <v>0</v>
      </c>
      <c r="M124" s="3052">
        <v>0</v>
      </c>
      <c r="N124" s="3052">
        <v>0</v>
      </c>
      <c r="O124" s="3052">
        <v>0</v>
      </c>
      <c r="P124" s="3052">
        <v>0</v>
      </c>
      <c r="Q124" s="3052">
        <v>0</v>
      </c>
      <c r="R124" s="3053">
        <f t="shared" si="11"/>
        <v>1</v>
      </c>
      <c r="S124" s="3053">
        <f t="shared" si="11"/>
        <v>1</v>
      </c>
      <c r="T124" s="3053">
        <f t="shared" si="11"/>
        <v>1</v>
      </c>
      <c r="U124" s="3053">
        <f t="shared" si="11"/>
        <v>1</v>
      </c>
      <c r="V124" s="3053">
        <f t="shared" si="11"/>
        <v>1</v>
      </c>
      <c r="W124" s="3053">
        <f t="shared" si="11"/>
        <v>1</v>
      </c>
      <c r="X124" s="3053">
        <f t="shared" si="11"/>
        <v>1</v>
      </c>
      <c r="Y124" s="3053">
        <f t="shared" si="11"/>
        <v>1</v>
      </c>
      <c r="Z124" s="3053">
        <f t="shared" si="11"/>
        <v>1</v>
      </c>
      <c r="AA124" s="3053">
        <f t="shared" si="11"/>
        <v>1</v>
      </c>
      <c r="AB124" s="3053">
        <f t="shared" si="11"/>
        <v>1</v>
      </c>
      <c r="AC124" s="3053">
        <f t="shared" si="11"/>
        <v>1</v>
      </c>
      <c r="AD124" s="3053">
        <f t="shared" si="11"/>
        <v>1</v>
      </c>
      <c r="AE124" s="3053">
        <f t="shared" si="11"/>
        <v>1</v>
      </c>
      <c r="AF124" s="3053">
        <f t="shared" si="11"/>
        <v>1</v>
      </c>
    </row>
    <row r="125" spans="1:32">
      <c r="A125" s="3043">
        <v>200</v>
      </c>
      <c r="B125" s="3060">
        <v>11</v>
      </c>
      <c r="C125" s="3052">
        <v>0</v>
      </c>
      <c r="D125" s="3052">
        <v>0</v>
      </c>
      <c r="E125" s="3052">
        <v>0</v>
      </c>
      <c r="F125" s="3052">
        <v>0</v>
      </c>
      <c r="G125" s="3052">
        <v>0</v>
      </c>
      <c r="H125" s="3052">
        <v>0</v>
      </c>
      <c r="I125" s="3052">
        <v>0</v>
      </c>
      <c r="J125" s="3052">
        <v>0</v>
      </c>
      <c r="K125" s="3052">
        <v>0</v>
      </c>
      <c r="L125" s="3052">
        <v>0</v>
      </c>
      <c r="M125" s="3052">
        <v>0</v>
      </c>
      <c r="N125" s="3052">
        <v>0</v>
      </c>
      <c r="O125" s="3052">
        <v>0</v>
      </c>
      <c r="P125" s="3052">
        <v>0</v>
      </c>
      <c r="Q125" s="3052">
        <v>0</v>
      </c>
      <c r="R125" s="3053">
        <f t="shared" si="11"/>
        <v>1</v>
      </c>
      <c r="S125" s="3053">
        <f t="shared" si="11"/>
        <v>1</v>
      </c>
      <c r="T125" s="3053">
        <f t="shared" si="11"/>
        <v>1</v>
      </c>
      <c r="U125" s="3053">
        <f t="shared" si="11"/>
        <v>1</v>
      </c>
      <c r="V125" s="3053">
        <f t="shared" si="11"/>
        <v>1</v>
      </c>
      <c r="W125" s="3053">
        <f t="shared" si="11"/>
        <v>1</v>
      </c>
      <c r="X125" s="3053">
        <f t="shared" si="11"/>
        <v>1</v>
      </c>
      <c r="Y125" s="3053">
        <f t="shared" si="11"/>
        <v>1</v>
      </c>
      <c r="Z125" s="3053">
        <f t="shared" si="11"/>
        <v>1</v>
      </c>
      <c r="AA125" s="3053">
        <f t="shared" si="11"/>
        <v>1</v>
      </c>
      <c r="AB125" s="3053">
        <f t="shared" si="11"/>
        <v>1</v>
      </c>
      <c r="AC125" s="3053">
        <f t="shared" si="11"/>
        <v>1</v>
      </c>
      <c r="AD125" s="3053">
        <f t="shared" si="11"/>
        <v>1</v>
      </c>
      <c r="AE125" s="3053">
        <f t="shared" si="11"/>
        <v>1</v>
      </c>
      <c r="AF125" s="3053">
        <f t="shared" si="11"/>
        <v>1</v>
      </c>
    </row>
    <row r="126" spans="1:32">
      <c r="A126" s="3043">
        <v>200</v>
      </c>
      <c r="B126" s="3060">
        <v>12</v>
      </c>
      <c r="C126" s="3052">
        <v>0</v>
      </c>
      <c r="D126" s="3052">
        <v>0</v>
      </c>
      <c r="E126" s="3052">
        <v>0</v>
      </c>
      <c r="F126" s="3052">
        <v>0</v>
      </c>
      <c r="G126" s="3052">
        <v>0</v>
      </c>
      <c r="H126" s="3052">
        <v>0</v>
      </c>
      <c r="I126" s="3052">
        <v>0</v>
      </c>
      <c r="J126" s="3052">
        <v>0</v>
      </c>
      <c r="K126" s="3052">
        <v>0</v>
      </c>
      <c r="L126" s="3052">
        <v>0</v>
      </c>
      <c r="M126" s="3052">
        <v>0</v>
      </c>
      <c r="N126" s="3052">
        <v>0</v>
      </c>
      <c r="O126" s="3052">
        <v>0</v>
      </c>
      <c r="P126" s="3052">
        <v>0</v>
      </c>
      <c r="Q126" s="3052">
        <v>0</v>
      </c>
      <c r="R126" s="3053">
        <f t="shared" si="11"/>
        <v>1</v>
      </c>
      <c r="S126" s="3053">
        <f t="shared" si="11"/>
        <v>1</v>
      </c>
      <c r="T126" s="3053">
        <f t="shared" si="11"/>
        <v>1</v>
      </c>
      <c r="U126" s="3053">
        <f t="shared" si="11"/>
        <v>1</v>
      </c>
      <c r="V126" s="3053">
        <f t="shared" si="11"/>
        <v>1</v>
      </c>
      <c r="W126" s="3053">
        <f t="shared" si="11"/>
        <v>1</v>
      </c>
      <c r="X126" s="3053">
        <f t="shared" si="11"/>
        <v>1</v>
      </c>
      <c r="Y126" s="3053">
        <f t="shared" si="11"/>
        <v>1</v>
      </c>
      <c r="Z126" s="3053">
        <f t="shared" si="11"/>
        <v>1</v>
      </c>
      <c r="AA126" s="3053">
        <f t="shared" si="11"/>
        <v>1</v>
      </c>
      <c r="AB126" s="3053">
        <f t="shared" si="11"/>
        <v>1</v>
      </c>
      <c r="AC126" s="3053">
        <f t="shared" si="11"/>
        <v>1</v>
      </c>
      <c r="AD126" s="3053">
        <f t="shared" si="11"/>
        <v>1</v>
      </c>
      <c r="AE126" s="3053">
        <f t="shared" si="11"/>
        <v>1</v>
      </c>
      <c r="AF126" s="3053">
        <f t="shared" si="11"/>
        <v>1</v>
      </c>
    </row>
    <row r="127" spans="1:32">
      <c r="A127" s="3043">
        <v>200</v>
      </c>
      <c r="B127" s="3060">
        <v>13</v>
      </c>
      <c r="C127" s="3052">
        <v>0</v>
      </c>
      <c r="D127" s="3052">
        <v>0</v>
      </c>
      <c r="E127" s="3052">
        <v>0</v>
      </c>
      <c r="F127" s="3052">
        <v>0</v>
      </c>
      <c r="G127" s="3052">
        <v>0</v>
      </c>
      <c r="H127" s="3052">
        <v>0</v>
      </c>
      <c r="I127" s="3052">
        <v>0</v>
      </c>
      <c r="J127" s="3052">
        <v>0</v>
      </c>
      <c r="K127" s="3052">
        <v>0</v>
      </c>
      <c r="L127" s="3052">
        <v>0</v>
      </c>
      <c r="M127" s="3052">
        <v>0</v>
      </c>
      <c r="N127" s="3052">
        <v>0</v>
      </c>
      <c r="O127" s="3052">
        <v>0</v>
      </c>
      <c r="P127" s="3052">
        <v>0</v>
      </c>
      <c r="Q127" s="3052">
        <v>0</v>
      </c>
      <c r="R127" s="3053">
        <f t="shared" si="11"/>
        <v>1</v>
      </c>
      <c r="S127" s="3053">
        <f t="shared" si="11"/>
        <v>1</v>
      </c>
      <c r="T127" s="3053">
        <f t="shared" si="11"/>
        <v>1</v>
      </c>
      <c r="U127" s="3053">
        <f t="shared" si="11"/>
        <v>1</v>
      </c>
      <c r="V127" s="3053">
        <f t="shared" si="11"/>
        <v>1</v>
      </c>
      <c r="W127" s="3053">
        <f t="shared" si="11"/>
        <v>1</v>
      </c>
      <c r="X127" s="3053">
        <f t="shared" si="11"/>
        <v>1</v>
      </c>
      <c r="Y127" s="3053">
        <f t="shared" si="11"/>
        <v>1</v>
      </c>
      <c r="Z127" s="3053">
        <f t="shared" si="11"/>
        <v>1</v>
      </c>
      <c r="AA127" s="3053">
        <f t="shared" si="11"/>
        <v>1</v>
      </c>
      <c r="AB127" s="3053">
        <f t="shared" si="11"/>
        <v>1</v>
      </c>
      <c r="AC127" s="3053">
        <f t="shared" si="11"/>
        <v>1</v>
      </c>
      <c r="AD127" s="3053">
        <f t="shared" si="11"/>
        <v>1</v>
      </c>
      <c r="AE127" s="3053">
        <f t="shared" si="11"/>
        <v>1</v>
      </c>
      <c r="AF127" s="3053">
        <f t="shared" si="11"/>
        <v>1</v>
      </c>
    </row>
    <row r="128" spans="1:32">
      <c r="A128" s="3043">
        <v>200</v>
      </c>
      <c r="B128" s="3060">
        <v>14</v>
      </c>
      <c r="C128" s="3052">
        <v>0</v>
      </c>
      <c r="D128" s="3052">
        <v>0</v>
      </c>
      <c r="E128" s="3052">
        <v>0</v>
      </c>
      <c r="F128" s="3052">
        <v>0</v>
      </c>
      <c r="G128" s="3052">
        <v>0</v>
      </c>
      <c r="H128" s="3052">
        <v>0</v>
      </c>
      <c r="I128" s="3052">
        <v>0</v>
      </c>
      <c r="J128" s="3052">
        <v>0</v>
      </c>
      <c r="K128" s="3052">
        <v>0</v>
      </c>
      <c r="L128" s="3052">
        <v>0</v>
      </c>
      <c r="M128" s="3052">
        <v>0</v>
      </c>
      <c r="N128" s="3052">
        <v>0</v>
      </c>
      <c r="O128" s="3052">
        <v>3.9050868734262408E-4</v>
      </c>
      <c r="P128" s="3052">
        <v>0</v>
      </c>
      <c r="Q128" s="3052">
        <v>0</v>
      </c>
      <c r="R128" s="3053">
        <f t="shared" si="11"/>
        <v>1</v>
      </c>
      <c r="S128" s="3053">
        <f t="shared" si="11"/>
        <v>1</v>
      </c>
      <c r="T128" s="3053">
        <f t="shared" si="11"/>
        <v>1</v>
      </c>
      <c r="U128" s="3053">
        <f t="shared" si="11"/>
        <v>1</v>
      </c>
      <c r="V128" s="3053">
        <f t="shared" si="11"/>
        <v>1</v>
      </c>
      <c r="W128" s="3053">
        <f t="shared" si="11"/>
        <v>1</v>
      </c>
      <c r="X128" s="3053">
        <f t="shared" si="11"/>
        <v>1</v>
      </c>
      <c r="Y128" s="3053">
        <f t="shared" si="11"/>
        <v>1</v>
      </c>
      <c r="Z128" s="3053">
        <f t="shared" si="11"/>
        <v>1</v>
      </c>
      <c r="AA128" s="3053">
        <f t="shared" si="11"/>
        <v>1</v>
      </c>
      <c r="AB128" s="3053">
        <f t="shared" si="11"/>
        <v>1</v>
      </c>
      <c r="AC128" s="3053">
        <f t="shared" si="11"/>
        <v>1</v>
      </c>
      <c r="AD128" s="3053">
        <f t="shared" si="11"/>
        <v>1.0003905086873426</v>
      </c>
      <c r="AE128" s="3053">
        <f t="shared" si="11"/>
        <v>1</v>
      </c>
      <c r="AF128" s="3053">
        <f t="shared" si="11"/>
        <v>1</v>
      </c>
    </row>
    <row r="129" spans="1:32">
      <c r="A129" s="3043">
        <v>200</v>
      </c>
      <c r="B129" s="3060">
        <v>15</v>
      </c>
      <c r="C129" s="3052">
        <v>0</v>
      </c>
      <c r="D129" s="3052">
        <v>0</v>
      </c>
      <c r="E129" s="3052">
        <v>0</v>
      </c>
      <c r="F129" s="3052">
        <v>0</v>
      </c>
      <c r="G129" s="3052">
        <v>0</v>
      </c>
      <c r="H129" s="3052">
        <v>0</v>
      </c>
      <c r="I129" s="3052">
        <v>0</v>
      </c>
      <c r="J129" s="3052">
        <v>0</v>
      </c>
      <c r="K129" s="3052">
        <v>0</v>
      </c>
      <c r="L129" s="3052">
        <v>0</v>
      </c>
      <c r="M129" s="3052">
        <v>0</v>
      </c>
      <c r="N129" s="3052">
        <v>0</v>
      </c>
      <c r="O129" s="3052">
        <v>0</v>
      </c>
      <c r="P129" s="3052">
        <v>0</v>
      </c>
      <c r="Q129" s="3052">
        <v>0</v>
      </c>
      <c r="R129" s="3053">
        <f t="shared" si="11"/>
        <v>1</v>
      </c>
      <c r="S129" s="3053">
        <f t="shared" si="11"/>
        <v>1</v>
      </c>
      <c r="T129" s="3053">
        <f t="shared" si="11"/>
        <v>1</v>
      </c>
      <c r="U129" s="3053">
        <f t="shared" si="11"/>
        <v>1</v>
      </c>
      <c r="V129" s="3053">
        <f t="shared" si="11"/>
        <v>1</v>
      </c>
      <c r="W129" s="3053">
        <f t="shared" si="11"/>
        <v>1</v>
      </c>
      <c r="X129" s="3053">
        <f t="shared" si="11"/>
        <v>1</v>
      </c>
      <c r="Y129" s="3053">
        <f t="shared" si="11"/>
        <v>1</v>
      </c>
      <c r="Z129" s="3053">
        <f t="shared" si="11"/>
        <v>1</v>
      </c>
      <c r="AA129" s="3053">
        <f t="shared" si="11"/>
        <v>1</v>
      </c>
      <c r="AB129" s="3053">
        <f t="shared" si="11"/>
        <v>1</v>
      </c>
      <c r="AC129" s="3053">
        <f t="shared" si="11"/>
        <v>1</v>
      </c>
      <c r="AD129" s="3053">
        <f t="shared" si="11"/>
        <v>1.0003905086873426</v>
      </c>
      <c r="AE129" s="3053">
        <f t="shared" si="11"/>
        <v>1</v>
      </c>
      <c r="AF129" s="3053">
        <f t="shared" si="11"/>
        <v>1</v>
      </c>
    </row>
    <row r="130" spans="1:32">
      <c r="A130" s="3043">
        <v>200</v>
      </c>
      <c r="B130" s="3060">
        <v>16</v>
      </c>
      <c r="C130" s="3052">
        <v>0</v>
      </c>
      <c r="D130" s="3052">
        <v>0</v>
      </c>
      <c r="E130" s="3052">
        <v>0</v>
      </c>
      <c r="F130" s="3052">
        <v>0</v>
      </c>
      <c r="G130" s="3052">
        <v>0</v>
      </c>
      <c r="H130" s="3052">
        <v>0</v>
      </c>
      <c r="I130" s="3052">
        <v>0</v>
      </c>
      <c r="J130" s="3052">
        <v>0</v>
      </c>
      <c r="K130" s="3052">
        <v>0</v>
      </c>
      <c r="L130" s="3052">
        <v>0</v>
      </c>
      <c r="M130" s="3052">
        <v>0</v>
      </c>
      <c r="N130" s="3052">
        <v>0</v>
      </c>
      <c r="O130" s="3052">
        <v>0</v>
      </c>
      <c r="P130" s="3052">
        <v>0</v>
      </c>
      <c r="Q130" s="3052">
        <v>0</v>
      </c>
      <c r="R130" s="3053">
        <f t="shared" si="11"/>
        <v>1</v>
      </c>
      <c r="S130" s="3053">
        <f t="shared" si="11"/>
        <v>1</v>
      </c>
      <c r="T130" s="3053">
        <f t="shared" si="11"/>
        <v>1</v>
      </c>
      <c r="U130" s="3053">
        <f t="shared" si="11"/>
        <v>1</v>
      </c>
      <c r="V130" s="3053">
        <f t="shared" si="11"/>
        <v>1</v>
      </c>
      <c r="W130" s="3053">
        <f t="shared" si="11"/>
        <v>1</v>
      </c>
      <c r="X130" s="3053">
        <f t="shared" si="11"/>
        <v>1</v>
      </c>
      <c r="Y130" s="3053">
        <f t="shared" si="11"/>
        <v>1</v>
      </c>
      <c r="Z130" s="3053">
        <f t="shared" si="11"/>
        <v>1</v>
      </c>
      <c r="AA130" s="3053">
        <f t="shared" si="11"/>
        <v>1</v>
      </c>
      <c r="AB130" s="3053">
        <f t="shared" si="11"/>
        <v>1</v>
      </c>
      <c r="AC130" s="3053">
        <f t="shared" si="11"/>
        <v>1</v>
      </c>
      <c r="AD130" s="3053">
        <f t="shared" si="11"/>
        <v>1.0003905086873426</v>
      </c>
      <c r="AE130" s="3053">
        <f t="shared" si="11"/>
        <v>1</v>
      </c>
      <c r="AF130" s="3053">
        <f t="shared" si="11"/>
        <v>1</v>
      </c>
    </row>
    <row r="131" spans="1:32">
      <c r="A131" s="3043">
        <v>200</v>
      </c>
      <c r="B131" s="3060">
        <v>17</v>
      </c>
      <c r="C131" s="3052">
        <v>0</v>
      </c>
      <c r="D131" s="3052">
        <v>0</v>
      </c>
      <c r="E131" s="3052">
        <v>0</v>
      </c>
      <c r="F131" s="3052">
        <v>0</v>
      </c>
      <c r="G131" s="3052">
        <v>0</v>
      </c>
      <c r="H131" s="3052">
        <v>0</v>
      </c>
      <c r="I131" s="3052">
        <v>0</v>
      </c>
      <c r="J131" s="3052">
        <v>0</v>
      </c>
      <c r="K131" s="3052">
        <v>0</v>
      </c>
      <c r="L131" s="3052">
        <v>0</v>
      </c>
      <c r="M131" s="3052">
        <v>0</v>
      </c>
      <c r="N131" s="3052">
        <v>0</v>
      </c>
      <c r="O131" s="3052">
        <v>0</v>
      </c>
      <c r="P131" s="3052">
        <v>0</v>
      </c>
      <c r="Q131" s="3052">
        <v>0</v>
      </c>
      <c r="R131" s="3053">
        <f t="shared" si="11"/>
        <v>1</v>
      </c>
      <c r="S131" s="3053">
        <f t="shared" si="11"/>
        <v>1</v>
      </c>
      <c r="T131" s="3053">
        <f t="shared" si="11"/>
        <v>1</v>
      </c>
      <c r="U131" s="3053">
        <f t="shared" si="11"/>
        <v>1</v>
      </c>
      <c r="V131" s="3053">
        <f t="shared" si="11"/>
        <v>1</v>
      </c>
      <c r="W131" s="3053">
        <f t="shared" si="11"/>
        <v>1</v>
      </c>
      <c r="X131" s="3053">
        <f t="shared" si="11"/>
        <v>1</v>
      </c>
      <c r="Y131" s="3053">
        <f t="shared" si="11"/>
        <v>1</v>
      </c>
      <c r="Z131" s="3053">
        <f t="shared" si="11"/>
        <v>1</v>
      </c>
      <c r="AA131" s="3053">
        <f t="shared" si="11"/>
        <v>1</v>
      </c>
      <c r="AB131" s="3053">
        <f t="shared" si="11"/>
        <v>1</v>
      </c>
      <c r="AC131" s="3053">
        <f t="shared" si="11"/>
        <v>1</v>
      </c>
      <c r="AD131" s="3053">
        <f t="shared" si="11"/>
        <v>1.0003905086873426</v>
      </c>
      <c r="AE131" s="3053">
        <f t="shared" si="11"/>
        <v>1</v>
      </c>
      <c r="AF131" s="3053">
        <f t="shared" si="11"/>
        <v>1</v>
      </c>
    </row>
    <row r="132" spans="1:32">
      <c r="A132" s="3043">
        <v>200</v>
      </c>
      <c r="B132" s="3060">
        <v>18</v>
      </c>
      <c r="C132" s="3052">
        <v>0</v>
      </c>
      <c r="D132" s="3052">
        <v>0</v>
      </c>
      <c r="E132" s="3052">
        <v>0</v>
      </c>
      <c r="F132" s="3052">
        <v>0</v>
      </c>
      <c r="G132" s="3052">
        <v>0</v>
      </c>
      <c r="H132" s="3052">
        <v>0</v>
      </c>
      <c r="I132" s="3052">
        <v>0</v>
      </c>
      <c r="J132" s="3052">
        <v>0</v>
      </c>
      <c r="K132" s="3052">
        <v>0</v>
      </c>
      <c r="L132" s="3052">
        <v>0</v>
      </c>
      <c r="M132" s="3052">
        <v>0</v>
      </c>
      <c r="N132" s="3052">
        <v>0</v>
      </c>
      <c r="O132" s="3052">
        <v>0</v>
      </c>
      <c r="P132" s="3052">
        <v>0</v>
      </c>
      <c r="Q132" s="3052">
        <v>0</v>
      </c>
      <c r="R132" s="3053">
        <f t="shared" ref="R132:AF147" si="12">C132+R131</f>
        <v>1</v>
      </c>
      <c r="S132" s="3053">
        <f t="shared" si="12"/>
        <v>1</v>
      </c>
      <c r="T132" s="3053">
        <f t="shared" si="12"/>
        <v>1</v>
      </c>
      <c r="U132" s="3053">
        <f t="shared" si="12"/>
        <v>1</v>
      </c>
      <c r="V132" s="3053">
        <f t="shared" si="12"/>
        <v>1</v>
      </c>
      <c r="W132" s="3053">
        <f t="shared" si="12"/>
        <v>1</v>
      </c>
      <c r="X132" s="3053">
        <f t="shared" si="12"/>
        <v>1</v>
      </c>
      <c r="Y132" s="3053">
        <f t="shared" si="12"/>
        <v>1</v>
      </c>
      <c r="Z132" s="3053">
        <f t="shared" si="12"/>
        <v>1</v>
      </c>
      <c r="AA132" s="3053">
        <f t="shared" si="12"/>
        <v>1</v>
      </c>
      <c r="AB132" s="3053">
        <f t="shared" si="12"/>
        <v>1</v>
      </c>
      <c r="AC132" s="3053">
        <f t="shared" si="12"/>
        <v>1</v>
      </c>
      <c r="AD132" s="3053">
        <f t="shared" si="12"/>
        <v>1.0003905086873426</v>
      </c>
      <c r="AE132" s="3053">
        <f t="shared" si="12"/>
        <v>1</v>
      </c>
      <c r="AF132" s="3053">
        <f t="shared" si="12"/>
        <v>1</v>
      </c>
    </row>
    <row r="133" spans="1:32">
      <c r="A133" s="3043">
        <v>200</v>
      </c>
      <c r="B133" s="3060">
        <v>19</v>
      </c>
      <c r="C133" s="3052">
        <v>0</v>
      </c>
      <c r="D133" s="3052">
        <v>0</v>
      </c>
      <c r="E133" s="3052">
        <v>0</v>
      </c>
      <c r="F133" s="3052">
        <v>0</v>
      </c>
      <c r="G133" s="3052">
        <v>0</v>
      </c>
      <c r="H133" s="3052">
        <v>0</v>
      </c>
      <c r="I133" s="3052">
        <v>0</v>
      </c>
      <c r="J133" s="3052">
        <v>0</v>
      </c>
      <c r="K133" s="3052">
        <v>0</v>
      </c>
      <c r="L133" s="3052">
        <v>0</v>
      </c>
      <c r="M133" s="3052">
        <v>0</v>
      </c>
      <c r="N133" s="3052">
        <v>0</v>
      </c>
      <c r="O133" s="3052">
        <v>0</v>
      </c>
      <c r="P133" s="3052">
        <v>0</v>
      </c>
      <c r="Q133" s="3052">
        <v>0</v>
      </c>
      <c r="R133" s="3053">
        <f t="shared" si="12"/>
        <v>1</v>
      </c>
      <c r="S133" s="3053">
        <f t="shared" si="12"/>
        <v>1</v>
      </c>
      <c r="T133" s="3053">
        <f t="shared" si="12"/>
        <v>1</v>
      </c>
      <c r="U133" s="3053">
        <f t="shared" si="12"/>
        <v>1</v>
      </c>
      <c r="V133" s="3053">
        <f t="shared" si="12"/>
        <v>1</v>
      </c>
      <c r="W133" s="3053">
        <f t="shared" si="12"/>
        <v>1</v>
      </c>
      <c r="X133" s="3053">
        <f t="shared" si="12"/>
        <v>1</v>
      </c>
      <c r="Y133" s="3053">
        <f t="shared" si="12"/>
        <v>1</v>
      </c>
      <c r="Z133" s="3053">
        <f t="shared" si="12"/>
        <v>1</v>
      </c>
      <c r="AA133" s="3053">
        <f t="shared" si="12"/>
        <v>1</v>
      </c>
      <c r="AB133" s="3053">
        <f t="shared" si="12"/>
        <v>1</v>
      </c>
      <c r="AC133" s="3053">
        <f t="shared" si="12"/>
        <v>1</v>
      </c>
      <c r="AD133" s="3053">
        <f t="shared" si="12"/>
        <v>1.0003905086873426</v>
      </c>
      <c r="AE133" s="3053">
        <f t="shared" si="12"/>
        <v>1</v>
      </c>
      <c r="AF133" s="3053">
        <f t="shared" si="12"/>
        <v>1</v>
      </c>
    </row>
    <row r="134" spans="1:32">
      <c r="A134" s="3043">
        <v>200</v>
      </c>
      <c r="B134" s="3060">
        <v>20</v>
      </c>
      <c r="C134" s="3052">
        <v>0</v>
      </c>
      <c r="D134" s="3052">
        <v>0</v>
      </c>
      <c r="E134" s="3052">
        <v>0</v>
      </c>
      <c r="F134" s="3052">
        <v>0</v>
      </c>
      <c r="G134" s="3052">
        <v>0</v>
      </c>
      <c r="H134" s="3052">
        <v>0</v>
      </c>
      <c r="I134" s="3052">
        <v>0</v>
      </c>
      <c r="J134" s="3052">
        <v>0</v>
      </c>
      <c r="K134" s="3052">
        <v>0</v>
      </c>
      <c r="L134" s="3052">
        <v>0</v>
      </c>
      <c r="M134" s="3052">
        <v>0</v>
      </c>
      <c r="N134" s="3052">
        <v>0</v>
      </c>
      <c r="O134" s="3052">
        <v>0</v>
      </c>
      <c r="P134" s="3052">
        <v>0</v>
      </c>
      <c r="Q134" s="3052">
        <v>0</v>
      </c>
      <c r="R134" s="3053">
        <f t="shared" si="12"/>
        <v>1</v>
      </c>
      <c r="S134" s="3053">
        <f t="shared" si="12"/>
        <v>1</v>
      </c>
      <c r="T134" s="3053">
        <f t="shared" si="12"/>
        <v>1</v>
      </c>
      <c r="U134" s="3053">
        <f t="shared" si="12"/>
        <v>1</v>
      </c>
      <c r="V134" s="3053">
        <f t="shared" si="12"/>
        <v>1</v>
      </c>
      <c r="W134" s="3053">
        <f t="shared" si="12"/>
        <v>1</v>
      </c>
      <c r="X134" s="3053">
        <f t="shared" si="12"/>
        <v>1</v>
      </c>
      <c r="Y134" s="3053">
        <f t="shared" si="12"/>
        <v>1</v>
      </c>
      <c r="Z134" s="3053">
        <f t="shared" si="12"/>
        <v>1</v>
      </c>
      <c r="AA134" s="3053">
        <f t="shared" si="12"/>
        <v>1</v>
      </c>
      <c r="AB134" s="3053">
        <f t="shared" si="12"/>
        <v>1</v>
      </c>
      <c r="AC134" s="3053">
        <f t="shared" si="12"/>
        <v>1</v>
      </c>
      <c r="AD134" s="3053">
        <f t="shared" si="12"/>
        <v>1.0003905086873426</v>
      </c>
      <c r="AE134" s="3053">
        <f t="shared" si="12"/>
        <v>1</v>
      </c>
      <c r="AF134" s="3053">
        <f t="shared" si="12"/>
        <v>1</v>
      </c>
    </row>
    <row r="135" spans="1:32">
      <c r="A135" s="3043">
        <v>200</v>
      </c>
      <c r="B135" s="3060">
        <v>21</v>
      </c>
      <c r="C135" s="3052">
        <v>0</v>
      </c>
      <c r="D135" s="3052">
        <v>0</v>
      </c>
      <c r="E135" s="3052">
        <v>0</v>
      </c>
      <c r="F135" s="3052">
        <v>0</v>
      </c>
      <c r="G135" s="3052">
        <v>0</v>
      </c>
      <c r="H135" s="3052">
        <v>0</v>
      </c>
      <c r="I135" s="3052">
        <v>0</v>
      </c>
      <c r="J135" s="3052">
        <v>0</v>
      </c>
      <c r="K135" s="3052">
        <v>0</v>
      </c>
      <c r="L135" s="3052">
        <v>0</v>
      </c>
      <c r="M135" s="3052">
        <v>0</v>
      </c>
      <c r="N135" s="3052">
        <v>0</v>
      </c>
      <c r="O135" s="3052">
        <v>0</v>
      </c>
      <c r="P135" s="3052">
        <v>0</v>
      </c>
      <c r="Q135" s="3052">
        <v>0</v>
      </c>
      <c r="R135" s="3053">
        <f t="shared" si="12"/>
        <v>1</v>
      </c>
      <c r="S135" s="3053">
        <f t="shared" si="12"/>
        <v>1</v>
      </c>
      <c r="T135" s="3053">
        <f t="shared" si="12"/>
        <v>1</v>
      </c>
      <c r="U135" s="3053">
        <f t="shared" si="12"/>
        <v>1</v>
      </c>
      <c r="V135" s="3053">
        <f t="shared" si="12"/>
        <v>1</v>
      </c>
      <c r="W135" s="3053">
        <f t="shared" si="12"/>
        <v>1</v>
      </c>
      <c r="X135" s="3053">
        <f t="shared" si="12"/>
        <v>1</v>
      </c>
      <c r="Y135" s="3053">
        <f t="shared" si="12"/>
        <v>1</v>
      </c>
      <c r="Z135" s="3053">
        <f t="shared" si="12"/>
        <v>1</v>
      </c>
      <c r="AA135" s="3053">
        <f t="shared" si="12"/>
        <v>1</v>
      </c>
      <c r="AB135" s="3053">
        <f t="shared" si="12"/>
        <v>1</v>
      </c>
      <c r="AC135" s="3053">
        <f t="shared" si="12"/>
        <v>1</v>
      </c>
      <c r="AD135" s="3053">
        <f t="shared" si="12"/>
        <v>1.0003905086873426</v>
      </c>
      <c r="AE135" s="3053">
        <f t="shared" si="12"/>
        <v>1</v>
      </c>
      <c r="AF135" s="3053">
        <f t="shared" si="12"/>
        <v>1</v>
      </c>
    </row>
    <row r="136" spans="1:32">
      <c r="A136" s="3043">
        <v>200</v>
      </c>
      <c r="B136" s="3060">
        <v>22</v>
      </c>
      <c r="C136" s="3052">
        <v>0</v>
      </c>
      <c r="D136" s="3052">
        <v>0</v>
      </c>
      <c r="E136" s="3052">
        <v>0</v>
      </c>
      <c r="F136" s="3052">
        <v>0</v>
      </c>
      <c r="G136" s="3052">
        <v>0</v>
      </c>
      <c r="H136" s="3052">
        <v>0</v>
      </c>
      <c r="I136" s="3052">
        <v>0</v>
      </c>
      <c r="J136" s="3052">
        <v>0</v>
      </c>
      <c r="K136" s="3052">
        <v>0</v>
      </c>
      <c r="L136" s="3052">
        <v>0</v>
      </c>
      <c r="M136" s="3052">
        <v>0</v>
      </c>
      <c r="N136" s="3052">
        <v>0</v>
      </c>
      <c r="O136" s="3052">
        <v>0</v>
      </c>
      <c r="P136" s="3052">
        <v>0</v>
      </c>
      <c r="Q136" s="3052">
        <v>0</v>
      </c>
      <c r="R136" s="3053">
        <f t="shared" si="12"/>
        <v>1</v>
      </c>
      <c r="S136" s="3053">
        <f t="shared" si="12"/>
        <v>1</v>
      </c>
      <c r="T136" s="3053">
        <f t="shared" si="12"/>
        <v>1</v>
      </c>
      <c r="U136" s="3053">
        <f t="shared" si="12"/>
        <v>1</v>
      </c>
      <c r="V136" s="3053">
        <f t="shared" si="12"/>
        <v>1</v>
      </c>
      <c r="W136" s="3053">
        <f t="shared" si="12"/>
        <v>1</v>
      </c>
      <c r="X136" s="3053">
        <f t="shared" si="12"/>
        <v>1</v>
      </c>
      <c r="Y136" s="3053">
        <f t="shared" si="12"/>
        <v>1</v>
      </c>
      <c r="Z136" s="3053">
        <f t="shared" si="12"/>
        <v>1</v>
      </c>
      <c r="AA136" s="3053">
        <f t="shared" si="12"/>
        <v>1</v>
      </c>
      <c r="AB136" s="3053">
        <f t="shared" si="12"/>
        <v>1</v>
      </c>
      <c r="AC136" s="3053">
        <f t="shared" si="12"/>
        <v>1</v>
      </c>
      <c r="AD136" s="3053">
        <f t="shared" si="12"/>
        <v>1.0003905086873426</v>
      </c>
      <c r="AE136" s="3053">
        <f t="shared" si="12"/>
        <v>1</v>
      </c>
      <c r="AF136" s="3053">
        <f t="shared" si="12"/>
        <v>1</v>
      </c>
    </row>
    <row r="137" spans="1:32">
      <c r="A137" s="3043">
        <v>200</v>
      </c>
      <c r="B137" s="3060">
        <v>23</v>
      </c>
      <c r="C137" s="3052">
        <v>0</v>
      </c>
      <c r="D137" s="3052">
        <v>0</v>
      </c>
      <c r="E137" s="3052">
        <v>0</v>
      </c>
      <c r="F137" s="3052">
        <v>0</v>
      </c>
      <c r="G137" s="3052">
        <v>0</v>
      </c>
      <c r="H137" s="3052">
        <v>0</v>
      </c>
      <c r="I137" s="3052">
        <v>0</v>
      </c>
      <c r="J137" s="3052">
        <v>0</v>
      </c>
      <c r="K137" s="3052">
        <v>0</v>
      </c>
      <c r="L137" s="3052">
        <v>0</v>
      </c>
      <c r="M137" s="3052">
        <v>0</v>
      </c>
      <c r="N137" s="3052">
        <v>0</v>
      </c>
      <c r="O137" s="3052">
        <v>0</v>
      </c>
      <c r="P137" s="3052">
        <v>0</v>
      </c>
      <c r="Q137" s="3052">
        <v>0</v>
      </c>
      <c r="R137" s="3053">
        <f t="shared" si="12"/>
        <v>1</v>
      </c>
      <c r="S137" s="3053">
        <f t="shared" si="12"/>
        <v>1</v>
      </c>
      <c r="T137" s="3053">
        <f t="shared" si="12"/>
        <v>1</v>
      </c>
      <c r="U137" s="3053">
        <f t="shared" si="12"/>
        <v>1</v>
      </c>
      <c r="V137" s="3053">
        <f t="shared" si="12"/>
        <v>1</v>
      </c>
      <c r="W137" s="3053">
        <f t="shared" si="12"/>
        <v>1</v>
      </c>
      <c r="X137" s="3053">
        <f t="shared" si="12"/>
        <v>1</v>
      </c>
      <c r="Y137" s="3053">
        <f t="shared" si="12"/>
        <v>1</v>
      </c>
      <c r="Z137" s="3053">
        <f t="shared" si="12"/>
        <v>1</v>
      </c>
      <c r="AA137" s="3053">
        <f t="shared" si="12"/>
        <v>1</v>
      </c>
      <c r="AB137" s="3053">
        <f t="shared" si="12"/>
        <v>1</v>
      </c>
      <c r="AC137" s="3053">
        <f t="shared" si="12"/>
        <v>1</v>
      </c>
      <c r="AD137" s="3053">
        <f t="shared" si="12"/>
        <v>1.0003905086873426</v>
      </c>
      <c r="AE137" s="3053">
        <f t="shared" si="12"/>
        <v>1</v>
      </c>
      <c r="AF137" s="3053">
        <f t="shared" si="12"/>
        <v>1</v>
      </c>
    </row>
    <row r="138" spans="1:32">
      <c r="A138" s="3043">
        <v>200</v>
      </c>
      <c r="B138" s="3060">
        <v>24</v>
      </c>
      <c r="C138" s="3052">
        <v>0</v>
      </c>
      <c r="D138" s="3052">
        <v>0</v>
      </c>
      <c r="E138" s="3052">
        <v>0</v>
      </c>
      <c r="F138" s="3052">
        <v>0</v>
      </c>
      <c r="G138" s="3052">
        <v>0</v>
      </c>
      <c r="H138" s="3052">
        <v>0</v>
      </c>
      <c r="I138" s="3052">
        <v>0</v>
      </c>
      <c r="J138" s="3052">
        <v>0</v>
      </c>
      <c r="K138" s="3052">
        <v>0</v>
      </c>
      <c r="L138" s="3052">
        <v>0</v>
      </c>
      <c r="M138" s="3052">
        <v>0</v>
      </c>
      <c r="N138" s="3052">
        <v>0</v>
      </c>
      <c r="O138" s="3052">
        <v>0</v>
      </c>
      <c r="P138" s="3052">
        <v>0</v>
      </c>
      <c r="Q138" s="3052">
        <v>0</v>
      </c>
      <c r="R138" s="3053">
        <f t="shared" si="12"/>
        <v>1</v>
      </c>
      <c r="S138" s="3053">
        <f t="shared" si="12"/>
        <v>1</v>
      </c>
      <c r="T138" s="3053">
        <f t="shared" si="12"/>
        <v>1</v>
      </c>
      <c r="U138" s="3053">
        <f t="shared" si="12"/>
        <v>1</v>
      </c>
      <c r="V138" s="3053">
        <f t="shared" si="12"/>
        <v>1</v>
      </c>
      <c r="W138" s="3053">
        <f t="shared" si="12"/>
        <v>1</v>
      </c>
      <c r="X138" s="3053">
        <f t="shared" si="12"/>
        <v>1</v>
      </c>
      <c r="Y138" s="3053">
        <f t="shared" si="12"/>
        <v>1</v>
      </c>
      <c r="Z138" s="3053">
        <f t="shared" si="12"/>
        <v>1</v>
      </c>
      <c r="AA138" s="3053">
        <f t="shared" si="12"/>
        <v>1</v>
      </c>
      <c r="AB138" s="3053">
        <f t="shared" si="12"/>
        <v>1</v>
      </c>
      <c r="AC138" s="3053">
        <f t="shared" si="12"/>
        <v>1</v>
      </c>
      <c r="AD138" s="3053">
        <f t="shared" si="12"/>
        <v>1.0003905086873426</v>
      </c>
      <c r="AE138" s="3053">
        <f t="shared" si="12"/>
        <v>1</v>
      </c>
      <c r="AF138" s="3053">
        <f t="shared" si="12"/>
        <v>1</v>
      </c>
    </row>
    <row r="139" spans="1:32">
      <c r="A139" s="3043">
        <v>200</v>
      </c>
      <c r="B139" s="3060">
        <v>25</v>
      </c>
      <c r="C139" s="3052">
        <v>0</v>
      </c>
      <c r="D139" s="3052">
        <v>0</v>
      </c>
      <c r="E139" s="3052">
        <v>0</v>
      </c>
      <c r="F139" s="3052">
        <v>0</v>
      </c>
      <c r="G139" s="3052">
        <v>0</v>
      </c>
      <c r="H139" s="3052">
        <v>0</v>
      </c>
      <c r="I139" s="3052">
        <v>0</v>
      </c>
      <c r="J139" s="3052">
        <v>0</v>
      </c>
      <c r="K139" s="3052">
        <v>0</v>
      </c>
      <c r="L139" s="3052">
        <v>0</v>
      </c>
      <c r="M139" s="3052">
        <v>0</v>
      </c>
      <c r="N139" s="3052">
        <v>0</v>
      </c>
      <c r="O139" s="3052">
        <v>0</v>
      </c>
      <c r="P139" s="3052">
        <v>0</v>
      </c>
      <c r="Q139" s="3052">
        <v>0</v>
      </c>
      <c r="R139" s="3053">
        <f t="shared" si="12"/>
        <v>1</v>
      </c>
      <c r="S139" s="3053">
        <f t="shared" si="12"/>
        <v>1</v>
      </c>
      <c r="T139" s="3053">
        <f t="shared" si="12"/>
        <v>1</v>
      </c>
      <c r="U139" s="3053">
        <f t="shared" si="12"/>
        <v>1</v>
      </c>
      <c r="V139" s="3053">
        <f t="shared" si="12"/>
        <v>1</v>
      </c>
      <c r="W139" s="3053">
        <f t="shared" si="12"/>
        <v>1</v>
      </c>
      <c r="X139" s="3053">
        <f t="shared" si="12"/>
        <v>1</v>
      </c>
      <c r="Y139" s="3053">
        <f t="shared" si="12"/>
        <v>1</v>
      </c>
      <c r="Z139" s="3053">
        <f t="shared" si="12"/>
        <v>1</v>
      </c>
      <c r="AA139" s="3053">
        <f t="shared" si="12"/>
        <v>1</v>
      </c>
      <c r="AB139" s="3053">
        <f t="shared" si="12"/>
        <v>1</v>
      </c>
      <c r="AC139" s="3053">
        <f t="shared" si="12"/>
        <v>1</v>
      </c>
      <c r="AD139" s="3053">
        <f t="shared" si="12"/>
        <v>1.0003905086873426</v>
      </c>
      <c r="AE139" s="3053">
        <f t="shared" si="12"/>
        <v>1</v>
      </c>
      <c r="AF139" s="3053">
        <f t="shared" si="12"/>
        <v>1</v>
      </c>
    </row>
    <row r="140" spans="1:32">
      <c r="A140" s="3043">
        <v>200</v>
      </c>
      <c r="B140" s="3060">
        <v>26</v>
      </c>
      <c r="C140" s="3052">
        <v>0</v>
      </c>
      <c r="D140" s="3052">
        <v>0</v>
      </c>
      <c r="E140" s="3052">
        <v>0</v>
      </c>
      <c r="F140" s="3052">
        <v>0</v>
      </c>
      <c r="G140" s="3052">
        <v>0</v>
      </c>
      <c r="H140" s="3052">
        <v>0</v>
      </c>
      <c r="I140" s="3052">
        <v>0</v>
      </c>
      <c r="J140" s="3052">
        <v>0</v>
      </c>
      <c r="K140" s="3052">
        <v>0</v>
      </c>
      <c r="L140" s="3052">
        <v>0</v>
      </c>
      <c r="M140" s="3052">
        <v>0</v>
      </c>
      <c r="N140" s="3052">
        <v>0</v>
      </c>
      <c r="O140" s="3052">
        <v>0</v>
      </c>
      <c r="P140" s="3052">
        <v>0</v>
      </c>
      <c r="Q140" s="3052">
        <v>0</v>
      </c>
      <c r="R140" s="3053">
        <f t="shared" si="12"/>
        <v>1</v>
      </c>
      <c r="S140" s="3053">
        <f t="shared" si="12"/>
        <v>1</v>
      </c>
      <c r="T140" s="3053">
        <f t="shared" si="12"/>
        <v>1</v>
      </c>
      <c r="U140" s="3053">
        <f t="shared" si="12"/>
        <v>1</v>
      </c>
      <c r="V140" s="3053">
        <f t="shared" si="12"/>
        <v>1</v>
      </c>
      <c r="W140" s="3053">
        <f t="shared" si="12"/>
        <v>1</v>
      </c>
      <c r="X140" s="3053">
        <f t="shared" si="12"/>
        <v>1</v>
      </c>
      <c r="Y140" s="3053">
        <f t="shared" si="12"/>
        <v>1</v>
      </c>
      <c r="Z140" s="3053">
        <f t="shared" si="12"/>
        <v>1</v>
      </c>
      <c r="AA140" s="3053">
        <f t="shared" si="12"/>
        <v>1</v>
      </c>
      <c r="AB140" s="3053">
        <f t="shared" si="12"/>
        <v>1</v>
      </c>
      <c r="AC140" s="3053">
        <f t="shared" si="12"/>
        <v>1</v>
      </c>
      <c r="AD140" s="3053">
        <f t="shared" si="12"/>
        <v>1.0003905086873426</v>
      </c>
      <c r="AE140" s="3053">
        <f t="shared" si="12"/>
        <v>1</v>
      </c>
      <c r="AF140" s="3053">
        <f t="shared" si="12"/>
        <v>1</v>
      </c>
    </row>
    <row r="141" spans="1:32">
      <c r="A141" s="3043">
        <v>200</v>
      </c>
      <c r="B141" s="3060">
        <v>27</v>
      </c>
      <c r="C141" s="3052">
        <v>0</v>
      </c>
      <c r="D141" s="3052">
        <v>0</v>
      </c>
      <c r="E141" s="3052">
        <v>0</v>
      </c>
      <c r="F141" s="3052">
        <v>0</v>
      </c>
      <c r="G141" s="3052">
        <v>0</v>
      </c>
      <c r="H141" s="3052">
        <v>0</v>
      </c>
      <c r="I141" s="3052">
        <v>0</v>
      </c>
      <c r="J141" s="3052">
        <v>0</v>
      </c>
      <c r="K141" s="3052">
        <v>0</v>
      </c>
      <c r="L141" s="3052">
        <v>0</v>
      </c>
      <c r="M141" s="3052">
        <v>0</v>
      </c>
      <c r="N141" s="3052">
        <v>0</v>
      </c>
      <c r="O141" s="3052">
        <v>0</v>
      </c>
      <c r="P141" s="3052">
        <v>0</v>
      </c>
      <c r="Q141" s="3052">
        <v>0</v>
      </c>
      <c r="R141" s="3053">
        <f t="shared" si="12"/>
        <v>1</v>
      </c>
      <c r="S141" s="3053">
        <f t="shared" si="12"/>
        <v>1</v>
      </c>
      <c r="T141" s="3053">
        <f t="shared" si="12"/>
        <v>1</v>
      </c>
      <c r="U141" s="3053">
        <f t="shared" si="12"/>
        <v>1</v>
      </c>
      <c r="V141" s="3053">
        <f t="shared" si="12"/>
        <v>1</v>
      </c>
      <c r="W141" s="3053">
        <f t="shared" si="12"/>
        <v>1</v>
      </c>
      <c r="X141" s="3053">
        <f t="shared" si="12"/>
        <v>1</v>
      </c>
      <c r="Y141" s="3053">
        <f t="shared" si="12"/>
        <v>1</v>
      </c>
      <c r="Z141" s="3053">
        <f t="shared" si="12"/>
        <v>1</v>
      </c>
      <c r="AA141" s="3053">
        <f t="shared" si="12"/>
        <v>1</v>
      </c>
      <c r="AB141" s="3053">
        <f t="shared" si="12"/>
        <v>1</v>
      </c>
      <c r="AC141" s="3053">
        <f t="shared" si="12"/>
        <v>1</v>
      </c>
      <c r="AD141" s="3053">
        <f t="shared" si="12"/>
        <v>1.0003905086873426</v>
      </c>
      <c r="AE141" s="3053">
        <f t="shared" si="12"/>
        <v>1</v>
      </c>
      <c r="AF141" s="3053">
        <f t="shared" si="12"/>
        <v>1</v>
      </c>
    </row>
    <row r="142" spans="1:32">
      <c r="A142" s="3043">
        <v>200</v>
      </c>
      <c r="B142" s="3060">
        <v>28</v>
      </c>
      <c r="C142" s="3052">
        <v>0</v>
      </c>
      <c r="D142" s="3052">
        <v>0</v>
      </c>
      <c r="E142" s="3052">
        <v>0</v>
      </c>
      <c r="F142" s="3052">
        <v>0</v>
      </c>
      <c r="G142" s="3052">
        <v>0</v>
      </c>
      <c r="H142" s="3052">
        <v>0</v>
      </c>
      <c r="I142" s="3052">
        <v>0</v>
      </c>
      <c r="J142" s="3052">
        <v>0</v>
      </c>
      <c r="K142" s="3052">
        <v>0</v>
      </c>
      <c r="L142" s="3052">
        <v>0</v>
      </c>
      <c r="M142" s="3052">
        <v>0</v>
      </c>
      <c r="N142" s="3052">
        <v>0</v>
      </c>
      <c r="O142" s="3052">
        <v>0</v>
      </c>
      <c r="P142" s="3052">
        <v>0</v>
      </c>
      <c r="Q142" s="3052">
        <v>0</v>
      </c>
      <c r="R142" s="3053">
        <f t="shared" si="12"/>
        <v>1</v>
      </c>
      <c r="S142" s="3053">
        <f t="shared" si="12"/>
        <v>1</v>
      </c>
      <c r="T142" s="3053">
        <f t="shared" si="12"/>
        <v>1</v>
      </c>
      <c r="U142" s="3053">
        <f t="shared" si="12"/>
        <v>1</v>
      </c>
      <c r="V142" s="3053">
        <f t="shared" si="12"/>
        <v>1</v>
      </c>
      <c r="W142" s="3053">
        <f t="shared" si="12"/>
        <v>1</v>
      </c>
      <c r="X142" s="3053">
        <f t="shared" si="12"/>
        <v>1</v>
      </c>
      <c r="Y142" s="3053">
        <f t="shared" si="12"/>
        <v>1</v>
      </c>
      <c r="Z142" s="3053">
        <f t="shared" si="12"/>
        <v>1</v>
      </c>
      <c r="AA142" s="3053">
        <f t="shared" si="12"/>
        <v>1</v>
      </c>
      <c r="AB142" s="3053">
        <f t="shared" si="12"/>
        <v>1</v>
      </c>
      <c r="AC142" s="3053">
        <f t="shared" si="12"/>
        <v>1</v>
      </c>
      <c r="AD142" s="3053">
        <f t="shared" si="12"/>
        <v>1.0003905086873426</v>
      </c>
      <c r="AE142" s="3053">
        <f t="shared" si="12"/>
        <v>1</v>
      </c>
      <c r="AF142" s="3053">
        <f t="shared" si="12"/>
        <v>1</v>
      </c>
    </row>
    <row r="143" spans="1:32">
      <c r="A143" s="3043">
        <v>200</v>
      </c>
      <c r="B143" s="3060">
        <v>29</v>
      </c>
      <c r="C143" s="3052">
        <v>0</v>
      </c>
      <c r="D143" s="3052">
        <v>0</v>
      </c>
      <c r="E143" s="3052">
        <v>0</v>
      </c>
      <c r="F143" s="3052">
        <v>0</v>
      </c>
      <c r="G143" s="3052">
        <v>0</v>
      </c>
      <c r="H143" s="3052">
        <v>0</v>
      </c>
      <c r="I143" s="3052">
        <v>0</v>
      </c>
      <c r="J143" s="3052">
        <v>0</v>
      </c>
      <c r="K143" s="3052">
        <v>0</v>
      </c>
      <c r="L143" s="3052">
        <v>0</v>
      </c>
      <c r="M143" s="3052">
        <v>0</v>
      </c>
      <c r="N143" s="3052">
        <v>0</v>
      </c>
      <c r="O143" s="3052">
        <v>0</v>
      </c>
      <c r="P143" s="3052">
        <v>0</v>
      </c>
      <c r="Q143" s="3052">
        <v>0</v>
      </c>
      <c r="R143" s="3053">
        <f t="shared" si="12"/>
        <v>1</v>
      </c>
      <c r="S143" s="3053">
        <f t="shared" si="12"/>
        <v>1</v>
      </c>
      <c r="T143" s="3053">
        <f t="shared" si="12"/>
        <v>1</v>
      </c>
      <c r="U143" s="3053">
        <f t="shared" si="12"/>
        <v>1</v>
      </c>
      <c r="V143" s="3053">
        <f t="shared" si="12"/>
        <v>1</v>
      </c>
      <c r="W143" s="3053">
        <f t="shared" si="12"/>
        <v>1</v>
      </c>
      <c r="X143" s="3053">
        <f t="shared" si="12"/>
        <v>1</v>
      </c>
      <c r="Y143" s="3053">
        <f t="shared" si="12"/>
        <v>1</v>
      </c>
      <c r="Z143" s="3053">
        <f t="shared" si="12"/>
        <v>1</v>
      </c>
      <c r="AA143" s="3053">
        <f t="shared" si="12"/>
        <v>1</v>
      </c>
      <c r="AB143" s="3053">
        <f t="shared" si="12"/>
        <v>1</v>
      </c>
      <c r="AC143" s="3053">
        <f t="shared" si="12"/>
        <v>1</v>
      </c>
      <c r="AD143" s="3053">
        <f t="shared" si="12"/>
        <v>1.0003905086873426</v>
      </c>
      <c r="AE143" s="3053">
        <f t="shared" si="12"/>
        <v>1</v>
      </c>
      <c r="AF143" s="3053">
        <f t="shared" si="12"/>
        <v>1</v>
      </c>
    </row>
    <row r="144" spans="1:32">
      <c r="A144" s="3043">
        <v>200</v>
      </c>
      <c r="B144" s="3060">
        <v>30</v>
      </c>
      <c r="C144" s="3052">
        <v>0</v>
      </c>
      <c r="D144" s="3052">
        <v>0</v>
      </c>
      <c r="E144" s="3052">
        <v>0</v>
      </c>
      <c r="F144" s="3052">
        <v>0</v>
      </c>
      <c r="G144" s="3052">
        <v>0</v>
      </c>
      <c r="H144" s="3052">
        <v>0</v>
      </c>
      <c r="I144" s="3052">
        <v>0</v>
      </c>
      <c r="J144" s="3052">
        <v>0</v>
      </c>
      <c r="K144" s="3052">
        <v>0</v>
      </c>
      <c r="L144" s="3052">
        <v>0</v>
      </c>
      <c r="M144" s="3052">
        <v>0</v>
      </c>
      <c r="N144" s="3052">
        <v>0</v>
      </c>
      <c r="O144" s="3052">
        <v>0</v>
      </c>
      <c r="P144" s="3052">
        <v>0</v>
      </c>
      <c r="Q144" s="3052">
        <v>0</v>
      </c>
      <c r="R144" s="3053">
        <f t="shared" si="12"/>
        <v>1</v>
      </c>
      <c r="S144" s="3053">
        <f t="shared" si="12"/>
        <v>1</v>
      </c>
      <c r="T144" s="3053">
        <f t="shared" si="12"/>
        <v>1</v>
      </c>
      <c r="U144" s="3053">
        <f t="shared" si="12"/>
        <v>1</v>
      </c>
      <c r="V144" s="3053">
        <f t="shared" si="12"/>
        <v>1</v>
      </c>
      <c r="W144" s="3053">
        <f t="shared" si="12"/>
        <v>1</v>
      </c>
      <c r="X144" s="3053">
        <f t="shared" si="12"/>
        <v>1</v>
      </c>
      <c r="Y144" s="3053">
        <f t="shared" si="12"/>
        <v>1</v>
      </c>
      <c r="Z144" s="3053">
        <f t="shared" si="12"/>
        <v>1</v>
      </c>
      <c r="AA144" s="3053">
        <f t="shared" si="12"/>
        <v>1</v>
      </c>
      <c r="AB144" s="3053">
        <f t="shared" si="12"/>
        <v>1</v>
      </c>
      <c r="AC144" s="3053">
        <f t="shared" si="12"/>
        <v>1</v>
      </c>
      <c r="AD144" s="3053">
        <f t="shared" si="12"/>
        <v>1.0003905086873426</v>
      </c>
      <c r="AE144" s="3053">
        <f t="shared" si="12"/>
        <v>1</v>
      </c>
      <c r="AF144" s="3053">
        <f t="shared" si="12"/>
        <v>1</v>
      </c>
    </row>
    <row r="145" spans="1:32">
      <c r="A145" s="3043">
        <v>200</v>
      </c>
      <c r="B145" s="3060">
        <v>31</v>
      </c>
      <c r="C145" s="3052">
        <v>0</v>
      </c>
      <c r="D145" s="3052">
        <v>0</v>
      </c>
      <c r="E145" s="3052">
        <v>0</v>
      </c>
      <c r="F145" s="3052">
        <v>0</v>
      </c>
      <c r="G145" s="3052">
        <v>0</v>
      </c>
      <c r="H145" s="3052">
        <v>0</v>
      </c>
      <c r="I145" s="3052">
        <v>0</v>
      </c>
      <c r="J145" s="3052">
        <v>0</v>
      </c>
      <c r="K145" s="3052">
        <v>0</v>
      </c>
      <c r="L145" s="3052">
        <v>0</v>
      </c>
      <c r="M145" s="3052">
        <v>0</v>
      </c>
      <c r="N145" s="3052">
        <v>0</v>
      </c>
      <c r="O145" s="3052">
        <v>0</v>
      </c>
      <c r="P145" s="3052">
        <v>0</v>
      </c>
      <c r="Q145" s="3052">
        <v>0</v>
      </c>
      <c r="R145" s="3053">
        <f t="shared" si="12"/>
        <v>1</v>
      </c>
      <c r="S145" s="3053">
        <f t="shared" si="12"/>
        <v>1</v>
      </c>
      <c r="T145" s="3053">
        <f t="shared" si="12"/>
        <v>1</v>
      </c>
      <c r="U145" s="3053">
        <f t="shared" si="12"/>
        <v>1</v>
      </c>
      <c r="V145" s="3053">
        <f t="shared" si="12"/>
        <v>1</v>
      </c>
      <c r="W145" s="3053">
        <f t="shared" si="12"/>
        <v>1</v>
      </c>
      <c r="X145" s="3053">
        <f t="shared" si="12"/>
        <v>1</v>
      </c>
      <c r="Y145" s="3053">
        <f t="shared" si="12"/>
        <v>1</v>
      </c>
      <c r="Z145" s="3053">
        <f t="shared" si="12"/>
        <v>1</v>
      </c>
      <c r="AA145" s="3053">
        <f t="shared" si="12"/>
        <v>1</v>
      </c>
      <c r="AB145" s="3053">
        <f t="shared" si="12"/>
        <v>1</v>
      </c>
      <c r="AC145" s="3053">
        <f t="shared" si="12"/>
        <v>1</v>
      </c>
      <c r="AD145" s="3053">
        <f t="shared" si="12"/>
        <v>1.0003905086873426</v>
      </c>
      <c r="AE145" s="3053">
        <f t="shared" si="12"/>
        <v>1</v>
      </c>
      <c r="AF145" s="3053">
        <f t="shared" si="12"/>
        <v>1</v>
      </c>
    </row>
    <row r="146" spans="1:32">
      <c r="A146" s="3043">
        <v>200</v>
      </c>
      <c r="B146" s="3060">
        <v>32</v>
      </c>
      <c r="C146" s="3052">
        <v>0</v>
      </c>
      <c r="D146" s="3052">
        <v>0</v>
      </c>
      <c r="E146" s="3052">
        <v>0</v>
      </c>
      <c r="F146" s="3052">
        <v>0</v>
      </c>
      <c r="G146" s="3052">
        <v>0</v>
      </c>
      <c r="H146" s="3052">
        <v>0</v>
      </c>
      <c r="I146" s="3052">
        <v>0</v>
      </c>
      <c r="J146" s="3052">
        <v>0</v>
      </c>
      <c r="K146" s="3052">
        <v>0</v>
      </c>
      <c r="L146" s="3052">
        <v>0</v>
      </c>
      <c r="M146" s="3052">
        <v>0</v>
      </c>
      <c r="N146" s="3052">
        <v>0</v>
      </c>
      <c r="O146" s="3052">
        <v>0</v>
      </c>
      <c r="P146" s="3052">
        <v>0</v>
      </c>
      <c r="Q146" s="3052">
        <v>0</v>
      </c>
      <c r="R146" s="3053">
        <f t="shared" si="12"/>
        <v>1</v>
      </c>
      <c r="S146" s="3053">
        <f t="shared" si="12"/>
        <v>1</v>
      </c>
      <c r="T146" s="3053">
        <f t="shared" si="12"/>
        <v>1</v>
      </c>
      <c r="U146" s="3053">
        <f t="shared" si="12"/>
        <v>1</v>
      </c>
      <c r="V146" s="3053">
        <f t="shared" si="12"/>
        <v>1</v>
      </c>
      <c r="W146" s="3053">
        <f t="shared" si="12"/>
        <v>1</v>
      </c>
      <c r="X146" s="3053">
        <f t="shared" si="12"/>
        <v>1</v>
      </c>
      <c r="Y146" s="3053">
        <f t="shared" si="12"/>
        <v>1</v>
      </c>
      <c r="Z146" s="3053">
        <f t="shared" si="12"/>
        <v>1</v>
      </c>
      <c r="AA146" s="3053">
        <f t="shared" si="12"/>
        <v>1</v>
      </c>
      <c r="AB146" s="3053">
        <f t="shared" si="12"/>
        <v>1</v>
      </c>
      <c r="AC146" s="3053">
        <f t="shared" si="12"/>
        <v>1</v>
      </c>
      <c r="AD146" s="3053">
        <f t="shared" si="12"/>
        <v>1.0003905086873426</v>
      </c>
      <c r="AE146" s="3053">
        <f t="shared" si="12"/>
        <v>1</v>
      </c>
      <c r="AF146" s="3053">
        <f t="shared" si="12"/>
        <v>1</v>
      </c>
    </row>
    <row r="147" spans="1:32">
      <c r="A147" s="3043">
        <v>200</v>
      </c>
      <c r="B147" s="3060">
        <v>33</v>
      </c>
      <c r="C147" s="3052">
        <v>0</v>
      </c>
      <c r="D147" s="3052">
        <v>0</v>
      </c>
      <c r="E147" s="3052">
        <v>0</v>
      </c>
      <c r="F147" s="3052">
        <v>0</v>
      </c>
      <c r="G147" s="3052">
        <v>0</v>
      </c>
      <c r="H147" s="3052">
        <v>0</v>
      </c>
      <c r="I147" s="3052">
        <v>0</v>
      </c>
      <c r="J147" s="3052">
        <v>0</v>
      </c>
      <c r="K147" s="3052">
        <v>0</v>
      </c>
      <c r="L147" s="3052">
        <v>0</v>
      </c>
      <c r="M147" s="3052">
        <v>0</v>
      </c>
      <c r="N147" s="3052">
        <v>0</v>
      </c>
      <c r="O147" s="3052">
        <v>0</v>
      </c>
      <c r="P147" s="3052">
        <v>0</v>
      </c>
      <c r="Q147" s="3052">
        <v>0</v>
      </c>
      <c r="R147" s="3053">
        <f t="shared" si="12"/>
        <v>1</v>
      </c>
      <c r="S147" s="3053">
        <f t="shared" si="12"/>
        <v>1</v>
      </c>
      <c r="T147" s="3053">
        <f t="shared" si="12"/>
        <v>1</v>
      </c>
      <c r="U147" s="3053">
        <f t="shared" si="12"/>
        <v>1</v>
      </c>
      <c r="V147" s="3053">
        <f t="shared" si="12"/>
        <v>1</v>
      </c>
      <c r="W147" s="3053">
        <f t="shared" si="12"/>
        <v>1</v>
      </c>
      <c r="X147" s="3053">
        <f t="shared" si="12"/>
        <v>1</v>
      </c>
      <c r="Y147" s="3053">
        <f t="shared" si="12"/>
        <v>1</v>
      </c>
      <c r="Z147" s="3053">
        <f t="shared" si="12"/>
        <v>1</v>
      </c>
      <c r="AA147" s="3053">
        <f t="shared" si="12"/>
        <v>1</v>
      </c>
      <c r="AB147" s="3053">
        <f t="shared" si="12"/>
        <v>1</v>
      </c>
      <c r="AC147" s="3053">
        <f t="shared" si="12"/>
        <v>1</v>
      </c>
      <c r="AD147" s="3053">
        <f t="shared" si="12"/>
        <v>1.0003905086873426</v>
      </c>
      <c r="AE147" s="3053">
        <f t="shared" si="12"/>
        <v>1</v>
      </c>
      <c r="AF147" s="3053">
        <f t="shared" si="12"/>
        <v>1</v>
      </c>
    </row>
    <row r="148" spans="1:32">
      <c r="A148" s="3043">
        <v>200</v>
      </c>
      <c r="B148" s="3060">
        <v>34</v>
      </c>
      <c r="C148" s="3052">
        <v>0</v>
      </c>
      <c r="D148" s="3052">
        <v>0</v>
      </c>
      <c r="E148" s="3052">
        <v>0</v>
      </c>
      <c r="F148" s="3052">
        <v>0</v>
      </c>
      <c r="G148" s="3052">
        <v>0</v>
      </c>
      <c r="H148" s="3052">
        <v>0</v>
      </c>
      <c r="I148" s="3052">
        <v>0</v>
      </c>
      <c r="J148" s="3052">
        <v>0</v>
      </c>
      <c r="K148" s="3052">
        <v>0</v>
      </c>
      <c r="L148" s="3052">
        <v>0</v>
      </c>
      <c r="M148" s="3052">
        <v>0</v>
      </c>
      <c r="N148" s="3052">
        <v>0</v>
      </c>
      <c r="O148" s="3052">
        <v>0</v>
      </c>
      <c r="P148" s="3052">
        <v>0</v>
      </c>
      <c r="Q148" s="3052">
        <v>0</v>
      </c>
      <c r="R148" s="3053">
        <f t="shared" ref="R148:AF163" si="13">C148+R147</f>
        <v>1</v>
      </c>
      <c r="S148" s="3053">
        <f t="shared" si="13"/>
        <v>1</v>
      </c>
      <c r="T148" s="3053">
        <f t="shared" si="13"/>
        <v>1</v>
      </c>
      <c r="U148" s="3053">
        <f t="shared" si="13"/>
        <v>1</v>
      </c>
      <c r="V148" s="3053">
        <f t="shared" si="13"/>
        <v>1</v>
      </c>
      <c r="W148" s="3053">
        <f t="shared" si="13"/>
        <v>1</v>
      </c>
      <c r="X148" s="3053">
        <f t="shared" si="13"/>
        <v>1</v>
      </c>
      <c r="Y148" s="3053">
        <f t="shared" si="13"/>
        <v>1</v>
      </c>
      <c r="Z148" s="3053">
        <f t="shared" si="13"/>
        <v>1</v>
      </c>
      <c r="AA148" s="3053">
        <f t="shared" si="13"/>
        <v>1</v>
      </c>
      <c r="AB148" s="3053">
        <f t="shared" si="13"/>
        <v>1</v>
      </c>
      <c r="AC148" s="3053">
        <f t="shared" si="13"/>
        <v>1</v>
      </c>
      <c r="AD148" s="3053">
        <f t="shared" si="13"/>
        <v>1.0003905086873426</v>
      </c>
      <c r="AE148" s="3053">
        <f t="shared" si="13"/>
        <v>1</v>
      </c>
      <c r="AF148" s="3053">
        <f t="shared" si="13"/>
        <v>1</v>
      </c>
    </row>
    <row r="149" spans="1:32">
      <c r="A149" s="3043">
        <v>200</v>
      </c>
      <c r="B149" s="3060">
        <v>35</v>
      </c>
      <c r="C149" s="3052">
        <v>0</v>
      </c>
      <c r="D149" s="3052">
        <v>0</v>
      </c>
      <c r="E149" s="3052">
        <v>0</v>
      </c>
      <c r="F149" s="3052">
        <v>0</v>
      </c>
      <c r="G149" s="3052">
        <v>0</v>
      </c>
      <c r="H149" s="3052">
        <v>0</v>
      </c>
      <c r="I149" s="3052">
        <v>0</v>
      </c>
      <c r="J149" s="3052">
        <v>0</v>
      </c>
      <c r="K149" s="3052">
        <v>0</v>
      </c>
      <c r="L149" s="3052">
        <v>0</v>
      </c>
      <c r="M149" s="3052">
        <v>0</v>
      </c>
      <c r="N149" s="3052">
        <v>0</v>
      </c>
      <c r="O149" s="3052">
        <v>0</v>
      </c>
      <c r="P149" s="3052">
        <v>0</v>
      </c>
      <c r="Q149" s="3052">
        <v>0</v>
      </c>
      <c r="R149" s="3053">
        <f t="shared" si="13"/>
        <v>1</v>
      </c>
      <c r="S149" s="3053">
        <f t="shared" si="13"/>
        <v>1</v>
      </c>
      <c r="T149" s="3053">
        <f t="shared" si="13"/>
        <v>1</v>
      </c>
      <c r="U149" s="3053">
        <f t="shared" si="13"/>
        <v>1</v>
      </c>
      <c r="V149" s="3053">
        <f t="shared" si="13"/>
        <v>1</v>
      </c>
      <c r="W149" s="3053">
        <f t="shared" si="13"/>
        <v>1</v>
      </c>
      <c r="X149" s="3053">
        <f t="shared" si="13"/>
        <v>1</v>
      </c>
      <c r="Y149" s="3053">
        <f t="shared" si="13"/>
        <v>1</v>
      </c>
      <c r="Z149" s="3053">
        <f t="shared" si="13"/>
        <v>1</v>
      </c>
      <c r="AA149" s="3053">
        <f t="shared" si="13"/>
        <v>1</v>
      </c>
      <c r="AB149" s="3053">
        <f t="shared" si="13"/>
        <v>1</v>
      </c>
      <c r="AC149" s="3053">
        <f t="shared" si="13"/>
        <v>1</v>
      </c>
      <c r="AD149" s="3053">
        <f t="shared" si="13"/>
        <v>1.0003905086873426</v>
      </c>
      <c r="AE149" s="3053">
        <f t="shared" si="13"/>
        <v>1</v>
      </c>
      <c r="AF149" s="3053">
        <f t="shared" si="13"/>
        <v>1</v>
      </c>
    </row>
    <row r="150" spans="1:32">
      <c r="A150" s="3043">
        <v>200</v>
      </c>
      <c r="B150" s="3060">
        <v>36</v>
      </c>
      <c r="C150" s="3052">
        <v>0</v>
      </c>
      <c r="D150" s="3052">
        <v>0</v>
      </c>
      <c r="E150" s="3052">
        <v>0</v>
      </c>
      <c r="F150" s="3052">
        <v>0</v>
      </c>
      <c r="G150" s="3052">
        <v>0</v>
      </c>
      <c r="H150" s="3052">
        <v>0</v>
      </c>
      <c r="I150" s="3052">
        <v>0</v>
      </c>
      <c r="J150" s="3052">
        <v>0</v>
      </c>
      <c r="K150" s="3052">
        <v>0</v>
      </c>
      <c r="L150" s="3052">
        <v>0</v>
      </c>
      <c r="M150" s="3052">
        <v>0</v>
      </c>
      <c r="N150" s="3052">
        <v>0</v>
      </c>
      <c r="O150" s="3052">
        <v>0</v>
      </c>
      <c r="P150" s="3052">
        <v>0</v>
      </c>
      <c r="Q150" s="3052">
        <v>0</v>
      </c>
      <c r="R150" s="3053">
        <f t="shared" si="13"/>
        <v>1</v>
      </c>
      <c r="S150" s="3053">
        <f t="shared" si="13"/>
        <v>1</v>
      </c>
      <c r="T150" s="3053">
        <f t="shared" si="13"/>
        <v>1</v>
      </c>
      <c r="U150" s="3053">
        <f t="shared" si="13"/>
        <v>1</v>
      </c>
      <c r="V150" s="3053">
        <f t="shared" si="13"/>
        <v>1</v>
      </c>
      <c r="W150" s="3053">
        <f t="shared" si="13"/>
        <v>1</v>
      </c>
      <c r="X150" s="3053">
        <f t="shared" si="13"/>
        <v>1</v>
      </c>
      <c r="Y150" s="3053">
        <f t="shared" si="13"/>
        <v>1</v>
      </c>
      <c r="Z150" s="3053">
        <f t="shared" si="13"/>
        <v>1</v>
      </c>
      <c r="AA150" s="3053">
        <f t="shared" si="13"/>
        <v>1</v>
      </c>
      <c r="AB150" s="3053">
        <f t="shared" si="13"/>
        <v>1</v>
      </c>
      <c r="AC150" s="3053">
        <f t="shared" si="13"/>
        <v>1</v>
      </c>
      <c r="AD150" s="3053">
        <f t="shared" si="13"/>
        <v>1.0003905086873426</v>
      </c>
      <c r="AE150" s="3053">
        <f t="shared" si="13"/>
        <v>1</v>
      </c>
      <c r="AF150" s="3053">
        <f t="shared" si="13"/>
        <v>1</v>
      </c>
    </row>
    <row r="151" spans="1:32">
      <c r="A151" s="3043">
        <v>200</v>
      </c>
      <c r="B151" s="3060">
        <v>37</v>
      </c>
      <c r="C151" s="3052">
        <v>0</v>
      </c>
      <c r="D151" s="3052">
        <v>0</v>
      </c>
      <c r="E151" s="3052">
        <v>0</v>
      </c>
      <c r="F151" s="3052">
        <v>0</v>
      </c>
      <c r="G151" s="3052">
        <v>0</v>
      </c>
      <c r="H151" s="3052">
        <v>0</v>
      </c>
      <c r="I151" s="3052">
        <v>0</v>
      </c>
      <c r="J151" s="3052">
        <v>0</v>
      </c>
      <c r="K151" s="3052">
        <v>0</v>
      </c>
      <c r="L151" s="3052">
        <v>0</v>
      </c>
      <c r="M151" s="3052">
        <v>0</v>
      </c>
      <c r="N151" s="3052">
        <v>0</v>
      </c>
      <c r="O151" s="3052">
        <v>0</v>
      </c>
      <c r="P151" s="3052">
        <v>0</v>
      </c>
      <c r="Q151" s="3052">
        <v>0</v>
      </c>
      <c r="R151" s="3053">
        <f t="shared" si="13"/>
        <v>1</v>
      </c>
      <c r="S151" s="3053">
        <f t="shared" si="13"/>
        <v>1</v>
      </c>
      <c r="T151" s="3053">
        <f t="shared" si="13"/>
        <v>1</v>
      </c>
      <c r="U151" s="3053">
        <f t="shared" si="13"/>
        <v>1</v>
      </c>
      <c r="V151" s="3053">
        <f t="shared" si="13"/>
        <v>1</v>
      </c>
      <c r="W151" s="3053">
        <f t="shared" si="13"/>
        <v>1</v>
      </c>
      <c r="X151" s="3053">
        <f t="shared" si="13"/>
        <v>1</v>
      </c>
      <c r="Y151" s="3053">
        <f t="shared" si="13"/>
        <v>1</v>
      </c>
      <c r="Z151" s="3053">
        <f t="shared" si="13"/>
        <v>1</v>
      </c>
      <c r="AA151" s="3053">
        <f t="shared" si="13"/>
        <v>1</v>
      </c>
      <c r="AB151" s="3053">
        <f t="shared" si="13"/>
        <v>1</v>
      </c>
      <c r="AC151" s="3053">
        <f t="shared" si="13"/>
        <v>1</v>
      </c>
      <c r="AD151" s="3053">
        <f t="shared" si="13"/>
        <v>1.0003905086873426</v>
      </c>
      <c r="AE151" s="3053">
        <f t="shared" si="13"/>
        <v>1</v>
      </c>
      <c r="AF151" s="3053">
        <f t="shared" si="13"/>
        <v>1</v>
      </c>
    </row>
    <row r="152" spans="1:32">
      <c r="A152" s="3043">
        <v>200</v>
      </c>
      <c r="B152" s="3060">
        <v>38</v>
      </c>
      <c r="C152" s="3052">
        <v>0</v>
      </c>
      <c r="D152" s="3052">
        <v>0</v>
      </c>
      <c r="E152" s="3052">
        <v>0</v>
      </c>
      <c r="F152" s="3052">
        <v>0</v>
      </c>
      <c r="G152" s="3052">
        <v>0</v>
      </c>
      <c r="H152" s="3052">
        <v>0</v>
      </c>
      <c r="I152" s="3052">
        <v>0</v>
      </c>
      <c r="J152" s="3052">
        <v>0</v>
      </c>
      <c r="K152" s="3052">
        <v>0</v>
      </c>
      <c r="L152" s="3052">
        <v>0</v>
      </c>
      <c r="M152" s="3052">
        <v>0</v>
      </c>
      <c r="N152" s="3052">
        <v>0</v>
      </c>
      <c r="O152" s="3052">
        <v>0</v>
      </c>
      <c r="P152" s="3052">
        <v>0</v>
      </c>
      <c r="Q152" s="3052">
        <v>0</v>
      </c>
      <c r="R152" s="3053">
        <f t="shared" si="13"/>
        <v>1</v>
      </c>
      <c r="S152" s="3053">
        <f t="shared" si="13"/>
        <v>1</v>
      </c>
      <c r="T152" s="3053">
        <f t="shared" si="13"/>
        <v>1</v>
      </c>
      <c r="U152" s="3053">
        <f t="shared" si="13"/>
        <v>1</v>
      </c>
      <c r="V152" s="3053">
        <f t="shared" si="13"/>
        <v>1</v>
      </c>
      <c r="W152" s="3053">
        <f t="shared" si="13"/>
        <v>1</v>
      </c>
      <c r="X152" s="3053">
        <f t="shared" si="13"/>
        <v>1</v>
      </c>
      <c r="Y152" s="3053">
        <f t="shared" si="13"/>
        <v>1</v>
      </c>
      <c r="Z152" s="3053">
        <f t="shared" si="13"/>
        <v>1</v>
      </c>
      <c r="AA152" s="3053">
        <f t="shared" si="13"/>
        <v>1</v>
      </c>
      <c r="AB152" s="3053">
        <f t="shared" si="13"/>
        <v>1</v>
      </c>
      <c r="AC152" s="3053">
        <f t="shared" si="13"/>
        <v>1</v>
      </c>
      <c r="AD152" s="3053">
        <f t="shared" si="13"/>
        <v>1.0003905086873426</v>
      </c>
      <c r="AE152" s="3053">
        <f t="shared" si="13"/>
        <v>1</v>
      </c>
      <c r="AF152" s="3053">
        <f t="shared" si="13"/>
        <v>1</v>
      </c>
    </row>
    <row r="153" spans="1:32">
      <c r="A153" s="3043">
        <v>200</v>
      </c>
      <c r="B153" s="3060">
        <v>39</v>
      </c>
      <c r="C153" s="3052">
        <v>0</v>
      </c>
      <c r="D153" s="3052">
        <v>0</v>
      </c>
      <c r="E153" s="3052">
        <v>0</v>
      </c>
      <c r="F153" s="3052">
        <v>0</v>
      </c>
      <c r="G153" s="3052">
        <v>0</v>
      </c>
      <c r="H153" s="3052">
        <v>0</v>
      </c>
      <c r="I153" s="3052">
        <v>0</v>
      </c>
      <c r="J153" s="3052">
        <v>0</v>
      </c>
      <c r="K153" s="3052">
        <v>0</v>
      </c>
      <c r="L153" s="3052">
        <v>0</v>
      </c>
      <c r="M153" s="3052">
        <v>0</v>
      </c>
      <c r="N153" s="3052">
        <v>0</v>
      </c>
      <c r="O153" s="3052">
        <v>0</v>
      </c>
      <c r="P153" s="3052">
        <v>0</v>
      </c>
      <c r="Q153" s="3052">
        <v>0</v>
      </c>
      <c r="R153" s="3053">
        <f t="shared" si="13"/>
        <v>1</v>
      </c>
      <c r="S153" s="3053">
        <f t="shared" si="13"/>
        <v>1</v>
      </c>
      <c r="T153" s="3053">
        <f t="shared" si="13"/>
        <v>1</v>
      </c>
      <c r="U153" s="3053">
        <f t="shared" si="13"/>
        <v>1</v>
      </c>
      <c r="V153" s="3053">
        <f t="shared" si="13"/>
        <v>1</v>
      </c>
      <c r="W153" s="3053">
        <f t="shared" si="13"/>
        <v>1</v>
      </c>
      <c r="X153" s="3053">
        <f t="shared" si="13"/>
        <v>1</v>
      </c>
      <c r="Y153" s="3053">
        <f t="shared" si="13"/>
        <v>1</v>
      </c>
      <c r="Z153" s="3053">
        <f t="shared" si="13"/>
        <v>1</v>
      </c>
      <c r="AA153" s="3053">
        <f t="shared" si="13"/>
        <v>1</v>
      </c>
      <c r="AB153" s="3053">
        <f t="shared" si="13"/>
        <v>1</v>
      </c>
      <c r="AC153" s="3053">
        <f t="shared" si="13"/>
        <v>1</v>
      </c>
      <c r="AD153" s="3053">
        <f t="shared" si="13"/>
        <v>1.0003905086873426</v>
      </c>
      <c r="AE153" s="3053">
        <f t="shared" si="13"/>
        <v>1</v>
      </c>
      <c r="AF153" s="3053">
        <f t="shared" si="13"/>
        <v>1</v>
      </c>
    </row>
    <row r="154" spans="1:32">
      <c r="A154" s="3043">
        <v>200</v>
      </c>
      <c r="B154" s="3060">
        <v>40</v>
      </c>
      <c r="C154" s="3052">
        <v>0</v>
      </c>
      <c r="D154" s="3052">
        <v>0</v>
      </c>
      <c r="E154" s="3052">
        <v>0</v>
      </c>
      <c r="F154" s="3052">
        <v>0</v>
      </c>
      <c r="G154" s="3052">
        <v>0</v>
      </c>
      <c r="H154" s="3052">
        <v>0</v>
      </c>
      <c r="I154" s="3052">
        <v>0</v>
      </c>
      <c r="J154" s="3052">
        <v>0</v>
      </c>
      <c r="K154" s="3052">
        <v>0</v>
      </c>
      <c r="L154" s="3052">
        <v>0</v>
      </c>
      <c r="M154" s="3052">
        <v>0</v>
      </c>
      <c r="N154" s="3052">
        <v>0</v>
      </c>
      <c r="O154" s="3052">
        <v>0</v>
      </c>
      <c r="P154" s="3052">
        <v>0</v>
      </c>
      <c r="Q154" s="3052">
        <v>0</v>
      </c>
      <c r="R154" s="3053">
        <f t="shared" si="13"/>
        <v>1</v>
      </c>
      <c r="S154" s="3053">
        <f t="shared" si="13"/>
        <v>1</v>
      </c>
      <c r="T154" s="3053">
        <f t="shared" si="13"/>
        <v>1</v>
      </c>
      <c r="U154" s="3053">
        <f t="shared" si="13"/>
        <v>1</v>
      </c>
      <c r="V154" s="3053">
        <f t="shared" si="13"/>
        <v>1</v>
      </c>
      <c r="W154" s="3053">
        <f t="shared" si="13"/>
        <v>1</v>
      </c>
      <c r="X154" s="3053">
        <f t="shared" si="13"/>
        <v>1</v>
      </c>
      <c r="Y154" s="3053">
        <f t="shared" si="13"/>
        <v>1</v>
      </c>
      <c r="Z154" s="3053">
        <f t="shared" si="13"/>
        <v>1</v>
      </c>
      <c r="AA154" s="3053">
        <f t="shared" si="13"/>
        <v>1</v>
      </c>
      <c r="AB154" s="3053">
        <f t="shared" si="13"/>
        <v>1</v>
      </c>
      <c r="AC154" s="3053">
        <f t="shared" si="13"/>
        <v>1</v>
      </c>
      <c r="AD154" s="3053">
        <f t="shared" si="13"/>
        <v>1.0003905086873426</v>
      </c>
      <c r="AE154" s="3053">
        <f t="shared" si="13"/>
        <v>1</v>
      </c>
      <c r="AF154" s="3053">
        <f t="shared" si="13"/>
        <v>1</v>
      </c>
    </row>
    <row r="155" spans="1:32">
      <c r="A155" s="3043">
        <v>200</v>
      </c>
      <c r="B155" s="3060">
        <v>41</v>
      </c>
      <c r="C155" s="3052">
        <v>0</v>
      </c>
      <c r="D155" s="3052">
        <v>0</v>
      </c>
      <c r="E155" s="3052">
        <v>0</v>
      </c>
      <c r="F155" s="3052">
        <v>0</v>
      </c>
      <c r="G155" s="3052">
        <v>0</v>
      </c>
      <c r="H155" s="3052">
        <v>0</v>
      </c>
      <c r="I155" s="3052">
        <v>0</v>
      </c>
      <c r="J155" s="3052">
        <v>0</v>
      </c>
      <c r="K155" s="3052">
        <v>0</v>
      </c>
      <c r="L155" s="3052">
        <v>0</v>
      </c>
      <c r="M155" s="3052">
        <v>0</v>
      </c>
      <c r="N155" s="3052">
        <v>0</v>
      </c>
      <c r="O155" s="3052">
        <v>0</v>
      </c>
      <c r="P155" s="3052">
        <v>0</v>
      </c>
      <c r="Q155" s="3052">
        <v>0</v>
      </c>
      <c r="R155" s="3053">
        <f t="shared" si="13"/>
        <v>1</v>
      </c>
      <c r="S155" s="3053">
        <f t="shared" si="13"/>
        <v>1</v>
      </c>
      <c r="T155" s="3053">
        <f t="shared" si="13"/>
        <v>1</v>
      </c>
      <c r="U155" s="3053">
        <f t="shared" si="13"/>
        <v>1</v>
      </c>
      <c r="V155" s="3053">
        <f t="shared" si="13"/>
        <v>1</v>
      </c>
      <c r="W155" s="3053">
        <f t="shared" si="13"/>
        <v>1</v>
      </c>
      <c r="X155" s="3053">
        <f t="shared" si="13"/>
        <v>1</v>
      </c>
      <c r="Y155" s="3053">
        <f t="shared" si="13"/>
        <v>1</v>
      </c>
      <c r="Z155" s="3053">
        <f t="shared" si="13"/>
        <v>1</v>
      </c>
      <c r="AA155" s="3053">
        <f t="shared" si="13"/>
        <v>1</v>
      </c>
      <c r="AB155" s="3053">
        <f t="shared" si="13"/>
        <v>1</v>
      </c>
      <c r="AC155" s="3053">
        <f t="shared" si="13"/>
        <v>1</v>
      </c>
      <c r="AD155" s="3053">
        <f t="shared" si="13"/>
        <v>1.0003905086873426</v>
      </c>
      <c r="AE155" s="3053">
        <f t="shared" si="13"/>
        <v>1</v>
      </c>
      <c r="AF155" s="3053">
        <f t="shared" si="13"/>
        <v>1</v>
      </c>
    </row>
    <row r="156" spans="1:32">
      <c r="A156" s="3043">
        <v>200</v>
      </c>
      <c r="B156" s="3060">
        <v>42</v>
      </c>
      <c r="C156" s="3052">
        <v>0</v>
      </c>
      <c r="D156" s="3052">
        <v>0</v>
      </c>
      <c r="E156" s="3052">
        <v>0</v>
      </c>
      <c r="F156" s="3052">
        <v>0</v>
      </c>
      <c r="G156" s="3052">
        <v>0</v>
      </c>
      <c r="H156" s="3052">
        <v>0</v>
      </c>
      <c r="I156" s="3052">
        <v>0</v>
      </c>
      <c r="J156" s="3052">
        <v>0</v>
      </c>
      <c r="K156" s="3052">
        <v>0</v>
      </c>
      <c r="L156" s="3052">
        <v>0</v>
      </c>
      <c r="M156" s="3052">
        <v>0</v>
      </c>
      <c r="N156" s="3052">
        <v>0</v>
      </c>
      <c r="O156" s="3052">
        <v>0</v>
      </c>
      <c r="P156" s="3052">
        <v>0</v>
      </c>
      <c r="Q156" s="3052">
        <v>0</v>
      </c>
      <c r="R156" s="3053">
        <f t="shared" si="13"/>
        <v>1</v>
      </c>
      <c r="S156" s="3053">
        <f t="shared" si="13"/>
        <v>1</v>
      </c>
      <c r="T156" s="3053">
        <f t="shared" si="13"/>
        <v>1</v>
      </c>
      <c r="U156" s="3053">
        <f t="shared" si="13"/>
        <v>1</v>
      </c>
      <c r="V156" s="3053">
        <f t="shared" si="13"/>
        <v>1</v>
      </c>
      <c r="W156" s="3053">
        <f t="shared" si="13"/>
        <v>1</v>
      </c>
      <c r="X156" s="3053">
        <f t="shared" si="13"/>
        <v>1</v>
      </c>
      <c r="Y156" s="3053">
        <f t="shared" si="13"/>
        <v>1</v>
      </c>
      <c r="Z156" s="3053">
        <f t="shared" si="13"/>
        <v>1</v>
      </c>
      <c r="AA156" s="3053">
        <f t="shared" si="13"/>
        <v>1</v>
      </c>
      <c r="AB156" s="3053">
        <f t="shared" si="13"/>
        <v>1</v>
      </c>
      <c r="AC156" s="3053">
        <f t="shared" si="13"/>
        <v>1</v>
      </c>
      <c r="AD156" s="3053">
        <f t="shared" si="13"/>
        <v>1.0003905086873426</v>
      </c>
      <c r="AE156" s="3053">
        <f t="shared" si="13"/>
        <v>1</v>
      </c>
      <c r="AF156" s="3053">
        <f t="shared" si="13"/>
        <v>1</v>
      </c>
    </row>
    <row r="157" spans="1:32">
      <c r="A157" s="3043">
        <v>200</v>
      </c>
      <c r="B157" s="3060">
        <v>43</v>
      </c>
      <c r="C157" s="3052">
        <v>0</v>
      </c>
      <c r="D157" s="3052">
        <v>0</v>
      </c>
      <c r="E157" s="3052">
        <v>0</v>
      </c>
      <c r="F157" s="3052">
        <v>0</v>
      </c>
      <c r="G157" s="3052">
        <v>0</v>
      </c>
      <c r="H157" s="3052">
        <v>0</v>
      </c>
      <c r="I157" s="3052">
        <v>0</v>
      </c>
      <c r="J157" s="3052">
        <v>0</v>
      </c>
      <c r="K157" s="3052">
        <v>0</v>
      </c>
      <c r="L157" s="3052">
        <v>0</v>
      </c>
      <c r="M157" s="3052">
        <v>0</v>
      </c>
      <c r="N157" s="3052">
        <v>0</v>
      </c>
      <c r="O157" s="3052">
        <v>0</v>
      </c>
      <c r="P157" s="3052">
        <v>0</v>
      </c>
      <c r="Q157" s="3052">
        <v>0</v>
      </c>
      <c r="R157" s="3053">
        <f t="shared" si="13"/>
        <v>1</v>
      </c>
      <c r="S157" s="3053">
        <f t="shared" si="13"/>
        <v>1</v>
      </c>
      <c r="T157" s="3053">
        <f t="shared" si="13"/>
        <v>1</v>
      </c>
      <c r="U157" s="3053">
        <f t="shared" si="13"/>
        <v>1</v>
      </c>
      <c r="V157" s="3053">
        <f t="shared" si="13"/>
        <v>1</v>
      </c>
      <c r="W157" s="3053">
        <f t="shared" si="13"/>
        <v>1</v>
      </c>
      <c r="X157" s="3053">
        <f t="shared" si="13"/>
        <v>1</v>
      </c>
      <c r="Y157" s="3053">
        <f t="shared" si="13"/>
        <v>1</v>
      </c>
      <c r="Z157" s="3053">
        <f t="shared" si="13"/>
        <v>1</v>
      </c>
      <c r="AA157" s="3053">
        <f t="shared" si="13"/>
        <v>1</v>
      </c>
      <c r="AB157" s="3053">
        <f t="shared" si="13"/>
        <v>1</v>
      </c>
      <c r="AC157" s="3053">
        <f t="shared" si="13"/>
        <v>1</v>
      </c>
      <c r="AD157" s="3053">
        <f t="shared" si="13"/>
        <v>1.0003905086873426</v>
      </c>
      <c r="AE157" s="3053">
        <f t="shared" si="13"/>
        <v>1</v>
      </c>
      <c r="AF157" s="3053">
        <f t="shared" si="13"/>
        <v>1</v>
      </c>
    </row>
    <row r="158" spans="1:32">
      <c r="A158" s="3043">
        <v>200</v>
      </c>
      <c r="B158" s="3060">
        <v>44</v>
      </c>
      <c r="C158" s="3052">
        <v>0</v>
      </c>
      <c r="D158" s="3052">
        <v>0</v>
      </c>
      <c r="E158" s="3052">
        <v>0</v>
      </c>
      <c r="F158" s="3052">
        <v>0</v>
      </c>
      <c r="G158" s="3052">
        <v>0</v>
      </c>
      <c r="H158" s="3052">
        <v>0</v>
      </c>
      <c r="I158" s="3052">
        <v>0</v>
      </c>
      <c r="J158" s="3052">
        <v>0</v>
      </c>
      <c r="K158" s="3052">
        <v>0</v>
      </c>
      <c r="L158" s="3052">
        <v>0</v>
      </c>
      <c r="M158" s="3052">
        <v>0</v>
      </c>
      <c r="N158" s="3052">
        <v>0</v>
      </c>
      <c r="O158" s="3052">
        <v>0</v>
      </c>
      <c r="P158" s="3052">
        <v>0</v>
      </c>
      <c r="Q158" s="3052">
        <v>0</v>
      </c>
      <c r="R158" s="3053">
        <f t="shared" si="13"/>
        <v>1</v>
      </c>
      <c r="S158" s="3053">
        <f t="shared" si="13"/>
        <v>1</v>
      </c>
      <c r="T158" s="3053">
        <f t="shared" si="13"/>
        <v>1</v>
      </c>
      <c r="U158" s="3053">
        <f t="shared" si="13"/>
        <v>1</v>
      </c>
      <c r="V158" s="3053">
        <f t="shared" si="13"/>
        <v>1</v>
      </c>
      <c r="W158" s="3053">
        <f t="shared" si="13"/>
        <v>1</v>
      </c>
      <c r="X158" s="3053">
        <f t="shared" si="13"/>
        <v>1</v>
      </c>
      <c r="Y158" s="3053">
        <f t="shared" si="13"/>
        <v>1</v>
      </c>
      <c r="Z158" s="3053">
        <f t="shared" si="13"/>
        <v>1</v>
      </c>
      <c r="AA158" s="3053">
        <f t="shared" si="13"/>
        <v>1</v>
      </c>
      <c r="AB158" s="3053">
        <f t="shared" si="13"/>
        <v>1</v>
      </c>
      <c r="AC158" s="3053">
        <f t="shared" si="13"/>
        <v>1</v>
      </c>
      <c r="AD158" s="3053">
        <f t="shared" si="13"/>
        <v>1.0003905086873426</v>
      </c>
      <c r="AE158" s="3053">
        <f t="shared" si="13"/>
        <v>1</v>
      </c>
      <c r="AF158" s="3053">
        <f t="shared" si="13"/>
        <v>1</v>
      </c>
    </row>
    <row r="159" spans="1:32">
      <c r="A159" s="3043">
        <v>200</v>
      </c>
      <c r="B159" s="3060">
        <v>45</v>
      </c>
      <c r="C159" s="3052">
        <v>0</v>
      </c>
      <c r="D159" s="3052">
        <v>0</v>
      </c>
      <c r="E159" s="3052">
        <v>0</v>
      </c>
      <c r="F159" s="3052">
        <v>0</v>
      </c>
      <c r="G159" s="3052">
        <v>0</v>
      </c>
      <c r="H159" s="3052">
        <v>0</v>
      </c>
      <c r="I159" s="3052">
        <v>0</v>
      </c>
      <c r="J159" s="3052">
        <v>0</v>
      </c>
      <c r="K159" s="3052">
        <v>0</v>
      </c>
      <c r="L159" s="3052">
        <v>0</v>
      </c>
      <c r="M159" s="3052">
        <v>0</v>
      </c>
      <c r="N159" s="3052">
        <v>0</v>
      </c>
      <c r="O159" s="3052">
        <v>0</v>
      </c>
      <c r="P159" s="3052">
        <v>0</v>
      </c>
      <c r="Q159" s="3052">
        <v>0</v>
      </c>
      <c r="R159" s="3053">
        <f t="shared" si="13"/>
        <v>1</v>
      </c>
      <c r="S159" s="3053">
        <f t="shared" si="13"/>
        <v>1</v>
      </c>
      <c r="T159" s="3053">
        <f t="shared" si="13"/>
        <v>1</v>
      </c>
      <c r="U159" s="3053">
        <f t="shared" si="13"/>
        <v>1</v>
      </c>
      <c r="V159" s="3053">
        <f t="shared" si="13"/>
        <v>1</v>
      </c>
      <c r="W159" s="3053">
        <f t="shared" si="13"/>
        <v>1</v>
      </c>
      <c r="X159" s="3053">
        <f t="shared" si="13"/>
        <v>1</v>
      </c>
      <c r="Y159" s="3053">
        <f t="shared" si="13"/>
        <v>1</v>
      </c>
      <c r="Z159" s="3053">
        <f t="shared" si="13"/>
        <v>1</v>
      </c>
      <c r="AA159" s="3053">
        <f t="shared" si="13"/>
        <v>1</v>
      </c>
      <c r="AB159" s="3053">
        <f t="shared" si="13"/>
        <v>1</v>
      </c>
      <c r="AC159" s="3053">
        <f t="shared" si="13"/>
        <v>1</v>
      </c>
      <c r="AD159" s="3053">
        <f t="shared" si="13"/>
        <v>1.0003905086873426</v>
      </c>
      <c r="AE159" s="3053">
        <f t="shared" si="13"/>
        <v>1</v>
      </c>
      <c r="AF159" s="3053">
        <f t="shared" si="13"/>
        <v>1</v>
      </c>
    </row>
    <row r="160" spans="1:32">
      <c r="A160" s="3043">
        <v>200</v>
      </c>
      <c r="B160" s="3060">
        <v>46</v>
      </c>
      <c r="C160" s="3052">
        <v>0</v>
      </c>
      <c r="D160" s="3052">
        <v>0</v>
      </c>
      <c r="E160" s="3052">
        <v>0</v>
      </c>
      <c r="F160" s="3052">
        <v>0</v>
      </c>
      <c r="G160" s="3052">
        <v>0</v>
      </c>
      <c r="H160" s="3052">
        <v>0</v>
      </c>
      <c r="I160" s="3052">
        <v>0</v>
      </c>
      <c r="J160" s="3052">
        <v>0</v>
      </c>
      <c r="K160" s="3052">
        <v>0</v>
      </c>
      <c r="L160" s="3052">
        <v>0</v>
      </c>
      <c r="M160" s="3052">
        <v>0</v>
      </c>
      <c r="N160" s="3052">
        <v>0</v>
      </c>
      <c r="O160" s="3052">
        <v>0</v>
      </c>
      <c r="P160" s="3052">
        <v>0</v>
      </c>
      <c r="Q160" s="3052">
        <v>0</v>
      </c>
      <c r="R160" s="3053">
        <f t="shared" si="13"/>
        <v>1</v>
      </c>
      <c r="S160" s="3053">
        <f t="shared" si="13"/>
        <v>1</v>
      </c>
      <c r="T160" s="3053">
        <f t="shared" si="13"/>
        <v>1</v>
      </c>
      <c r="U160" s="3053">
        <f t="shared" si="13"/>
        <v>1</v>
      </c>
      <c r="V160" s="3053">
        <f t="shared" si="13"/>
        <v>1</v>
      </c>
      <c r="W160" s="3053">
        <f t="shared" si="13"/>
        <v>1</v>
      </c>
      <c r="X160" s="3053">
        <f t="shared" si="13"/>
        <v>1</v>
      </c>
      <c r="Y160" s="3053">
        <f t="shared" si="13"/>
        <v>1</v>
      </c>
      <c r="Z160" s="3053">
        <f t="shared" si="13"/>
        <v>1</v>
      </c>
      <c r="AA160" s="3053">
        <f t="shared" si="13"/>
        <v>1</v>
      </c>
      <c r="AB160" s="3053">
        <f t="shared" si="13"/>
        <v>1</v>
      </c>
      <c r="AC160" s="3053">
        <f t="shared" si="13"/>
        <v>1</v>
      </c>
      <c r="AD160" s="3053">
        <f t="shared" si="13"/>
        <v>1.0003905086873426</v>
      </c>
      <c r="AE160" s="3053">
        <f t="shared" si="13"/>
        <v>1</v>
      </c>
      <c r="AF160" s="3053">
        <f t="shared" si="13"/>
        <v>1</v>
      </c>
    </row>
    <row r="161" spans="1:32">
      <c r="A161" s="3043">
        <v>200</v>
      </c>
      <c r="B161" s="3060">
        <v>47</v>
      </c>
      <c r="C161" s="3052">
        <v>0</v>
      </c>
      <c r="D161" s="3052">
        <v>0</v>
      </c>
      <c r="E161" s="3052">
        <v>0</v>
      </c>
      <c r="F161" s="3052">
        <v>0</v>
      </c>
      <c r="G161" s="3052">
        <v>0</v>
      </c>
      <c r="H161" s="3052">
        <v>0</v>
      </c>
      <c r="I161" s="3052">
        <v>0</v>
      </c>
      <c r="J161" s="3052">
        <v>0</v>
      </c>
      <c r="K161" s="3052">
        <v>0</v>
      </c>
      <c r="L161" s="3052">
        <v>0</v>
      </c>
      <c r="M161" s="3052">
        <v>0</v>
      </c>
      <c r="N161" s="3052">
        <v>0</v>
      </c>
      <c r="O161" s="3052">
        <v>0</v>
      </c>
      <c r="P161" s="3052">
        <v>0</v>
      </c>
      <c r="Q161" s="3052">
        <v>0</v>
      </c>
      <c r="R161" s="3053">
        <f t="shared" si="13"/>
        <v>1</v>
      </c>
      <c r="S161" s="3053">
        <f t="shared" si="13"/>
        <v>1</v>
      </c>
      <c r="T161" s="3053">
        <f t="shared" si="13"/>
        <v>1</v>
      </c>
      <c r="U161" s="3053">
        <f t="shared" si="13"/>
        <v>1</v>
      </c>
      <c r="V161" s="3053">
        <f t="shared" si="13"/>
        <v>1</v>
      </c>
      <c r="W161" s="3053">
        <f t="shared" si="13"/>
        <v>1</v>
      </c>
      <c r="X161" s="3053">
        <f t="shared" si="13"/>
        <v>1</v>
      </c>
      <c r="Y161" s="3053">
        <f t="shared" si="13"/>
        <v>1</v>
      </c>
      <c r="Z161" s="3053">
        <f t="shared" si="13"/>
        <v>1</v>
      </c>
      <c r="AA161" s="3053">
        <f t="shared" si="13"/>
        <v>1</v>
      </c>
      <c r="AB161" s="3053">
        <f t="shared" si="13"/>
        <v>1</v>
      </c>
      <c r="AC161" s="3053">
        <f t="shared" si="13"/>
        <v>1</v>
      </c>
      <c r="AD161" s="3053">
        <f t="shared" si="13"/>
        <v>1.0003905086873426</v>
      </c>
      <c r="AE161" s="3053">
        <f t="shared" si="13"/>
        <v>1</v>
      </c>
      <c r="AF161" s="3053">
        <f t="shared" si="13"/>
        <v>1</v>
      </c>
    </row>
    <row r="162" spans="1:32">
      <c r="A162" s="3043">
        <v>200</v>
      </c>
      <c r="B162" s="3060">
        <v>48</v>
      </c>
      <c r="C162" s="3052">
        <v>0</v>
      </c>
      <c r="D162" s="3052">
        <v>0</v>
      </c>
      <c r="E162" s="3052">
        <v>0</v>
      </c>
      <c r="F162" s="3052">
        <v>0</v>
      </c>
      <c r="G162" s="3052">
        <v>0</v>
      </c>
      <c r="H162" s="3052">
        <v>0</v>
      </c>
      <c r="I162" s="3052">
        <v>0</v>
      </c>
      <c r="J162" s="3052">
        <v>0</v>
      </c>
      <c r="K162" s="3052">
        <v>0</v>
      </c>
      <c r="L162" s="3052">
        <v>0</v>
      </c>
      <c r="M162" s="3052">
        <v>0</v>
      </c>
      <c r="N162" s="3052">
        <v>0</v>
      </c>
      <c r="O162" s="3052">
        <v>0</v>
      </c>
      <c r="P162" s="3052">
        <v>0</v>
      </c>
      <c r="Q162" s="3052">
        <v>0</v>
      </c>
      <c r="R162" s="3053">
        <f t="shared" si="13"/>
        <v>1</v>
      </c>
      <c r="S162" s="3053">
        <f t="shared" si="13"/>
        <v>1</v>
      </c>
      <c r="T162" s="3053">
        <f t="shared" si="13"/>
        <v>1</v>
      </c>
      <c r="U162" s="3053">
        <f t="shared" si="13"/>
        <v>1</v>
      </c>
      <c r="V162" s="3053">
        <f t="shared" si="13"/>
        <v>1</v>
      </c>
      <c r="W162" s="3053">
        <f t="shared" si="13"/>
        <v>1</v>
      </c>
      <c r="X162" s="3053">
        <f t="shared" si="13"/>
        <v>1</v>
      </c>
      <c r="Y162" s="3053">
        <f t="shared" si="13"/>
        <v>1</v>
      </c>
      <c r="Z162" s="3053">
        <f t="shared" si="13"/>
        <v>1</v>
      </c>
      <c r="AA162" s="3053">
        <f t="shared" si="13"/>
        <v>1</v>
      </c>
      <c r="AB162" s="3053">
        <f t="shared" si="13"/>
        <v>1</v>
      </c>
      <c r="AC162" s="3053">
        <f t="shared" si="13"/>
        <v>1</v>
      </c>
      <c r="AD162" s="3053">
        <f t="shared" si="13"/>
        <v>1.0003905086873426</v>
      </c>
      <c r="AE162" s="3053">
        <f t="shared" si="13"/>
        <v>1</v>
      </c>
      <c r="AF162" s="3053">
        <f t="shared" si="13"/>
        <v>1</v>
      </c>
    </row>
    <row r="163" spans="1:32">
      <c r="A163" s="3043">
        <v>200</v>
      </c>
      <c r="B163" s="3060">
        <v>49</v>
      </c>
      <c r="C163" s="3052">
        <v>0</v>
      </c>
      <c r="D163" s="3052">
        <v>0</v>
      </c>
      <c r="E163" s="3052">
        <v>0</v>
      </c>
      <c r="F163" s="3052">
        <v>0</v>
      </c>
      <c r="G163" s="3052">
        <v>0</v>
      </c>
      <c r="H163" s="3052">
        <v>0</v>
      </c>
      <c r="I163" s="3052">
        <v>0</v>
      </c>
      <c r="J163" s="3052">
        <v>0</v>
      </c>
      <c r="K163" s="3052">
        <v>0</v>
      </c>
      <c r="L163" s="3052">
        <v>0</v>
      </c>
      <c r="M163" s="3052">
        <v>0</v>
      </c>
      <c r="N163" s="3052">
        <v>0</v>
      </c>
      <c r="O163" s="3052">
        <v>0</v>
      </c>
      <c r="P163" s="3052">
        <v>0</v>
      </c>
      <c r="Q163" s="3052">
        <v>0</v>
      </c>
      <c r="R163" s="3053">
        <f t="shared" si="13"/>
        <v>1</v>
      </c>
      <c r="S163" s="3053">
        <f t="shared" si="13"/>
        <v>1</v>
      </c>
      <c r="T163" s="3053">
        <f t="shared" si="13"/>
        <v>1</v>
      </c>
      <c r="U163" s="3053">
        <f t="shared" si="13"/>
        <v>1</v>
      </c>
      <c r="V163" s="3053">
        <f t="shared" si="13"/>
        <v>1</v>
      </c>
      <c r="W163" s="3053">
        <f t="shared" si="13"/>
        <v>1</v>
      </c>
      <c r="X163" s="3053">
        <f t="shared" si="13"/>
        <v>1</v>
      </c>
      <c r="Y163" s="3053">
        <f t="shared" si="13"/>
        <v>1</v>
      </c>
      <c r="Z163" s="3053">
        <f t="shared" si="13"/>
        <v>1</v>
      </c>
      <c r="AA163" s="3053">
        <f t="shared" si="13"/>
        <v>1</v>
      </c>
      <c r="AB163" s="3053">
        <f t="shared" si="13"/>
        <v>1</v>
      </c>
      <c r="AC163" s="3053">
        <f t="shared" si="13"/>
        <v>1</v>
      </c>
      <c r="AD163" s="3053">
        <f t="shared" si="13"/>
        <v>1.0003905086873426</v>
      </c>
      <c r="AE163" s="3053">
        <f t="shared" si="13"/>
        <v>1</v>
      </c>
      <c r="AF163" s="3053">
        <f t="shared" si="13"/>
        <v>1</v>
      </c>
    </row>
    <row r="164" spans="1:32">
      <c r="A164" s="3043">
        <v>200</v>
      </c>
      <c r="B164" s="3060">
        <v>50</v>
      </c>
      <c r="C164" s="3052">
        <v>0</v>
      </c>
      <c r="D164" s="3052">
        <v>0</v>
      </c>
      <c r="E164" s="3052">
        <v>0</v>
      </c>
      <c r="F164" s="3052">
        <v>0</v>
      </c>
      <c r="G164" s="3052">
        <v>0</v>
      </c>
      <c r="H164" s="3052">
        <v>0</v>
      </c>
      <c r="I164" s="3052">
        <v>0</v>
      </c>
      <c r="J164" s="3052">
        <v>0</v>
      </c>
      <c r="K164" s="3052">
        <v>0</v>
      </c>
      <c r="L164" s="3052">
        <v>0</v>
      </c>
      <c r="M164" s="3052">
        <v>0</v>
      </c>
      <c r="N164" s="3052">
        <v>0</v>
      </c>
      <c r="O164" s="3052">
        <v>0</v>
      </c>
      <c r="P164" s="3052">
        <v>0</v>
      </c>
      <c r="Q164" s="3052">
        <v>0</v>
      </c>
      <c r="R164" s="3053">
        <f t="shared" ref="R164:AF179" si="14">C164+R163</f>
        <v>1</v>
      </c>
      <c r="S164" s="3053">
        <f t="shared" si="14"/>
        <v>1</v>
      </c>
      <c r="T164" s="3053">
        <f t="shared" si="14"/>
        <v>1</v>
      </c>
      <c r="U164" s="3053">
        <f t="shared" si="14"/>
        <v>1</v>
      </c>
      <c r="V164" s="3053">
        <f t="shared" si="14"/>
        <v>1</v>
      </c>
      <c r="W164" s="3053">
        <f t="shared" si="14"/>
        <v>1</v>
      </c>
      <c r="X164" s="3053">
        <f t="shared" si="14"/>
        <v>1</v>
      </c>
      <c r="Y164" s="3053">
        <f t="shared" si="14"/>
        <v>1</v>
      </c>
      <c r="Z164" s="3053">
        <f t="shared" si="14"/>
        <v>1</v>
      </c>
      <c r="AA164" s="3053">
        <f t="shared" si="14"/>
        <v>1</v>
      </c>
      <c r="AB164" s="3053">
        <f t="shared" si="14"/>
        <v>1</v>
      </c>
      <c r="AC164" s="3053">
        <f t="shared" si="14"/>
        <v>1</v>
      </c>
      <c r="AD164" s="3053">
        <f t="shared" si="14"/>
        <v>1.0003905086873426</v>
      </c>
      <c r="AE164" s="3053">
        <f t="shared" si="14"/>
        <v>1</v>
      </c>
      <c r="AF164" s="3053">
        <f t="shared" si="14"/>
        <v>1</v>
      </c>
    </row>
    <row r="165" spans="1:32">
      <c r="A165" s="3043">
        <v>200</v>
      </c>
      <c r="B165" s="3060">
        <v>51</v>
      </c>
      <c r="C165" s="3052">
        <v>0</v>
      </c>
      <c r="D165" s="3052">
        <v>0</v>
      </c>
      <c r="E165" s="3052">
        <v>0</v>
      </c>
      <c r="F165" s="3052">
        <v>0</v>
      </c>
      <c r="G165" s="3052">
        <v>0</v>
      </c>
      <c r="H165" s="3052">
        <v>0</v>
      </c>
      <c r="I165" s="3052">
        <v>0</v>
      </c>
      <c r="J165" s="3052">
        <v>0</v>
      </c>
      <c r="K165" s="3052">
        <v>0</v>
      </c>
      <c r="L165" s="3052">
        <v>0</v>
      </c>
      <c r="M165" s="3052">
        <v>0</v>
      </c>
      <c r="N165" s="3052">
        <v>0</v>
      </c>
      <c r="O165" s="3052">
        <v>0</v>
      </c>
      <c r="P165" s="3052">
        <v>0</v>
      </c>
      <c r="Q165" s="3052">
        <v>0</v>
      </c>
      <c r="R165" s="3053">
        <f t="shared" si="14"/>
        <v>1</v>
      </c>
      <c r="S165" s="3053">
        <f t="shared" si="14"/>
        <v>1</v>
      </c>
      <c r="T165" s="3053">
        <f t="shared" si="14"/>
        <v>1</v>
      </c>
      <c r="U165" s="3053">
        <f t="shared" si="14"/>
        <v>1</v>
      </c>
      <c r="V165" s="3053">
        <f t="shared" si="14"/>
        <v>1</v>
      </c>
      <c r="W165" s="3053">
        <f t="shared" si="14"/>
        <v>1</v>
      </c>
      <c r="X165" s="3053">
        <f t="shared" si="14"/>
        <v>1</v>
      </c>
      <c r="Y165" s="3053">
        <f t="shared" si="14"/>
        <v>1</v>
      </c>
      <c r="Z165" s="3053">
        <f t="shared" si="14"/>
        <v>1</v>
      </c>
      <c r="AA165" s="3053">
        <f t="shared" si="14"/>
        <v>1</v>
      </c>
      <c r="AB165" s="3053">
        <f t="shared" si="14"/>
        <v>1</v>
      </c>
      <c r="AC165" s="3053">
        <f t="shared" si="14"/>
        <v>1</v>
      </c>
      <c r="AD165" s="3053">
        <f t="shared" si="14"/>
        <v>1.0003905086873426</v>
      </c>
      <c r="AE165" s="3053">
        <f t="shared" si="14"/>
        <v>1</v>
      </c>
      <c r="AF165" s="3053">
        <f t="shared" si="14"/>
        <v>1</v>
      </c>
    </row>
    <row r="166" spans="1:32">
      <c r="A166" s="3043">
        <v>200</v>
      </c>
      <c r="B166" s="3060">
        <v>52</v>
      </c>
      <c r="C166" s="3052">
        <v>0</v>
      </c>
      <c r="D166" s="3052">
        <v>0</v>
      </c>
      <c r="E166" s="3052">
        <v>0</v>
      </c>
      <c r="F166" s="3052">
        <v>0</v>
      </c>
      <c r="G166" s="3052">
        <v>0</v>
      </c>
      <c r="H166" s="3052">
        <v>0</v>
      </c>
      <c r="I166" s="3052">
        <v>0</v>
      </c>
      <c r="J166" s="3052">
        <v>0</v>
      </c>
      <c r="K166" s="3052">
        <v>0</v>
      </c>
      <c r="L166" s="3052">
        <v>0</v>
      </c>
      <c r="M166" s="3052">
        <v>0</v>
      </c>
      <c r="N166" s="3052">
        <v>0</v>
      </c>
      <c r="O166" s="3052">
        <v>0</v>
      </c>
      <c r="P166" s="3052">
        <v>0</v>
      </c>
      <c r="Q166" s="3052">
        <v>0</v>
      </c>
      <c r="R166" s="3053">
        <f t="shared" si="14"/>
        <v>1</v>
      </c>
      <c r="S166" s="3053">
        <f t="shared" si="14"/>
        <v>1</v>
      </c>
      <c r="T166" s="3053">
        <f t="shared" si="14"/>
        <v>1</v>
      </c>
      <c r="U166" s="3053">
        <f t="shared" si="14"/>
        <v>1</v>
      </c>
      <c r="V166" s="3053">
        <f t="shared" si="14"/>
        <v>1</v>
      </c>
      <c r="W166" s="3053">
        <f t="shared" si="14"/>
        <v>1</v>
      </c>
      <c r="X166" s="3053">
        <f t="shared" si="14"/>
        <v>1</v>
      </c>
      <c r="Y166" s="3053">
        <f t="shared" si="14"/>
        <v>1</v>
      </c>
      <c r="Z166" s="3053">
        <f t="shared" si="14"/>
        <v>1</v>
      </c>
      <c r="AA166" s="3053">
        <f t="shared" si="14"/>
        <v>1</v>
      </c>
      <c r="AB166" s="3053">
        <f t="shared" si="14"/>
        <v>1</v>
      </c>
      <c r="AC166" s="3053">
        <f t="shared" si="14"/>
        <v>1</v>
      </c>
      <c r="AD166" s="3053">
        <f t="shared" si="14"/>
        <v>1.0003905086873426</v>
      </c>
      <c r="AE166" s="3053">
        <f t="shared" si="14"/>
        <v>1</v>
      </c>
      <c r="AF166" s="3053">
        <f t="shared" si="14"/>
        <v>1</v>
      </c>
    </row>
    <row r="167" spans="1:32">
      <c r="A167" s="3043">
        <v>200</v>
      </c>
      <c r="B167" s="3060">
        <v>53</v>
      </c>
      <c r="C167" s="3052">
        <v>0</v>
      </c>
      <c r="D167" s="3052">
        <v>0</v>
      </c>
      <c r="E167" s="3052">
        <v>0</v>
      </c>
      <c r="F167" s="3052">
        <v>0</v>
      </c>
      <c r="G167" s="3052">
        <v>0</v>
      </c>
      <c r="H167" s="3052">
        <v>0</v>
      </c>
      <c r="I167" s="3052">
        <v>0</v>
      </c>
      <c r="J167" s="3052">
        <v>0</v>
      </c>
      <c r="K167" s="3052">
        <v>0</v>
      </c>
      <c r="L167" s="3052">
        <v>0</v>
      </c>
      <c r="M167" s="3052">
        <v>0</v>
      </c>
      <c r="N167" s="3052">
        <v>0</v>
      </c>
      <c r="O167" s="3052">
        <v>0</v>
      </c>
      <c r="P167" s="3052">
        <v>0</v>
      </c>
      <c r="Q167" s="3052">
        <v>0</v>
      </c>
      <c r="R167" s="3053">
        <f t="shared" si="14"/>
        <v>1</v>
      </c>
      <c r="S167" s="3053">
        <f t="shared" si="14"/>
        <v>1</v>
      </c>
      <c r="T167" s="3053">
        <f t="shared" si="14"/>
        <v>1</v>
      </c>
      <c r="U167" s="3053">
        <f t="shared" si="14"/>
        <v>1</v>
      </c>
      <c r="V167" s="3053">
        <f t="shared" si="14"/>
        <v>1</v>
      </c>
      <c r="W167" s="3053">
        <f t="shared" si="14"/>
        <v>1</v>
      </c>
      <c r="X167" s="3053">
        <f t="shared" si="14"/>
        <v>1</v>
      </c>
      <c r="Y167" s="3053">
        <f t="shared" si="14"/>
        <v>1</v>
      </c>
      <c r="Z167" s="3053">
        <f t="shared" si="14"/>
        <v>1</v>
      </c>
      <c r="AA167" s="3053">
        <f t="shared" si="14"/>
        <v>1</v>
      </c>
      <c r="AB167" s="3053">
        <f t="shared" si="14"/>
        <v>1</v>
      </c>
      <c r="AC167" s="3053">
        <f t="shared" si="14"/>
        <v>1</v>
      </c>
      <c r="AD167" s="3053">
        <f t="shared" si="14"/>
        <v>1.0003905086873426</v>
      </c>
      <c r="AE167" s="3053">
        <f t="shared" si="14"/>
        <v>1</v>
      </c>
      <c r="AF167" s="3053">
        <f t="shared" si="14"/>
        <v>1</v>
      </c>
    </row>
    <row r="168" spans="1:32">
      <c r="A168" s="3043">
        <v>200</v>
      </c>
      <c r="B168" s="3060">
        <v>54</v>
      </c>
      <c r="C168" s="3052">
        <v>0</v>
      </c>
      <c r="D168" s="3052">
        <v>0</v>
      </c>
      <c r="E168" s="3052">
        <v>0</v>
      </c>
      <c r="F168" s="3052">
        <v>0</v>
      </c>
      <c r="G168" s="3052">
        <v>0</v>
      </c>
      <c r="H168" s="3052">
        <v>0</v>
      </c>
      <c r="I168" s="3052">
        <v>0</v>
      </c>
      <c r="J168" s="3052">
        <v>0</v>
      </c>
      <c r="K168" s="3052">
        <v>0</v>
      </c>
      <c r="L168" s="3052">
        <v>0</v>
      </c>
      <c r="M168" s="3052">
        <v>0</v>
      </c>
      <c r="N168" s="3052">
        <v>0</v>
      </c>
      <c r="O168" s="3052">
        <v>0</v>
      </c>
      <c r="P168" s="3052">
        <v>0</v>
      </c>
      <c r="Q168" s="3052">
        <v>0</v>
      </c>
      <c r="R168" s="3053">
        <f t="shared" si="14"/>
        <v>1</v>
      </c>
      <c r="S168" s="3053">
        <f t="shared" si="14"/>
        <v>1</v>
      </c>
      <c r="T168" s="3053">
        <f t="shared" si="14"/>
        <v>1</v>
      </c>
      <c r="U168" s="3053">
        <f t="shared" si="14"/>
        <v>1</v>
      </c>
      <c r="V168" s="3053">
        <f t="shared" si="14"/>
        <v>1</v>
      </c>
      <c r="W168" s="3053">
        <f t="shared" si="14"/>
        <v>1</v>
      </c>
      <c r="X168" s="3053">
        <f t="shared" si="14"/>
        <v>1</v>
      </c>
      <c r="Y168" s="3053">
        <f t="shared" si="14"/>
        <v>1</v>
      </c>
      <c r="Z168" s="3053">
        <f t="shared" si="14"/>
        <v>1</v>
      </c>
      <c r="AA168" s="3053">
        <f t="shared" si="14"/>
        <v>1</v>
      </c>
      <c r="AB168" s="3053">
        <f t="shared" si="14"/>
        <v>1</v>
      </c>
      <c r="AC168" s="3053">
        <f t="shared" si="14"/>
        <v>1</v>
      </c>
      <c r="AD168" s="3053">
        <f t="shared" si="14"/>
        <v>1.0003905086873426</v>
      </c>
      <c r="AE168" s="3053">
        <f t="shared" si="14"/>
        <v>1</v>
      </c>
      <c r="AF168" s="3053">
        <f t="shared" si="14"/>
        <v>1</v>
      </c>
    </row>
    <row r="169" spans="1:32">
      <c r="A169" s="3043">
        <v>200</v>
      </c>
      <c r="B169" s="3060">
        <v>55</v>
      </c>
      <c r="C169" s="3052">
        <v>0</v>
      </c>
      <c r="D169" s="3052">
        <v>0</v>
      </c>
      <c r="E169" s="3052">
        <v>0</v>
      </c>
      <c r="F169" s="3052">
        <v>0</v>
      </c>
      <c r="G169" s="3052">
        <v>0</v>
      </c>
      <c r="H169" s="3052">
        <v>0</v>
      </c>
      <c r="I169" s="3052">
        <v>0</v>
      </c>
      <c r="J169" s="3052">
        <v>0</v>
      </c>
      <c r="K169" s="3052">
        <v>0</v>
      </c>
      <c r="L169" s="3052">
        <v>0</v>
      </c>
      <c r="M169" s="3052">
        <v>0</v>
      </c>
      <c r="N169" s="3052">
        <v>0</v>
      </c>
      <c r="O169" s="3052">
        <v>0</v>
      </c>
      <c r="P169" s="3052">
        <v>0</v>
      </c>
      <c r="Q169" s="3052">
        <v>0</v>
      </c>
      <c r="R169" s="3053">
        <f t="shared" si="14"/>
        <v>1</v>
      </c>
      <c r="S169" s="3053">
        <f t="shared" si="14"/>
        <v>1</v>
      </c>
      <c r="T169" s="3053">
        <f t="shared" si="14"/>
        <v>1</v>
      </c>
      <c r="U169" s="3053">
        <f t="shared" si="14"/>
        <v>1</v>
      </c>
      <c r="V169" s="3053">
        <f t="shared" si="14"/>
        <v>1</v>
      </c>
      <c r="W169" s="3053">
        <f t="shared" si="14"/>
        <v>1</v>
      </c>
      <c r="X169" s="3053">
        <f t="shared" si="14"/>
        <v>1</v>
      </c>
      <c r="Y169" s="3053">
        <f t="shared" si="14"/>
        <v>1</v>
      </c>
      <c r="Z169" s="3053">
        <f t="shared" si="14"/>
        <v>1</v>
      </c>
      <c r="AA169" s="3053">
        <f t="shared" si="14"/>
        <v>1</v>
      </c>
      <c r="AB169" s="3053">
        <f t="shared" si="14"/>
        <v>1</v>
      </c>
      <c r="AC169" s="3053">
        <f t="shared" si="14"/>
        <v>1</v>
      </c>
      <c r="AD169" s="3053">
        <f t="shared" si="14"/>
        <v>1.0003905086873426</v>
      </c>
      <c r="AE169" s="3053">
        <f t="shared" si="14"/>
        <v>1</v>
      </c>
      <c r="AF169" s="3053">
        <f t="shared" si="14"/>
        <v>1</v>
      </c>
    </row>
    <row r="170" spans="1:32">
      <c r="A170" s="3043">
        <v>200</v>
      </c>
      <c r="B170" s="3060">
        <v>56</v>
      </c>
      <c r="C170" s="3052">
        <v>0</v>
      </c>
      <c r="D170" s="3052">
        <v>0</v>
      </c>
      <c r="E170" s="3052">
        <v>0</v>
      </c>
      <c r="F170" s="3052">
        <v>0</v>
      </c>
      <c r="G170" s="3052">
        <v>0</v>
      </c>
      <c r="H170" s="3052">
        <v>0</v>
      </c>
      <c r="I170" s="3052">
        <v>0</v>
      </c>
      <c r="J170" s="3052">
        <v>0</v>
      </c>
      <c r="K170" s="3052">
        <v>0</v>
      </c>
      <c r="L170" s="3052">
        <v>0</v>
      </c>
      <c r="M170" s="3052">
        <v>0</v>
      </c>
      <c r="N170" s="3052">
        <v>0</v>
      </c>
      <c r="O170" s="3052">
        <v>0</v>
      </c>
      <c r="P170" s="3052">
        <v>0</v>
      </c>
      <c r="Q170" s="3052">
        <v>0</v>
      </c>
      <c r="R170" s="3053">
        <f t="shared" si="14"/>
        <v>1</v>
      </c>
      <c r="S170" s="3053">
        <f t="shared" si="14"/>
        <v>1</v>
      </c>
      <c r="T170" s="3053">
        <f t="shared" si="14"/>
        <v>1</v>
      </c>
      <c r="U170" s="3053">
        <f t="shared" si="14"/>
        <v>1</v>
      </c>
      <c r="V170" s="3053">
        <f t="shared" si="14"/>
        <v>1</v>
      </c>
      <c r="W170" s="3053">
        <f t="shared" si="14"/>
        <v>1</v>
      </c>
      <c r="X170" s="3053">
        <f t="shared" si="14"/>
        <v>1</v>
      </c>
      <c r="Y170" s="3053">
        <f t="shared" si="14"/>
        <v>1</v>
      </c>
      <c r="Z170" s="3053">
        <f t="shared" si="14"/>
        <v>1</v>
      </c>
      <c r="AA170" s="3053">
        <f t="shared" si="14"/>
        <v>1</v>
      </c>
      <c r="AB170" s="3053">
        <f t="shared" si="14"/>
        <v>1</v>
      </c>
      <c r="AC170" s="3053">
        <f t="shared" si="14"/>
        <v>1</v>
      </c>
      <c r="AD170" s="3053">
        <f t="shared" si="14"/>
        <v>1.0003905086873426</v>
      </c>
      <c r="AE170" s="3053">
        <f t="shared" si="14"/>
        <v>1</v>
      </c>
      <c r="AF170" s="3053">
        <f t="shared" si="14"/>
        <v>1</v>
      </c>
    </row>
    <row r="171" spans="1:32">
      <c r="A171" s="3043">
        <v>200</v>
      </c>
      <c r="B171" s="3060">
        <v>57</v>
      </c>
      <c r="C171" s="3052">
        <v>0</v>
      </c>
      <c r="D171" s="3052">
        <v>0</v>
      </c>
      <c r="E171" s="3052">
        <v>0</v>
      </c>
      <c r="F171" s="3052">
        <v>0</v>
      </c>
      <c r="G171" s="3052">
        <v>0</v>
      </c>
      <c r="H171" s="3052">
        <v>0</v>
      </c>
      <c r="I171" s="3052">
        <v>0</v>
      </c>
      <c r="J171" s="3052">
        <v>0</v>
      </c>
      <c r="K171" s="3052">
        <v>0</v>
      </c>
      <c r="L171" s="3052">
        <v>0</v>
      </c>
      <c r="M171" s="3052">
        <v>0</v>
      </c>
      <c r="N171" s="3052">
        <v>0</v>
      </c>
      <c r="O171" s="3052">
        <v>0</v>
      </c>
      <c r="P171" s="3052">
        <v>0</v>
      </c>
      <c r="Q171" s="3052">
        <v>0</v>
      </c>
      <c r="R171" s="3053">
        <f t="shared" si="14"/>
        <v>1</v>
      </c>
      <c r="S171" s="3053">
        <f t="shared" si="14"/>
        <v>1</v>
      </c>
      <c r="T171" s="3053">
        <f t="shared" si="14"/>
        <v>1</v>
      </c>
      <c r="U171" s="3053">
        <f t="shared" si="14"/>
        <v>1</v>
      </c>
      <c r="V171" s="3053">
        <f t="shared" si="14"/>
        <v>1</v>
      </c>
      <c r="W171" s="3053">
        <f t="shared" si="14"/>
        <v>1</v>
      </c>
      <c r="X171" s="3053">
        <f t="shared" si="14"/>
        <v>1</v>
      </c>
      <c r="Y171" s="3053">
        <f t="shared" si="14"/>
        <v>1</v>
      </c>
      <c r="Z171" s="3053">
        <f t="shared" si="14"/>
        <v>1</v>
      </c>
      <c r="AA171" s="3053">
        <f t="shared" si="14"/>
        <v>1</v>
      </c>
      <c r="AB171" s="3053">
        <f t="shared" si="14"/>
        <v>1</v>
      </c>
      <c r="AC171" s="3053">
        <f t="shared" si="14"/>
        <v>1</v>
      </c>
      <c r="AD171" s="3053">
        <f t="shared" si="14"/>
        <v>1.0003905086873426</v>
      </c>
      <c r="AE171" s="3053">
        <f t="shared" si="14"/>
        <v>1</v>
      </c>
      <c r="AF171" s="3053">
        <f t="shared" si="14"/>
        <v>1</v>
      </c>
    </row>
    <row r="172" spans="1:32">
      <c r="A172" s="3043">
        <v>200</v>
      </c>
      <c r="B172" s="3060">
        <v>58</v>
      </c>
      <c r="C172" s="3052">
        <v>0</v>
      </c>
      <c r="D172" s="3052">
        <v>0</v>
      </c>
      <c r="E172" s="3052">
        <v>0</v>
      </c>
      <c r="F172" s="3052">
        <v>0</v>
      </c>
      <c r="G172" s="3052">
        <v>0</v>
      </c>
      <c r="H172" s="3052">
        <v>0</v>
      </c>
      <c r="I172" s="3052">
        <v>0</v>
      </c>
      <c r="J172" s="3052">
        <v>0</v>
      </c>
      <c r="K172" s="3052">
        <v>0</v>
      </c>
      <c r="L172" s="3052">
        <v>0</v>
      </c>
      <c r="M172" s="3052">
        <v>0</v>
      </c>
      <c r="N172" s="3052">
        <v>0</v>
      </c>
      <c r="O172" s="3052">
        <v>0</v>
      </c>
      <c r="P172" s="3052">
        <v>0</v>
      </c>
      <c r="Q172" s="3052">
        <v>0</v>
      </c>
      <c r="R172" s="3053">
        <f t="shared" si="14"/>
        <v>1</v>
      </c>
      <c r="S172" s="3053">
        <f t="shared" si="14"/>
        <v>1</v>
      </c>
      <c r="T172" s="3053">
        <f t="shared" si="14"/>
        <v>1</v>
      </c>
      <c r="U172" s="3053">
        <f t="shared" si="14"/>
        <v>1</v>
      </c>
      <c r="V172" s="3053">
        <f t="shared" si="14"/>
        <v>1</v>
      </c>
      <c r="W172" s="3053">
        <f t="shared" si="14"/>
        <v>1</v>
      </c>
      <c r="X172" s="3053">
        <f t="shared" si="14"/>
        <v>1</v>
      </c>
      <c r="Y172" s="3053">
        <f t="shared" si="14"/>
        <v>1</v>
      </c>
      <c r="Z172" s="3053">
        <f t="shared" si="14"/>
        <v>1</v>
      </c>
      <c r="AA172" s="3053">
        <f t="shared" si="14"/>
        <v>1</v>
      </c>
      <c r="AB172" s="3053">
        <f t="shared" si="14"/>
        <v>1</v>
      </c>
      <c r="AC172" s="3053">
        <f t="shared" si="14"/>
        <v>1</v>
      </c>
      <c r="AD172" s="3053">
        <f t="shared" si="14"/>
        <v>1.0003905086873426</v>
      </c>
      <c r="AE172" s="3053">
        <f t="shared" si="14"/>
        <v>1</v>
      </c>
      <c r="AF172" s="3053">
        <f t="shared" si="14"/>
        <v>1</v>
      </c>
    </row>
    <row r="173" spans="1:32">
      <c r="A173" s="3043">
        <v>200</v>
      </c>
      <c r="B173" s="3060">
        <v>59</v>
      </c>
      <c r="C173" s="3052">
        <v>0</v>
      </c>
      <c r="D173" s="3052">
        <v>0</v>
      </c>
      <c r="E173" s="3052">
        <v>0</v>
      </c>
      <c r="F173" s="3052">
        <v>0</v>
      </c>
      <c r="G173" s="3052">
        <v>0</v>
      </c>
      <c r="H173" s="3052">
        <v>0</v>
      </c>
      <c r="I173" s="3052">
        <v>0</v>
      </c>
      <c r="J173" s="3052">
        <v>0</v>
      </c>
      <c r="K173" s="3052">
        <v>0</v>
      </c>
      <c r="L173" s="3052">
        <v>0</v>
      </c>
      <c r="M173" s="3052">
        <v>0</v>
      </c>
      <c r="N173" s="3052">
        <v>0</v>
      </c>
      <c r="O173" s="3052">
        <v>0</v>
      </c>
      <c r="P173" s="3052">
        <v>0</v>
      </c>
      <c r="Q173" s="3052">
        <v>0</v>
      </c>
      <c r="R173" s="3053">
        <f t="shared" si="14"/>
        <v>1</v>
      </c>
      <c r="S173" s="3053">
        <f t="shared" si="14"/>
        <v>1</v>
      </c>
      <c r="T173" s="3053">
        <f t="shared" si="14"/>
        <v>1</v>
      </c>
      <c r="U173" s="3053">
        <f t="shared" si="14"/>
        <v>1</v>
      </c>
      <c r="V173" s="3053">
        <f t="shared" si="14"/>
        <v>1</v>
      </c>
      <c r="W173" s="3053">
        <f t="shared" si="14"/>
        <v>1</v>
      </c>
      <c r="X173" s="3053">
        <f t="shared" si="14"/>
        <v>1</v>
      </c>
      <c r="Y173" s="3053">
        <f t="shared" si="14"/>
        <v>1</v>
      </c>
      <c r="Z173" s="3053">
        <f t="shared" si="14"/>
        <v>1</v>
      </c>
      <c r="AA173" s="3053">
        <f t="shared" si="14"/>
        <v>1</v>
      </c>
      <c r="AB173" s="3053">
        <f t="shared" si="14"/>
        <v>1</v>
      </c>
      <c r="AC173" s="3053">
        <f t="shared" si="14"/>
        <v>1</v>
      </c>
      <c r="AD173" s="3053">
        <f t="shared" si="14"/>
        <v>1.0003905086873426</v>
      </c>
      <c r="AE173" s="3053">
        <f t="shared" si="14"/>
        <v>1</v>
      </c>
      <c r="AF173" s="3053">
        <f t="shared" si="14"/>
        <v>1</v>
      </c>
    </row>
    <row r="174" spans="1:32">
      <c r="A174" s="3043">
        <v>200</v>
      </c>
      <c r="B174" s="3060">
        <v>60</v>
      </c>
      <c r="C174" s="3052">
        <v>0</v>
      </c>
      <c r="D174" s="3052">
        <v>0</v>
      </c>
      <c r="E174" s="3052">
        <v>0</v>
      </c>
      <c r="F174" s="3052">
        <v>0</v>
      </c>
      <c r="G174" s="3052">
        <v>0</v>
      </c>
      <c r="H174" s="3052">
        <v>0</v>
      </c>
      <c r="I174" s="3052">
        <v>0</v>
      </c>
      <c r="J174" s="3052">
        <v>0</v>
      </c>
      <c r="K174" s="3052">
        <v>0</v>
      </c>
      <c r="L174" s="3052">
        <v>0</v>
      </c>
      <c r="M174" s="3052">
        <v>0</v>
      </c>
      <c r="N174" s="3052">
        <v>0</v>
      </c>
      <c r="O174" s="3052">
        <v>0</v>
      </c>
      <c r="P174" s="3052">
        <v>0</v>
      </c>
      <c r="Q174" s="3052">
        <v>0</v>
      </c>
      <c r="R174" s="3053">
        <f t="shared" si="14"/>
        <v>1</v>
      </c>
      <c r="S174" s="3053">
        <f t="shared" si="14"/>
        <v>1</v>
      </c>
      <c r="T174" s="3053">
        <f t="shared" si="14"/>
        <v>1</v>
      </c>
      <c r="U174" s="3053">
        <f t="shared" si="14"/>
        <v>1</v>
      </c>
      <c r="V174" s="3053">
        <f t="shared" si="14"/>
        <v>1</v>
      </c>
      <c r="W174" s="3053">
        <f t="shared" si="14"/>
        <v>1</v>
      </c>
      <c r="X174" s="3053">
        <f t="shared" si="14"/>
        <v>1</v>
      </c>
      <c r="Y174" s="3053">
        <f t="shared" si="14"/>
        <v>1</v>
      </c>
      <c r="Z174" s="3053">
        <f t="shared" si="14"/>
        <v>1</v>
      </c>
      <c r="AA174" s="3053">
        <f t="shared" si="14"/>
        <v>1</v>
      </c>
      <c r="AB174" s="3053">
        <f t="shared" si="14"/>
        <v>1</v>
      </c>
      <c r="AC174" s="3053">
        <f t="shared" si="14"/>
        <v>1</v>
      </c>
      <c r="AD174" s="3053">
        <f t="shared" si="14"/>
        <v>1.0003905086873426</v>
      </c>
      <c r="AE174" s="3053">
        <f t="shared" si="14"/>
        <v>1</v>
      </c>
      <c r="AF174" s="3053">
        <f t="shared" si="14"/>
        <v>1</v>
      </c>
    </row>
    <row r="175" spans="1:32">
      <c r="A175" s="3043">
        <v>200</v>
      </c>
      <c r="B175" s="3060">
        <v>61</v>
      </c>
      <c r="C175" s="3052">
        <v>0</v>
      </c>
      <c r="D175" s="3052">
        <v>0</v>
      </c>
      <c r="E175" s="3052">
        <v>0</v>
      </c>
      <c r="F175" s="3052">
        <v>0</v>
      </c>
      <c r="G175" s="3052">
        <v>0</v>
      </c>
      <c r="H175" s="3052">
        <v>0</v>
      </c>
      <c r="I175" s="3052">
        <v>0</v>
      </c>
      <c r="J175" s="3052">
        <v>0</v>
      </c>
      <c r="K175" s="3052">
        <v>0</v>
      </c>
      <c r="L175" s="3052">
        <v>0</v>
      </c>
      <c r="M175" s="3052">
        <v>0</v>
      </c>
      <c r="N175" s="3052">
        <v>0</v>
      </c>
      <c r="O175" s="3052">
        <v>0</v>
      </c>
      <c r="P175" s="3052">
        <v>0</v>
      </c>
      <c r="Q175" s="3052">
        <v>0</v>
      </c>
      <c r="R175" s="3053">
        <f t="shared" si="14"/>
        <v>1</v>
      </c>
      <c r="S175" s="3053">
        <f t="shared" si="14"/>
        <v>1</v>
      </c>
      <c r="T175" s="3053">
        <f t="shared" si="14"/>
        <v>1</v>
      </c>
      <c r="U175" s="3053">
        <f t="shared" si="14"/>
        <v>1</v>
      </c>
      <c r="V175" s="3053">
        <f t="shared" si="14"/>
        <v>1</v>
      </c>
      <c r="W175" s="3053">
        <f t="shared" si="14"/>
        <v>1</v>
      </c>
      <c r="X175" s="3053">
        <f t="shared" si="14"/>
        <v>1</v>
      </c>
      <c r="Y175" s="3053">
        <f t="shared" si="14"/>
        <v>1</v>
      </c>
      <c r="Z175" s="3053">
        <f t="shared" si="14"/>
        <v>1</v>
      </c>
      <c r="AA175" s="3053">
        <f t="shared" si="14"/>
        <v>1</v>
      </c>
      <c r="AB175" s="3053">
        <f t="shared" si="14"/>
        <v>1</v>
      </c>
      <c r="AC175" s="3053">
        <f t="shared" si="14"/>
        <v>1</v>
      </c>
      <c r="AD175" s="3053">
        <f t="shared" si="14"/>
        <v>1.0003905086873426</v>
      </c>
      <c r="AE175" s="3053">
        <f t="shared" si="14"/>
        <v>1</v>
      </c>
      <c r="AF175" s="3053">
        <f t="shared" si="14"/>
        <v>1</v>
      </c>
    </row>
    <row r="176" spans="1:32">
      <c r="A176" s="3043">
        <v>200</v>
      </c>
      <c r="B176" s="3060">
        <v>62</v>
      </c>
      <c r="C176" s="3052">
        <v>0</v>
      </c>
      <c r="D176" s="3052">
        <v>0</v>
      </c>
      <c r="E176" s="3052">
        <v>0</v>
      </c>
      <c r="F176" s="3052">
        <v>0</v>
      </c>
      <c r="G176" s="3052">
        <v>0</v>
      </c>
      <c r="H176" s="3052">
        <v>0</v>
      </c>
      <c r="I176" s="3052">
        <v>0</v>
      </c>
      <c r="J176" s="3052">
        <v>0</v>
      </c>
      <c r="K176" s="3052">
        <v>0</v>
      </c>
      <c r="L176" s="3052">
        <v>0</v>
      </c>
      <c r="M176" s="3052">
        <v>0</v>
      </c>
      <c r="N176" s="3052">
        <v>0</v>
      </c>
      <c r="O176" s="3052">
        <v>0</v>
      </c>
      <c r="P176" s="3052">
        <v>0</v>
      </c>
      <c r="Q176" s="3052">
        <v>0</v>
      </c>
      <c r="R176" s="3053">
        <f t="shared" si="14"/>
        <v>1</v>
      </c>
      <c r="S176" s="3053">
        <f t="shared" si="14"/>
        <v>1</v>
      </c>
      <c r="T176" s="3053">
        <f t="shared" si="14"/>
        <v>1</v>
      </c>
      <c r="U176" s="3053">
        <f t="shared" si="14"/>
        <v>1</v>
      </c>
      <c r="V176" s="3053">
        <f t="shared" si="14"/>
        <v>1</v>
      </c>
      <c r="W176" s="3053">
        <f t="shared" si="14"/>
        <v>1</v>
      </c>
      <c r="X176" s="3053">
        <f t="shared" si="14"/>
        <v>1</v>
      </c>
      <c r="Y176" s="3053">
        <f t="shared" si="14"/>
        <v>1</v>
      </c>
      <c r="Z176" s="3053">
        <f t="shared" si="14"/>
        <v>1</v>
      </c>
      <c r="AA176" s="3053">
        <f t="shared" si="14"/>
        <v>1</v>
      </c>
      <c r="AB176" s="3053">
        <f t="shared" si="14"/>
        <v>1</v>
      </c>
      <c r="AC176" s="3053">
        <f t="shared" si="14"/>
        <v>1</v>
      </c>
      <c r="AD176" s="3053">
        <f t="shared" si="14"/>
        <v>1.0003905086873426</v>
      </c>
      <c r="AE176" s="3053">
        <f t="shared" si="14"/>
        <v>1</v>
      </c>
      <c r="AF176" s="3053">
        <f t="shared" si="14"/>
        <v>1</v>
      </c>
    </row>
    <row r="177" spans="1:32">
      <c r="A177" s="3043">
        <v>200</v>
      </c>
      <c r="B177" s="3060">
        <v>63</v>
      </c>
      <c r="C177" s="3052">
        <v>0</v>
      </c>
      <c r="D177" s="3052">
        <v>0</v>
      </c>
      <c r="E177" s="3052">
        <v>0</v>
      </c>
      <c r="F177" s="3052">
        <v>0</v>
      </c>
      <c r="G177" s="3052">
        <v>0</v>
      </c>
      <c r="H177" s="3052">
        <v>0</v>
      </c>
      <c r="I177" s="3052">
        <v>0</v>
      </c>
      <c r="J177" s="3052">
        <v>0</v>
      </c>
      <c r="K177" s="3052">
        <v>0</v>
      </c>
      <c r="L177" s="3052">
        <v>0</v>
      </c>
      <c r="M177" s="3052">
        <v>0</v>
      </c>
      <c r="N177" s="3052">
        <v>0</v>
      </c>
      <c r="O177" s="3052">
        <v>0</v>
      </c>
      <c r="P177" s="3052">
        <v>0</v>
      </c>
      <c r="Q177" s="3052">
        <v>0</v>
      </c>
      <c r="R177" s="3053">
        <f t="shared" si="14"/>
        <v>1</v>
      </c>
      <c r="S177" s="3053">
        <f t="shared" si="14"/>
        <v>1</v>
      </c>
      <c r="T177" s="3053">
        <f t="shared" si="14"/>
        <v>1</v>
      </c>
      <c r="U177" s="3053">
        <f t="shared" si="14"/>
        <v>1</v>
      </c>
      <c r="V177" s="3053">
        <f t="shared" si="14"/>
        <v>1</v>
      </c>
      <c r="W177" s="3053">
        <f t="shared" si="14"/>
        <v>1</v>
      </c>
      <c r="X177" s="3053">
        <f t="shared" si="14"/>
        <v>1</v>
      </c>
      <c r="Y177" s="3053">
        <f t="shared" si="14"/>
        <v>1</v>
      </c>
      <c r="Z177" s="3053">
        <f t="shared" si="14"/>
        <v>1</v>
      </c>
      <c r="AA177" s="3053">
        <f t="shared" si="14"/>
        <v>1</v>
      </c>
      <c r="AB177" s="3053">
        <f t="shared" si="14"/>
        <v>1</v>
      </c>
      <c r="AC177" s="3053">
        <f t="shared" si="14"/>
        <v>1</v>
      </c>
      <c r="AD177" s="3053">
        <f t="shared" si="14"/>
        <v>1.0003905086873426</v>
      </c>
      <c r="AE177" s="3053">
        <f t="shared" si="14"/>
        <v>1</v>
      </c>
      <c r="AF177" s="3053">
        <f t="shared" si="14"/>
        <v>1</v>
      </c>
    </row>
    <row r="178" spans="1:32">
      <c r="A178" s="3043">
        <v>200</v>
      </c>
      <c r="B178" s="3060">
        <v>64</v>
      </c>
      <c r="C178" s="3052">
        <v>0</v>
      </c>
      <c r="D178" s="3052">
        <v>0</v>
      </c>
      <c r="E178" s="3052">
        <v>0</v>
      </c>
      <c r="F178" s="3052">
        <v>0</v>
      </c>
      <c r="G178" s="3052">
        <v>0</v>
      </c>
      <c r="H178" s="3052">
        <v>0</v>
      </c>
      <c r="I178" s="3052">
        <v>0</v>
      </c>
      <c r="J178" s="3052">
        <v>0</v>
      </c>
      <c r="K178" s="3052">
        <v>0</v>
      </c>
      <c r="L178" s="3052">
        <v>0</v>
      </c>
      <c r="M178" s="3052">
        <v>0</v>
      </c>
      <c r="N178" s="3052">
        <v>0</v>
      </c>
      <c r="O178" s="3052">
        <v>0</v>
      </c>
      <c r="P178" s="3052">
        <v>0</v>
      </c>
      <c r="Q178" s="3052">
        <v>0</v>
      </c>
      <c r="R178" s="3053">
        <f t="shared" si="14"/>
        <v>1</v>
      </c>
      <c r="S178" s="3053">
        <f t="shared" si="14"/>
        <v>1</v>
      </c>
      <c r="T178" s="3053">
        <f t="shared" si="14"/>
        <v>1</v>
      </c>
      <c r="U178" s="3053">
        <f t="shared" si="14"/>
        <v>1</v>
      </c>
      <c r="V178" s="3053">
        <f t="shared" si="14"/>
        <v>1</v>
      </c>
      <c r="W178" s="3053">
        <f t="shared" si="14"/>
        <v>1</v>
      </c>
      <c r="X178" s="3053">
        <f t="shared" si="14"/>
        <v>1</v>
      </c>
      <c r="Y178" s="3053">
        <f t="shared" si="14"/>
        <v>1</v>
      </c>
      <c r="Z178" s="3053">
        <f t="shared" si="14"/>
        <v>1</v>
      </c>
      <c r="AA178" s="3053">
        <f t="shared" si="14"/>
        <v>1</v>
      </c>
      <c r="AB178" s="3053">
        <f t="shared" si="14"/>
        <v>1</v>
      </c>
      <c r="AC178" s="3053">
        <f t="shared" si="14"/>
        <v>1</v>
      </c>
      <c r="AD178" s="3053">
        <f t="shared" si="14"/>
        <v>1.0003905086873426</v>
      </c>
      <c r="AE178" s="3053">
        <f t="shared" si="14"/>
        <v>1</v>
      </c>
      <c r="AF178" s="3053">
        <f t="shared" si="14"/>
        <v>1</v>
      </c>
    </row>
    <row r="179" spans="1:32">
      <c r="A179" s="3043">
        <v>200</v>
      </c>
      <c r="B179" s="3060">
        <v>65</v>
      </c>
      <c r="C179" s="3052">
        <v>0</v>
      </c>
      <c r="D179" s="3052">
        <v>0</v>
      </c>
      <c r="E179" s="3052">
        <v>0</v>
      </c>
      <c r="F179" s="3052">
        <v>0</v>
      </c>
      <c r="G179" s="3052">
        <v>0</v>
      </c>
      <c r="H179" s="3052">
        <v>0</v>
      </c>
      <c r="I179" s="3052">
        <v>0</v>
      </c>
      <c r="J179" s="3052">
        <v>0</v>
      </c>
      <c r="K179" s="3052">
        <v>0</v>
      </c>
      <c r="L179" s="3052">
        <v>0</v>
      </c>
      <c r="M179" s="3052">
        <v>0</v>
      </c>
      <c r="N179" s="3052">
        <v>0</v>
      </c>
      <c r="O179" s="3052">
        <v>0</v>
      </c>
      <c r="P179" s="3052">
        <v>0</v>
      </c>
      <c r="Q179" s="3052">
        <v>0</v>
      </c>
      <c r="R179" s="3053">
        <f t="shared" si="14"/>
        <v>1</v>
      </c>
      <c r="S179" s="3053">
        <f t="shared" si="14"/>
        <v>1</v>
      </c>
      <c r="T179" s="3053">
        <f t="shared" si="14"/>
        <v>1</v>
      </c>
      <c r="U179" s="3053">
        <f t="shared" si="14"/>
        <v>1</v>
      </c>
      <c r="V179" s="3053">
        <f t="shared" si="14"/>
        <v>1</v>
      </c>
      <c r="W179" s="3053">
        <f t="shared" si="14"/>
        <v>1</v>
      </c>
      <c r="X179" s="3053">
        <f t="shared" si="14"/>
        <v>1</v>
      </c>
      <c r="Y179" s="3053">
        <f t="shared" si="14"/>
        <v>1</v>
      </c>
      <c r="Z179" s="3053">
        <f t="shared" si="14"/>
        <v>1</v>
      </c>
      <c r="AA179" s="3053">
        <f t="shared" si="14"/>
        <v>1</v>
      </c>
      <c r="AB179" s="3053">
        <f t="shared" si="14"/>
        <v>1</v>
      </c>
      <c r="AC179" s="3053">
        <f t="shared" si="14"/>
        <v>1</v>
      </c>
      <c r="AD179" s="3053">
        <f t="shared" si="14"/>
        <v>1.0003905086873426</v>
      </c>
      <c r="AE179" s="3053">
        <f t="shared" si="14"/>
        <v>1</v>
      </c>
      <c r="AF179" s="3053">
        <f t="shared" si="14"/>
        <v>1</v>
      </c>
    </row>
    <row r="180" spans="1:32">
      <c r="A180" s="3043">
        <v>200</v>
      </c>
      <c r="B180" s="3060">
        <v>66</v>
      </c>
      <c r="C180" s="3052">
        <v>0</v>
      </c>
      <c r="D180" s="3052">
        <v>0</v>
      </c>
      <c r="E180" s="3052">
        <v>0</v>
      </c>
      <c r="F180" s="3052">
        <v>0</v>
      </c>
      <c r="G180" s="3052">
        <v>0</v>
      </c>
      <c r="H180" s="3052">
        <v>0</v>
      </c>
      <c r="I180" s="3052">
        <v>0</v>
      </c>
      <c r="J180" s="3052">
        <v>0</v>
      </c>
      <c r="K180" s="3052">
        <v>0</v>
      </c>
      <c r="L180" s="3052">
        <v>0</v>
      </c>
      <c r="M180" s="3052">
        <v>0</v>
      </c>
      <c r="N180" s="3052">
        <v>0</v>
      </c>
      <c r="O180" s="3052">
        <v>0</v>
      </c>
      <c r="P180" s="3052">
        <v>0</v>
      </c>
      <c r="Q180" s="3052">
        <v>0</v>
      </c>
      <c r="R180" s="3053">
        <f t="shared" ref="R180:AF195" si="15">C180+R179</f>
        <v>1</v>
      </c>
      <c r="S180" s="3053">
        <f t="shared" si="15"/>
        <v>1</v>
      </c>
      <c r="T180" s="3053">
        <f t="shared" si="15"/>
        <v>1</v>
      </c>
      <c r="U180" s="3053">
        <f t="shared" si="15"/>
        <v>1</v>
      </c>
      <c r="V180" s="3053">
        <f t="shared" si="15"/>
        <v>1</v>
      </c>
      <c r="W180" s="3053">
        <f t="shared" si="15"/>
        <v>1</v>
      </c>
      <c r="X180" s="3053">
        <f t="shared" si="15"/>
        <v>1</v>
      </c>
      <c r="Y180" s="3053">
        <f t="shared" si="15"/>
        <v>1</v>
      </c>
      <c r="Z180" s="3053">
        <f t="shared" si="15"/>
        <v>1</v>
      </c>
      <c r="AA180" s="3053">
        <f t="shared" si="15"/>
        <v>1</v>
      </c>
      <c r="AB180" s="3053">
        <f t="shared" si="15"/>
        <v>1</v>
      </c>
      <c r="AC180" s="3053">
        <f t="shared" si="15"/>
        <v>1</v>
      </c>
      <c r="AD180" s="3053">
        <f t="shared" si="15"/>
        <v>1.0003905086873426</v>
      </c>
      <c r="AE180" s="3053">
        <f t="shared" si="15"/>
        <v>1</v>
      </c>
      <c r="AF180" s="3053">
        <f t="shared" si="15"/>
        <v>1</v>
      </c>
    </row>
    <row r="181" spans="1:32">
      <c r="A181" s="3043">
        <v>200</v>
      </c>
      <c r="B181" s="3060">
        <v>67</v>
      </c>
      <c r="C181" s="3052">
        <v>0</v>
      </c>
      <c r="D181" s="3052">
        <v>0</v>
      </c>
      <c r="E181" s="3052">
        <v>0</v>
      </c>
      <c r="F181" s="3052">
        <v>0</v>
      </c>
      <c r="G181" s="3052">
        <v>0</v>
      </c>
      <c r="H181" s="3052">
        <v>0</v>
      </c>
      <c r="I181" s="3052">
        <v>0</v>
      </c>
      <c r="J181" s="3052">
        <v>0</v>
      </c>
      <c r="K181" s="3052">
        <v>0</v>
      </c>
      <c r="L181" s="3052">
        <v>0</v>
      </c>
      <c r="M181" s="3052">
        <v>0</v>
      </c>
      <c r="N181" s="3052">
        <v>0</v>
      </c>
      <c r="O181" s="3052">
        <v>0</v>
      </c>
      <c r="P181" s="3052">
        <v>0</v>
      </c>
      <c r="Q181" s="3052">
        <v>0</v>
      </c>
      <c r="R181" s="3053">
        <f t="shared" si="15"/>
        <v>1</v>
      </c>
      <c r="S181" s="3053">
        <f t="shared" si="15"/>
        <v>1</v>
      </c>
      <c r="T181" s="3053">
        <f t="shared" si="15"/>
        <v>1</v>
      </c>
      <c r="U181" s="3053">
        <f t="shared" si="15"/>
        <v>1</v>
      </c>
      <c r="V181" s="3053">
        <f t="shared" si="15"/>
        <v>1</v>
      </c>
      <c r="W181" s="3053">
        <f t="shared" si="15"/>
        <v>1</v>
      </c>
      <c r="X181" s="3053">
        <f t="shared" si="15"/>
        <v>1</v>
      </c>
      <c r="Y181" s="3053">
        <f t="shared" si="15"/>
        <v>1</v>
      </c>
      <c r="Z181" s="3053">
        <f t="shared" si="15"/>
        <v>1</v>
      </c>
      <c r="AA181" s="3053">
        <f t="shared" si="15"/>
        <v>1</v>
      </c>
      <c r="AB181" s="3053">
        <f t="shared" si="15"/>
        <v>1</v>
      </c>
      <c r="AC181" s="3053">
        <f t="shared" si="15"/>
        <v>1</v>
      </c>
      <c r="AD181" s="3053">
        <f t="shared" si="15"/>
        <v>1.0003905086873426</v>
      </c>
      <c r="AE181" s="3053">
        <f t="shared" si="15"/>
        <v>1</v>
      </c>
      <c r="AF181" s="3053">
        <f t="shared" si="15"/>
        <v>1</v>
      </c>
    </row>
    <row r="182" spans="1:32">
      <c r="A182" s="3043">
        <v>200</v>
      </c>
      <c r="B182" s="3060">
        <v>68</v>
      </c>
      <c r="C182" s="3052">
        <v>0</v>
      </c>
      <c r="D182" s="3052">
        <v>0</v>
      </c>
      <c r="E182" s="3052">
        <v>0</v>
      </c>
      <c r="F182" s="3052">
        <v>0</v>
      </c>
      <c r="G182" s="3052">
        <v>0</v>
      </c>
      <c r="H182" s="3052">
        <v>0</v>
      </c>
      <c r="I182" s="3052">
        <v>0</v>
      </c>
      <c r="J182" s="3052">
        <v>0</v>
      </c>
      <c r="K182" s="3052">
        <v>0</v>
      </c>
      <c r="L182" s="3052">
        <v>0</v>
      </c>
      <c r="M182" s="3052">
        <v>0</v>
      </c>
      <c r="N182" s="3052">
        <v>0</v>
      </c>
      <c r="O182" s="3052">
        <v>0</v>
      </c>
      <c r="P182" s="3052">
        <v>0</v>
      </c>
      <c r="Q182" s="3052">
        <v>0</v>
      </c>
      <c r="R182" s="3053">
        <f t="shared" si="15"/>
        <v>1</v>
      </c>
      <c r="S182" s="3053">
        <f t="shared" si="15"/>
        <v>1</v>
      </c>
      <c r="T182" s="3053">
        <f t="shared" si="15"/>
        <v>1</v>
      </c>
      <c r="U182" s="3053">
        <f t="shared" si="15"/>
        <v>1</v>
      </c>
      <c r="V182" s="3053">
        <f t="shared" si="15"/>
        <v>1</v>
      </c>
      <c r="W182" s="3053">
        <f t="shared" si="15"/>
        <v>1</v>
      </c>
      <c r="X182" s="3053">
        <f t="shared" si="15"/>
        <v>1</v>
      </c>
      <c r="Y182" s="3053">
        <f t="shared" si="15"/>
        <v>1</v>
      </c>
      <c r="Z182" s="3053">
        <f t="shared" si="15"/>
        <v>1</v>
      </c>
      <c r="AA182" s="3053">
        <f t="shared" si="15"/>
        <v>1</v>
      </c>
      <c r="AB182" s="3053">
        <f t="shared" si="15"/>
        <v>1</v>
      </c>
      <c r="AC182" s="3053">
        <f t="shared" si="15"/>
        <v>1</v>
      </c>
      <c r="AD182" s="3053">
        <f t="shared" si="15"/>
        <v>1.0003905086873426</v>
      </c>
      <c r="AE182" s="3053">
        <f t="shared" si="15"/>
        <v>1</v>
      </c>
      <c r="AF182" s="3053">
        <f t="shared" si="15"/>
        <v>1</v>
      </c>
    </row>
    <row r="183" spans="1:32">
      <c r="A183" s="3043">
        <v>200</v>
      </c>
      <c r="B183" s="3060">
        <v>69</v>
      </c>
      <c r="C183" s="3052">
        <v>0</v>
      </c>
      <c r="D183" s="3052">
        <v>0</v>
      </c>
      <c r="E183" s="3052">
        <v>0</v>
      </c>
      <c r="F183" s="3052">
        <v>0</v>
      </c>
      <c r="G183" s="3052">
        <v>0</v>
      </c>
      <c r="H183" s="3052">
        <v>0</v>
      </c>
      <c r="I183" s="3052">
        <v>0</v>
      </c>
      <c r="J183" s="3052">
        <v>0</v>
      </c>
      <c r="K183" s="3052">
        <v>0</v>
      </c>
      <c r="L183" s="3052">
        <v>0</v>
      </c>
      <c r="M183" s="3052">
        <v>0</v>
      </c>
      <c r="N183" s="3052">
        <v>0</v>
      </c>
      <c r="O183" s="3052">
        <v>0</v>
      </c>
      <c r="P183" s="3052">
        <v>0</v>
      </c>
      <c r="Q183" s="3052">
        <v>0</v>
      </c>
      <c r="R183" s="3053">
        <f t="shared" si="15"/>
        <v>1</v>
      </c>
      <c r="S183" s="3053">
        <f t="shared" si="15"/>
        <v>1</v>
      </c>
      <c r="T183" s="3053">
        <f t="shared" si="15"/>
        <v>1</v>
      </c>
      <c r="U183" s="3053">
        <f t="shared" si="15"/>
        <v>1</v>
      </c>
      <c r="V183" s="3053">
        <f t="shared" si="15"/>
        <v>1</v>
      </c>
      <c r="W183" s="3053">
        <f t="shared" si="15"/>
        <v>1</v>
      </c>
      <c r="X183" s="3053">
        <f t="shared" si="15"/>
        <v>1</v>
      </c>
      <c r="Y183" s="3053">
        <f t="shared" si="15"/>
        <v>1</v>
      </c>
      <c r="Z183" s="3053">
        <f t="shared" si="15"/>
        <v>1</v>
      </c>
      <c r="AA183" s="3053">
        <f t="shared" si="15"/>
        <v>1</v>
      </c>
      <c r="AB183" s="3053">
        <f t="shared" si="15"/>
        <v>1</v>
      </c>
      <c r="AC183" s="3053">
        <f t="shared" si="15"/>
        <v>1</v>
      </c>
      <c r="AD183" s="3053">
        <f t="shared" si="15"/>
        <v>1.0003905086873426</v>
      </c>
      <c r="AE183" s="3053">
        <f t="shared" si="15"/>
        <v>1</v>
      </c>
      <c r="AF183" s="3053">
        <f t="shared" si="15"/>
        <v>1</v>
      </c>
    </row>
    <row r="184" spans="1:32">
      <c r="A184" s="3043">
        <v>200</v>
      </c>
      <c r="B184" s="3060">
        <v>70</v>
      </c>
      <c r="C184" s="3052">
        <v>0</v>
      </c>
      <c r="D184" s="3052">
        <v>0</v>
      </c>
      <c r="E184" s="3052">
        <v>0</v>
      </c>
      <c r="F184" s="3052">
        <v>0</v>
      </c>
      <c r="G184" s="3052">
        <v>0</v>
      </c>
      <c r="H184" s="3052">
        <v>0</v>
      </c>
      <c r="I184" s="3052">
        <v>0</v>
      </c>
      <c r="J184" s="3052">
        <v>0</v>
      </c>
      <c r="K184" s="3052">
        <v>0</v>
      </c>
      <c r="L184" s="3052">
        <v>0</v>
      </c>
      <c r="M184" s="3052">
        <v>0</v>
      </c>
      <c r="N184" s="3052">
        <v>0</v>
      </c>
      <c r="O184" s="3052">
        <v>0</v>
      </c>
      <c r="P184" s="3052">
        <v>0</v>
      </c>
      <c r="Q184" s="3052">
        <v>0</v>
      </c>
      <c r="R184" s="3053">
        <f t="shared" si="15"/>
        <v>1</v>
      </c>
      <c r="S184" s="3053">
        <f t="shared" si="15"/>
        <v>1</v>
      </c>
      <c r="T184" s="3053">
        <f t="shared" si="15"/>
        <v>1</v>
      </c>
      <c r="U184" s="3053">
        <f t="shared" si="15"/>
        <v>1</v>
      </c>
      <c r="V184" s="3053">
        <f t="shared" si="15"/>
        <v>1</v>
      </c>
      <c r="W184" s="3053">
        <f t="shared" si="15"/>
        <v>1</v>
      </c>
      <c r="X184" s="3053">
        <f t="shared" si="15"/>
        <v>1</v>
      </c>
      <c r="Y184" s="3053">
        <f t="shared" si="15"/>
        <v>1</v>
      </c>
      <c r="Z184" s="3053">
        <f t="shared" si="15"/>
        <v>1</v>
      </c>
      <c r="AA184" s="3053">
        <f t="shared" si="15"/>
        <v>1</v>
      </c>
      <c r="AB184" s="3053">
        <f t="shared" si="15"/>
        <v>1</v>
      </c>
      <c r="AC184" s="3053">
        <f t="shared" si="15"/>
        <v>1</v>
      </c>
      <c r="AD184" s="3053">
        <f t="shared" si="15"/>
        <v>1.0003905086873426</v>
      </c>
      <c r="AE184" s="3053">
        <f t="shared" si="15"/>
        <v>1</v>
      </c>
      <c r="AF184" s="3053">
        <f t="shared" si="15"/>
        <v>1</v>
      </c>
    </row>
    <row r="185" spans="1:32">
      <c r="A185" s="3043">
        <v>200</v>
      </c>
      <c r="B185" s="3060">
        <v>71</v>
      </c>
      <c r="C185" s="3052">
        <v>0</v>
      </c>
      <c r="D185" s="3052">
        <v>0</v>
      </c>
      <c r="E185" s="3052">
        <v>0</v>
      </c>
      <c r="F185" s="3052">
        <v>0</v>
      </c>
      <c r="G185" s="3052">
        <v>0</v>
      </c>
      <c r="H185" s="3052">
        <v>0</v>
      </c>
      <c r="I185" s="3052">
        <v>0</v>
      </c>
      <c r="J185" s="3052">
        <v>0</v>
      </c>
      <c r="K185" s="3052">
        <v>0</v>
      </c>
      <c r="L185" s="3052">
        <v>0</v>
      </c>
      <c r="M185" s="3052">
        <v>0</v>
      </c>
      <c r="N185" s="3052">
        <v>0</v>
      </c>
      <c r="O185" s="3052">
        <v>0</v>
      </c>
      <c r="P185" s="3052">
        <v>0</v>
      </c>
      <c r="Q185" s="3052">
        <v>0</v>
      </c>
      <c r="R185" s="3053">
        <f t="shared" si="15"/>
        <v>1</v>
      </c>
      <c r="S185" s="3053">
        <f t="shared" si="15"/>
        <v>1</v>
      </c>
      <c r="T185" s="3053">
        <f t="shared" si="15"/>
        <v>1</v>
      </c>
      <c r="U185" s="3053">
        <f t="shared" si="15"/>
        <v>1</v>
      </c>
      <c r="V185" s="3053">
        <f t="shared" si="15"/>
        <v>1</v>
      </c>
      <c r="W185" s="3053">
        <f t="shared" si="15"/>
        <v>1</v>
      </c>
      <c r="X185" s="3053">
        <f t="shared" si="15"/>
        <v>1</v>
      </c>
      <c r="Y185" s="3053">
        <f t="shared" si="15"/>
        <v>1</v>
      </c>
      <c r="Z185" s="3053">
        <f t="shared" si="15"/>
        <v>1</v>
      </c>
      <c r="AA185" s="3053">
        <f t="shared" si="15"/>
        <v>1</v>
      </c>
      <c r="AB185" s="3053">
        <f t="shared" si="15"/>
        <v>1</v>
      </c>
      <c r="AC185" s="3053">
        <f t="shared" si="15"/>
        <v>1</v>
      </c>
      <c r="AD185" s="3053">
        <f t="shared" si="15"/>
        <v>1.0003905086873426</v>
      </c>
      <c r="AE185" s="3053">
        <f t="shared" si="15"/>
        <v>1</v>
      </c>
      <c r="AF185" s="3053">
        <f t="shared" si="15"/>
        <v>1</v>
      </c>
    </row>
    <row r="186" spans="1:32">
      <c r="A186" s="3043">
        <v>200</v>
      </c>
      <c r="B186" s="3060">
        <v>72</v>
      </c>
      <c r="C186" s="3052">
        <v>0</v>
      </c>
      <c r="D186" s="3052">
        <v>0</v>
      </c>
      <c r="E186" s="3052">
        <v>0</v>
      </c>
      <c r="F186" s="3052">
        <v>0</v>
      </c>
      <c r="G186" s="3052">
        <v>0</v>
      </c>
      <c r="H186" s="3052">
        <v>0</v>
      </c>
      <c r="I186" s="3052">
        <v>0</v>
      </c>
      <c r="J186" s="3052">
        <v>0</v>
      </c>
      <c r="K186" s="3052">
        <v>0</v>
      </c>
      <c r="L186" s="3052">
        <v>0</v>
      </c>
      <c r="M186" s="3052">
        <v>0</v>
      </c>
      <c r="N186" s="3052">
        <v>0</v>
      </c>
      <c r="O186" s="3052">
        <v>0</v>
      </c>
      <c r="P186" s="3052">
        <v>0</v>
      </c>
      <c r="Q186" s="3052">
        <v>0</v>
      </c>
      <c r="R186" s="3053">
        <f t="shared" si="15"/>
        <v>1</v>
      </c>
      <c r="S186" s="3053">
        <f t="shared" si="15"/>
        <v>1</v>
      </c>
      <c r="T186" s="3053">
        <f t="shared" si="15"/>
        <v>1</v>
      </c>
      <c r="U186" s="3053">
        <f t="shared" si="15"/>
        <v>1</v>
      </c>
      <c r="V186" s="3053">
        <f t="shared" si="15"/>
        <v>1</v>
      </c>
      <c r="W186" s="3053">
        <f t="shared" si="15"/>
        <v>1</v>
      </c>
      <c r="X186" s="3053">
        <f t="shared" si="15"/>
        <v>1</v>
      </c>
      <c r="Y186" s="3053">
        <f t="shared" si="15"/>
        <v>1</v>
      </c>
      <c r="Z186" s="3053">
        <f t="shared" si="15"/>
        <v>1</v>
      </c>
      <c r="AA186" s="3053">
        <f t="shared" si="15"/>
        <v>1</v>
      </c>
      <c r="AB186" s="3053">
        <f t="shared" si="15"/>
        <v>1</v>
      </c>
      <c r="AC186" s="3053">
        <f t="shared" si="15"/>
        <v>1</v>
      </c>
      <c r="AD186" s="3053">
        <f t="shared" si="15"/>
        <v>1.0003905086873426</v>
      </c>
      <c r="AE186" s="3053">
        <f t="shared" si="15"/>
        <v>1</v>
      </c>
      <c r="AF186" s="3053">
        <f t="shared" si="15"/>
        <v>1</v>
      </c>
    </row>
    <row r="187" spans="1:32">
      <c r="A187" s="3043">
        <v>200</v>
      </c>
      <c r="B187" s="3060">
        <v>73</v>
      </c>
      <c r="C187" s="3052">
        <v>0</v>
      </c>
      <c r="D187" s="3052">
        <v>0</v>
      </c>
      <c r="E187" s="3052">
        <v>0</v>
      </c>
      <c r="F187" s="3052">
        <v>0</v>
      </c>
      <c r="G187" s="3052">
        <v>0</v>
      </c>
      <c r="H187" s="3052">
        <v>0</v>
      </c>
      <c r="I187" s="3052">
        <v>0</v>
      </c>
      <c r="J187" s="3052">
        <v>0</v>
      </c>
      <c r="K187" s="3052">
        <v>0</v>
      </c>
      <c r="L187" s="3052">
        <v>0</v>
      </c>
      <c r="M187" s="3052">
        <v>0</v>
      </c>
      <c r="N187" s="3052">
        <v>0</v>
      </c>
      <c r="O187" s="3052">
        <v>0</v>
      </c>
      <c r="P187" s="3052">
        <v>0</v>
      </c>
      <c r="Q187" s="3052">
        <v>0</v>
      </c>
      <c r="R187" s="3053">
        <f t="shared" si="15"/>
        <v>1</v>
      </c>
      <c r="S187" s="3053">
        <f t="shared" si="15"/>
        <v>1</v>
      </c>
      <c r="T187" s="3053">
        <f t="shared" si="15"/>
        <v>1</v>
      </c>
      <c r="U187" s="3053">
        <f t="shared" si="15"/>
        <v>1</v>
      </c>
      <c r="V187" s="3053">
        <f t="shared" si="15"/>
        <v>1</v>
      </c>
      <c r="W187" s="3053">
        <f t="shared" si="15"/>
        <v>1</v>
      </c>
      <c r="X187" s="3053">
        <f t="shared" si="15"/>
        <v>1</v>
      </c>
      <c r="Y187" s="3053">
        <f t="shared" si="15"/>
        <v>1</v>
      </c>
      <c r="Z187" s="3053">
        <f t="shared" si="15"/>
        <v>1</v>
      </c>
      <c r="AA187" s="3053">
        <f t="shared" si="15"/>
        <v>1</v>
      </c>
      <c r="AB187" s="3053">
        <f t="shared" si="15"/>
        <v>1</v>
      </c>
      <c r="AC187" s="3053">
        <f t="shared" si="15"/>
        <v>1</v>
      </c>
      <c r="AD187" s="3053">
        <f t="shared" si="15"/>
        <v>1.0003905086873426</v>
      </c>
      <c r="AE187" s="3053">
        <f t="shared" si="15"/>
        <v>1</v>
      </c>
      <c r="AF187" s="3053">
        <f t="shared" si="15"/>
        <v>1</v>
      </c>
    </row>
    <row r="188" spans="1:32">
      <c r="A188" s="3043">
        <v>200</v>
      </c>
      <c r="B188" s="3060">
        <v>74</v>
      </c>
      <c r="C188" s="3052">
        <v>0</v>
      </c>
      <c r="D188" s="3052">
        <v>0</v>
      </c>
      <c r="E188" s="3052">
        <v>0</v>
      </c>
      <c r="F188" s="3052">
        <v>0</v>
      </c>
      <c r="G188" s="3052">
        <v>0</v>
      </c>
      <c r="H188" s="3052">
        <v>0</v>
      </c>
      <c r="I188" s="3052">
        <v>0</v>
      </c>
      <c r="J188" s="3052">
        <v>0</v>
      </c>
      <c r="K188" s="3052">
        <v>0</v>
      </c>
      <c r="L188" s="3052">
        <v>0</v>
      </c>
      <c r="M188" s="3052">
        <v>0</v>
      </c>
      <c r="N188" s="3052">
        <v>0</v>
      </c>
      <c r="O188" s="3052">
        <v>0</v>
      </c>
      <c r="P188" s="3052">
        <v>0</v>
      </c>
      <c r="Q188" s="3052">
        <v>0</v>
      </c>
      <c r="R188" s="3053">
        <f t="shared" si="15"/>
        <v>1</v>
      </c>
      <c r="S188" s="3053">
        <f t="shared" si="15"/>
        <v>1</v>
      </c>
      <c r="T188" s="3053">
        <f t="shared" si="15"/>
        <v>1</v>
      </c>
      <c r="U188" s="3053">
        <f t="shared" si="15"/>
        <v>1</v>
      </c>
      <c r="V188" s="3053">
        <f t="shared" si="15"/>
        <v>1</v>
      </c>
      <c r="W188" s="3053">
        <f t="shared" si="15"/>
        <v>1</v>
      </c>
      <c r="X188" s="3053">
        <f t="shared" si="15"/>
        <v>1</v>
      </c>
      <c r="Y188" s="3053">
        <f t="shared" si="15"/>
        <v>1</v>
      </c>
      <c r="Z188" s="3053">
        <f t="shared" si="15"/>
        <v>1</v>
      </c>
      <c r="AA188" s="3053">
        <f t="shared" si="15"/>
        <v>1</v>
      </c>
      <c r="AB188" s="3053">
        <f t="shared" si="15"/>
        <v>1</v>
      </c>
      <c r="AC188" s="3053">
        <f t="shared" si="15"/>
        <v>1</v>
      </c>
      <c r="AD188" s="3053">
        <f t="shared" si="15"/>
        <v>1.0003905086873426</v>
      </c>
      <c r="AE188" s="3053">
        <f t="shared" si="15"/>
        <v>1</v>
      </c>
      <c r="AF188" s="3053">
        <f t="shared" si="15"/>
        <v>1</v>
      </c>
    </row>
    <row r="189" spans="1:32">
      <c r="A189" s="3043">
        <v>200</v>
      </c>
      <c r="B189" s="3060">
        <v>75</v>
      </c>
      <c r="C189" s="3052">
        <v>0</v>
      </c>
      <c r="D189" s="3052">
        <v>0</v>
      </c>
      <c r="E189" s="3052">
        <v>0</v>
      </c>
      <c r="F189" s="3052">
        <v>0</v>
      </c>
      <c r="G189" s="3052">
        <v>0</v>
      </c>
      <c r="H189" s="3052">
        <v>0</v>
      </c>
      <c r="I189" s="3052">
        <v>0</v>
      </c>
      <c r="J189" s="3052">
        <v>0</v>
      </c>
      <c r="K189" s="3052">
        <v>0</v>
      </c>
      <c r="L189" s="3052">
        <v>0</v>
      </c>
      <c r="M189" s="3052">
        <v>0</v>
      </c>
      <c r="N189" s="3052">
        <v>0</v>
      </c>
      <c r="O189" s="3052">
        <v>0</v>
      </c>
      <c r="P189" s="3052">
        <v>0</v>
      </c>
      <c r="Q189" s="3052">
        <v>0</v>
      </c>
      <c r="R189" s="3053">
        <f t="shared" si="15"/>
        <v>1</v>
      </c>
      <c r="S189" s="3053">
        <f t="shared" si="15"/>
        <v>1</v>
      </c>
      <c r="T189" s="3053">
        <f t="shared" si="15"/>
        <v>1</v>
      </c>
      <c r="U189" s="3053">
        <f t="shared" si="15"/>
        <v>1</v>
      </c>
      <c r="V189" s="3053">
        <f t="shared" si="15"/>
        <v>1</v>
      </c>
      <c r="W189" s="3053">
        <f t="shared" si="15"/>
        <v>1</v>
      </c>
      <c r="X189" s="3053">
        <f t="shared" si="15"/>
        <v>1</v>
      </c>
      <c r="Y189" s="3053">
        <f t="shared" si="15"/>
        <v>1</v>
      </c>
      <c r="Z189" s="3053">
        <f t="shared" si="15"/>
        <v>1</v>
      </c>
      <c r="AA189" s="3053">
        <f t="shared" si="15"/>
        <v>1</v>
      </c>
      <c r="AB189" s="3053">
        <f t="shared" si="15"/>
        <v>1</v>
      </c>
      <c r="AC189" s="3053">
        <f t="shared" si="15"/>
        <v>1</v>
      </c>
      <c r="AD189" s="3053">
        <f t="shared" si="15"/>
        <v>1.0003905086873426</v>
      </c>
      <c r="AE189" s="3053">
        <f t="shared" si="15"/>
        <v>1</v>
      </c>
      <c r="AF189" s="3053">
        <f t="shared" si="15"/>
        <v>1</v>
      </c>
    </row>
    <row r="190" spans="1:32">
      <c r="A190" s="3043">
        <v>200</v>
      </c>
      <c r="B190" s="3060">
        <v>76</v>
      </c>
      <c r="C190" s="3052">
        <v>0</v>
      </c>
      <c r="D190" s="3052">
        <v>0</v>
      </c>
      <c r="E190" s="3052">
        <v>0</v>
      </c>
      <c r="F190" s="3052">
        <v>0</v>
      </c>
      <c r="G190" s="3052">
        <v>0</v>
      </c>
      <c r="H190" s="3052">
        <v>0</v>
      </c>
      <c r="I190" s="3052">
        <v>0</v>
      </c>
      <c r="J190" s="3052">
        <v>0</v>
      </c>
      <c r="K190" s="3052">
        <v>0</v>
      </c>
      <c r="L190" s="3052">
        <v>0</v>
      </c>
      <c r="M190" s="3052">
        <v>0</v>
      </c>
      <c r="N190" s="3052">
        <v>0</v>
      </c>
      <c r="O190" s="3052">
        <v>0</v>
      </c>
      <c r="P190" s="3052">
        <v>0</v>
      </c>
      <c r="Q190" s="3052">
        <v>0</v>
      </c>
      <c r="R190" s="3053">
        <f t="shared" si="15"/>
        <v>1</v>
      </c>
      <c r="S190" s="3053">
        <f t="shared" si="15"/>
        <v>1</v>
      </c>
      <c r="T190" s="3053">
        <f t="shared" si="15"/>
        <v>1</v>
      </c>
      <c r="U190" s="3053">
        <f t="shared" si="15"/>
        <v>1</v>
      </c>
      <c r="V190" s="3053">
        <f t="shared" si="15"/>
        <v>1</v>
      </c>
      <c r="W190" s="3053">
        <f t="shared" si="15"/>
        <v>1</v>
      </c>
      <c r="X190" s="3053">
        <f t="shared" si="15"/>
        <v>1</v>
      </c>
      <c r="Y190" s="3053">
        <f t="shared" si="15"/>
        <v>1</v>
      </c>
      <c r="Z190" s="3053">
        <f t="shared" si="15"/>
        <v>1</v>
      </c>
      <c r="AA190" s="3053">
        <f t="shared" si="15"/>
        <v>1</v>
      </c>
      <c r="AB190" s="3053">
        <f t="shared" si="15"/>
        <v>1</v>
      </c>
      <c r="AC190" s="3053">
        <f t="shared" si="15"/>
        <v>1</v>
      </c>
      <c r="AD190" s="3053">
        <f t="shared" si="15"/>
        <v>1.0003905086873426</v>
      </c>
      <c r="AE190" s="3053">
        <f t="shared" si="15"/>
        <v>1</v>
      </c>
      <c r="AF190" s="3053">
        <f t="shared" si="15"/>
        <v>1</v>
      </c>
    </row>
    <row r="191" spans="1:32">
      <c r="A191" s="3043">
        <v>200</v>
      </c>
      <c r="B191" s="3060">
        <v>77</v>
      </c>
      <c r="C191" s="3052">
        <v>0</v>
      </c>
      <c r="D191" s="3052">
        <v>0</v>
      </c>
      <c r="E191" s="3052">
        <v>0</v>
      </c>
      <c r="F191" s="3052">
        <v>0</v>
      </c>
      <c r="G191" s="3052">
        <v>0</v>
      </c>
      <c r="H191" s="3052">
        <v>0</v>
      </c>
      <c r="I191" s="3052">
        <v>0</v>
      </c>
      <c r="J191" s="3052">
        <v>0</v>
      </c>
      <c r="K191" s="3052">
        <v>0</v>
      </c>
      <c r="L191" s="3052">
        <v>0</v>
      </c>
      <c r="M191" s="3052">
        <v>0</v>
      </c>
      <c r="N191" s="3052">
        <v>0</v>
      </c>
      <c r="O191" s="3052">
        <v>0</v>
      </c>
      <c r="P191" s="3052">
        <v>0</v>
      </c>
      <c r="Q191" s="3052">
        <v>0</v>
      </c>
      <c r="R191" s="3053">
        <f t="shared" si="15"/>
        <v>1</v>
      </c>
      <c r="S191" s="3053">
        <f t="shared" si="15"/>
        <v>1</v>
      </c>
      <c r="T191" s="3053">
        <f t="shared" si="15"/>
        <v>1</v>
      </c>
      <c r="U191" s="3053">
        <f t="shared" si="15"/>
        <v>1</v>
      </c>
      <c r="V191" s="3053">
        <f t="shared" si="15"/>
        <v>1</v>
      </c>
      <c r="W191" s="3053">
        <f t="shared" si="15"/>
        <v>1</v>
      </c>
      <c r="X191" s="3053">
        <f t="shared" si="15"/>
        <v>1</v>
      </c>
      <c r="Y191" s="3053">
        <f t="shared" si="15"/>
        <v>1</v>
      </c>
      <c r="Z191" s="3053">
        <f t="shared" si="15"/>
        <v>1</v>
      </c>
      <c r="AA191" s="3053">
        <f t="shared" si="15"/>
        <v>1</v>
      </c>
      <c r="AB191" s="3053">
        <f t="shared" si="15"/>
        <v>1</v>
      </c>
      <c r="AC191" s="3053">
        <f t="shared" si="15"/>
        <v>1</v>
      </c>
      <c r="AD191" s="3053">
        <f t="shared" si="15"/>
        <v>1.0003905086873426</v>
      </c>
      <c r="AE191" s="3053">
        <f t="shared" si="15"/>
        <v>1</v>
      </c>
      <c r="AF191" s="3053">
        <f t="shared" si="15"/>
        <v>1</v>
      </c>
    </row>
    <row r="192" spans="1:32">
      <c r="A192" s="3043">
        <v>200</v>
      </c>
      <c r="B192" s="3060">
        <v>78</v>
      </c>
      <c r="C192" s="3052">
        <v>0</v>
      </c>
      <c r="D192" s="3052">
        <v>0</v>
      </c>
      <c r="E192" s="3052">
        <v>0</v>
      </c>
      <c r="F192" s="3052">
        <v>0</v>
      </c>
      <c r="G192" s="3052">
        <v>0</v>
      </c>
      <c r="H192" s="3052">
        <v>0</v>
      </c>
      <c r="I192" s="3052">
        <v>0</v>
      </c>
      <c r="J192" s="3052">
        <v>0</v>
      </c>
      <c r="K192" s="3052">
        <v>0</v>
      </c>
      <c r="L192" s="3052">
        <v>0</v>
      </c>
      <c r="M192" s="3052">
        <v>0</v>
      </c>
      <c r="N192" s="3052">
        <v>0</v>
      </c>
      <c r="O192" s="3052">
        <v>0</v>
      </c>
      <c r="P192" s="3052">
        <v>0</v>
      </c>
      <c r="Q192" s="3052">
        <v>0</v>
      </c>
      <c r="R192" s="3053">
        <f t="shared" si="15"/>
        <v>1</v>
      </c>
      <c r="S192" s="3053">
        <f t="shared" si="15"/>
        <v>1</v>
      </c>
      <c r="T192" s="3053">
        <f t="shared" si="15"/>
        <v>1</v>
      </c>
      <c r="U192" s="3053">
        <f t="shared" si="15"/>
        <v>1</v>
      </c>
      <c r="V192" s="3053">
        <f t="shared" si="15"/>
        <v>1</v>
      </c>
      <c r="W192" s="3053">
        <f t="shared" si="15"/>
        <v>1</v>
      </c>
      <c r="X192" s="3053">
        <f t="shared" si="15"/>
        <v>1</v>
      </c>
      <c r="Y192" s="3053">
        <f t="shared" si="15"/>
        <v>1</v>
      </c>
      <c r="Z192" s="3053">
        <f t="shared" si="15"/>
        <v>1</v>
      </c>
      <c r="AA192" s="3053">
        <f t="shared" si="15"/>
        <v>1</v>
      </c>
      <c r="AB192" s="3053">
        <f t="shared" si="15"/>
        <v>1</v>
      </c>
      <c r="AC192" s="3053">
        <f t="shared" si="15"/>
        <v>1</v>
      </c>
      <c r="AD192" s="3053">
        <f t="shared" si="15"/>
        <v>1.0003905086873426</v>
      </c>
      <c r="AE192" s="3053">
        <f t="shared" si="15"/>
        <v>1</v>
      </c>
      <c r="AF192" s="3053">
        <f t="shared" si="15"/>
        <v>1</v>
      </c>
    </row>
    <row r="193" spans="1:32">
      <c r="A193" s="3043">
        <v>200</v>
      </c>
      <c r="B193" s="3060">
        <v>79</v>
      </c>
      <c r="C193" s="3052">
        <v>0</v>
      </c>
      <c r="D193" s="3052">
        <v>0</v>
      </c>
      <c r="E193" s="3052">
        <v>0</v>
      </c>
      <c r="F193" s="3052">
        <v>0</v>
      </c>
      <c r="G193" s="3052">
        <v>0</v>
      </c>
      <c r="H193" s="3052">
        <v>0</v>
      </c>
      <c r="I193" s="3052">
        <v>0</v>
      </c>
      <c r="J193" s="3052">
        <v>0</v>
      </c>
      <c r="K193" s="3052">
        <v>0</v>
      </c>
      <c r="L193" s="3052">
        <v>0</v>
      </c>
      <c r="M193" s="3052">
        <v>0</v>
      </c>
      <c r="N193" s="3052">
        <v>0</v>
      </c>
      <c r="O193" s="3052">
        <v>0</v>
      </c>
      <c r="P193" s="3052">
        <v>0</v>
      </c>
      <c r="Q193" s="3052">
        <v>0</v>
      </c>
      <c r="R193" s="3053">
        <f t="shared" si="15"/>
        <v>1</v>
      </c>
      <c r="S193" s="3053">
        <f t="shared" si="15"/>
        <v>1</v>
      </c>
      <c r="T193" s="3053">
        <f t="shared" si="15"/>
        <v>1</v>
      </c>
      <c r="U193" s="3053">
        <f t="shared" si="15"/>
        <v>1</v>
      </c>
      <c r="V193" s="3053">
        <f t="shared" si="15"/>
        <v>1</v>
      </c>
      <c r="W193" s="3053">
        <f t="shared" si="15"/>
        <v>1</v>
      </c>
      <c r="X193" s="3053">
        <f t="shared" si="15"/>
        <v>1</v>
      </c>
      <c r="Y193" s="3053">
        <f t="shared" si="15"/>
        <v>1</v>
      </c>
      <c r="Z193" s="3053">
        <f t="shared" si="15"/>
        <v>1</v>
      </c>
      <c r="AA193" s="3053">
        <f t="shared" si="15"/>
        <v>1</v>
      </c>
      <c r="AB193" s="3053">
        <f t="shared" si="15"/>
        <v>1</v>
      </c>
      <c r="AC193" s="3053">
        <f t="shared" si="15"/>
        <v>1</v>
      </c>
      <c r="AD193" s="3053">
        <f t="shared" si="15"/>
        <v>1.0003905086873426</v>
      </c>
      <c r="AE193" s="3053">
        <f t="shared" si="15"/>
        <v>1</v>
      </c>
      <c r="AF193" s="3053">
        <f t="shared" si="15"/>
        <v>1</v>
      </c>
    </row>
    <row r="194" spans="1:32">
      <c r="A194" s="3043">
        <v>200</v>
      </c>
      <c r="B194" s="3060">
        <v>80</v>
      </c>
      <c r="C194" s="3052">
        <v>0</v>
      </c>
      <c r="D194" s="3052">
        <v>0</v>
      </c>
      <c r="E194" s="3052">
        <v>0</v>
      </c>
      <c r="F194" s="3052">
        <v>0</v>
      </c>
      <c r="G194" s="3052">
        <v>0</v>
      </c>
      <c r="H194" s="3052">
        <v>0</v>
      </c>
      <c r="I194" s="3052">
        <v>0</v>
      </c>
      <c r="J194" s="3052">
        <v>0</v>
      </c>
      <c r="K194" s="3052">
        <v>0</v>
      </c>
      <c r="L194" s="3052">
        <v>0</v>
      </c>
      <c r="M194" s="3052">
        <v>0</v>
      </c>
      <c r="N194" s="3052">
        <v>0</v>
      </c>
      <c r="O194" s="3052">
        <v>0</v>
      </c>
      <c r="P194" s="3052">
        <v>0</v>
      </c>
      <c r="Q194" s="3052">
        <v>0</v>
      </c>
      <c r="R194" s="3053">
        <f t="shared" si="15"/>
        <v>1</v>
      </c>
      <c r="S194" s="3053">
        <f t="shared" si="15"/>
        <v>1</v>
      </c>
      <c r="T194" s="3053">
        <f t="shared" si="15"/>
        <v>1</v>
      </c>
      <c r="U194" s="3053">
        <f t="shared" si="15"/>
        <v>1</v>
      </c>
      <c r="V194" s="3053">
        <f t="shared" si="15"/>
        <v>1</v>
      </c>
      <c r="W194" s="3053">
        <f t="shared" si="15"/>
        <v>1</v>
      </c>
      <c r="X194" s="3053">
        <f t="shared" si="15"/>
        <v>1</v>
      </c>
      <c r="Y194" s="3053">
        <f t="shared" si="15"/>
        <v>1</v>
      </c>
      <c r="Z194" s="3053">
        <f t="shared" si="15"/>
        <v>1</v>
      </c>
      <c r="AA194" s="3053">
        <f t="shared" si="15"/>
        <v>1</v>
      </c>
      <c r="AB194" s="3053">
        <f t="shared" si="15"/>
        <v>1</v>
      </c>
      <c r="AC194" s="3053">
        <f t="shared" si="15"/>
        <v>1</v>
      </c>
      <c r="AD194" s="3053">
        <f t="shared" si="15"/>
        <v>1.0003905086873426</v>
      </c>
      <c r="AE194" s="3053">
        <f t="shared" si="15"/>
        <v>1</v>
      </c>
      <c r="AF194" s="3053">
        <f t="shared" si="15"/>
        <v>1</v>
      </c>
    </row>
    <row r="195" spans="1:32">
      <c r="A195" s="3043">
        <v>200</v>
      </c>
      <c r="B195" s="3060">
        <v>81</v>
      </c>
      <c r="C195" s="3052">
        <v>0</v>
      </c>
      <c r="D195" s="3052">
        <v>0</v>
      </c>
      <c r="E195" s="3052">
        <v>0</v>
      </c>
      <c r="F195" s="3052">
        <v>0</v>
      </c>
      <c r="G195" s="3052">
        <v>0</v>
      </c>
      <c r="H195" s="3052">
        <v>0</v>
      </c>
      <c r="I195" s="3052">
        <v>0</v>
      </c>
      <c r="J195" s="3052">
        <v>0</v>
      </c>
      <c r="K195" s="3052">
        <v>0</v>
      </c>
      <c r="L195" s="3052">
        <v>0</v>
      </c>
      <c r="M195" s="3052">
        <v>0</v>
      </c>
      <c r="N195" s="3052">
        <v>0</v>
      </c>
      <c r="O195" s="3052">
        <v>0</v>
      </c>
      <c r="P195" s="3052">
        <v>0</v>
      </c>
      <c r="Q195" s="3052">
        <v>0</v>
      </c>
      <c r="R195" s="3053">
        <f t="shared" si="15"/>
        <v>1</v>
      </c>
      <c r="S195" s="3053">
        <f t="shared" si="15"/>
        <v>1</v>
      </c>
      <c r="T195" s="3053">
        <f t="shared" si="15"/>
        <v>1</v>
      </c>
      <c r="U195" s="3053">
        <f t="shared" si="15"/>
        <v>1</v>
      </c>
      <c r="V195" s="3053">
        <f t="shared" si="15"/>
        <v>1</v>
      </c>
      <c r="W195" s="3053">
        <f t="shared" si="15"/>
        <v>1</v>
      </c>
      <c r="X195" s="3053">
        <f t="shared" si="15"/>
        <v>1</v>
      </c>
      <c r="Y195" s="3053">
        <f t="shared" si="15"/>
        <v>1</v>
      </c>
      <c r="Z195" s="3053">
        <f t="shared" si="15"/>
        <v>1</v>
      </c>
      <c r="AA195" s="3053">
        <f t="shared" si="15"/>
        <v>1</v>
      </c>
      <c r="AB195" s="3053">
        <f t="shared" si="15"/>
        <v>1</v>
      </c>
      <c r="AC195" s="3053">
        <f t="shared" si="15"/>
        <v>1</v>
      </c>
      <c r="AD195" s="3053">
        <f t="shared" si="15"/>
        <v>1.0003905086873426</v>
      </c>
      <c r="AE195" s="3053">
        <f t="shared" si="15"/>
        <v>1</v>
      </c>
      <c r="AF195" s="3053">
        <f t="shared" si="15"/>
        <v>1</v>
      </c>
    </row>
    <row r="196" spans="1:32">
      <c r="A196" s="3043">
        <v>200</v>
      </c>
      <c r="B196" s="3060">
        <v>82</v>
      </c>
      <c r="C196" s="3052">
        <v>0</v>
      </c>
      <c r="D196" s="3052">
        <v>0</v>
      </c>
      <c r="E196" s="3052">
        <v>0</v>
      </c>
      <c r="F196" s="3052">
        <v>0</v>
      </c>
      <c r="G196" s="3052">
        <v>0</v>
      </c>
      <c r="H196" s="3052">
        <v>0</v>
      </c>
      <c r="I196" s="3052">
        <v>0</v>
      </c>
      <c r="J196" s="3052">
        <v>0</v>
      </c>
      <c r="K196" s="3052">
        <v>0</v>
      </c>
      <c r="L196" s="3052">
        <v>0</v>
      </c>
      <c r="M196" s="3052">
        <v>0</v>
      </c>
      <c r="N196" s="3052">
        <v>0</v>
      </c>
      <c r="O196" s="3052">
        <v>0</v>
      </c>
      <c r="P196" s="3052">
        <v>0</v>
      </c>
      <c r="Q196" s="3052">
        <v>0</v>
      </c>
      <c r="R196" s="3053">
        <f t="shared" ref="R196:AF211" si="16">C196+R195</f>
        <v>1</v>
      </c>
      <c r="S196" s="3053">
        <f t="shared" si="16"/>
        <v>1</v>
      </c>
      <c r="T196" s="3053">
        <f t="shared" si="16"/>
        <v>1</v>
      </c>
      <c r="U196" s="3053">
        <f t="shared" si="16"/>
        <v>1</v>
      </c>
      <c r="V196" s="3053">
        <f t="shared" si="16"/>
        <v>1</v>
      </c>
      <c r="W196" s="3053">
        <f t="shared" si="16"/>
        <v>1</v>
      </c>
      <c r="X196" s="3053">
        <f t="shared" si="16"/>
        <v>1</v>
      </c>
      <c r="Y196" s="3053">
        <f t="shared" si="16"/>
        <v>1</v>
      </c>
      <c r="Z196" s="3053">
        <f t="shared" si="16"/>
        <v>1</v>
      </c>
      <c r="AA196" s="3053">
        <f t="shared" si="16"/>
        <v>1</v>
      </c>
      <c r="AB196" s="3053">
        <f t="shared" si="16"/>
        <v>1</v>
      </c>
      <c r="AC196" s="3053">
        <f t="shared" si="16"/>
        <v>1</v>
      </c>
      <c r="AD196" s="3053">
        <f t="shared" si="16"/>
        <v>1.0003905086873426</v>
      </c>
      <c r="AE196" s="3053">
        <f t="shared" si="16"/>
        <v>1</v>
      </c>
      <c r="AF196" s="3053">
        <f t="shared" si="16"/>
        <v>1</v>
      </c>
    </row>
    <row r="197" spans="1:32">
      <c r="A197" s="3043">
        <v>200</v>
      </c>
      <c r="B197" s="3060">
        <v>83</v>
      </c>
      <c r="C197" s="3052">
        <v>0</v>
      </c>
      <c r="D197" s="3052">
        <v>0</v>
      </c>
      <c r="E197" s="3052">
        <v>0</v>
      </c>
      <c r="F197" s="3052">
        <v>0</v>
      </c>
      <c r="G197" s="3052">
        <v>0</v>
      </c>
      <c r="H197" s="3052">
        <v>0</v>
      </c>
      <c r="I197" s="3052">
        <v>0</v>
      </c>
      <c r="J197" s="3052">
        <v>0</v>
      </c>
      <c r="K197" s="3052">
        <v>0</v>
      </c>
      <c r="L197" s="3052">
        <v>0</v>
      </c>
      <c r="M197" s="3052">
        <v>0</v>
      </c>
      <c r="N197" s="3052">
        <v>0</v>
      </c>
      <c r="O197" s="3052">
        <v>0</v>
      </c>
      <c r="P197" s="3052">
        <v>0</v>
      </c>
      <c r="Q197" s="3052">
        <v>0</v>
      </c>
      <c r="R197" s="3053">
        <f t="shared" si="16"/>
        <v>1</v>
      </c>
      <c r="S197" s="3053">
        <f t="shared" si="16"/>
        <v>1</v>
      </c>
      <c r="T197" s="3053">
        <f t="shared" si="16"/>
        <v>1</v>
      </c>
      <c r="U197" s="3053">
        <f t="shared" si="16"/>
        <v>1</v>
      </c>
      <c r="V197" s="3053">
        <f t="shared" si="16"/>
        <v>1</v>
      </c>
      <c r="W197" s="3053">
        <f t="shared" si="16"/>
        <v>1</v>
      </c>
      <c r="X197" s="3053">
        <f t="shared" si="16"/>
        <v>1</v>
      </c>
      <c r="Y197" s="3053">
        <f t="shared" si="16"/>
        <v>1</v>
      </c>
      <c r="Z197" s="3053">
        <f t="shared" si="16"/>
        <v>1</v>
      </c>
      <c r="AA197" s="3053">
        <f t="shared" si="16"/>
        <v>1</v>
      </c>
      <c r="AB197" s="3053">
        <f t="shared" si="16"/>
        <v>1</v>
      </c>
      <c r="AC197" s="3053">
        <f t="shared" si="16"/>
        <v>1</v>
      </c>
      <c r="AD197" s="3053">
        <f t="shared" si="16"/>
        <v>1.0003905086873426</v>
      </c>
      <c r="AE197" s="3053">
        <f t="shared" si="16"/>
        <v>1</v>
      </c>
      <c r="AF197" s="3053">
        <f t="shared" si="16"/>
        <v>1</v>
      </c>
    </row>
    <row r="198" spans="1:32">
      <c r="A198" s="3043">
        <v>200</v>
      </c>
      <c r="B198" s="3060">
        <v>84</v>
      </c>
      <c r="C198" s="3052">
        <v>0</v>
      </c>
      <c r="D198" s="3052">
        <v>0</v>
      </c>
      <c r="E198" s="3052">
        <v>0</v>
      </c>
      <c r="F198" s="3052">
        <v>0</v>
      </c>
      <c r="G198" s="3052">
        <v>0</v>
      </c>
      <c r="H198" s="3052">
        <v>0</v>
      </c>
      <c r="I198" s="3052">
        <v>0</v>
      </c>
      <c r="J198" s="3052">
        <v>0</v>
      </c>
      <c r="K198" s="3052">
        <v>0</v>
      </c>
      <c r="L198" s="3052">
        <v>0</v>
      </c>
      <c r="M198" s="3052">
        <v>0</v>
      </c>
      <c r="N198" s="3052">
        <v>0</v>
      </c>
      <c r="O198" s="3052">
        <v>0</v>
      </c>
      <c r="P198" s="3052">
        <v>0</v>
      </c>
      <c r="Q198" s="3052">
        <v>0</v>
      </c>
      <c r="R198" s="3053">
        <f t="shared" si="16"/>
        <v>1</v>
      </c>
      <c r="S198" s="3053">
        <f t="shared" si="16"/>
        <v>1</v>
      </c>
      <c r="T198" s="3053">
        <f t="shared" si="16"/>
        <v>1</v>
      </c>
      <c r="U198" s="3053">
        <f t="shared" si="16"/>
        <v>1</v>
      </c>
      <c r="V198" s="3053">
        <f t="shared" si="16"/>
        <v>1</v>
      </c>
      <c r="W198" s="3053">
        <f t="shared" si="16"/>
        <v>1</v>
      </c>
      <c r="X198" s="3053">
        <f t="shared" si="16"/>
        <v>1</v>
      </c>
      <c r="Y198" s="3053">
        <f t="shared" si="16"/>
        <v>1</v>
      </c>
      <c r="Z198" s="3053">
        <f t="shared" si="16"/>
        <v>1</v>
      </c>
      <c r="AA198" s="3053">
        <f t="shared" si="16"/>
        <v>1</v>
      </c>
      <c r="AB198" s="3053">
        <f t="shared" si="16"/>
        <v>1</v>
      </c>
      <c r="AC198" s="3053">
        <f t="shared" si="16"/>
        <v>1</v>
      </c>
      <c r="AD198" s="3053">
        <f t="shared" si="16"/>
        <v>1.0003905086873426</v>
      </c>
      <c r="AE198" s="3053">
        <f t="shared" si="16"/>
        <v>1</v>
      </c>
      <c r="AF198" s="3053">
        <f t="shared" si="16"/>
        <v>1</v>
      </c>
    </row>
    <row r="199" spans="1:32">
      <c r="A199" s="3043">
        <v>200</v>
      </c>
      <c r="B199" s="3060">
        <v>85</v>
      </c>
      <c r="C199" s="3052">
        <v>0</v>
      </c>
      <c r="D199" s="3052">
        <v>0</v>
      </c>
      <c r="E199" s="3052">
        <v>0</v>
      </c>
      <c r="F199" s="3052">
        <v>0</v>
      </c>
      <c r="G199" s="3052">
        <v>0</v>
      </c>
      <c r="H199" s="3052">
        <v>0</v>
      </c>
      <c r="I199" s="3052">
        <v>0</v>
      </c>
      <c r="J199" s="3052">
        <v>0</v>
      </c>
      <c r="K199" s="3052">
        <v>0</v>
      </c>
      <c r="L199" s="3052">
        <v>0</v>
      </c>
      <c r="M199" s="3052">
        <v>0</v>
      </c>
      <c r="N199" s="3052">
        <v>0</v>
      </c>
      <c r="O199" s="3052">
        <v>0</v>
      </c>
      <c r="P199" s="3052">
        <v>0</v>
      </c>
      <c r="Q199" s="3052">
        <v>0</v>
      </c>
      <c r="R199" s="3053">
        <f t="shared" si="16"/>
        <v>1</v>
      </c>
      <c r="S199" s="3053">
        <f t="shared" si="16"/>
        <v>1</v>
      </c>
      <c r="T199" s="3053">
        <f t="shared" si="16"/>
        <v>1</v>
      </c>
      <c r="U199" s="3053">
        <f t="shared" si="16"/>
        <v>1</v>
      </c>
      <c r="V199" s="3053">
        <f t="shared" si="16"/>
        <v>1</v>
      </c>
      <c r="W199" s="3053">
        <f t="shared" si="16"/>
        <v>1</v>
      </c>
      <c r="X199" s="3053">
        <f t="shared" si="16"/>
        <v>1</v>
      </c>
      <c r="Y199" s="3053">
        <f t="shared" si="16"/>
        <v>1</v>
      </c>
      <c r="Z199" s="3053">
        <f t="shared" si="16"/>
        <v>1</v>
      </c>
      <c r="AA199" s="3053">
        <f t="shared" si="16"/>
        <v>1</v>
      </c>
      <c r="AB199" s="3053">
        <f t="shared" si="16"/>
        <v>1</v>
      </c>
      <c r="AC199" s="3053">
        <f t="shared" si="16"/>
        <v>1</v>
      </c>
      <c r="AD199" s="3053">
        <f t="shared" si="16"/>
        <v>1.0003905086873426</v>
      </c>
      <c r="AE199" s="3053">
        <f t="shared" si="16"/>
        <v>1</v>
      </c>
      <c r="AF199" s="3053">
        <f t="shared" si="16"/>
        <v>1</v>
      </c>
    </row>
    <row r="200" spans="1:32">
      <c r="A200" s="3043">
        <v>200</v>
      </c>
      <c r="B200" s="3060">
        <v>86</v>
      </c>
      <c r="C200" s="3052">
        <v>0</v>
      </c>
      <c r="D200" s="3052">
        <v>0</v>
      </c>
      <c r="E200" s="3052">
        <v>0</v>
      </c>
      <c r="F200" s="3052">
        <v>0</v>
      </c>
      <c r="G200" s="3052">
        <v>0</v>
      </c>
      <c r="H200" s="3052">
        <v>0</v>
      </c>
      <c r="I200" s="3052">
        <v>0</v>
      </c>
      <c r="J200" s="3052">
        <v>0</v>
      </c>
      <c r="K200" s="3052">
        <v>0</v>
      </c>
      <c r="L200" s="3052">
        <v>0</v>
      </c>
      <c r="M200" s="3052">
        <v>0</v>
      </c>
      <c r="N200" s="3052">
        <v>0</v>
      </c>
      <c r="O200" s="3052">
        <v>0</v>
      </c>
      <c r="P200" s="3052">
        <v>0</v>
      </c>
      <c r="Q200" s="3052">
        <v>0</v>
      </c>
      <c r="R200" s="3053">
        <f t="shared" si="16"/>
        <v>1</v>
      </c>
      <c r="S200" s="3053">
        <f t="shared" si="16"/>
        <v>1</v>
      </c>
      <c r="T200" s="3053">
        <f t="shared" si="16"/>
        <v>1</v>
      </c>
      <c r="U200" s="3053">
        <f t="shared" si="16"/>
        <v>1</v>
      </c>
      <c r="V200" s="3053">
        <f t="shared" si="16"/>
        <v>1</v>
      </c>
      <c r="W200" s="3053">
        <f t="shared" si="16"/>
        <v>1</v>
      </c>
      <c r="X200" s="3053">
        <f t="shared" si="16"/>
        <v>1</v>
      </c>
      <c r="Y200" s="3053">
        <f t="shared" si="16"/>
        <v>1</v>
      </c>
      <c r="Z200" s="3053">
        <f t="shared" si="16"/>
        <v>1</v>
      </c>
      <c r="AA200" s="3053">
        <f t="shared" si="16"/>
        <v>1</v>
      </c>
      <c r="AB200" s="3053">
        <f t="shared" si="16"/>
        <v>1</v>
      </c>
      <c r="AC200" s="3053">
        <f t="shared" si="16"/>
        <v>1</v>
      </c>
      <c r="AD200" s="3053">
        <f t="shared" si="16"/>
        <v>1.0003905086873426</v>
      </c>
      <c r="AE200" s="3053">
        <f t="shared" si="16"/>
        <v>1</v>
      </c>
      <c r="AF200" s="3053">
        <f t="shared" si="16"/>
        <v>1</v>
      </c>
    </row>
    <row r="201" spans="1:32">
      <c r="A201" s="3043">
        <v>200</v>
      </c>
      <c r="B201" s="3060">
        <v>87</v>
      </c>
      <c r="C201" s="3052">
        <v>0</v>
      </c>
      <c r="D201" s="3052">
        <v>0</v>
      </c>
      <c r="E201" s="3052">
        <v>0</v>
      </c>
      <c r="F201" s="3052">
        <v>0</v>
      </c>
      <c r="G201" s="3052">
        <v>0</v>
      </c>
      <c r="H201" s="3052">
        <v>0</v>
      </c>
      <c r="I201" s="3052">
        <v>0</v>
      </c>
      <c r="J201" s="3052">
        <v>0</v>
      </c>
      <c r="K201" s="3052">
        <v>0</v>
      </c>
      <c r="L201" s="3052">
        <v>0</v>
      </c>
      <c r="M201" s="3052">
        <v>0</v>
      </c>
      <c r="N201" s="3052">
        <v>0</v>
      </c>
      <c r="O201" s="3052">
        <v>0</v>
      </c>
      <c r="P201" s="3052">
        <v>0</v>
      </c>
      <c r="Q201" s="3052">
        <v>0</v>
      </c>
      <c r="R201" s="3053">
        <f t="shared" si="16"/>
        <v>1</v>
      </c>
      <c r="S201" s="3053">
        <f t="shared" si="16"/>
        <v>1</v>
      </c>
      <c r="T201" s="3053">
        <f t="shared" si="16"/>
        <v>1</v>
      </c>
      <c r="U201" s="3053">
        <f t="shared" si="16"/>
        <v>1</v>
      </c>
      <c r="V201" s="3053">
        <f t="shared" si="16"/>
        <v>1</v>
      </c>
      <c r="W201" s="3053">
        <f t="shared" si="16"/>
        <v>1</v>
      </c>
      <c r="X201" s="3053">
        <f t="shared" si="16"/>
        <v>1</v>
      </c>
      <c r="Y201" s="3053">
        <f t="shared" si="16"/>
        <v>1</v>
      </c>
      <c r="Z201" s="3053">
        <f t="shared" si="16"/>
        <v>1</v>
      </c>
      <c r="AA201" s="3053">
        <f t="shared" si="16"/>
        <v>1</v>
      </c>
      <c r="AB201" s="3053">
        <f t="shared" si="16"/>
        <v>1</v>
      </c>
      <c r="AC201" s="3053">
        <f t="shared" si="16"/>
        <v>1</v>
      </c>
      <c r="AD201" s="3053">
        <f t="shared" si="16"/>
        <v>1.0003905086873426</v>
      </c>
      <c r="AE201" s="3053">
        <f t="shared" si="16"/>
        <v>1</v>
      </c>
      <c r="AF201" s="3053">
        <f t="shared" si="16"/>
        <v>1</v>
      </c>
    </row>
    <row r="202" spans="1:32">
      <c r="A202" s="3043">
        <v>200</v>
      </c>
      <c r="B202" s="3060">
        <v>88</v>
      </c>
      <c r="C202" s="3052">
        <v>0</v>
      </c>
      <c r="D202" s="3052">
        <v>0</v>
      </c>
      <c r="E202" s="3052">
        <v>0</v>
      </c>
      <c r="F202" s="3052">
        <v>0</v>
      </c>
      <c r="G202" s="3052">
        <v>0</v>
      </c>
      <c r="H202" s="3052">
        <v>0</v>
      </c>
      <c r="I202" s="3052">
        <v>0</v>
      </c>
      <c r="J202" s="3052">
        <v>0</v>
      </c>
      <c r="K202" s="3052">
        <v>0</v>
      </c>
      <c r="L202" s="3052">
        <v>0</v>
      </c>
      <c r="M202" s="3052">
        <v>0</v>
      </c>
      <c r="N202" s="3052">
        <v>0</v>
      </c>
      <c r="O202" s="3052">
        <v>0</v>
      </c>
      <c r="P202" s="3052">
        <v>0</v>
      </c>
      <c r="Q202" s="3052">
        <v>0</v>
      </c>
      <c r="R202" s="3053">
        <f t="shared" si="16"/>
        <v>1</v>
      </c>
      <c r="S202" s="3053">
        <f t="shared" si="16"/>
        <v>1</v>
      </c>
      <c r="T202" s="3053">
        <f t="shared" si="16"/>
        <v>1</v>
      </c>
      <c r="U202" s="3053">
        <f t="shared" si="16"/>
        <v>1</v>
      </c>
      <c r="V202" s="3053">
        <f t="shared" si="16"/>
        <v>1</v>
      </c>
      <c r="W202" s="3053">
        <f t="shared" si="16"/>
        <v>1</v>
      </c>
      <c r="X202" s="3053">
        <f t="shared" si="16"/>
        <v>1</v>
      </c>
      <c r="Y202" s="3053">
        <f t="shared" si="16"/>
        <v>1</v>
      </c>
      <c r="Z202" s="3053">
        <f t="shared" si="16"/>
        <v>1</v>
      </c>
      <c r="AA202" s="3053">
        <f t="shared" si="16"/>
        <v>1</v>
      </c>
      <c r="AB202" s="3053">
        <f t="shared" si="16"/>
        <v>1</v>
      </c>
      <c r="AC202" s="3053">
        <f t="shared" si="16"/>
        <v>1</v>
      </c>
      <c r="AD202" s="3053">
        <f t="shared" si="16"/>
        <v>1.0003905086873426</v>
      </c>
      <c r="AE202" s="3053">
        <f t="shared" si="16"/>
        <v>1</v>
      </c>
      <c r="AF202" s="3053">
        <f t="shared" si="16"/>
        <v>1</v>
      </c>
    </row>
    <row r="203" spans="1:32">
      <c r="A203" s="3043">
        <v>200</v>
      </c>
      <c r="B203" s="3060">
        <v>89</v>
      </c>
      <c r="C203" s="3052">
        <v>0</v>
      </c>
      <c r="D203" s="3052">
        <v>0</v>
      </c>
      <c r="E203" s="3052">
        <v>0</v>
      </c>
      <c r="F203" s="3052">
        <v>0</v>
      </c>
      <c r="G203" s="3052">
        <v>0</v>
      </c>
      <c r="H203" s="3052">
        <v>0</v>
      </c>
      <c r="I203" s="3052">
        <v>0</v>
      </c>
      <c r="J203" s="3052">
        <v>0</v>
      </c>
      <c r="K203" s="3052">
        <v>0</v>
      </c>
      <c r="L203" s="3052">
        <v>0</v>
      </c>
      <c r="M203" s="3052">
        <v>0</v>
      </c>
      <c r="N203" s="3052">
        <v>0</v>
      </c>
      <c r="O203" s="3052">
        <v>0</v>
      </c>
      <c r="P203" s="3052">
        <v>0</v>
      </c>
      <c r="Q203" s="3052">
        <v>0</v>
      </c>
      <c r="R203" s="3053">
        <f t="shared" si="16"/>
        <v>1</v>
      </c>
      <c r="S203" s="3053">
        <f t="shared" si="16"/>
        <v>1</v>
      </c>
      <c r="T203" s="3053">
        <f t="shared" si="16"/>
        <v>1</v>
      </c>
      <c r="U203" s="3053">
        <f t="shared" si="16"/>
        <v>1</v>
      </c>
      <c r="V203" s="3053">
        <f t="shared" si="16"/>
        <v>1</v>
      </c>
      <c r="W203" s="3053">
        <f t="shared" si="16"/>
        <v>1</v>
      </c>
      <c r="X203" s="3053">
        <f t="shared" si="16"/>
        <v>1</v>
      </c>
      <c r="Y203" s="3053">
        <f t="shared" si="16"/>
        <v>1</v>
      </c>
      <c r="Z203" s="3053">
        <f t="shared" si="16"/>
        <v>1</v>
      </c>
      <c r="AA203" s="3053">
        <f t="shared" si="16"/>
        <v>1</v>
      </c>
      <c r="AB203" s="3053">
        <f t="shared" si="16"/>
        <v>1</v>
      </c>
      <c r="AC203" s="3053">
        <f t="shared" si="16"/>
        <v>1</v>
      </c>
      <c r="AD203" s="3053">
        <f t="shared" si="16"/>
        <v>1.0003905086873426</v>
      </c>
      <c r="AE203" s="3053">
        <f t="shared" si="16"/>
        <v>1</v>
      </c>
      <c r="AF203" s="3053">
        <f t="shared" si="16"/>
        <v>1</v>
      </c>
    </row>
    <row r="204" spans="1:32">
      <c r="A204" s="3043">
        <v>200</v>
      </c>
      <c r="B204" s="3060">
        <v>90</v>
      </c>
      <c r="C204" s="3052">
        <v>0</v>
      </c>
      <c r="D204" s="3052">
        <v>0</v>
      </c>
      <c r="E204" s="3052">
        <v>0</v>
      </c>
      <c r="F204" s="3052">
        <v>0</v>
      </c>
      <c r="G204" s="3052">
        <v>0</v>
      </c>
      <c r="H204" s="3052">
        <v>0</v>
      </c>
      <c r="I204" s="3052">
        <v>0</v>
      </c>
      <c r="J204" s="3052">
        <v>0</v>
      </c>
      <c r="K204" s="3052">
        <v>0</v>
      </c>
      <c r="L204" s="3052">
        <v>0</v>
      </c>
      <c r="M204" s="3052">
        <v>0</v>
      </c>
      <c r="N204" s="3052">
        <v>0</v>
      </c>
      <c r="O204" s="3052">
        <v>0</v>
      </c>
      <c r="P204" s="3052">
        <v>0</v>
      </c>
      <c r="Q204" s="3052">
        <v>0</v>
      </c>
      <c r="R204" s="3053">
        <f t="shared" si="16"/>
        <v>1</v>
      </c>
      <c r="S204" s="3053">
        <f t="shared" si="16"/>
        <v>1</v>
      </c>
      <c r="T204" s="3053">
        <f t="shared" si="16"/>
        <v>1</v>
      </c>
      <c r="U204" s="3053">
        <f t="shared" si="16"/>
        <v>1</v>
      </c>
      <c r="V204" s="3053">
        <f t="shared" si="16"/>
        <v>1</v>
      </c>
      <c r="W204" s="3053">
        <f t="shared" si="16"/>
        <v>1</v>
      </c>
      <c r="X204" s="3053">
        <f t="shared" si="16"/>
        <v>1</v>
      </c>
      <c r="Y204" s="3053">
        <f t="shared" si="16"/>
        <v>1</v>
      </c>
      <c r="Z204" s="3053">
        <f t="shared" si="16"/>
        <v>1</v>
      </c>
      <c r="AA204" s="3053">
        <f t="shared" si="16"/>
        <v>1</v>
      </c>
      <c r="AB204" s="3053">
        <f t="shared" si="16"/>
        <v>1</v>
      </c>
      <c r="AC204" s="3053">
        <f t="shared" si="16"/>
        <v>1</v>
      </c>
      <c r="AD204" s="3053">
        <f t="shared" si="16"/>
        <v>1.0003905086873426</v>
      </c>
      <c r="AE204" s="3053">
        <f t="shared" si="16"/>
        <v>1</v>
      </c>
      <c r="AF204" s="3053">
        <f t="shared" si="16"/>
        <v>1</v>
      </c>
    </row>
    <row r="205" spans="1:32">
      <c r="A205" s="3043">
        <v>200</v>
      </c>
      <c r="B205" s="3060">
        <v>91</v>
      </c>
      <c r="C205" s="3052">
        <v>0</v>
      </c>
      <c r="D205" s="3052">
        <v>0</v>
      </c>
      <c r="E205" s="3052">
        <v>0</v>
      </c>
      <c r="F205" s="3052">
        <v>0</v>
      </c>
      <c r="G205" s="3052">
        <v>0</v>
      </c>
      <c r="H205" s="3052">
        <v>0</v>
      </c>
      <c r="I205" s="3052">
        <v>0</v>
      </c>
      <c r="J205" s="3052">
        <v>0</v>
      </c>
      <c r="K205" s="3052">
        <v>0</v>
      </c>
      <c r="L205" s="3052">
        <v>0</v>
      </c>
      <c r="M205" s="3052">
        <v>0</v>
      </c>
      <c r="N205" s="3052">
        <v>0</v>
      </c>
      <c r="O205" s="3052">
        <v>0</v>
      </c>
      <c r="P205" s="3052">
        <v>0</v>
      </c>
      <c r="Q205" s="3052">
        <v>0</v>
      </c>
      <c r="R205" s="3053">
        <f t="shared" si="16"/>
        <v>1</v>
      </c>
      <c r="S205" s="3053">
        <f t="shared" si="16"/>
        <v>1</v>
      </c>
      <c r="T205" s="3053">
        <f t="shared" si="16"/>
        <v>1</v>
      </c>
      <c r="U205" s="3053">
        <f t="shared" si="16"/>
        <v>1</v>
      </c>
      <c r="V205" s="3053">
        <f t="shared" si="16"/>
        <v>1</v>
      </c>
      <c r="W205" s="3053">
        <f t="shared" si="16"/>
        <v>1</v>
      </c>
      <c r="X205" s="3053">
        <f t="shared" si="16"/>
        <v>1</v>
      </c>
      <c r="Y205" s="3053">
        <f t="shared" si="16"/>
        <v>1</v>
      </c>
      <c r="Z205" s="3053">
        <f t="shared" si="16"/>
        <v>1</v>
      </c>
      <c r="AA205" s="3053">
        <f t="shared" si="16"/>
        <v>1</v>
      </c>
      <c r="AB205" s="3053">
        <f t="shared" si="16"/>
        <v>1</v>
      </c>
      <c r="AC205" s="3053">
        <f t="shared" si="16"/>
        <v>1</v>
      </c>
      <c r="AD205" s="3053">
        <f t="shared" si="16"/>
        <v>1.0003905086873426</v>
      </c>
      <c r="AE205" s="3053">
        <f t="shared" si="16"/>
        <v>1</v>
      </c>
      <c r="AF205" s="3053">
        <f t="shared" si="16"/>
        <v>1</v>
      </c>
    </row>
    <row r="206" spans="1:32">
      <c r="A206" s="3043">
        <v>200</v>
      </c>
      <c r="B206" s="3060">
        <v>92</v>
      </c>
      <c r="C206" s="3052">
        <v>0</v>
      </c>
      <c r="D206" s="3052">
        <v>0</v>
      </c>
      <c r="E206" s="3052">
        <v>0</v>
      </c>
      <c r="F206" s="3052">
        <v>0</v>
      </c>
      <c r="G206" s="3052">
        <v>0</v>
      </c>
      <c r="H206" s="3052">
        <v>0</v>
      </c>
      <c r="I206" s="3052">
        <v>0</v>
      </c>
      <c r="J206" s="3052">
        <v>0</v>
      </c>
      <c r="K206" s="3052">
        <v>0</v>
      </c>
      <c r="L206" s="3052">
        <v>0</v>
      </c>
      <c r="M206" s="3052">
        <v>0</v>
      </c>
      <c r="N206" s="3052">
        <v>0</v>
      </c>
      <c r="O206" s="3052">
        <v>0</v>
      </c>
      <c r="P206" s="3052">
        <v>0</v>
      </c>
      <c r="Q206" s="3052">
        <v>0</v>
      </c>
      <c r="R206" s="3053">
        <f t="shared" si="16"/>
        <v>1</v>
      </c>
      <c r="S206" s="3053">
        <f t="shared" si="16"/>
        <v>1</v>
      </c>
      <c r="T206" s="3053">
        <f t="shared" si="16"/>
        <v>1</v>
      </c>
      <c r="U206" s="3053">
        <f t="shared" si="16"/>
        <v>1</v>
      </c>
      <c r="V206" s="3053">
        <f t="shared" si="16"/>
        <v>1</v>
      </c>
      <c r="W206" s="3053">
        <f t="shared" si="16"/>
        <v>1</v>
      </c>
      <c r="X206" s="3053">
        <f t="shared" si="16"/>
        <v>1</v>
      </c>
      <c r="Y206" s="3053">
        <f t="shared" si="16"/>
        <v>1</v>
      </c>
      <c r="Z206" s="3053">
        <f t="shared" si="16"/>
        <v>1</v>
      </c>
      <c r="AA206" s="3053">
        <f t="shared" si="16"/>
        <v>1</v>
      </c>
      <c r="AB206" s="3053">
        <f t="shared" si="16"/>
        <v>1</v>
      </c>
      <c r="AC206" s="3053">
        <f t="shared" si="16"/>
        <v>1</v>
      </c>
      <c r="AD206" s="3053">
        <f t="shared" si="16"/>
        <v>1.0003905086873426</v>
      </c>
      <c r="AE206" s="3053">
        <f t="shared" si="16"/>
        <v>1</v>
      </c>
      <c r="AF206" s="3053">
        <f t="shared" si="16"/>
        <v>1</v>
      </c>
    </row>
    <row r="207" spans="1:32">
      <c r="A207" s="3043">
        <v>200</v>
      </c>
      <c r="B207" s="3060">
        <v>93</v>
      </c>
      <c r="C207" s="3052">
        <v>0</v>
      </c>
      <c r="D207" s="3052">
        <v>0</v>
      </c>
      <c r="E207" s="3052">
        <v>0</v>
      </c>
      <c r="F207" s="3052">
        <v>0</v>
      </c>
      <c r="G207" s="3052">
        <v>0</v>
      </c>
      <c r="H207" s="3052">
        <v>0</v>
      </c>
      <c r="I207" s="3052">
        <v>0</v>
      </c>
      <c r="J207" s="3052">
        <v>0</v>
      </c>
      <c r="K207" s="3052">
        <v>0</v>
      </c>
      <c r="L207" s="3052">
        <v>0</v>
      </c>
      <c r="M207" s="3052">
        <v>0</v>
      </c>
      <c r="N207" s="3052">
        <v>0</v>
      </c>
      <c r="O207" s="3052">
        <v>0</v>
      </c>
      <c r="P207" s="3052">
        <v>0</v>
      </c>
      <c r="Q207" s="3052">
        <v>0</v>
      </c>
      <c r="R207" s="3053">
        <f t="shared" si="16"/>
        <v>1</v>
      </c>
      <c r="S207" s="3053">
        <f t="shared" si="16"/>
        <v>1</v>
      </c>
      <c r="T207" s="3053">
        <f t="shared" si="16"/>
        <v>1</v>
      </c>
      <c r="U207" s="3053">
        <f t="shared" si="16"/>
        <v>1</v>
      </c>
      <c r="V207" s="3053">
        <f t="shared" si="16"/>
        <v>1</v>
      </c>
      <c r="W207" s="3053">
        <f t="shared" si="16"/>
        <v>1</v>
      </c>
      <c r="X207" s="3053">
        <f t="shared" si="16"/>
        <v>1</v>
      </c>
      <c r="Y207" s="3053">
        <f t="shared" si="16"/>
        <v>1</v>
      </c>
      <c r="Z207" s="3053">
        <f t="shared" si="16"/>
        <v>1</v>
      </c>
      <c r="AA207" s="3053">
        <f t="shared" si="16"/>
        <v>1</v>
      </c>
      <c r="AB207" s="3053">
        <f t="shared" si="16"/>
        <v>1</v>
      </c>
      <c r="AC207" s="3053">
        <f t="shared" si="16"/>
        <v>1</v>
      </c>
      <c r="AD207" s="3053">
        <f t="shared" si="16"/>
        <v>1.0003905086873426</v>
      </c>
      <c r="AE207" s="3053">
        <f t="shared" si="16"/>
        <v>1</v>
      </c>
      <c r="AF207" s="3053">
        <f t="shared" si="16"/>
        <v>1</v>
      </c>
    </row>
    <row r="208" spans="1:32">
      <c r="A208" s="3043">
        <v>200</v>
      </c>
      <c r="B208" s="3060">
        <v>94</v>
      </c>
      <c r="C208" s="3052">
        <v>0</v>
      </c>
      <c r="D208" s="3052">
        <v>0</v>
      </c>
      <c r="E208" s="3052">
        <v>0</v>
      </c>
      <c r="F208" s="3052">
        <v>0</v>
      </c>
      <c r="G208" s="3052">
        <v>0</v>
      </c>
      <c r="H208" s="3052">
        <v>0</v>
      </c>
      <c r="I208" s="3052">
        <v>0</v>
      </c>
      <c r="J208" s="3052">
        <v>0</v>
      </c>
      <c r="K208" s="3052">
        <v>0</v>
      </c>
      <c r="L208" s="3052">
        <v>0</v>
      </c>
      <c r="M208" s="3052">
        <v>0</v>
      </c>
      <c r="N208" s="3052">
        <v>0</v>
      </c>
      <c r="O208" s="3052">
        <v>0</v>
      </c>
      <c r="P208" s="3052">
        <v>0</v>
      </c>
      <c r="Q208" s="3052">
        <v>0</v>
      </c>
      <c r="R208" s="3053">
        <f t="shared" si="16"/>
        <v>1</v>
      </c>
      <c r="S208" s="3053">
        <f t="shared" si="16"/>
        <v>1</v>
      </c>
      <c r="T208" s="3053">
        <f t="shared" si="16"/>
        <v>1</v>
      </c>
      <c r="U208" s="3053">
        <f t="shared" si="16"/>
        <v>1</v>
      </c>
      <c r="V208" s="3053">
        <f t="shared" si="16"/>
        <v>1</v>
      </c>
      <c r="W208" s="3053">
        <f t="shared" si="16"/>
        <v>1</v>
      </c>
      <c r="X208" s="3053">
        <f t="shared" si="16"/>
        <v>1</v>
      </c>
      <c r="Y208" s="3053">
        <f t="shared" si="16"/>
        <v>1</v>
      </c>
      <c r="Z208" s="3053">
        <f t="shared" si="16"/>
        <v>1</v>
      </c>
      <c r="AA208" s="3053">
        <f t="shared" si="16"/>
        <v>1</v>
      </c>
      <c r="AB208" s="3053">
        <f t="shared" si="16"/>
        <v>1</v>
      </c>
      <c r="AC208" s="3053">
        <f t="shared" si="16"/>
        <v>1</v>
      </c>
      <c r="AD208" s="3053">
        <f t="shared" si="16"/>
        <v>1.0003905086873426</v>
      </c>
      <c r="AE208" s="3053">
        <f t="shared" si="16"/>
        <v>1</v>
      </c>
      <c r="AF208" s="3053">
        <f t="shared" si="16"/>
        <v>1</v>
      </c>
    </row>
    <row r="209" spans="1:32">
      <c r="A209" s="3043">
        <v>200</v>
      </c>
      <c r="B209" s="3060">
        <v>95</v>
      </c>
      <c r="C209" s="3052">
        <v>0</v>
      </c>
      <c r="D209" s="3052">
        <v>0</v>
      </c>
      <c r="E209" s="3052">
        <v>0</v>
      </c>
      <c r="F209" s="3052">
        <v>0</v>
      </c>
      <c r="G209" s="3052">
        <v>0</v>
      </c>
      <c r="H209" s="3052">
        <v>0</v>
      </c>
      <c r="I209" s="3052">
        <v>0</v>
      </c>
      <c r="J209" s="3052">
        <v>0</v>
      </c>
      <c r="K209" s="3052">
        <v>0</v>
      </c>
      <c r="L209" s="3052">
        <v>0</v>
      </c>
      <c r="M209" s="3052">
        <v>0</v>
      </c>
      <c r="N209" s="3052">
        <v>0</v>
      </c>
      <c r="O209" s="3052">
        <v>0</v>
      </c>
      <c r="P209" s="3052">
        <v>0</v>
      </c>
      <c r="Q209" s="3052">
        <v>0</v>
      </c>
      <c r="R209" s="3053">
        <f t="shared" si="16"/>
        <v>1</v>
      </c>
      <c r="S209" s="3053">
        <f t="shared" si="16"/>
        <v>1</v>
      </c>
      <c r="T209" s="3053">
        <f t="shared" si="16"/>
        <v>1</v>
      </c>
      <c r="U209" s="3053">
        <f t="shared" si="16"/>
        <v>1</v>
      </c>
      <c r="V209" s="3053">
        <f t="shared" si="16"/>
        <v>1</v>
      </c>
      <c r="W209" s="3053">
        <f t="shared" si="16"/>
        <v>1</v>
      </c>
      <c r="X209" s="3053">
        <f t="shared" si="16"/>
        <v>1</v>
      </c>
      <c r="Y209" s="3053">
        <f t="shared" si="16"/>
        <v>1</v>
      </c>
      <c r="Z209" s="3053">
        <f t="shared" si="16"/>
        <v>1</v>
      </c>
      <c r="AA209" s="3053">
        <f t="shared" si="16"/>
        <v>1</v>
      </c>
      <c r="AB209" s="3053">
        <f t="shared" si="16"/>
        <v>1</v>
      </c>
      <c r="AC209" s="3053">
        <f t="shared" si="16"/>
        <v>1</v>
      </c>
      <c r="AD209" s="3053">
        <f t="shared" si="16"/>
        <v>1.0003905086873426</v>
      </c>
      <c r="AE209" s="3053">
        <f t="shared" si="16"/>
        <v>1</v>
      </c>
      <c r="AF209" s="3053">
        <f t="shared" si="16"/>
        <v>1</v>
      </c>
    </row>
    <row r="210" spans="1:32">
      <c r="A210" s="3043">
        <v>200</v>
      </c>
      <c r="B210" s="3060">
        <v>96</v>
      </c>
      <c r="C210" s="3052">
        <v>0</v>
      </c>
      <c r="D210" s="3052">
        <v>0</v>
      </c>
      <c r="E210" s="3052">
        <v>0</v>
      </c>
      <c r="F210" s="3052">
        <v>0</v>
      </c>
      <c r="G210" s="3052">
        <v>0</v>
      </c>
      <c r="H210" s="3052">
        <v>0</v>
      </c>
      <c r="I210" s="3052">
        <v>0</v>
      </c>
      <c r="J210" s="3052">
        <v>0</v>
      </c>
      <c r="K210" s="3052">
        <v>0</v>
      </c>
      <c r="L210" s="3052">
        <v>0</v>
      </c>
      <c r="M210" s="3052">
        <v>0</v>
      </c>
      <c r="N210" s="3052">
        <v>0</v>
      </c>
      <c r="O210" s="3052">
        <v>0</v>
      </c>
      <c r="P210" s="3052">
        <v>0</v>
      </c>
      <c r="Q210" s="3052">
        <v>0</v>
      </c>
      <c r="R210" s="3053">
        <f t="shared" si="16"/>
        <v>1</v>
      </c>
      <c r="S210" s="3053">
        <f t="shared" si="16"/>
        <v>1</v>
      </c>
      <c r="T210" s="3053">
        <f t="shared" si="16"/>
        <v>1</v>
      </c>
      <c r="U210" s="3053">
        <f t="shared" si="16"/>
        <v>1</v>
      </c>
      <c r="V210" s="3053">
        <f t="shared" si="16"/>
        <v>1</v>
      </c>
      <c r="W210" s="3053">
        <f t="shared" si="16"/>
        <v>1</v>
      </c>
      <c r="X210" s="3053">
        <f t="shared" si="16"/>
        <v>1</v>
      </c>
      <c r="Y210" s="3053">
        <f t="shared" si="16"/>
        <v>1</v>
      </c>
      <c r="Z210" s="3053">
        <f t="shared" si="16"/>
        <v>1</v>
      </c>
      <c r="AA210" s="3053">
        <f t="shared" si="16"/>
        <v>1</v>
      </c>
      <c r="AB210" s="3053">
        <f t="shared" si="16"/>
        <v>1</v>
      </c>
      <c r="AC210" s="3053">
        <f t="shared" si="16"/>
        <v>1</v>
      </c>
      <c r="AD210" s="3053">
        <f t="shared" si="16"/>
        <v>1.0003905086873426</v>
      </c>
      <c r="AE210" s="3053">
        <f t="shared" si="16"/>
        <v>1</v>
      </c>
      <c r="AF210" s="3053">
        <f t="shared" si="16"/>
        <v>1</v>
      </c>
    </row>
    <row r="211" spans="1:32">
      <c r="A211" s="3043">
        <v>200</v>
      </c>
      <c r="B211" s="3060">
        <v>97</v>
      </c>
      <c r="C211" s="3052">
        <v>0</v>
      </c>
      <c r="D211" s="3052">
        <v>0</v>
      </c>
      <c r="E211" s="3052">
        <v>0</v>
      </c>
      <c r="F211" s="3052">
        <v>0</v>
      </c>
      <c r="G211" s="3052">
        <v>0</v>
      </c>
      <c r="H211" s="3052">
        <v>0</v>
      </c>
      <c r="I211" s="3052">
        <v>0</v>
      </c>
      <c r="J211" s="3052">
        <v>0</v>
      </c>
      <c r="K211" s="3052">
        <v>0</v>
      </c>
      <c r="L211" s="3052">
        <v>0</v>
      </c>
      <c r="M211" s="3052">
        <v>0</v>
      </c>
      <c r="N211" s="3052">
        <v>0</v>
      </c>
      <c r="O211" s="3052">
        <v>0</v>
      </c>
      <c r="P211" s="3052">
        <v>0</v>
      </c>
      <c r="Q211" s="3052">
        <v>0</v>
      </c>
      <c r="R211" s="3053">
        <f t="shared" si="16"/>
        <v>1</v>
      </c>
      <c r="S211" s="3053">
        <f t="shared" si="16"/>
        <v>1</v>
      </c>
      <c r="T211" s="3053">
        <f t="shared" si="16"/>
        <v>1</v>
      </c>
      <c r="U211" s="3053">
        <f t="shared" si="16"/>
        <v>1</v>
      </c>
      <c r="V211" s="3053">
        <f t="shared" si="16"/>
        <v>1</v>
      </c>
      <c r="W211" s="3053">
        <f t="shared" si="16"/>
        <v>1</v>
      </c>
      <c r="X211" s="3053">
        <f t="shared" si="16"/>
        <v>1</v>
      </c>
      <c r="Y211" s="3053">
        <f t="shared" si="16"/>
        <v>1</v>
      </c>
      <c r="Z211" s="3053">
        <f t="shared" si="16"/>
        <v>1</v>
      </c>
      <c r="AA211" s="3053">
        <f t="shared" si="16"/>
        <v>1</v>
      </c>
      <c r="AB211" s="3053">
        <f t="shared" si="16"/>
        <v>1</v>
      </c>
      <c r="AC211" s="3053">
        <f t="shared" si="16"/>
        <v>1</v>
      </c>
      <c r="AD211" s="3053">
        <f t="shared" si="16"/>
        <v>1.0003905086873426</v>
      </c>
      <c r="AE211" s="3053">
        <f t="shared" si="16"/>
        <v>1</v>
      </c>
      <c r="AF211" s="3053">
        <f t="shared" si="16"/>
        <v>1</v>
      </c>
    </row>
    <row r="212" spans="1:32">
      <c r="A212" s="3043">
        <v>200</v>
      </c>
      <c r="B212" s="3060">
        <v>98</v>
      </c>
      <c r="C212" s="3052">
        <v>0</v>
      </c>
      <c r="D212" s="3052">
        <v>0</v>
      </c>
      <c r="E212" s="3052">
        <v>0</v>
      </c>
      <c r="F212" s="3052">
        <v>0</v>
      </c>
      <c r="G212" s="3052">
        <v>0</v>
      </c>
      <c r="H212" s="3052">
        <v>0</v>
      </c>
      <c r="I212" s="3052">
        <v>0</v>
      </c>
      <c r="J212" s="3052">
        <v>0</v>
      </c>
      <c r="K212" s="3052">
        <v>0</v>
      </c>
      <c r="L212" s="3052">
        <v>0</v>
      </c>
      <c r="M212" s="3052">
        <v>0</v>
      </c>
      <c r="N212" s="3052">
        <v>0</v>
      </c>
      <c r="O212" s="3052">
        <v>0</v>
      </c>
      <c r="P212" s="3052">
        <v>0</v>
      </c>
      <c r="Q212" s="3052">
        <v>0</v>
      </c>
      <c r="R212" s="3053">
        <f t="shared" ref="R212:AF214" si="17">C212+R211</f>
        <v>1</v>
      </c>
      <c r="S212" s="3053">
        <f t="shared" si="17"/>
        <v>1</v>
      </c>
      <c r="T212" s="3053">
        <f t="shared" si="17"/>
        <v>1</v>
      </c>
      <c r="U212" s="3053">
        <f t="shared" si="17"/>
        <v>1</v>
      </c>
      <c r="V212" s="3053">
        <f t="shared" si="17"/>
        <v>1</v>
      </c>
      <c r="W212" s="3053">
        <f t="shared" si="17"/>
        <v>1</v>
      </c>
      <c r="X212" s="3053">
        <f t="shared" si="17"/>
        <v>1</v>
      </c>
      <c r="Y212" s="3053">
        <f t="shared" si="17"/>
        <v>1</v>
      </c>
      <c r="Z212" s="3053">
        <f t="shared" si="17"/>
        <v>1</v>
      </c>
      <c r="AA212" s="3053">
        <f t="shared" si="17"/>
        <v>1</v>
      </c>
      <c r="AB212" s="3053">
        <f t="shared" si="17"/>
        <v>1</v>
      </c>
      <c r="AC212" s="3053">
        <f t="shared" si="17"/>
        <v>1</v>
      </c>
      <c r="AD212" s="3053">
        <f t="shared" si="17"/>
        <v>1.0003905086873426</v>
      </c>
      <c r="AE212" s="3053">
        <f t="shared" si="17"/>
        <v>1</v>
      </c>
      <c r="AF212" s="3053">
        <f t="shared" si="17"/>
        <v>1</v>
      </c>
    </row>
    <row r="213" spans="1:32">
      <c r="A213" s="3043">
        <v>200</v>
      </c>
      <c r="B213" s="3060">
        <v>99</v>
      </c>
      <c r="C213" s="3052">
        <v>0</v>
      </c>
      <c r="D213" s="3052">
        <v>0</v>
      </c>
      <c r="E213" s="3052">
        <v>0</v>
      </c>
      <c r="F213" s="3052">
        <v>0</v>
      </c>
      <c r="G213" s="3052">
        <v>0</v>
      </c>
      <c r="H213" s="3052">
        <v>0</v>
      </c>
      <c r="I213" s="3052">
        <v>0</v>
      </c>
      <c r="J213" s="3052">
        <v>0</v>
      </c>
      <c r="K213" s="3052">
        <v>0</v>
      </c>
      <c r="L213" s="3052">
        <v>0</v>
      </c>
      <c r="M213" s="3052">
        <v>0</v>
      </c>
      <c r="N213" s="3052">
        <v>0</v>
      </c>
      <c r="O213" s="3052">
        <v>0</v>
      </c>
      <c r="P213" s="3052">
        <v>0</v>
      </c>
      <c r="Q213" s="3052">
        <v>0</v>
      </c>
      <c r="R213" s="3053">
        <f t="shared" si="17"/>
        <v>1</v>
      </c>
      <c r="S213" s="3053">
        <f t="shared" si="17"/>
        <v>1</v>
      </c>
      <c r="T213" s="3053">
        <f t="shared" si="17"/>
        <v>1</v>
      </c>
      <c r="U213" s="3053">
        <f t="shared" si="17"/>
        <v>1</v>
      </c>
      <c r="V213" s="3053">
        <f t="shared" si="17"/>
        <v>1</v>
      </c>
      <c r="W213" s="3053">
        <f t="shared" si="17"/>
        <v>1</v>
      </c>
      <c r="X213" s="3053">
        <f t="shared" si="17"/>
        <v>1</v>
      </c>
      <c r="Y213" s="3053">
        <f t="shared" si="17"/>
        <v>1</v>
      </c>
      <c r="Z213" s="3053">
        <f t="shared" si="17"/>
        <v>1</v>
      </c>
      <c r="AA213" s="3053">
        <f t="shared" si="17"/>
        <v>1</v>
      </c>
      <c r="AB213" s="3053">
        <f t="shared" si="17"/>
        <v>1</v>
      </c>
      <c r="AC213" s="3053">
        <f t="shared" si="17"/>
        <v>1</v>
      </c>
      <c r="AD213" s="3053">
        <f t="shared" si="17"/>
        <v>1.0003905086873426</v>
      </c>
      <c r="AE213" s="3053">
        <f t="shared" si="17"/>
        <v>1</v>
      </c>
      <c r="AF213" s="3053">
        <f t="shared" si="17"/>
        <v>1</v>
      </c>
    </row>
    <row r="214" spans="1:32">
      <c r="A214" s="3043">
        <v>200</v>
      </c>
      <c r="B214" s="3060">
        <v>100</v>
      </c>
      <c r="C214" s="3052">
        <v>0</v>
      </c>
      <c r="D214" s="3052">
        <v>0</v>
      </c>
      <c r="E214" s="3052">
        <v>0</v>
      </c>
      <c r="F214" s="3052">
        <v>0</v>
      </c>
      <c r="G214" s="3052">
        <v>0</v>
      </c>
      <c r="H214" s="3052">
        <v>0</v>
      </c>
      <c r="I214" s="3052">
        <v>0</v>
      </c>
      <c r="J214" s="3052">
        <v>0</v>
      </c>
      <c r="K214" s="3052">
        <v>0</v>
      </c>
      <c r="L214" s="3052">
        <v>0</v>
      </c>
      <c r="M214" s="3052">
        <v>0</v>
      </c>
      <c r="N214" s="3052">
        <v>0</v>
      </c>
      <c r="O214" s="3052">
        <v>0</v>
      </c>
      <c r="P214" s="3052">
        <v>0</v>
      </c>
      <c r="Q214" s="3052">
        <v>0</v>
      </c>
      <c r="R214" s="3053">
        <f t="shared" si="17"/>
        <v>1</v>
      </c>
      <c r="S214" s="3053">
        <f t="shared" si="17"/>
        <v>1</v>
      </c>
      <c r="T214" s="3053">
        <f t="shared" si="17"/>
        <v>1</v>
      </c>
      <c r="U214" s="3053">
        <f t="shared" si="17"/>
        <v>1</v>
      </c>
      <c r="V214" s="3053">
        <f t="shared" si="17"/>
        <v>1</v>
      </c>
      <c r="W214" s="3053">
        <f t="shared" si="17"/>
        <v>1</v>
      </c>
      <c r="X214" s="3053">
        <f t="shared" si="17"/>
        <v>1</v>
      </c>
      <c r="Y214" s="3053">
        <f t="shared" si="17"/>
        <v>1</v>
      </c>
      <c r="Z214" s="3053">
        <f t="shared" si="17"/>
        <v>1</v>
      </c>
      <c r="AA214" s="3053">
        <f t="shared" si="17"/>
        <v>1</v>
      </c>
      <c r="AB214" s="3053">
        <f t="shared" si="17"/>
        <v>1</v>
      </c>
      <c r="AC214" s="3053">
        <f t="shared" si="17"/>
        <v>1</v>
      </c>
      <c r="AD214" s="3053">
        <f t="shared" si="17"/>
        <v>1.0003905086873426</v>
      </c>
      <c r="AE214" s="3053">
        <f t="shared" si="17"/>
        <v>1</v>
      </c>
      <c r="AF214" s="3053">
        <f t="shared" si="17"/>
        <v>1</v>
      </c>
    </row>
  </sheetData>
  <phoneticPr fontId="9" type="noConversion"/>
  <pageMargins left="0.7" right="0.7" top="0.75" bottom="0.75" header="0.3" footer="0.3"/>
  <pageSetup paperSize="9" scale="3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41"/>
  <dimension ref="A1:BB44"/>
  <sheetViews>
    <sheetView zoomScale="85" zoomScaleNormal="85" workbookViewId="0">
      <selection activeCell="G28" sqref="G28"/>
    </sheetView>
  </sheetViews>
  <sheetFormatPr defaultRowHeight="15.75"/>
  <cols>
    <col min="1" max="1" width="9.25" style="2632" customWidth="1"/>
    <col min="2" max="3" width="12.375" style="2632" customWidth="1"/>
    <col min="4" max="4" width="6" style="2632" bestFit="1" customWidth="1"/>
    <col min="5" max="5" width="11.625" style="2632" customWidth="1"/>
    <col min="6" max="7" width="20.625" style="2632" customWidth="1"/>
    <col min="8" max="8" width="10" style="2632" bestFit="1" customWidth="1"/>
    <col min="9" max="10" width="10" style="2632" customWidth="1"/>
    <col min="11" max="11" width="12.5" style="2632" customWidth="1"/>
    <col min="12" max="15" width="20.625" style="2632" customWidth="1"/>
    <col min="16" max="16" width="11.375" style="2632" customWidth="1"/>
    <col min="17" max="17" width="10.75" style="2632" customWidth="1"/>
    <col min="18" max="18" width="15" style="2632" customWidth="1"/>
    <col min="19" max="20" width="16.75" style="2632" customWidth="1"/>
    <col min="21" max="21" width="23.875" style="2632" customWidth="1"/>
    <col min="22" max="22" width="25.125" style="2632" customWidth="1"/>
    <col min="23" max="23" width="29.25" style="2632" customWidth="1"/>
    <col min="24" max="25" width="26.125" style="2632" customWidth="1"/>
    <col min="26" max="27" width="16.5" style="2632" customWidth="1"/>
    <col min="28" max="28" width="3.25" style="2632" customWidth="1"/>
    <col min="29" max="29" width="22.625" style="2632" customWidth="1"/>
    <col min="30" max="31" width="6.125" style="2632" customWidth="1"/>
    <col min="32" max="33" width="7.375" style="2632" customWidth="1"/>
    <col min="34" max="36" width="9" style="2632" customWidth="1"/>
    <col min="37" max="37" width="3.5" style="2632" customWidth="1"/>
    <col min="38" max="38" width="22.625" style="2632" customWidth="1"/>
    <col min="39" max="40" width="6.125" style="2632" customWidth="1"/>
    <col min="41" max="42" width="7.375" style="2632" customWidth="1"/>
    <col min="43" max="45" width="9" style="2632" customWidth="1"/>
    <col min="46" max="46" width="3.125" style="2632" customWidth="1"/>
    <col min="47" max="47" width="32" style="2632" customWidth="1"/>
    <col min="48" max="49" width="9" style="2632"/>
    <col min="50" max="50" width="11.75" style="2632" customWidth="1"/>
    <col min="51" max="51" width="12.875" style="2632" customWidth="1"/>
    <col min="52" max="52" width="19.75" style="2632" customWidth="1"/>
    <col min="53" max="53" width="16.5" style="2632" customWidth="1"/>
    <col min="54" max="16384" width="9" style="2632"/>
  </cols>
  <sheetData>
    <row r="1" spans="1:54" ht="21">
      <c r="A1" s="2747" t="str">
        <f>+封面!A3&amp;" "&amp;封面!A2</f>
        <v xml:space="preserve">        保險股份有限公司(○○分公司) 年度(月、季、半年)報表</v>
      </c>
    </row>
    <row r="2" spans="1:54" ht="21">
      <c r="A2" s="1175" t="s">
        <v>5025</v>
      </c>
    </row>
    <row r="4" spans="1:54" ht="88.5" customHeight="1">
      <c r="A4" s="2628" t="s">
        <v>3795</v>
      </c>
      <c r="B4" s="2628" t="s">
        <v>3796</v>
      </c>
      <c r="C4" s="2628" t="s">
        <v>3797</v>
      </c>
      <c r="D4" s="2628" t="s">
        <v>3798</v>
      </c>
      <c r="E4" s="2628" t="s">
        <v>3799</v>
      </c>
      <c r="F4" s="2628" t="s">
        <v>3800</v>
      </c>
      <c r="G4" s="2629" t="s">
        <v>3801</v>
      </c>
      <c r="H4" s="2629" t="s">
        <v>3802</v>
      </c>
      <c r="I4" s="2629" t="s">
        <v>3803</v>
      </c>
      <c r="J4" s="2629" t="s">
        <v>3804</v>
      </c>
      <c r="K4" s="2629" t="s">
        <v>3805</v>
      </c>
      <c r="L4" s="2629" t="s">
        <v>3806</v>
      </c>
      <c r="M4" s="2629" t="s">
        <v>3807</v>
      </c>
      <c r="N4" s="2629" t="s">
        <v>3808</v>
      </c>
      <c r="O4" s="2629" t="s">
        <v>3809</v>
      </c>
      <c r="P4" s="2728" t="s">
        <v>3810</v>
      </c>
      <c r="Q4" s="2728" t="s">
        <v>3811</v>
      </c>
      <c r="R4" s="2628" t="s">
        <v>3812</v>
      </c>
      <c r="S4" s="2628" t="s">
        <v>3813</v>
      </c>
      <c r="T4" s="2725" t="s">
        <v>3719</v>
      </c>
      <c r="U4" s="2725" t="s">
        <v>3720</v>
      </c>
      <c r="V4" s="2726" t="s">
        <v>3721</v>
      </c>
      <c r="W4" s="2726" t="s">
        <v>3722</v>
      </c>
      <c r="X4" s="2726" t="s">
        <v>3723</v>
      </c>
      <c r="Y4" s="2468" t="s">
        <v>3724</v>
      </c>
      <c r="Z4" s="2631"/>
      <c r="AA4" s="2631"/>
      <c r="AC4" s="3775" t="s">
        <v>3814</v>
      </c>
      <c r="AD4" s="3775"/>
      <c r="AE4" s="3775"/>
      <c r="AF4" s="3775"/>
      <c r="AG4" s="3775"/>
      <c r="AH4" s="3775"/>
      <c r="AI4" s="3775"/>
      <c r="AJ4" s="3775"/>
      <c r="AL4" s="3775" t="s">
        <v>3815</v>
      </c>
      <c r="AM4" s="3775"/>
      <c r="AN4" s="3775"/>
      <c r="AO4" s="3775"/>
      <c r="AP4" s="3775"/>
      <c r="AQ4" s="3775"/>
      <c r="AR4" s="3775"/>
      <c r="AS4" s="3775"/>
      <c r="AU4" s="3775" t="s">
        <v>3816</v>
      </c>
      <c r="AV4" s="3775"/>
      <c r="AW4" s="3775"/>
      <c r="AX4" s="3775"/>
      <c r="AY4" s="3775"/>
      <c r="AZ4" s="3775"/>
      <c r="BA4" s="3775"/>
      <c r="BB4" s="3775"/>
    </row>
    <row r="5" spans="1:54" ht="17.25" thickBot="1">
      <c r="A5" s="2633">
        <v>1</v>
      </c>
      <c r="B5" s="2633">
        <f>A5+1</f>
        <v>2</v>
      </c>
      <c r="C5" s="2633">
        <f t="shared" ref="C5:Y5" si="0">B5+1</f>
        <v>3</v>
      </c>
      <c r="D5" s="2633">
        <f t="shared" si="0"/>
        <v>4</v>
      </c>
      <c r="E5" s="2633">
        <f t="shared" si="0"/>
        <v>5</v>
      </c>
      <c r="F5" s="2633">
        <f t="shared" si="0"/>
        <v>6</v>
      </c>
      <c r="G5" s="2633">
        <f t="shared" si="0"/>
        <v>7</v>
      </c>
      <c r="H5" s="2633">
        <f t="shared" si="0"/>
        <v>8</v>
      </c>
      <c r="I5" s="2633">
        <f t="shared" si="0"/>
        <v>9</v>
      </c>
      <c r="J5" s="2633">
        <f t="shared" si="0"/>
        <v>10</v>
      </c>
      <c r="K5" s="2633">
        <f t="shared" si="0"/>
        <v>11</v>
      </c>
      <c r="L5" s="2633">
        <f t="shared" si="0"/>
        <v>12</v>
      </c>
      <c r="M5" s="2633">
        <f t="shared" si="0"/>
        <v>13</v>
      </c>
      <c r="N5" s="2633">
        <f t="shared" si="0"/>
        <v>14</v>
      </c>
      <c r="O5" s="2633">
        <f t="shared" si="0"/>
        <v>15</v>
      </c>
      <c r="P5" s="2729">
        <f t="shared" si="0"/>
        <v>16</v>
      </c>
      <c r="Q5" s="2729">
        <f t="shared" si="0"/>
        <v>17</v>
      </c>
      <c r="R5" s="2633">
        <f t="shared" si="0"/>
        <v>18</v>
      </c>
      <c r="S5" s="2633">
        <f t="shared" si="0"/>
        <v>19</v>
      </c>
      <c r="T5" s="2633">
        <f t="shared" si="0"/>
        <v>20</v>
      </c>
      <c r="U5" s="2633">
        <f t="shared" si="0"/>
        <v>21</v>
      </c>
      <c r="V5" s="2633">
        <f t="shared" si="0"/>
        <v>22</v>
      </c>
      <c r="W5" s="2633">
        <f t="shared" si="0"/>
        <v>23</v>
      </c>
      <c r="X5" s="2633">
        <f t="shared" si="0"/>
        <v>24</v>
      </c>
      <c r="Y5" s="2633">
        <f t="shared" si="0"/>
        <v>25</v>
      </c>
      <c r="Z5" s="2634" t="s">
        <v>3817</v>
      </c>
      <c r="AA5" s="2634" t="s">
        <v>3818</v>
      </c>
      <c r="AC5" s="2635" t="s">
        <v>3819</v>
      </c>
      <c r="AD5" s="3793" t="s">
        <v>3820</v>
      </c>
      <c r="AE5" s="3793"/>
      <c r="AF5" s="3793"/>
      <c r="AG5" s="3793"/>
      <c r="AH5" s="3793"/>
      <c r="AI5" s="3793"/>
      <c r="AJ5" s="2632" t="s">
        <v>3821</v>
      </c>
      <c r="AL5" s="2635" t="s">
        <v>3819</v>
      </c>
      <c r="AM5" s="3793" t="s">
        <v>3820</v>
      </c>
      <c r="AN5" s="3793"/>
      <c r="AO5" s="3793"/>
      <c r="AP5" s="3793"/>
      <c r="AQ5" s="3793"/>
      <c r="AR5" s="3793"/>
      <c r="AS5" s="2632" t="s">
        <v>3821</v>
      </c>
      <c r="AU5" s="2635" t="s">
        <v>3819</v>
      </c>
      <c r="AV5" s="3793" t="s">
        <v>3820</v>
      </c>
      <c r="AW5" s="3793"/>
      <c r="AX5" s="3793"/>
      <c r="AY5" s="3793"/>
      <c r="AZ5" s="3793"/>
      <c r="BA5" s="3793"/>
      <c r="BB5" s="2632" t="s">
        <v>3821</v>
      </c>
    </row>
    <row r="6" spans="1:54" ht="16.5" customHeight="1" thickTop="1">
      <c r="A6" s="2636" t="str">
        <f>C6&amp;D6&amp;LEFT(E6,1)</f>
        <v>FZ1Q</v>
      </c>
      <c r="B6" s="2637" t="s">
        <v>3822</v>
      </c>
      <c r="C6" s="2637" t="s">
        <v>3823</v>
      </c>
      <c r="D6" s="2637" t="s">
        <v>3621</v>
      </c>
      <c r="E6" s="2638" t="s">
        <v>3824</v>
      </c>
      <c r="F6" s="2638">
        <v>95000000000</v>
      </c>
      <c r="G6" s="2639"/>
      <c r="H6" s="2640">
        <v>3.5000000000000003E-2</v>
      </c>
      <c r="I6" s="2640">
        <v>0.02</v>
      </c>
      <c r="J6" s="2640"/>
      <c r="K6" s="2640"/>
      <c r="L6" s="2638"/>
      <c r="M6" s="2638"/>
      <c r="N6" s="2641">
        <f t="shared" ref="N6:N21" si="1">IF(E6="QS",F6*H6,0)</f>
        <v>3325000000.0000005</v>
      </c>
      <c r="O6" s="2641">
        <f t="shared" ref="O6:O21" si="2">IF(E6="QS",F6*I6,0)</f>
        <v>1900000000</v>
      </c>
      <c r="P6" s="2730">
        <f>IF(OR(E6="QS",E6=""),0,(M6-L6)/G6*J6)</f>
        <v>0</v>
      </c>
      <c r="Q6" s="2730">
        <f>IF(OR(E6="QS",E6=""),0,(M6-L6)/G6*K6)</f>
        <v>0</v>
      </c>
      <c r="R6" s="2642">
        <f t="shared" ref="R6:R21" si="3">IF(OR(E6="QS",B6=""),0,CEILING((L6+1)/G6*100,1))</f>
        <v>0</v>
      </c>
      <c r="S6" s="2642">
        <f t="shared" ref="S6:S21" si="4">IF(OR(E6="QS",B6=""),0,CEILING(M6/G6*100,1))</f>
        <v>0</v>
      </c>
      <c r="T6" s="2643">
        <f>IF(OR(E6="QS",B6=""),0,
IF(C6="E1",VLOOKUP($S6,'表30-5-2-5-2'!$B$4:$AF$104,MATCH($D6&amp;"a",'表30-5-2-5-2'!$4:$4,0)-1,FALSE)
-IF($R6-1&lt;=0,0,VLOOKUP($R6-1,'表30-5-2-5-2'!$B$4:$AF$104,MATCH($D6&amp;"a",'表30-5-2-5-2'!$4:$4,0)-1,FALSE))
-VLOOKUP($S6,'表30-5-2-5-2'!$B$4:$AF$104,MATCH($D6,'表30-5-2-5-2'!$4:$4,0)-1,FALSE)*(S6/100-M6/G6)*100
-VLOOKUP($R6,'表30-5-2-5-2'!$B$4:$AF$104,MATCH($D6,'表30-5-2-5-2'!$4:$4,0)-1,FALSE)*(1-(R6/100-L6/G6)*100),
IF(C6="E2",VLOOKUP($S6,'表30-5-2-5-2'!$B$114:$AF$214,MATCH($D6&amp;"a",'表30-5-2-5-2'!$4:$4,0)-1,FALSE)
-IF($R6-1&lt;=0,0,VLOOKUP($R6-1,'表30-5-2-5-2'!$B$114:$AF$214,MATCH($D6&amp;"a",'表30-5-2-5-2'!$4:$4,0)-1,FALSE))
-VLOOKUP($S6,'表30-5-2-5-2'!$B$114:$AF$214,MATCH($D6,'表30-5-2-5-2'!$4:$4,0)-1,FALSE)*(S6/100-M6/G6)*100
-VLOOKUP($R6,'表30-5-2-5-2'!$B$114:$AF$214,MATCH($D6,'表30-5-2-5-2'!$4:$4,0)-1,FALSE)*(1-(R6/100-L6/G6)*100),0)))</f>
        <v>0</v>
      </c>
      <c r="U6" s="2643">
        <f>IF(OR(E6="QS",B6=""),0,
IF(C6="F",VLOOKUP($S6,'表30-5-2-5-1'!$B:$AF,MATCH($D6&amp;"a",'表30-5-2-5-1'!$4:$4,0)-1,FALSE)
-IF($R6-1&lt;=0,0,VLOOKUP($R6-1,'表30-5-2-5-1'!$B:$AF,MATCH($D6&amp;"a",'表30-5-2-5-1'!$4:$4,0)-1,FALSE))
-VLOOKUP($S6,'表30-5-2-5-1'!$B:$AF,MATCH($D6,'表30-5-2-5-1'!$4:$4,0)-1,FALSE)*(S6/100-M6/G6)*100
-VLOOKUP($R6,'表30-5-2-5-1'!$B:$AF,MATCH($D6,'表30-5-2-5-1'!$4:$4,0)-1,FALSE)*(1-(R6/100-L6/G6)*100),0))</f>
        <v>0</v>
      </c>
      <c r="V6" s="2644">
        <f>G6*T6*P6</f>
        <v>0</v>
      </c>
      <c r="W6" s="2644">
        <f>G6*U6*P6</f>
        <v>0</v>
      </c>
      <c r="X6" s="2644">
        <f>G6*T6*Q6</f>
        <v>0</v>
      </c>
      <c r="Y6" s="2644">
        <f>G6*U6*Q6</f>
        <v>0</v>
      </c>
      <c r="Z6" s="2645">
        <f>F6*H6</f>
        <v>3325000000.0000005</v>
      </c>
      <c r="AA6" s="2645">
        <f>F6*I6</f>
        <v>1900000000</v>
      </c>
      <c r="AC6" s="3776">
        <v>0.85</v>
      </c>
      <c r="AD6" s="3779" t="s">
        <v>3825</v>
      </c>
      <c r="AE6" s="3782" t="s">
        <v>3826</v>
      </c>
      <c r="AF6" s="3779" t="s">
        <v>3827</v>
      </c>
      <c r="AG6" s="3785"/>
      <c r="AH6" s="3785"/>
      <c r="AI6" s="3782"/>
      <c r="AL6" s="3776">
        <v>0.85</v>
      </c>
      <c r="AM6" s="3779" t="s">
        <v>3825</v>
      </c>
      <c r="AN6" s="3782" t="s">
        <v>3826</v>
      </c>
      <c r="AO6" s="3788" t="s">
        <v>3828</v>
      </c>
      <c r="AP6" s="3789"/>
      <c r="AQ6" s="3789"/>
      <c r="AR6" s="3790"/>
      <c r="AU6" s="3776">
        <v>0.85</v>
      </c>
      <c r="AV6" s="3779" t="s">
        <v>3825</v>
      </c>
      <c r="AW6" s="3815" t="s">
        <v>3826</v>
      </c>
      <c r="AX6" s="3808" t="s">
        <v>3829</v>
      </c>
      <c r="AY6" s="3809"/>
      <c r="AZ6" s="3824" t="s">
        <v>3830</v>
      </c>
      <c r="BA6" s="3802" t="s">
        <v>3831</v>
      </c>
    </row>
    <row r="7" spans="1:54" ht="17.25" customHeight="1">
      <c r="A7" s="2636" t="str">
        <f t="shared" ref="A7:A22" si="5">C7&amp;D7&amp;LEFT(E7,1)</f>
        <v>FZ1L</v>
      </c>
      <c r="B7" s="2637" t="s">
        <v>3822</v>
      </c>
      <c r="C7" s="2637" t="s">
        <v>3823</v>
      </c>
      <c r="D7" s="2637" t="s">
        <v>3621</v>
      </c>
      <c r="E7" s="2638" t="s">
        <v>3832</v>
      </c>
      <c r="F7" s="2638">
        <v>95000000000</v>
      </c>
      <c r="G7" s="2639">
        <v>95000000000</v>
      </c>
      <c r="H7" s="2646"/>
      <c r="I7" s="2646"/>
      <c r="J7" s="2647">
        <v>0.115</v>
      </c>
      <c r="K7" s="2647">
        <v>4.2500000000000003E-2</v>
      </c>
      <c r="L7" s="2638">
        <v>0</v>
      </c>
      <c r="M7" s="2638">
        <v>5000000000</v>
      </c>
      <c r="N7" s="2641">
        <f t="shared" si="1"/>
        <v>0</v>
      </c>
      <c r="O7" s="2641">
        <f t="shared" si="2"/>
        <v>0</v>
      </c>
      <c r="P7" s="2730">
        <f>IF(OR(E7="QS",E7=""),0,(M7-L7)/G7*J7)</f>
        <v>6.0526315789473685E-3</v>
      </c>
      <c r="Q7" s="2730">
        <f>IF(OR(E7="QS",E7=""),0,(M7-L7)/G7*K7)</f>
        <v>2.2368421052631577E-3</v>
      </c>
      <c r="R7" s="2642">
        <f>IF(OR(E7="QS",B7=""),0,CEILING((L7+1)/G7*100,1))</f>
        <v>1</v>
      </c>
      <c r="S7" s="2642">
        <f t="shared" si="4"/>
        <v>6</v>
      </c>
      <c r="T7" s="2643">
        <f>IF(OR(E7="QS",B7=""),0,
IF(C7="E1",VLOOKUP($S7,'表30-5-2-5-2'!$B$4:$AF$104,MATCH($D7&amp;"a",'表30-5-2-5-2'!$4:$4,0)-1,FALSE)
-IF($R7-1&lt;=0,0,VLOOKUP($R7-1,'表30-5-2-5-2'!$B$4:$AF$104,MATCH($D7&amp;"a",'表30-5-2-5-2'!$4:$4,0)-1,FALSE))
-VLOOKUP($S7,'表30-5-2-5-2'!$B$4:$AF$104,MATCH($D7,'表30-5-2-5-2'!$4:$4,0)-1,FALSE)*(S7/100-M7/G7)*100
-VLOOKUP($R7,'表30-5-2-5-2'!$B$4:$AF$104,MATCH($D7,'表30-5-2-5-2'!$4:$4,0)-1,FALSE)*(1-(R7/100-L7/G7)*100),
IF(C7="E2",VLOOKUP($S7,'表30-5-2-5-2'!$B$114:$AF$214,MATCH($D7&amp;"a",'表30-5-2-5-2'!$4:$4,0)-1,FALSE)
-IF($R7-1&lt;=0,0,VLOOKUP($R7-1,'表30-5-2-5-2'!$B$114:$AF$214,MATCH($D7&amp;"a",'表30-5-2-5-2'!$4:$4,0)-1,FALSE))
-VLOOKUP($S7,'表30-5-2-5-2'!$B$114:$AF$214,MATCH($D7,'表30-5-2-5-2'!$4:$4,0)-1,FALSE)*(S7/100-M7/G7)*100
-VLOOKUP($R7,'表30-5-2-5-2'!$B$114:$AF$214,MATCH($D7,'表30-5-2-5-2'!$4:$4,0)-1,FALSE)*(1-(R7/100-L7/G7)*100),0)))</f>
        <v>0</v>
      </c>
      <c r="U7" s="2643">
        <f>IF(OR(E7="QS",B7=""),0,
IF(C7="F",VLOOKUP($S7,'表30-5-2-5-1'!$B:$AF,MATCH($D7&amp;"a",'表30-5-2-5-1'!$4:$4,0)-1,FALSE)
-IF($R7-1&lt;=0,0,VLOOKUP($R7-1,'表30-5-2-5-1'!$B:$AF,MATCH($D7&amp;"a",'表30-5-2-5-1'!$4:$4,0)-1,FALSE))
-VLOOKUP($S7,'表30-5-2-5-1'!$B:$AF,MATCH($D7,'表30-5-2-5-1'!$4:$4,0)-1,FALSE)*(S7/100-M7/G7)*100
-VLOOKUP($R7,'表30-5-2-5-1'!$B:$AF,MATCH($D7,'表30-5-2-5-1'!$4:$4,0)-1,FALSE)*(1-(R7/100-L7/G7)*100),0))</f>
        <v>0.87820374595500028</v>
      </c>
      <c r="V7" s="2644">
        <f t="shared" ref="V7:V21" si="6">G7*T7*P7</f>
        <v>0</v>
      </c>
      <c r="W7" s="2644">
        <f>G7*U7*P7</f>
        <v>504967153.92412513</v>
      </c>
      <c r="X7" s="2644">
        <f t="shared" ref="X7:X21" si="7">G7*T7*Q7</f>
        <v>0</v>
      </c>
      <c r="Y7" s="2644">
        <f t="shared" ref="Y7:Y21" si="8">G7*U7*Q7</f>
        <v>186618296.01543754</v>
      </c>
      <c r="Z7" s="2645">
        <f>G7*P7</f>
        <v>575000000</v>
      </c>
      <c r="AA7" s="2645">
        <f>G7*Q7</f>
        <v>212499999.99999997</v>
      </c>
      <c r="AC7" s="3777"/>
      <c r="AD7" s="3780"/>
      <c r="AE7" s="3783"/>
      <c r="AF7" s="3780"/>
      <c r="AG7" s="3786"/>
      <c r="AH7" s="3786"/>
      <c r="AI7" s="3783"/>
      <c r="AL7" s="3777"/>
      <c r="AM7" s="3780"/>
      <c r="AN7" s="3783"/>
      <c r="AO7" s="3791"/>
      <c r="AP7" s="3792"/>
      <c r="AQ7" s="3792"/>
      <c r="AR7" s="3792"/>
      <c r="AU7" s="3777"/>
      <c r="AV7" s="3780"/>
      <c r="AW7" s="3816"/>
      <c r="AX7" s="3805"/>
      <c r="AY7" s="3807"/>
      <c r="AZ7" s="3825"/>
      <c r="BA7" s="3803"/>
      <c r="BB7" s="2632" t="s">
        <v>3833</v>
      </c>
    </row>
    <row r="8" spans="1:54" ht="16.5" customHeight="1">
      <c r="A8" s="2636" t="str">
        <f t="shared" si="5"/>
        <v>FZ1L</v>
      </c>
      <c r="B8" s="2637" t="s">
        <v>3822</v>
      </c>
      <c r="C8" s="2637" t="s">
        <v>3823</v>
      </c>
      <c r="D8" s="2637" t="s">
        <v>3621</v>
      </c>
      <c r="E8" s="2638" t="s">
        <v>3834</v>
      </c>
      <c r="F8" s="2638">
        <v>95000000000</v>
      </c>
      <c r="G8" s="2639">
        <v>95000000000</v>
      </c>
      <c r="H8" s="2646"/>
      <c r="I8" s="2646"/>
      <c r="J8" s="2647">
        <v>0.115</v>
      </c>
      <c r="K8" s="2647">
        <v>0</v>
      </c>
      <c r="L8" s="2638">
        <v>5000000000</v>
      </c>
      <c r="M8" s="2638">
        <v>95000000000</v>
      </c>
      <c r="N8" s="2641">
        <f t="shared" si="1"/>
        <v>0</v>
      </c>
      <c r="O8" s="2641">
        <f t="shared" si="2"/>
        <v>0</v>
      </c>
      <c r="P8" s="2730">
        <f>IF(OR(E8="QS",E8=""),0,(M8-L8)/G8*J8)</f>
        <v>0.10894736842105263</v>
      </c>
      <c r="Q8" s="2730">
        <f>IF(OR(E8="QS",E8=""),0,(M8-L8)/G8*K8)</f>
        <v>0</v>
      </c>
      <c r="R8" s="2642">
        <f t="shared" si="3"/>
        <v>6</v>
      </c>
      <c r="S8" s="2642">
        <f t="shared" si="4"/>
        <v>100</v>
      </c>
      <c r="T8" s="2643">
        <f>IF(OR(E8="QS",B8=""),0,
IF(C8="E1",VLOOKUP($S8,'表30-5-2-5-2'!$B$4:$AF$104,MATCH($D8&amp;"a",'表30-5-2-5-2'!$4:$4,0)-1,FALSE)
-IF($R8-1&lt;=0,0,VLOOKUP($R8-1,'表30-5-2-5-2'!$B$4:$AF$104,MATCH($D8&amp;"a",'表30-5-2-5-2'!$4:$4,0)-1,FALSE))
-VLOOKUP($S8,'表30-5-2-5-2'!$B$4:$AF$104,MATCH($D8,'表30-5-2-5-2'!$4:$4,0)-1,FALSE)*(S8/100-M8/G8)*100
-VLOOKUP($R8,'表30-5-2-5-2'!$B$4:$AF$104,MATCH($D8,'表30-5-2-5-2'!$4:$4,0)-1,FALSE)*(1-(R8/100-L8/G8)*100),
IF(C8="E2",VLOOKUP($S8,'表30-5-2-5-2'!$B$114:$AF$214,MATCH($D8&amp;"a",'表30-5-2-5-2'!$4:$4,0)-1,FALSE)
-IF($R8-1&lt;=0,0,VLOOKUP($R8-1,'表30-5-2-5-2'!$B$114:$AF$214,MATCH($D8&amp;"a",'表30-5-2-5-2'!$4:$4,0)-1,FALSE))
-VLOOKUP($S8,'表30-5-2-5-2'!$B$114:$AF$214,MATCH($D8,'表30-5-2-5-2'!$4:$4,0)-1,FALSE)*(S8/100-M8/G8)*100
-VLOOKUP($R8,'表30-5-2-5-2'!$B$114:$AF$214,MATCH($D8,'表30-5-2-5-2'!$4:$4,0)-1,FALSE)*(1-(R8/100-L8/G8)*100),0)))</f>
        <v>0</v>
      </c>
      <c r="U8" s="2643">
        <f>IF(OR(E8="QS",B8=""),0,
IF(C8="F",VLOOKUP($S8,'表30-5-2-5-1'!$B:$AF,MATCH($D8&amp;"a",'表30-5-2-5-1'!$4:$4,0)-1,FALSE)
-IF($R8-1&lt;=0,0,VLOOKUP($R8-1,'表30-5-2-5-1'!$B:$AF,MATCH($D8&amp;"a",'表30-5-2-5-1'!$4:$4,0)-1,FALSE))
-VLOOKUP($S8,'表30-5-2-5-1'!$B:$AF,MATCH($D8,'表30-5-2-5-1'!$4:$4,0)-1,FALSE)*(S8/100-M8/G8)*100
-VLOOKUP($R8,'表30-5-2-5-1'!$B:$AF,MATCH($D8,'表30-5-2-5-1'!$4:$4,0)-1,FALSE)*(1-(R8/100-L8/G8)*100),0))</f>
        <v>0.12179625404499966</v>
      </c>
      <c r="V8" s="2644">
        <f t="shared" si="6"/>
        <v>0</v>
      </c>
      <c r="W8" s="2644">
        <f t="shared" ref="W8:W21" si="9">G8*U8*P8</f>
        <v>1260591229.3657463</v>
      </c>
      <c r="X8" s="2644">
        <f t="shared" si="7"/>
        <v>0</v>
      </c>
      <c r="Y8" s="2644">
        <f t="shared" si="8"/>
        <v>0</v>
      </c>
      <c r="Z8" s="2645">
        <f>G8*P8</f>
        <v>10350000000</v>
      </c>
      <c r="AA8" s="2645">
        <f>G8*Q8</f>
        <v>0</v>
      </c>
      <c r="AC8" s="3777"/>
      <c r="AD8" s="3780"/>
      <c r="AE8" s="3783"/>
      <c r="AF8" s="3780"/>
      <c r="AG8" s="3786"/>
      <c r="AH8" s="3786"/>
      <c r="AI8" s="3783"/>
      <c r="AL8" s="3777"/>
      <c r="AM8" s="3780"/>
      <c r="AN8" s="3783"/>
      <c r="AO8" s="3791"/>
      <c r="AP8" s="3792"/>
      <c r="AQ8" s="3792"/>
      <c r="AR8" s="3792"/>
      <c r="AU8" s="3777"/>
      <c r="AV8" s="3780"/>
      <c r="AW8" s="3816"/>
      <c r="AX8" s="3805"/>
      <c r="AY8" s="3807"/>
      <c r="AZ8" s="3792" t="s">
        <v>3831</v>
      </c>
      <c r="BA8" s="3804"/>
    </row>
    <row r="9" spans="1:54" ht="16.5" customHeight="1">
      <c r="A9" s="2636" t="str">
        <f t="shared" si="5"/>
        <v/>
      </c>
      <c r="B9" s="2637"/>
      <c r="C9" s="2637"/>
      <c r="D9" s="2637"/>
      <c r="E9" s="2638"/>
      <c r="F9" s="2638"/>
      <c r="G9" s="2639"/>
      <c r="H9" s="2646"/>
      <c r="I9" s="2646"/>
      <c r="J9" s="2646"/>
      <c r="K9" s="2646"/>
      <c r="L9" s="2638"/>
      <c r="M9" s="2638"/>
      <c r="N9" s="2641">
        <f t="shared" si="1"/>
        <v>0</v>
      </c>
      <c r="O9" s="2641">
        <f t="shared" si="2"/>
        <v>0</v>
      </c>
      <c r="P9" s="2730">
        <f t="shared" ref="P9:P21" si="10">IF(OR(E9="QS",E9=""),0,(M9-L9)/G9*J9)</f>
        <v>0</v>
      </c>
      <c r="Q9" s="2730">
        <f t="shared" ref="Q9:Q21" si="11">IF(OR(E9="QS",E9=""),0,(M9-L9)/G9*K9)</f>
        <v>0</v>
      </c>
      <c r="R9" s="2642">
        <f t="shared" si="3"/>
        <v>0</v>
      </c>
      <c r="S9" s="2642">
        <f t="shared" si="4"/>
        <v>0</v>
      </c>
      <c r="T9" s="2643">
        <f>IF(OR(E9="QS",B9=""),0,
IF(C9="E1",VLOOKUP($S9,'表30-5-2-5-2'!$B$4:$AF$104,MATCH($D9&amp;"a",'表30-5-2-5-2'!$4:$4,0)-1,FALSE)
-IF($R9-1&lt;=0,0,VLOOKUP($R9-1,'表30-5-2-5-2'!$B$4:$AF$104,MATCH($D9&amp;"a",'表30-5-2-5-2'!$4:$4,0)-1,FALSE))
-VLOOKUP($S9,'表30-5-2-5-2'!$B$4:$AF$104,MATCH($D9,'表30-5-2-5-2'!$4:$4,0)-1,FALSE)*(S9/100-M9/G9)*100
-VLOOKUP($R9,'表30-5-2-5-2'!$B$4:$AF$104,MATCH($D9,'表30-5-2-5-2'!$4:$4,0)-1,FALSE)*(1-(R9/100-L9/G9)*100),
IF(C9="E2",VLOOKUP($S9,'表30-5-2-5-2'!$B$114:$AF$214,MATCH($D9&amp;"a",'表30-5-2-5-2'!$4:$4,0)-1,FALSE)
-IF($R9-1&lt;=0,0,VLOOKUP($R9-1,'表30-5-2-5-2'!$B$114:$AF$214,MATCH($D9&amp;"a",'表30-5-2-5-2'!$4:$4,0)-1,FALSE))
-VLOOKUP($S9,'表30-5-2-5-2'!$B$114:$AF$214,MATCH($D9,'表30-5-2-5-2'!$4:$4,0)-1,FALSE)*(S9/100-M9/G9)*100
-VLOOKUP($R9,'表30-5-2-5-2'!$B$114:$AF$214,MATCH($D9,'表30-5-2-5-2'!$4:$4,0)-1,FALSE)*(1-(R9/100-L9/G9)*100),0)))</f>
        <v>0</v>
      </c>
      <c r="U9" s="2643">
        <f>IF(OR(E9="QS",B9=""),0,
IF(C9="F",VLOOKUP($S9,'表30-5-2-5-1'!$B:$AF,MATCH($D9&amp;"a",'表30-5-2-5-1'!$4:$4,0)-1,FALSE)
-IF($R9-1&lt;=0,0,VLOOKUP($R9-1,'表30-5-2-5-1'!$B:$AF,MATCH($D9&amp;"a",'表30-5-2-5-1'!$4:$4,0)-1,FALSE))
-VLOOKUP($S9,'表30-5-2-5-1'!$B:$AF,MATCH($D9,'表30-5-2-5-1'!$4:$4,0)-1,FALSE)*(S9/100-M9/G9)*100
-VLOOKUP($R9,'表30-5-2-5-1'!$B:$AF,MATCH($D9,'表30-5-2-5-1'!$4:$4,0)-1,FALSE)*(1-(R9/100-L9/G9)*100),0))</f>
        <v>0</v>
      </c>
      <c r="V9" s="2644">
        <f t="shared" si="6"/>
        <v>0</v>
      </c>
      <c r="W9" s="2644">
        <f t="shared" si="9"/>
        <v>0</v>
      </c>
      <c r="X9" s="2644">
        <f t="shared" si="7"/>
        <v>0</v>
      </c>
      <c r="Y9" s="2644">
        <f t="shared" si="8"/>
        <v>0</v>
      </c>
      <c r="Z9" s="2645"/>
      <c r="AA9" s="2645"/>
      <c r="AC9" s="3777"/>
      <c r="AD9" s="3780"/>
      <c r="AE9" s="3783"/>
      <c r="AF9" s="3780"/>
      <c r="AG9" s="3786"/>
      <c r="AH9" s="3786"/>
      <c r="AI9" s="3783"/>
      <c r="AL9" s="3777"/>
      <c r="AM9" s="3780"/>
      <c r="AN9" s="3783"/>
      <c r="AO9" s="3792"/>
      <c r="AP9" s="3792"/>
      <c r="AQ9" s="3792"/>
      <c r="AR9" s="3792"/>
      <c r="AU9" s="3777"/>
      <c r="AV9" s="3780"/>
      <c r="AW9" s="3816"/>
      <c r="AX9" s="3805"/>
      <c r="AY9" s="3807"/>
      <c r="AZ9" s="3792"/>
      <c r="BA9" s="3804"/>
    </row>
    <row r="10" spans="1:54" ht="16.5" customHeight="1">
      <c r="A10" s="2636" t="str">
        <f t="shared" si="5"/>
        <v>E1Z1Q</v>
      </c>
      <c r="B10" s="2637" t="s">
        <v>3835</v>
      </c>
      <c r="C10" s="2637" t="s">
        <v>3836</v>
      </c>
      <c r="D10" s="2637" t="s">
        <v>3621</v>
      </c>
      <c r="E10" s="2638" t="s">
        <v>3824</v>
      </c>
      <c r="F10" s="2638">
        <v>95000000000</v>
      </c>
      <c r="G10" s="2639"/>
      <c r="H10" s="2640">
        <v>3.5000000000000003E-2</v>
      </c>
      <c r="I10" s="2640">
        <v>0.02</v>
      </c>
      <c r="J10" s="2640"/>
      <c r="K10" s="2640"/>
      <c r="L10" s="2638"/>
      <c r="M10" s="2638"/>
      <c r="N10" s="2641">
        <f t="shared" si="1"/>
        <v>3325000000.0000005</v>
      </c>
      <c r="O10" s="2641">
        <f t="shared" si="2"/>
        <v>1900000000</v>
      </c>
      <c r="P10" s="2730">
        <f t="shared" si="10"/>
        <v>0</v>
      </c>
      <c r="Q10" s="2730">
        <f t="shared" si="11"/>
        <v>0</v>
      </c>
      <c r="R10" s="2642">
        <f t="shared" si="3"/>
        <v>0</v>
      </c>
      <c r="S10" s="2642">
        <f t="shared" si="4"/>
        <v>0</v>
      </c>
      <c r="T10" s="2643">
        <f>IF(OR(E10="QS",B10=""),0,
IF(C10="E1",VLOOKUP($S10,'表30-5-2-5-2'!$B$4:$AF$104,MATCH($D10&amp;"a",'表30-5-2-5-2'!$4:$4,0)-1,FALSE)
-IF($R10-1&lt;=0,0,VLOOKUP($R10-1,'表30-5-2-5-2'!$B$4:$AF$104,MATCH($D10&amp;"a",'表30-5-2-5-2'!$4:$4,0)-1,FALSE))
-VLOOKUP($S10,'表30-5-2-5-2'!$B$4:$AF$104,MATCH($D10,'表30-5-2-5-2'!$4:$4,0)-1,FALSE)*(S10/100-M10/G10)*100
-VLOOKUP($R10,'表30-5-2-5-2'!$B$4:$AF$104,MATCH($D10,'表30-5-2-5-2'!$4:$4,0)-1,FALSE)*(1-(R10/100-L10/G10)*100),
IF(C10="E2",VLOOKUP($S10,'表30-5-2-5-2'!$B$114:$AF$214,MATCH($D10&amp;"a",'表30-5-2-5-2'!$4:$4,0)-1,FALSE)
-IF($R10-1&lt;=0,0,VLOOKUP($R10-1,'表30-5-2-5-2'!$B$114:$AF$214,MATCH($D10&amp;"a",'表30-5-2-5-2'!$4:$4,0)-1,FALSE))
-VLOOKUP($S10,'表30-5-2-5-2'!$B$114:$AF$214,MATCH($D10,'表30-5-2-5-2'!$4:$4,0)-1,FALSE)*(S10/100-M10/G10)*100
-VLOOKUP($R10,'表30-5-2-5-2'!$B$114:$AF$214,MATCH($D10,'表30-5-2-5-2'!$4:$4,0)-1,FALSE)*(1-(R10/100-L10/G10)*100),0)))</f>
        <v>0</v>
      </c>
      <c r="U10" s="2643">
        <f>IF(OR(E10="QS",B10=""),0,
IF(C10="F",VLOOKUP($S10,'表30-5-2-5-1'!$B:$AF,MATCH($D10&amp;"a",'表30-5-2-5-1'!$4:$4,0)-1,FALSE)
-IF($R10-1&lt;=0,0,VLOOKUP($R10-1,'表30-5-2-5-1'!$B:$AF,MATCH($D10&amp;"a",'表30-5-2-5-1'!$4:$4,0)-1,FALSE))
-VLOOKUP($S10,'表30-5-2-5-1'!$B:$AF,MATCH($D10,'表30-5-2-5-1'!$4:$4,0)-1,FALSE)*(S10/100-M10/G10)*100
-VLOOKUP($R10,'表30-5-2-5-1'!$B:$AF,MATCH($D10,'表30-5-2-5-1'!$4:$4,0)-1,FALSE)*(1-(R10/100-L10/G10)*100),0))</f>
        <v>0</v>
      </c>
      <c r="V10" s="2644">
        <f t="shared" si="6"/>
        <v>0</v>
      </c>
      <c r="W10" s="2644">
        <f t="shared" si="9"/>
        <v>0</v>
      </c>
      <c r="X10" s="2644">
        <f t="shared" si="7"/>
        <v>0</v>
      </c>
      <c r="Y10" s="2644">
        <f t="shared" si="8"/>
        <v>0</v>
      </c>
      <c r="Z10" s="2645">
        <f>F10*H10</f>
        <v>3325000000.0000005</v>
      </c>
      <c r="AA10" s="2645">
        <f>F10*I10</f>
        <v>1900000000</v>
      </c>
      <c r="AC10" s="3777"/>
      <c r="AD10" s="3780"/>
      <c r="AE10" s="3783"/>
      <c r="AF10" s="3780"/>
      <c r="AG10" s="3786"/>
      <c r="AH10" s="3786"/>
      <c r="AI10" s="3783"/>
      <c r="AL10" s="3777"/>
      <c r="AM10" s="3780"/>
      <c r="AN10" s="3783"/>
      <c r="AO10" s="3792" t="s">
        <v>3837</v>
      </c>
      <c r="AP10" s="3792"/>
      <c r="AQ10" s="3792"/>
      <c r="AR10" s="3792"/>
      <c r="AS10" s="2632" t="s">
        <v>3838</v>
      </c>
      <c r="AU10" s="3777"/>
      <c r="AV10" s="3780"/>
      <c r="AW10" s="3816"/>
      <c r="AX10" s="3805"/>
      <c r="AY10" s="3807"/>
      <c r="AZ10" s="3792"/>
      <c r="BA10" s="3804"/>
    </row>
    <row r="11" spans="1:54" ht="16.5" customHeight="1" thickBot="1">
      <c r="A11" s="2636" t="str">
        <f t="shared" si="5"/>
        <v>E1Z1L</v>
      </c>
      <c r="B11" s="2637" t="s">
        <v>3835</v>
      </c>
      <c r="C11" s="2637" t="s">
        <v>3836</v>
      </c>
      <c r="D11" s="2637" t="s">
        <v>3621</v>
      </c>
      <c r="E11" s="2638" t="s">
        <v>3832</v>
      </c>
      <c r="F11" s="2638">
        <v>95000000000</v>
      </c>
      <c r="G11" s="2639">
        <v>95000000000</v>
      </c>
      <c r="H11" s="2646"/>
      <c r="I11" s="2646"/>
      <c r="J11" s="2647">
        <v>0.115</v>
      </c>
      <c r="K11" s="2647">
        <v>4.2500000000000003E-2</v>
      </c>
      <c r="L11" s="2638">
        <v>0</v>
      </c>
      <c r="M11" s="2638">
        <v>5000000000</v>
      </c>
      <c r="N11" s="2641">
        <f t="shared" si="1"/>
        <v>0</v>
      </c>
      <c r="O11" s="2641">
        <f t="shared" si="2"/>
        <v>0</v>
      </c>
      <c r="P11" s="2730">
        <f t="shared" si="10"/>
        <v>6.0526315789473685E-3</v>
      </c>
      <c r="Q11" s="2730">
        <f t="shared" si="11"/>
        <v>2.2368421052631577E-3</v>
      </c>
      <c r="R11" s="2642">
        <f t="shared" si="3"/>
        <v>1</v>
      </c>
      <c r="S11" s="2642">
        <f t="shared" si="4"/>
        <v>6</v>
      </c>
      <c r="T11" s="2643">
        <f>IF(OR(E11="QS",B11=""),0,
IF(C11="E1",VLOOKUP($S11,'表30-5-2-5-2'!$B$4:$AF$104,MATCH($D11&amp;"a",'表30-5-2-5-2'!$4:$4,0)-1,FALSE)
-IF($R11-1&lt;=0,0,VLOOKUP($R11-1,'表30-5-2-5-2'!$B$4:$AF$104,MATCH($D11&amp;"a",'表30-5-2-5-2'!$4:$4,0)-1,FALSE))
-VLOOKUP($S11,'表30-5-2-5-2'!$B$4:$AF$104,MATCH($D11,'表30-5-2-5-2'!$4:$4,0)-1,FALSE)*(S11/100-M11/G11)*100
-VLOOKUP($R11,'表30-5-2-5-2'!$B$4:$AF$104,MATCH($D11,'表30-5-2-5-2'!$4:$4,0)-1,FALSE)*(1-(R11/100-L11/G11)*100),
IF(C11="E2",VLOOKUP($S11,'表30-5-2-5-2'!$B$114:$AF$214,MATCH($D11&amp;"a",'表30-5-2-5-2'!$4:$4,0)-1,FALSE)
-IF($R11-1&lt;=0,0,VLOOKUP($R11-1,'表30-5-2-5-2'!$B$114:$AF$214,MATCH($D11&amp;"a",'表30-5-2-5-2'!$4:$4,0)-1,FALSE))
-VLOOKUP($S11,'表30-5-2-5-2'!$B$114:$AF$214,MATCH($D11,'表30-5-2-5-2'!$4:$4,0)-1,FALSE)*(S11/100-M11/G11)*100
-VLOOKUP($R11,'表30-5-2-5-2'!$B$114:$AF$214,MATCH($D11,'表30-5-2-5-2'!$4:$4,0)-1,FALSE)*(1-(R11/100-L11/G11)*100),0)))</f>
        <v>0.99986942324756312</v>
      </c>
      <c r="U11" s="2643">
        <f>IF(OR(E11="QS",B11=""),0,
IF(C11="F",VLOOKUP($S11,'表30-5-2-5-1'!$B:$AF,MATCH($D11&amp;"a",'表30-5-2-5-1'!$4:$4,0)-1,FALSE)
-IF($R11-1&lt;=0,0,VLOOKUP($R11-1,'表30-5-2-5-1'!$B:$AF,MATCH($D11&amp;"a",'表30-5-2-5-1'!$4:$4,0)-1,FALSE))
-VLOOKUP($S11,'表30-5-2-5-1'!$B:$AF,MATCH($D11,'表30-5-2-5-1'!$4:$4,0)-1,FALSE)*(S11/100-M11/G11)*100
-VLOOKUP($R11,'表30-5-2-5-1'!$B:$AF,MATCH($D11,'表30-5-2-5-1'!$4:$4,0)-1,FALSE)*(1-(R11/100-L11/G11)*100),0))</f>
        <v>0</v>
      </c>
      <c r="V11" s="2644">
        <f t="shared" si="6"/>
        <v>574924918.36734879</v>
      </c>
      <c r="W11" s="2644">
        <f t="shared" si="9"/>
        <v>0</v>
      </c>
      <c r="X11" s="2644">
        <f t="shared" si="7"/>
        <v>212472252.44010714</v>
      </c>
      <c r="Y11" s="2644">
        <f t="shared" si="8"/>
        <v>0</v>
      </c>
      <c r="Z11" s="2645">
        <f>G11*P11</f>
        <v>575000000</v>
      </c>
      <c r="AA11" s="2645">
        <f>G11*Q11</f>
        <v>212499999.99999997</v>
      </c>
      <c r="AC11" s="3777"/>
      <c r="AD11" s="3780"/>
      <c r="AE11" s="3783"/>
      <c r="AF11" s="3780"/>
      <c r="AG11" s="3786"/>
      <c r="AH11" s="3786"/>
      <c r="AI11" s="3783"/>
      <c r="AL11" s="3777"/>
      <c r="AM11" s="3780"/>
      <c r="AN11" s="3783"/>
      <c r="AO11" s="3805"/>
      <c r="AP11" s="3806"/>
      <c r="AQ11" s="3806"/>
      <c r="AR11" s="3807"/>
      <c r="AU11" s="3777"/>
      <c r="AV11" s="3780"/>
      <c r="AW11" s="3816"/>
      <c r="AX11" s="3826"/>
      <c r="AY11" s="3827"/>
      <c r="AZ11" s="3792"/>
      <c r="BA11" s="3804"/>
      <c r="BB11" s="2632" t="s">
        <v>3838</v>
      </c>
    </row>
    <row r="12" spans="1:54" ht="15.75" customHeight="1">
      <c r="A12" s="2636" t="str">
        <f t="shared" si="5"/>
        <v>E1Z1L</v>
      </c>
      <c r="B12" s="2637" t="s">
        <v>3835</v>
      </c>
      <c r="C12" s="2637" t="s">
        <v>3836</v>
      </c>
      <c r="D12" s="2637" t="s">
        <v>3621</v>
      </c>
      <c r="E12" s="2638" t="s">
        <v>3834</v>
      </c>
      <c r="F12" s="2638">
        <v>95000000000</v>
      </c>
      <c r="G12" s="2639">
        <v>95000000000</v>
      </c>
      <c r="H12" s="2646"/>
      <c r="I12" s="2646"/>
      <c r="J12" s="2647">
        <v>0.115</v>
      </c>
      <c r="K12" s="2647">
        <v>0</v>
      </c>
      <c r="L12" s="2638">
        <v>5000000000</v>
      </c>
      <c r="M12" s="2638">
        <v>10000000000</v>
      </c>
      <c r="N12" s="2641">
        <f t="shared" si="1"/>
        <v>0</v>
      </c>
      <c r="O12" s="2641">
        <f t="shared" si="2"/>
        <v>0</v>
      </c>
      <c r="P12" s="2730">
        <f t="shared" si="10"/>
        <v>6.0526315789473685E-3</v>
      </c>
      <c r="Q12" s="2730">
        <f t="shared" si="11"/>
        <v>0</v>
      </c>
      <c r="R12" s="2642">
        <f t="shared" si="3"/>
        <v>6</v>
      </c>
      <c r="S12" s="2642">
        <f t="shared" si="4"/>
        <v>11</v>
      </c>
      <c r="T12" s="2643">
        <f>IF(OR(E12="QS",B12=""),0,
IF(C12="E1",VLOOKUP($S12,'表30-5-2-5-2'!$B$4:$AF$104,MATCH($D12&amp;"a",'表30-5-2-5-2'!$4:$4,0)-1,FALSE)
-IF($R12-1&lt;=0,0,VLOOKUP($R12-1,'表30-5-2-5-2'!$B$4:$AF$104,MATCH($D12&amp;"a",'表30-5-2-5-2'!$4:$4,0)-1,FALSE))
-VLOOKUP($S12,'表30-5-2-5-2'!$B$4:$AF$104,MATCH($D12,'表30-5-2-5-2'!$4:$4,0)-1,FALSE)*(S12/100-M12/G12)*100
-VLOOKUP($R12,'表30-5-2-5-2'!$B$4:$AF$104,MATCH($D12,'表30-5-2-5-2'!$4:$4,0)-1,FALSE)*(1-(R12/100-L12/G12)*100),
IF(C12="E2",VLOOKUP($S12,'表30-5-2-5-2'!$B$114:$AF$214,MATCH($D12&amp;"a",'表30-5-2-5-2'!$4:$4,0)-1,FALSE)
-IF($R12-1&lt;=0,0,VLOOKUP($R12-1,'表30-5-2-5-2'!$B$114:$AF$214,MATCH($D12&amp;"a",'表30-5-2-5-2'!$4:$4,0)-1,FALSE))
-VLOOKUP($S12,'表30-5-2-5-2'!$B$114:$AF$214,MATCH($D12,'表30-5-2-5-2'!$4:$4,0)-1,FALSE)*(S12/100-M12/G12)*100
-VLOOKUP($R12,'表30-5-2-5-2'!$B$114:$AF$214,MATCH($D12,'表30-5-2-5-2'!$4:$4,0)-1,FALSE)*(1-(R12/100-L12/G12)*100),0)))</f>
        <v>1.3057675243680132E-4</v>
      </c>
      <c r="U12" s="2643">
        <f>IF(OR(E12="QS",B12=""),0,
IF(C12="F",VLOOKUP($S12,'表30-5-2-5-1'!$B:$AF,MATCH($D12&amp;"a",'表30-5-2-5-1'!$4:$4,0)-1,FALSE)
-IF($R12-1&lt;=0,0,VLOOKUP($R12-1,'表30-5-2-5-1'!$B:$AF,MATCH($D12&amp;"a",'表30-5-2-5-1'!$4:$4,0)-1,FALSE))
-VLOOKUP($S12,'表30-5-2-5-1'!$B:$AF,MATCH($D12,'表30-5-2-5-1'!$4:$4,0)-1,FALSE)*(S12/100-M12/G12)*100
-VLOOKUP($R12,'表30-5-2-5-1'!$B:$AF,MATCH($D12,'表30-5-2-5-1'!$4:$4,0)-1,FALSE)*(1-(R12/100-L12/G12)*100),0))</f>
        <v>0</v>
      </c>
      <c r="V12" s="2644">
        <f t="shared" si="6"/>
        <v>75081.632651160762</v>
      </c>
      <c r="W12" s="2644">
        <f t="shared" si="9"/>
        <v>0</v>
      </c>
      <c r="X12" s="2644">
        <f t="shared" si="7"/>
        <v>0</v>
      </c>
      <c r="Y12" s="2644">
        <f t="shared" si="8"/>
        <v>0</v>
      </c>
      <c r="Z12" s="2645">
        <f>G12*P12</f>
        <v>575000000</v>
      </c>
      <c r="AA12" s="2645">
        <f>G12*Q12</f>
        <v>0</v>
      </c>
      <c r="AC12" s="3777"/>
      <c r="AD12" s="3780"/>
      <c r="AE12" s="3783"/>
      <c r="AF12" s="3780"/>
      <c r="AG12" s="3786"/>
      <c r="AH12" s="3786"/>
      <c r="AI12" s="3783"/>
      <c r="AL12" s="3777"/>
      <c r="AM12" s="3780"/>
      <c r="AN12" s="3783"/>
      <c r="AO12" s="3805"/>
      <c r="AP12" s="3806"/>
      <c r="AQ12" s="3806"/>
      <c r="AR12" s="3807"/>
      <c r="AU12" s="3777"/>
      <c r="AV12" s="3780"/>
      <c r="AW12" s="3816"/>
      <c r="AX12" s="3791" t="s">
        <v>3831</v>
      </c>
      <c r="AY12" s="3792"/>
      <c r="AZ12" s="3792"/>
      <c r="BA12" s="3804"/>
    </row>
    <row r="13" spans="1:54" ht="15.75" customHeight="1" thickBot="1">
      <c r="A13" s="2636" t="str">
        <f t="shared" si="5"/>
        <v>E1Z1L</v>
      </c>
      <c r="B13" s="2637" t="s">
        <v>3835</v>
      </c>
      <c r="C13" s="2637" t="s">
        <v>3836</v>
      </c>
      <c r="D13" s="2637" t="s">
        <v>3621</v>
      </c>
      <c r="E13" s="2638" t="s">
        <v>3725</v>
      </c>
      <c r="F13" s="2638">
        <v>95000000000</v>
      </c>
      <c r="G13" s="2639">
        <v>95000000000</v>
      </c>
      <c r="H13" s="2646"/>
      <c r="I13" s="2646"/>
      <c r="J13" s="2647">
        <v>0.115</v>
      </c>
      <c r="K13" s="2647">
        <v>0.115</v>
      </c>
      <c r="L13" s="2638">
        <v>10000000000</v>
      </c>
      <c r="M13" s="2638">
        <v>20000000000</v>
      </c>
      <c r="N13" s="2641">
        <f t="shared" si="1"/>
        <v>0</v>
      </c>
      <c r="O13" s="2641">
        <f t="shared" si="2"/>
        <v>0</v>
      </c>
      <c r="P13" s="2730">
        <f t="shared" si="10"/>
        <v>1.2105263157894737E-2</v>
      </c>
      <c r="Q13" s="2730">
        <f t="shared" si="11"/>
        <v>1.2105263157894737E-2</v>
      </c>
      <c r="R13" s="2642">
        <f t="shared" si="3"/>
        <v>11</v>
      </c>
      <c r="S13" s="2642">
        <f t="shared" si="4"/>
        <v>22</v>
      </c>
      <c r="T13" s="2643">
        <f>IF(OR(E13="QS",B13=""),0,
IF(C13="E1",VLOOKUP($S13,'表30-5-2-5-2'!$B$4:$AF$104,MATCH($D13&amp;"a",'表30-5-2-5-2'!$4:$4,0)-1,FALSE)
-IF($R13-1&lt;=0,0,VLOOKUP($R13-1,'表30-5-2-5-2'!$B$4:$AF$104,MATCH($D13&amp;"a",'表30-5-2-5-2'!$4:$4,0)-1,FALSE))
-VLOOKUP($S13,'表30-5-2-5-2'!$B$4:$AF$104,MATCH($D13,'表30-5-2-5-2'!$4:$4,0)-1,FALSE)*(S13/100-M13/G13)*100
-VLOOKUP($R13,'表30-5-2-5-2'!$B$4:$AF$104,MATCH($D13,'表30-5-2-5-2'!$4:$4,0)-1,FALSE)*(1-(R13/100-L13/G13)*100),
IF(C13="E2",VLOOKUP($S13,'表30-5-2-5-2'!$B$114:$AF$214,MATCH($D13&amp;"a",'表30-5-2-5-2'!$4:$4,0)-1,FALSE)
-IF($R13-1&lt;=0,0,VLOOKUP($R13-1,'表30-5-2-5-2'!$B$114:$AF$214,MATCH($D13&amp;"a",'表30-5-2-5-2'!$4:$4,0)-1,FALSE))
-VLOOKUP($S13,'表30-5-2-5-2'!$B$114:$AF$214,MATCH($D13,'表30-5-2-5-2'!$4:$4,0)-1,FALSE)*(S13/100-M13/G13)*100
-VLOOKUP($R13,'表30-5-2-5-2'!$B$114:$AF$214,MATCH($D13,'表30-5-2-5-2'!$4:$4,0)-1,FALSE)*(1-(R13/100-L13/G13)*100),0)))</f>
        <v>0</v>
      </c>
      <c r="U13" s="2643">
        <f>IF(OR(E13="QS",B13=""),0,
IF(C13="F",VLOOKUP($S13,'表30-5-2-5-1'!$B:$AF,MATCH($D13&amp;"a",'表30-5-2-5-1'!$4:$4,0)-1,FALSE)
-IF($R13-1&lt;=0,0,VLOOKUP($R13-1,'表30-5-2-5-1'!$B:$AF,MATCH($D13&amp;"a",'表30-5-2-5-1'!$4:$4,0)-1,FALSE))
-VLOOKUP($S13,'表30-5-2-5-1'!$B:$AF,MATCH($D13,'表30-5-2-5-1'!$4:$4,0)-1,FALSE)*(S13/100-M13/G13)*100
-VLOOKUP($R13,'表30-5-2-5-1'!$B:$AF,MATCH($D13,'表30-5-2-5-1'!$4:$4,0)-1,FALSE)*(1-(R13/100-L13/G13)*100),0))</f>
        <v>0</v>
      </c>
      <c r="V13" s="2644">
        <f t="shared" si="6"/>
        <v>0</v>
      </c>
      <c r="W13" s="2644">
        <f t="shared" si="9"/>
        <v>0</v>
      </c>
      <c r="X13" s="2644">
        <f t="shared" si="7"/>
        <v>0</v>
      </c>
      <c r="Y13" s="2644">
        <f t="shared" si="8"/>
        <v>0</v>
      </c>
      <c r="Z13" s="2645">
        <f>G13*P13</f>
        <v>1150000000</v>
      </c>
      <c r="AA13" s="2645">
        <f>G13*Q13</f>
        <v>1150000000</v>
      </c>
      <c r="AC13" s="3777"/>
      <c r="AD13" s="3780"/>
      <c r="AE13" s="3783"/>
      <c r="AF13" s="3780"/>
      <c r="AG13" s="3786"/>
      <c r="AH13" s="3786"/>
      <c r="AI13" s="3783"/>
      <c r="AL13" s="3777"/>
      <c r="AM13" s="3780"/>
      <c r="AN13" s="3783"/>
      <c r="AO13" s="3792"/>
      <c r="AP13" s="3792"/>
      <c r="AQ13" s="3792"/>
      <c r="AR13" s="3792"/>
      <c r="AU13" s="3777"/>
      <c r="AV13" s="3780"/>
      <c r="AW13" s="3816"/>
      <c r="AX13" s="3792"/>
      <c r="AY13" s="3792"/>
      <c r="AZ13" s="3792"/>
      <c r="BA13" s="3804"/>
      <c r="BB13" s="2632" t="s">
        <v>3839</v>
      </c>
    </row>
    <row r="14" spans="1:54" ht="16.5" customHeight="1">
      <c r="A14" s="2636" t="str">
        <f t="shared" si="5"/>
        <v>E1Z1L</v>
      </c>
      <c r="B14" s="2637" t="s">
        <v>3835</v>
      </c>
      <c r="C14" s="2637" t="s">
        <v>3836</v>
      </c>
      <c r="D14" s="2637" t="s">
        <v>3621</v>
      </c>
      <c r="E14" s="2638" t="s">
        <v>3726</v>
      </c>
      <c r="F14" s="2638">
        <v>95000000000</v>
      </c>
      <c r="G14" s="2639">
        <v>95000000000</v>
      </c>
      <c r="H14" s="2646"/>
      <c r="I14" s="2646"/>
      <c r="J14" s="2647">
        <v>0.115</v>
      </c>
      <c r="K14" s="2647">
        <v>0</v>
      </c>
      <c r="L14" s="2638">
        <v>20000000000</v>
      </c>
      <c r="M14" s="2638">
        <v>95000000000</v>
      </c>
      <c r="N14" s="2641">
        <f t="shared" si="1"/>
        <v>0</v>
      </c>
      <c r="O14" s="2641">
        <f t="shared" si="2"/>
        <v>0</v>
      </c>
      <c r="P14" s="2730">
        <f t="shared" si="10"/>
        <v>9.0789473684210531E-2</v>
      </c>
      <c r="Q14" s="2730">
        <f t="shared" si="11"/>
        <v>0</v>
      </c>
      <c r="R14" s="2642">
        <f t="shared" si="3"/>
        <v>22</v>
      </c>
      <c r="S14" s="2642">
        <f t="shared" si="4"/>
        <v>100</v>
      </c>
      <c r="T14" s="2643">
        <f>IF(OR(E14="QS",B14=""),0,
IF(C14="E1",VLOOKUP($S14,'表30-5-2-5-2'!$B$4:$AF$104,MATCH($D14&amp;"a",'表30-5-2-5-2'!$4:$4,0)-1,FALSE)
-IF($R14-1&lt;=0,0,VLOOKUP($R14-1,'表30-5-2-5-2'!$B$4:$AF$104,MATCH($D14&amp;"a",'表30-5-2-5-2'!$4:$4,0)-1,FALSE))
-VLOOKUP($S14,'表30-5-2-5-2'!$B$4:$AF$104,MATCH($D14,'表30-5-2-5-2'!$4:$4,0)-1,FALSE)*(S14/100-M14/G14)*100
-VLOOKUP($R14,'表30-5-2-5-2'!$B$4:$AF$104,MATCH($D14,'表30-5-2-5-2'!$4:$4,0)-1,FALSE)*(1-(R14/100-L14/G14)*100),
IF(C14="E2",VLOOKUP($S14,'表30-5-2-5-2'!$B$114:$AF$214,MATCH($D14&amp;"a",'表30-5-2-5-2'!$4:$4,0)-1,FALSE)
-IF($R14-1&lt;=0,0,VLOOKUP($R14-1,'表30-5-2-5-2'!$B$114:$AF$214,MATCH($D14&amp;"a",'表30-5-2-5-2'!$4:$4,0)-1,FALSE))
-VLOOKUP($S14,'表30-5-2-5-2'!$B$114:$AF$214,MATCH($D14,'表30-5-2-5-2'!$4:$4,0)-1,FALSE)*(S14/100-M14/G14)*100
-VLOOKUP($R14,'表30-5-2-5-2'!$B$114:$AF$214,MATCH($D14,'表30-5-2-5-2'!$4:$4,0)-1,FALSE)*(1-(R14/100-L14/G14)*100),0)))</f>
        <v>0</v>
      </c>
      <c r="U14" s="2643">
        <f>IF(OR(E14="QS",B14=""),0,
IF(C14="F",VLOOKUP($S14,'表30-5-2-5-1'!$B:$AF,MATCH($D14&amp;"a",'表30-5-2-5-1'!$4:$4,0)-1,FALSE)
-IF($R14-1&lt;=0,0,VLOOKUP($R14-1,'表30-5-2-5-1'!$B:$AF,MATCH($D14&amp;"a",'表30-5-2-5-1'!$4:$4,0)-1,FALSE))
-VLOOKUP($S14,'表30-5-2-5-1'!$B:$AF,MATCH($D14,'表30-5-2-5-1'!$4:$4,0)-1,FALSE)*(S14/100-M14/G14)*100
-VLOOKUP($R14,'表30-5-2-5-1'!$B:$AF,MATCH($D14,'表30-5-2-5-1'!$4:$4,0)-1,FALSE)*(1-(R14/100-L14/G14)*100),0))</f>
        <v>0</v>
      </c>
      <c r="V14" s="2644">
        <f t="shared" si="6"/>
        <v>0</v>
      </c>
      <c r="W14" s="2644">
        <f t="shared" si="9"/>
        <v>0</v>
      </c>
      <c r="X14" s="2644">
        <f t="shared" si="7"/>
        <v>0</v>
      </c>
      <c r="Y14" s="2644">
        <f t="shared" si="8"/>
        <v>0</v>
      </c>
      <c r="Z14" s="2645">
        <f>G14*P14</f>
        <v>8625000000</v>
      </c>
      <c r="AA14" s="2645">
        <f>G14*Q14</f>
        <v>0</v>
      </c>
      <c r="AC14" s="3777"/>
      <c r="AD14" s="3780"/>
      <c r="AE14" s="3783"/>
      <c r="AF14" s="3780"/>
      <c r="AG14" s="3786"/>
      <c r="AH14" s="3786"/>
      <c r="AI14" s="3783"/>
      <c r="AL14" s="3777"/>
      <c r="AM14" s="3780"/>
      <c r="AN14" s="3783"/>
      <c r="AO14" s="3788" t="s">
        <v>3840</v>
      </c>
      <c r="AP14" s="3789"/>
      <c r="AQ14" s="3789"/>
      <c r="AR14" s="3790"/>
      <c r="AS14" s="2632" t="s">
        <v>3841</v>
      </c>
      <c r="AU14" s="3777"/>
      <c r="AV14" s="3780"/>
      <c r="AW14" s="3816"/>
      <c r="AX14" s="3792" t="s">
        <v>3831</v>
      </c>
      <c r="AY14" s="3808" t="s">
        <v>3842</v>
      </c>
      <c r="AZ14" s="3809"/>
      <c r="BA14" s="3792" t="s">
        <v>3831</v>
      </c>
    </row>
    <row r="15" spans="1:54" ht="17.25" customHeight="1">
      <c r="A15" s="2636" t="str">
        <f t="shared" si="5"/>
        <v/>
      </c>
      <c r="B15" s="2637"/>
      <c r="C15" s="2637"/>
      <c r="D15" s="2637"/>
      <c r="E15" s="2638"/>
      <c r="F15" s="2638"/>
      <c r="G15" s="2639"/>
      <c r="H15" s="2640"/>
      <c r="I15" s="2640"/>
      <c r="J15" s="2640"/>
      <c r="K15" s="2640"/>
      <c r="L15" s="2638"/>
      <c r="M15" s="2638"/>
      <c r="N15" s="2641">
        <f t="shared" si="1"/>
        <v>0</v>
      </c>
      <c r="O15" s="2641">
        <f t="shared" si="2"/>
        <v>0</v>
      </c>
      <c r="P15" s="2730">
        <f t="shared" si="10"/>
        <v>0</v>
      </c>
      <c r="Q15" s="2730">
        <f t="shared" si="11"/>
        <v>0</v>
      </c>
      <c r="R15" s="2642">
        <f t="shared" si="3"/>
        <v>0</v>
      </c>
      <c r="S15" s="2642">
        <f t="shared" si="4"/>
        <v>0</v>
      </c>
      <c r="T15" s="2643">
        <f>IF(OR(E15="QS",B15=""),0,
IF(C15="E1",VLOOKUP($S15,'表30-5-2-5-2'!$B$4:$AF$104,MATCH($D15&amp;"a",'表30-5-2-5-2'!$4:$4,0)-1,FALSE)
-IF($R15-1&lt;=0,0,VLOOKUP($R15-1,'表30-5-2-5-2'!$B$4:$AF$104,MATCH($D15&amp;"a",'表30-5-2-5-2'!$4:$4,0)-1,FALSE))
-VLOOKUP($S15,'表30-5-2-5-2'!$B$4:$AF$104,MATCH($D15,'表30-5-2-5-2'!$4:$4,0)-1,FALSE)*(S15/100-M15/G15)*100
-VLOOKUP($R15,'表30-5-2-5-2'!$B$4:$AF$104,MATCH($D15,'表30-5-2-5-2'!$4:$4,0)-1,FALSE)*(1-(R15/100-L15/G15)*100),
IF(C15="E2",VLOOKUP($S15,'表30-5-2-5-2'!$B$114:$AF$214,MATCH($D15&amp;"a",'表30-5-2-5-2'!$4:$4,0)-1,FALSE)
-IF($R15-1&lt;=0,0,VLOOKUP($R15-1,'表30-5-2-5-2'!$B$114:$AF$214,MATCH($D15&amp;"a",'表30-5-2-5-2'!$4:$4,0)-1,FALSE))
-VLOOKUP($S15,'表30-5-2-5-2'!$B$114:$AF$214,MATCH($D15,'表30-5-2-5-2'!$4:$4,0)-1,FALSE)*(S15/100-M15/G15)*100
-VLOOKUP($R15,'表30-5-2-5-2'!$B$114:$AF$214,MATCH($D15,'表30-5-2-5-2'!$4:$4,0)-1,FALSE)*(1-(R15/100-L15/G15)*100),0)))</f>
        <v>0</v>
      </c>
      <c r="U15" s="2643">
        <f>IF(OR(E15="QS",B15=""),0,
IF(C15="F",VLOOKUP($S15,'表30-5-2-5-1'!$B:$AF,MATCH($D15&amp;"a",'表30-5-2-5-1'!$4:$4,0)-1,FALSE)
-IF($R15-1&lt;=0,0,VLOOKUP($R15-1,'表30-5-2-5-1'!$B:$AF,MATCH($D15&amp;"a",'表30-5-2-5-1'!$4:$4,0)-1,FALSE))
-VLOOKUP($S15,'表30-5-2-5-1'!$B:$AF,MATCH($D15,'表30-5-2-5-1'!$4:$4,0)-1,FALSE)*(S15/100-M15/G15)*100
-VLOOKUP($R15,'表30-5-2-5-1'!$B:$AF,MATCH($D15,'表30-5-2-5-1'!$4:$4,0)-1,FALSE)*(1-(R15/100-L15/G15)*100),0))</f>
        <v>0</v>
      </c>
      <c r="V15" s="2644">
        <f t="shared" si="6"/>
        <v>0</v>
      </c>
      <c r="W15" s="2644">
        <f t="shared" si="9"/>
        <v>0</v>
      </c>
      <c r="X15" s="2644">
        <f t="shared" si="7"/>
        <v>0</v>
      </c>
      <c r="Y15" s="2644">
        <f t="shared" si="8"/>
        <v>0</v>
      </c>
      <c r="Z15" s="2645"/>
      <c r="AA15" s="2645"/>
      <c r="AC15" s="3777"/>
      <c r="AD15" s="3780"/>
      <c r="AE15" s="3783"/>
      <c r="AF15" s="3780"/>
      <c r="AG15" s="3786"/>
      <c r="AH15" s="3786"/>
      <c r="AI15" s="3783"/>
      <c r="AL15" s="3777"/>
      <c r="AM15" s="3780"/>
      <c r="AN15" s="3783"/>
      <c r="AO15" s="3791"/>
      <c r="AP15" s="3792"/>
      <c r="AQ15" s="3792"/>
      <c r="AR15" s="3792"/>
      <c r="AU15" s="3777"/>
      <c r="AV15" s="3780"/>
      <c r="AW15" s="3816"/>
      <c r="AX15" s="3791"/>
      <c r="AY15" s="3805"/>
      <c r="AZ15" s="3807"/>
      <c r="BA15" s="3792"/>
      <c r="BB15" s="2632" t="s">
        <v>3843</v>
      </c>
    </row>
    <row r="16" spans="1:54" ht="16.5" customHeight="1">
      <c r="A16" s="2636" t="str">
        <f t="shared" si="5"/>
        <v>E2Z1Q</v>
      </c>
      <c r="B16" s="2637" t="s">
        <v>3844</v>
      </c>
      <c r="C16" s="2637" t="s">
        <v>3845</v>
      </c>
      <c r="D16" s="2637" t="s">
        <v>3621</v>
      </c>
      <c r="E16" s="2638" t="s">
        <v>3824</v>
      </c>
      <c r="F16" s="2638">
        <v>95000000000</v>
      </c>
      <c r="G16" s="2639"/>
      <c r="H16" s="2640">
        <v>3.5000000000000003E-2</v>
      </c>
      <c r="I16" s="2640">
        <v>0.02</v>
      </c>
      <c r="J16" s="2640"/>
      <c r="K16" s="2640"/>
      <c r="L16" s="2638"/>
      <c r="M16" s="2638"/>
      <c r="N16" s="2641">
        <f t="shared" si="1"/>
        <v>3325000000.0000005</v>
      </c>
      <c r="O16" s="2641">
        <f t="shared" si="2"/>
        <v>1900000000</v>
      </c>
      <c r="P16" s="2730">
        <f t="shared" si="10"/>
        <v>0</v>
      </c>
      <c r="Q16" s="2730">
        <f t="shared" si="11"/>
        <v>0</v>
      </c>
      <c r="R16" s="2642">
        <f t="shared" si="3"/>
        <v>0</v>
      </c>
      <c r="S16" s="2642">
        <f t="shared" si="4"/>
        <v>0</v>
      </c>
      <c r="T16" s="2643">
        <f>IF(OR(E16="QS",B16=""),0,
IF(C16="E1",VLOOKUP($S16,'表30-5-2-5-2'!$B$4:$AF$104,MATCH($D16&amp;"a",'表30-5-2-5-2'!$4:$4,0)-1,FALSE)
-IF($R16-1&lt;=0,0,VLOOKUP($R16-1,'表30-5-2-5-2'!$B$4:$AF$104,MATCH($D16&amp;"a",'表30-5-2-5-2'!$4:$4,0)-1,FALSE))
-VLOOKUP($S16,'表30-5-2-5-2'!$B$4:$AF$104,MATCH($D16,'表30-5-2-5-2'!$4:$4,0)-1,FALSE)*(S16/100-M16/G16)*100
-VLOOKUP($R16,'表30-5-2-5-2'!$B$4:$AF$104,MATCH($D16,'表30-5-2-5-2'!$4:$4,0)-1,FALSE)*(1-(R16/100-L16/G16)*100),
IF(C16="E2",VLOOKUP($S16,'表30-5-2-5-2'!$B$114:$AF$214,MATCH($D16&amp;"a",'表30-5-2-5-2'!$4:$4,0)-1,FALSE)
-IF($R16-1&lt;=0,0,VLOOKUP($R16-1,'表30-5-2-5-2'!$B$114:$AF$214,MATCH($D16&amp;"a",'表30-5-2-5-2'!$4:$4,0)-1,FALSE))
-VLOOKUP($S16,'表30-5-2-5-2'!$B$114:$AF$214,MATCH($D16,'表30-5-2-5-2'!$4:$4,0)-1,FALSE)*(S16/100-M16/G16)*100
-VLOOKUP($R16,'表30-5-2-5-2'!$B$114:$AF$214,MATCH($D16,'表30-5-2-5-2'!$4:$4,0)-1,FALSE)*(1-(R16/100-L16/G16)*100),0)))</f>
        <v>0</v>
      </c>
      <c r="U16" s="2643">
        <f>IF(OR(E16="QS",B16=""),0,
IF(C16="F",VLOOKUP($S16,'表30-5-2-5-1'!$B:$AF,MATCH($D16&amp;"a",'表30-5-2-5-1'!$4:$4,0)-1,FALSE)
-IF($R16-1&lt;=0,0,VLOOKUP($R16-1,'表30-5-2-5-1'!$B:$AF,MATCH($D16&amp;"a",'表30-5-2-5-1'!$4:$4,0)-1,FALSE))
-VLOOKUP($S16,'表30-5-2-5-1'!$B:$AF,MATCH($D16,'表30-5-2-5-1'!$4:$4,0)-1,FALSE)*(S16/100-M16/G16)*100
-VLOOKUP($R16,'表30-5-2-5-1'!$B:$AF,MATCH($D16,'表30-5-2-5-1'!$4:$4,0)-1,FALSE)*(1-(R16/100-L16/G16)*100),0))</f>
        <v>0</v>
      </c>
      <c r="V16" s="2644">
        <f t="shared" si="6"/>
        <v>0</v>
      </c>
      <c r="W16" s="2644">
        <f t="shared" si="9"/>
        <v>0</v>
      </c>
      <c r="X16" s="2644">
        <f t="shared" si="7"/>
        <v>0</v>
      </c>
      <c r="Y16" s="2644">
        <f t="shared" si="8"/>
        <v>0</v>
      </c>
      <c r="Z16" s="2645">
        <f>F16*H16</f>
        <v>3325000000.0000005</v>
      </c>
      <c r="AA16" s="2645">
        <f>F16*I16</f>
        <v>1900000000</v>
      </c>
      <c r="AC16" s="3777"/>
      <c r="AD16" s="3780"/>
      <c r="AE16" s="3783"/>
      <c r="AF16" s="3780"/>
      <c r="AG16" s="3786"/>
      <c r="AH16" s="3786"/>
      <c r="AI16" s="3783"/>
      <c r="AL16" s="3777"/>
      <c r="AM16" s="3780"/>
      <c r="AN16" s="3783"/>
      <c r="AO16" s="3791"/>
      <c r="AP16" s="3792"/>
      <c r="AQ16" s="3792"/>
      <c r="AR16" s="3792"/>
      <c r="AU16" s="3777"/>
      <c r="AV16" s="3780"/>
      <c r="AW16" s="3816"/>
      <c r="AX16" s="3791"/>
      <c r="AY16" s="3805"/>
      <c r="AZ16" s="3807"/>
      <c r="BA16" s="3792" t="s">
        <v>3831</v>
      </c>
    </row>
    <row r="17" spans="1:54" ht="16.5" customHeight="1" thickBot="1">
      <c r="A17" s="2636" t="str">
        <f t="shared" si="5"/>
        <v>E2Z1L</v>
      </c>
      <c r="B17" s="2637" t="s">
        <v>3844</v>
      </c>
      <c r="C17" s="2637" t="s">
        <v>3845</v>
      </c>
      <c r="D17" s="2637" t="s">
        <v>3621</v>
      </c>
      <c r="E17" s="2638" t="s">
        <v>3832</v>
      </c>
      <c r="F17" s="2638">
        <v>95000000000</v>
      </c>
      <c r="G17" s="2639">
        <v>95000000000</v>
      </c>
      <c r="H17" s="2646"/>
      <c r="I17" s="2646"/>
      <c r="J17" s="2647">
        <v>0.115</v>
      </c>
      <c r="K17" s="2647">
        <v>7.2499999999999995E-2</v>
      </c>
      <c r="L17" s="2638">
        <v>0</v>
      </c>
      <c r="M17" s="2638">
        <v>5000000000</v>
      </c>
      <c r="N17" s="2641">
        <f t="shared" si="1"/>
        <v>0</v>
      </c>
      <c r="O17" s="2641">
        <f t="shared" si="2"/>
        <v>0</v>
      </c>
      <c r="P17" s="2730">
        <f t="shared" si="10"/>
        <v>6.0526315789473685E-3</v>
      </c>
      <c r="Q17" s="2730">
        <f t="shared" si="11"/>
        <v>3.8157894736842099E-3</v>
      </c>
      <c r="R17" s="2642">
        <f t="shared" si="3"/>
        <v>1</v>
      </c>
      <c r="S17" s="2642">
        <f t="shared" si="4"/>
        <v>6</v>
      </c>
      <c r="T17" s="2643">
        <f>IF(OR(E17="QS",B17=""),0,
IF(C17="E1",VLOOKUP($S17,'表30-5-2-5-2'!$B$4:$AF$104,MATCH($D17&amp;"a",'表30-5-2-5-2'!$4:$4,0)-1,FALSE)
-IF($R17-1&lt;=0,0,VLOOKUP($R17-1,'表30-5-2-5-2'!$B$4:$AF$104,MATCH($D17&amp;"a",'表30-5-2-5-2'!$4:$4,0)-1,FALSE))
-VLOOKUP($S17,'表30-5-2-5-2'!$B$4:$AF$104,MATCH($D17,'表30-5-2-5-2'!$4:$4,0)-1,FALSE)*(S17/100-M17/G17)*100
-VLOOKUP($R17,'表30-5-2-5-2'!$B$4:$AF$104,MATCH($D17,'表30-5-2-5-2'!$4:$4,0)-1,FALSE)*(1-(R17/100-L17/G17)*100),
IF(C17="E2",VLOOKUP($S17,'表30-5-2-5-2'!$B$114:$AF$214,MATCH($D17&amp;"a",'表30-5-2-5-2'!$4:$4,0)-1,FALSE)
-IF($R17-1&lt;=0,0,VLOOKUP($R17-1,'表30-5-2-5-2'!$B$114:$AF$214,MATCH($D17&amp;"a",'表30-5-2-5-2'!$4:$4,0)-1,FALSE))
-VLOOKUP($S17,'表30-5-2-5-2'!$B$114:$AF$214,MATCH($D17,'表30-5-2-5-2'!$4:$4,0)-1,FALSE)*(S17/100-M17/G17)*100
-VLOOKUP($R17,'表30-5-2-5-2'!$B$114:$AF$214,MATCH($D17,'表30-5-2-5-2'!$4:$4,0)-1,FALSE)*(1-(R17/100-L17/G17)*100),0)))</f>
        <v>0.99979454868993178</v>
      </c>
      <c r="U17" s="2643">
        <f>IF(OR(E17="QS",B17=""),0,
IF(C17="F",VLOOKUP($S17,'表30-5-2-5-1'!$B:$AF,MATCH($D17&amp;"a",'表30-5-2-5-1'!$4:$4,0)-1,FALSE)
-IF($R17-1&lt;=0,0,VLOOKUP($R17-1,'表30-5-2-5-1'!$B:$AF,MATCH($D17&amp;"a",'表30-5-2-5-1'!$4:$4,0)-1,FALSE))
-VLOOKUP($S17,'表30-5-2-5-1'!$B:$AF,MATCH($D17,'表30-5-2-5-1'!$4:$4,0)-1,FALSE)*(S17/100-M17/G17)*100
-VLOOKUP($R17,'表30-5-2-5-1'!$B:$AF,MATCH($D17,'表30-5-2-5-1'!$4:$4,0)-1,FALSE)*(1-(R17/100-L17/G17)*100),0))</f>
        <v>0</v>
      </c>
      <c r="V17" s="2644">
        <f>G17*T17*P17</f>
        <v>574881865.49671078</v>
      </c>
      <c r="W17" s="2644">
        <f t="shared" si="9"/>
        <v>0</v>
      </c>
      <c r="X17" s="2644">
        <f t="shared" si="7"/>
        <v>362425523.90010023</v>
      </c>
      <c r="Y17" s="2644">
        <f t="shared" si="8"/>
        <v>0</v>
      </c>
      <c r="Z17" s="2645">
        <f>G17*P17</f>
        <v>575000000</v>
      </c>
      <c r="AA17" s="2645">
        <f>G17*Q17</f>
        <v>362499999.99999994</v>
      </c>
      <c r="AC17" s="3777"/>
      <c r="AD17" s="3780"/>
      <c r="AE17" s="3783"/>
      <c r="AF17" s="3781"/>
      <c r="AG17" s="3787"/>
      <c r="AH17" s="3787"/>
      <c r="AI17" s="3784"/>
      <c r="AL17" s="3777"/>
      <c r="AM17" s="3780"/>
      <c r="AN17" s="3783"/>
      <c r="AO17" s="3792"/>
      <c r="AP17" s="3792"/>
      <c r="AQ17" s="3792"/>
      <c r="AR17" s="3792"/>
      <c r="AU17" s="3777"/>
      <c r="AV17" s="3780"/>
      <c r="AW17" s="3816"/>
      <c r="AX17" s="3791"/>
      <c r="AY17" s="3805"/>
      <c r="AZ17" s="3807"/>
      <c r="BA17" s="3792"/>
      <c r="BB17" s="2632" t="s">
        <v>3846</v>
      </c>
    </row>
    <row r="18" spans="1:54" ht="16.5" customHeight="1">
      <c r="A18" s="2636" t="str">
        <f t="shared" si="5"/>
        <v>E2Z1L</v>
      </c>
      <c r="B18" s="2637" t="s">
        <v>3844</v>
      </c>
      <c r="C18" s="2637" t="s">
        <v>3845</v>
      </c>
      <c r="D18" s="2637" t="s">
        <v>3621</v>
      </c>
      <c r="E18" s="2638" t="s">
        <v>3834</v>
      </c>
      <c r="F18" s="2638">
        <v>95000000000</v>
      </c>
      <c r="G18" s="2639">
        <v>95000000000</v>
      </c>
      <c r="H18" s="2646"/>
      <c r="I18" s="2646"/>
      <c r="J18" s="2647">
        <v>0.115</v>
      </c>
      <c r="K18" s="2647">
        <v>3.5000000000000003E-2</v>
      </c>
      <c r="L18" s="2638">
        <v>5000000000</v>
      </c>
      <c r="M18" s="2638">
        <v>12000000000</v>
      </c>
      <c r="N18" s="2641">
        <f t="shared" si="1"/>
        <v>0</v>
      </c>
      <c r="O18" s="2641">
        <f t="shared" si="2"/>
        <v>0</v>
      </c>
      <c r="P18" s="2730">
        <f t="shared" si="10"/>
        <v>8.4736842105263156E-3</v>
      </c>
      <c r="Q18" s="2730">
        <f t="shared" si="11"/>
        <v>2.5789473684210526E-3</v>
      </c>
      <c r="R18" s="2642">
        <f t="shared" si="3"/>
        <v>6</v>
      </c>
      <c r="S18" s="2642">
        <f t="shared" si="4"/>
        <v>13</v>
      </c>
      <c r="T18" s="2643">
        <f>IF(OR(E18="QS",B18=""),0,
IF(C18="E1",VLOOKUP($S18,'表30-5-2-5-2'!$B$4:$AF$104,MATCH($D18&amp;"a",'表30-5-2-5-2'!$4:$4,0)-1,FALSE)
-IF($R18-1&lt;=0,0,VLOOKUP($R18-1,'表30-5-2-5-2'!$B$4:$AF$104,MATCH($D18&amp;"a",'表30-5-2-5-2'!$4:$4,0)-1,FALSE))
-VLOOKUP($S18,'表30-5-2-5-2'!$B$4:$AF$104,MATCH($D18,'表30-5-2-5-2'!$4:$4,0)-1,FALSE)*(S18/100-M18/G18)*100
-VLOOKUP($R18,'表30-5-2-5-2'!$B$4:$AF$104,MATCH($D18,'表30-5-2-5-2'!$4:$4,0)-1,FALSE)*(1-(R18/100-L18/G18)*100),
IF(C18="E2",VLOOKUP($S18,'表30-5-2-5-2'!$B$114:$AF$214,MATCH($D18&amp;"a",'表30-5-2-5-2'!$4:$4,0)-1,FALSE)
-IF($R18-1&lt;=0,0,VLOOKUP($R18-1,'表30-5-2-5-2'!$B$114:$AF$214,MATCH($D18&amp;"a",'表30-5-2-5-2'!$4:$4,0)-1,FALSE))
-VLOOKUP($S18,'表30-5-2-5-2'!$B$114:$AF$214,MATCH($D18,'表30-5-2-5-2'!$4:$4,0)-1,FALSE)*(S18/100-M18/G18)*100
-VLOOKUP($R18,'表30-5-2-5-2'!$B$114:$AF$214,MATCH($D18,'表30-5-2-5-2'!$4:$4,0)-1,FALSE)*(1-(R18/100-L18/G18)*100),0)))</f>
        <v>2.0545131006824842E-4</v>
      </c>
      <c r="U18" s="2643">
        <f>IF(OR(E18="QS",B18=""),0,
IF(C18="F",VLOOKUP($S18,'表30-5-2-5-1'!$B:$AF,MATCH($D18&amp;"a",'表30-5-2-5-1'!$4:$4,0)-1,FALSE)
-IF($R18-1&lt;=0,0,VLOOKUP($R18-1,'表30-5-2-5-1'!$B:$AF,MATCH($D18&amp;"a",'表30-5-2-5-1'!$4:$4,0)-1,FALSE))
-VLOOKUP($S18,'表30-5-2-5-1'!$B:$AF,MATCH($D18,'表30-5-2-5-1'!$4:$4,0)-1,FALSE)*(S18/100-M18/G18)*100
-VLOOKUP($R18,'表30-5-2-5-1'!$B:$AF,MATCH($D18,'表30-5-2-5-1'!$4:$4,0)-1,FALSE)*(1-(R18/100-L18/G18)*100),0))</f>
        <v>0</v>
      </c>
      <c r="V18" s="2644">
        <f t="shared" si="6"/>
        <v>165388.30460493997</v>
      </c>
      <c r="W18" s="2644">
        <f t="shared" si="9"/>
        <v>0</v>
      </c>
      <c r="X18" s="2644">
        <f t="shared" si="7"/>
        <v>50335.570966720858</v>
      </c>
      <c r="Y18" s="2644">
        <f t="shared" si="8"/>
        <v>0</v>
      </c>
      <c r="Z18" s="2645">
        <f>G18*P18</f>
        <v>805000000</v>
      </c>
      <c r="AA18" s="2645">
        <f>G18*Q18</f>
        <v>245000000</v>
      </c>
      <c r="AC18" s="3777"/>
      <c r="AD18" s="3780"/>
      <c r="AE18" s="3783"/>
      <c r="AF18" s="3794" t="s">
        <v>3847</v>
      </c>
      <c r="AG18" s="3795"/>
      <c r="AH18" s="3796" t="s">
        <v>3848</v>
      </c>
      <c r="AI18" s="3797"/>
      <c r="AJ18" s="2632" t="s">
        <v>3846</v>
      </c>
      <c r="AL18" s="3777"/>
      <c r="AM18" s="3780"/>
      <c r="AN18" s="3783"/>
      <c r="AO18" s="3794" t="s">
        <v>3847</v>
      </c>
      <c r="AP18" s="3795"/>
      <c r="AQ18" s="3796" t="s">
        <v>3848</v>
      </c>
      <c r="AR18" s="3797"/>
      <c r="AS18" s="2632" t="s">
        <v>3846</v>
      </c>
      <c r="AU18" s="3777"/>
      <c r="AV18" s="3780"/>
      <c r="AW18" s="3816"/>
      <c r="AX18" s="3810" t="s">
        <v>3849</v>
      </c>
      <c r="AY18" s="3792"/>
      <c r="AZ18" s="3792"/>
      <c r="BA18" s="3792"/>
    </row>
    <row r="19" spans="1:54" ht="16.5" customHeight="1">
      <c r="A19" s="2636" t="str">
        <f t="shared" si="5"/>
        <v>E2Z1L</v>
      </c>
      <c r="B19" s="2637" t="s">
        <v>3844</v>
      </c>
      <c r="C19" s="2637" t="s">
        <v>3845</v>
      </c>
      <c r="D19" s="2637" t="s">
        <v>3621</v>
      </c>
      <c r="E19" s="2638" t="s">
        <v>3725</v>
      </c>
      <c r="F19" s="2638">
        <v>95000000000</v>
      </c>
      <c r="G19" s="2639">
        <v>95000000000</v>
      </c>
      <c r="H19" s="2646"/>
      <c r="I19" s="2646"/>
      <c r="J19" s="2647">
        <v>0.115</v>
      </c>
      <c r="K19" s="2647">
        <v>0</v>
      </c>
      <c r="L19" s="2638">
        <v>12000000000</v>
      </c>
      <c r="M19" s="2638">
        <v>20000000000</v>
      </c>
      <c r="N19" s="2641">
        <f t="shared" si="1"/>
        <v>0</v>
      </c>
      <c r="O19" s="2641">
        <f t="shared" si="2"/>
        <v>0</v>
      </c>
      <c r="P19" s="2730">
        <f t="shared" si="10"/>
        <v>9.6842105263157899E-3</v>
      </c>
      <c r="Q19" s="2730">
        <f t="shared" si="11"/>
        <v>0</v>
      </c>
      <c r="R19" s="2642">
        <f t="shared" si="3"/>
        <v>13</v>
      </c>
      <c r="S19" s="2642">
        <f t="shared" si="4"/>
        <v>22</v>
      </c>
      <c r="T19" s="2643">
        <f>IF(OR(E19="QS",B19=""),0,
IF(C19="E1",VLOOKUP($S19,'表30-5-2-5-2'!$B$4:$AF$104,MATCH($D19&amp;"a",'表30-5-2-5-2'!$4:$4,0)-1,FALSE)
-IF($R19-1&lt;=0,0,VLOOKUP($R19-1,'表30-5-2-5-2'!$B$4:$AF$104,MATCH($D19&amp;"a",'表30-5-2-5-2'!$4:$4,0)-1,FALSE))
-VLOOKUP($S19,'表30-5-2-5-2'!$B$4:$AF$104,MATCH($D19,'表30-5-2-5-2'!$4:$4,0)-1,FALSE)*(S19/100-M19/G19)*100
-VLOOKUP($R19,'表30-5-2-5-2'!$B$4:$AF$104,MATCH($D19,'表30-5-2-5-2'!$4:$4,0)-1,FALSE)*(1-(R19/100-L19/G19)*100),
IF(C19="E2",VLOOKUP($S19,'表30-5-2-5-2'!$B$114:$AF$214,MATCH($D19&amp;"a",'表30-5-2-5-2'!$4:$4,0)-1,FALSE)
-IF($R19-1&lt;=0,0,VLOOKUP($R19-1,'表30-5-2-5-2'!$B$114:$AF$214,MATCH($D19&amp;"a",'表30-5-2-5-2'!$4:$4,0)-1,FALSE))
-VLOOKUP($S19,'表30-5-2-5-2'!$B$114:$AF$214,MATCH($D19,'表30-5-2-5-2'!$4:$4,0)-1,FALSE)*(S19/100-M19/G19)*100
-VLOOKUP($R19,'表30-5-2-5-2'!$B$114:$AF$214,MATCH($D19,'表30-5-2-5-2'!$4:$4,0)-1,FALSE)*(1-(R19/100-L19/G19)*100),0)))</f>
        <v>0</v>
      </c>
      <c r="U19" s="2643">
        <f>IF(OR(E19="QS",B19=""),0,
IF(C19="F",VLOOKUP($S19,'表30-5-2-5-1'!$B:$AF,MATCH($D19&amp;"a",'表30-5-2-5-1'!$4:$4,0)-1,FALSE)
-IF($R19-1&lt;=0,0,VLOOKUP($R19-1,'表30-5-2-5-1'!$B:$AF,MATCH($D19&amp;"a",'表30-5-2-5-1'!$4:$4,0)-1,FALSE))
-VLOOKUP($S19,'表30-5-2-5-1'!$B:$AF,MATCH($D19,'表30-5-2-5-1'!$4:$4,0)-1,FALSE)*(S19/100-M19/G19)*100
-VLOOKUP($R19,'表30-5-2-5-1'!$B:$AF,MATCH($D19,'表30-5-2-5-1'!$4:$4,0)-1,FALSE)*(1-(R19/100-L19/G19)*100),0))</f>
        <v>0</v>
      </c>
      <c r="V19" s="2644">
        <f t="shared" si="6"/>
        <v>0</v>
      </c>
      <c r="W19" s="2644">
        <f t="shared" si="9"/>
        <v>0</v>
      </c>
      <c r="X19" s="2644">
        <f t="shared" si="7"/>
        <v>0</v>
      </c>
      <c r="Y19" s="2644">
        <f t="shared" si="8"/>
        <v>0</v>
      </c>
      <c r="Z19" s="2645">
        <f>G19*P19</f>
        <v>920000000</v>
      </c>
      <c r="AA19" s="2645">
        <f>G19*Q19</f>
        <v>0</v>
      </c>
      <c r="AC19" s="3777"/>
      <c r="AD19" s="3780"/>
      <c r="AE19" s="3783"/>
      <c r="AF19" s="3780"/>
      <c r="AG19" s="3786"/>
      <c r="AH19" s="3798"/>
      <c r="AI19" s="3799"/>
      <c r="AL19" s="3777"/>
      <c r="AM19" s="3780"/>
      <c r="AN19" s="3783"/>
      <c r="AO19" s="3780"/>
      <c r="AP19" s="3786"/>
      <c r="AQ19" s="3798"/>
      <c r="AR19" s="3799"/>
      <c r="AU19" s="3777"/>
      <c r="AV19" s="3780"/>
      <c r="AW19" s="3816"/>
      <c r="AX19" s="3811"/>
      <c r="AY19" s="3792"/>
      <c r="AZ19" s="3799"/>
      <c r="BA19" s="3792"/>
    </row>
    <row r="20" spans="1:54" ht="17.25" customHeight="1" thickBot="1">
      <c r="A20" s="2636" t="str">
        <f t="shared" si="5"/>
        <v>E2Z1L</v>
      </c>
      <c r="B20" s="2637" t="s">
        <v>3844</v>
      </c>
      <c r="C20" s="2637" t="s">
        <v>3845</v>
      </c>
      <c r="D20" s="2637" t="s">
        <v>3621</v>
      </c>
      <c r="E20" s="2638" t="s">
        <v>3726</v>
      </c>
      <c r="F20" s="2638">
        <v>95000000000</v>
      </c>
      <c r="G20" s="2639">
        <v>95000000000</v>
      </c>
      <c r="H20" s="2646"/>
      <c r="I20" s="2646"/>
      <c r="J20" s="2647">
        <v>0.115</v>
      </c>
      <c r="K20" s="2647">
        <v>5.5E-2</v>
      </c>
      <c r="L20" s="2638">
        <v>20000000000</v>
      </c>
      <c r="M20" s="2638">
        <v>70000000000</v>
      </c>
      <c r="N20" s="2641">
        <f t="shared" si="1"/>
        <v>0</v>
      </c>
      <c r="O20" s="2641">
        <f t="shared" si="2"/>
        <v>0</v>
      </c>
      <c r="P20" s="2730">
        <f t="shared" si="10"/>
        <v>6.0526315789473685E-2</v>
      </c>
      <c r="Q20" s="2730">
        <f t="shared" si="11"/>
        <v>2.8947368421052631E-2</v>
      </c>
      <c r="R20" s="2642">
        <f t="shared" si="3"/>
        <v>22</v>
      </c>
      <c r="S20" s="2642">
        <f t="shared" si="4"/>
        <v>74</v>
      </c>
      <c r="T20" s="2643">
        <f>IF(OR(E20="QS",B20=""),0,
IF(C20="E1",VLOOKUP($S20,'表30-5-2-5-2'!$B$4:$AF$104,MATCH($D20&amp;"a",'表30-5-2-5-2'!$4:$4,0)-1,FALSE)
-IF($R20-1&lt;=0,0,VLOOKUP($R20-1,'表30-5-2-5-2'!$B$4:$AF$104,MATCH($D20&amp;"a",'表30-5-2-5-2'!$4:$4,0)-1,FALSE))
-VLOOKUP($S20,'表30-5-2-5-2'!$B$4:$AF$104,MATCH($D20,'表30-5-2-5-2'!$4:$4,0)-1,FALSE)*(S20/100-M20/G20)*100
-VLOOKUP($R20,'表30-5-2-5-2'!$B$4:$AF$104,MATCH($D20,'表30-5-2-5-2'!$4:$4,0)-1,FALSE)*(1-(R20/100-L20/G20)*100),
IF(C20="E2",VLOOKUP($S20,'表30-5-2-5-2'!$B$114:$AF$214,MATCH($D20&amp;"a",'表30-5-2-5-2'!$4:$4,0)-1,FALSE)
-IF($R20-1&lt;=0,0,VLOOKUP($R20-1,'表30-5-2-5-2'!$B$114:$AF$214,MATCH($D20&amp;"a",'表30-5-2-5-2'!$4:$4,0)-1,FALSE))
-VLOOKUP($S20,'表30-5-2-5-2'!$B$114:$AF$214,MATCH($D20,'表30-5-2-5-2'!$4:$4,0)-1,FALSE)*(S20/100-M20/G20)*100
-VLOOKUP($R20,'表30-5-2-5-2'!$B$114:$AF$214,MATCH($D20,'表30-5-2-5-2'!$4:$4,0)-1,FALSE)*(1-(R20/100-L20/G20)*100),0)))</f>
        <v>0</v>
      </c>
      <c r="U20" s="2643">
        <f>IF(OR(E20="QS",B20=""),0,
IF(C20="F",VLOOKUP($S20,'表30-5-2-5-1'!$B:$AF,MATCH($D20&amp;"a",'表30-5-2-5-1'!$4:$4,0)-1,FALSE)
-IF($R20-1&lt;=0,0,VLOOKUP($R20-1,'表30-5-2-5-1'!$B:$AF,MATCH($D20&amp;"a",'表30-5-2-5-1'!$4:$4,0)-1,FALSE))
-VLOOKUP($S20,'表30-5-2-5-1'!$B:$AF,MATCH($D20,'表30-5-2-5-1'!$4:$4,0)-1,FALSE)*(S20/100-M20/G20)*100
-VLOOKUP($R20,'表30-5-2-5-1'!$B:$AF,MATCH($D20,'表30-5-2-5-1'!$4:$4,0)-1,FALSE)*(1-(R20/100-L20/G20)*100),0))</f>
        <v>0</v>
      </c>
      <c r="V20" s="2644">
        <f t="shared" si="6"/>
        <v>0</v>
      </c>
      <c r="W20" s="2644">
        <f t="shared" si="9"/>
        <v>0</v>
      </c>
      <c r="X20" s="2644">
        <f t="shared" si="7"/>
        <v>0</v>
      </c>
      <c r="Y20" s="2644">
        <f t="shared" si="8"/>
        <v>0</v>
      </c>
      <c r="Z20" s="2645">
        <f>G20*P20</f>
        <v>5750000000</v>
      </c>
      <c r="AA20" s="2645">
        <f>G20*Q20</f>
        <v>2750000000</v>
      </c>
      <c r="AC20" s="3778"/>
      <c r="AD20" s="3781"/>
      <c r="AE20" s="3784"/>
      <c r="AF20" s="3781"/>
      <c r="AG20" s="3787"/>
      <c r="AH20" s="3800"/>
      <c r="AI20" s="3801"/>
      <c r="AL20" s="3778"/>
      <c r="AM20" s="3781"/>
      <c r="AN20" s="3784"/>
      <c r="AO20" s="3781"/>
      <c r="AP20" s="3787"/>
      <c r="AQ20" s="3800"/>
      <c r="AR20" s="3801"/>
      <c r="AU20" s="3778"/>
      <c r="AV20" s="3781"/>
      <c r="AW20" s="3817"/>
      <c r="AX20" s="3812"/>
      <c r="AY20" s="3792"/>
      <c r="AZ20" s="3801"/>
      <c r="BA20" s="3792"/>
    </row>
    <row r="21" spans="1:54">
      <c r="A21" s="2636" t="str">
        <f t="shared" si="5"/>
        <v>E2Z1L</v>
      </c>
      <c r="B21" s="2637" t="s">
        <v>3844</v>
      </c>
      <c r="C21" s="2637" t="s">
        <v>3845</v>
      </c>
      <c r="D21" s="2637" t="s">
        <v>3621</v>
      </c>
      <c r="E21" s="2638" t="s">
        <v>3727</v>
      </c>
      <c r="F21" s="2638">
        <v>95000000000</v>
      </c>
      <c r="G21" s="2639">
        <v>95000000000</v>
      </c>
      <c r="H21" s="2646"/>
      <c r="I21" s="2646"/>
      <c r="J21" s="2647">
        <v>0.115</v>
      </c>
      <c r="K21" s="2647">
        <v>7.2499999999999995E-2</v>
      </c>
      <c r="L21" s="2638">
        <v>70000000000</v>
      </c>
      <c r="M21" s="2638">
        <v>95000000000</v>
      </c>
      <c r="N21" s="2641">
        <f t="shared" si="1"/>
        <v>0</v>
      </c>
      <c r="O21" s="2641">
        <f t="shared" si="2"/>
        <v>0</v>
      </c>
      <c r="P21" s="2730">
        <f t="shared" si="10"/>
        <v>3.0263157894736843E-2</v>
      </c>
      <c r="Q21" s="2730">
        <f t="shared" si="11"/>
        <v>1.9078947368421049E-2</v>
      </c>
      <c r="R21" s="2642">
        <f t="shared" si="3"/>
        <v>74</v>
      </c>
      <c r="S21" s="2642">
        <f t="shared" si="4"/>
        <v>100</v>
      </c>
      <c r="T21" s="2643">
        <f>IF(OR(E21="QS",B21=""),0,
IF(C21="E1",VLOOKUP($S21,'表30-5-2-5-2'!$B$4:$AF$104,MATCH($D21&amp;"a",'表30-5-2-5-2'!$4:$4,0)-1,FALSE)
-IF($R21-1&lt;=0,0,VLOOKUP($R21-1,'表30-5-2-5-2'!$B$4:$AF$104,MATCH($D21&amp;"a",'表30-5-2-5-2'!$4:$4,0)-1,FALSE))
-VLOOKUP($S21,'表30-5-2-5-2'!$B$4:$AF$104,MATCH($D21,'表30-5-2-5-2'!$4:$4,0)-1,FALSE)*(S21/100-M21/G21)*100
-VLOOKUP($R21,'表30-5-2-5-2'!$B$4:$AF$104,MATCH($D21,'表30-5-2-5-2'!$4:$4,0)-1,FALSE)*(1-(R21/100-L21/G21)*100),
IF(C21="E2",VLOOKUP($S21,'表30-5-2-5-2'!$B$114:$AF$214,MATCH($D21&amp;"a",'表30-5-2-5-2'!$4:$4,0)-1,FALSE)
-IF($R21-1&lt;=0,0,VLOOKUP($R21-1,'表30-5-2-5-2'!$B$114:$AF$214,MATCH($D21&amp;"a",'表30-5-2-5-2'!$4:$4,0)-1,FALSE))
-VLOOKUP($S21,'表30-5-2-5-2'!$B$114:$AF$214,MATCH($D21,'表30-5-2-5-2'!$4:$4,0)-1,FALSE)*(S21/100-M21/G21)*100
-VLOOKUP($R21,'表30-5-2-5-2'!$B$114:$AF$214,MATCH($D21,'表30-5-2-5-2'!$4:$4,0)-1,FALSE)*(1-(R21/100-L21/G21)*100),0)))</f>
        <v>0</v>
      </c>
      <c r="U21" s="2643">
        <f>IF(OR(E21="QS",B21=""),0,
IF(C21="F",VLOOKUP($S21,'表30-5-2-5-1'!$B:$AF,MATCH($D21&amp;"a",'表30-5-2-5-1'!$4:$4,0)-1,FALSE)
-IF($R21-1&lt;=0,0,VLOOKUP($R21-1,'表30-5-2-5-1'!$B:$AF,MATCH($D21&amp;"a",'表30-5-2-5-1'!$4:$4,0)-1,FALSE))
-VLOOKUP($S21,'表30-5-2-5-1'!$B:$AF,MATCH($D21,'表30-5-2-5-1'!$4:$4,0)-1,FALSE)*(S21/100-M21/G21)*100
-VLOOKUP($R21,'表30-5-2-5-1'!$B:$AF,MATCH($D21,'表30-5-2-5-1'!$4:$4,0)-1,FALSE)*(1-(R21/100-L21/G21)*100),0))</f>
        <v>0</v>
      </c>
      <c r="V21" s="2644">
        <f t="shared" si="6"/>
        <v>0</v>
      </c>
      <c r="W21" s="2644">
        <f t="shared" si="9"/>
        <v>0</v>
      </c>
      <c r="X21" s="2644">
        <f t="shared" si="7"/>
        <v>0</v>
      </c>
      <c r="Y21" s="2644">
        <f t="shared" si="8"/>
        <v>0</v>
      </c>
      <c r="Z21" s="2645">
        <f>G21*P21</f>
        <v>2875000000</v>
      </c>
      <c r="AA21" s="2645">
        <f>G21*Q21</f>
        <v>1812499999.9999998</v>
      </c>
      <c r="AD21" s="3813" t="s">
        <v>3850</v>
      </c>
      <c r="AE21" s="3813"/>
      <c r="AF21" s="3813" t="s">
        <v>3851</v>
      </c>
      <c r="AG21" s="3813"/>
      <c r="AH21" s="3813"/>
      <c r="AI21" s="3813"/>
      <c r="AJ21" s="2632" t="s">
        <v>3852</v>
      </c>
      <c r="AM21" s="3813" t="s">
        <v>3850</v>
      </c>
      <c r="AN21" s="3813"/>
      <c r="AO21" s="3813" t="s">
        <v>3851</v>
      </c>
      <c r="AP21" s="3813"/>
      <c r="AQ21" s="3813"/>
      <c r="AR21" s="3813"/>
      <c r="AS21" s="2632" t="s">
        <v>3852</v>
      </c>
      <c r="AV21" s="3813" t="s">
        <v>3850</v>
      </c>
      <c r="AW21" s="3813"/>
      <c r="AX21" s="3813" t="s">
        <v>3851</v>
      </c>
      <c r="AY21" s="3813"/>
      <c r="AZ21" s="3813"/>
      <c r="BA21" s="3813"/>
      <c r="BB21" s="2632" t="s">
        <v>3852</v>
      </c>
    </row>
    <row r="22" spans="1:54" ht="16.5">
      <c r="A22" s="2636" t="str">
        <f t="shared" si="5"/>
        <v/>
      </c>
      <c r="B22" s="2637"/>
      <c r="C22" s="2637"/>
      <c r="D22" s="2637"/>
      <c r="E22" s="2638"/>
      <c r="F22" s="2638"/>
      <c r="G22" s="2639"/>
      <c r="H22" s="2646"/>
      <c r="I22" s="2646"/>
      <c r="J22" s="2647"/>
      <c r="K22" s="2647"/>
      <c r="L22" s="2638"/>
      <c r="M22" s="2638"/>
      <c r="N22" s="2641"/>
      <c r="O22" s="2641"/>
      <c r="P22" s="2730"/>
      <c r="Q22" s="2730"/>
      <c r="R22" s="2642"/>
      <c r="S22" s="2642"/>
      <c r="T22" s="2648"/>
      <c r="U22" s="2648"/>
      <c r="V22" s="2644"/>
      <c r="W22" s="2644"/>
      <c r="X22" s="2644"/>
      <c r="Y22" s="2644"/>
      <c r="Z22" s="2645"/>
      <c r="AA22" s="2645"/>
      <c r="AC22" s="2649" t="s">
        <v>6018</v>
      </c>
    </row>
    <row r="23" spans="1:54" ht="15.75" customHeight="1">
      <c r="A23" s="2636"/>
      <c r="B23" s="2637"/>
      <c r="C23" s="2637"/>
      <c r="D23" s="2637"/>
      <c r="E23" s="2638"/>
      <c r="F23" s="2638"/>
      <c r="G23" s="2639"/>
      <c r="H23" s="2646"/>
      <c r="I23" s="2646"/>
      <c r="J23" s="2646"/>
      <c r="K23" s="2646"/>
      <c r="L23" s="2638"/>
      <c r="M23" s="2638"/>
      <c r="N23" s="2641"/>
      <c r="O23" s="2641"/>
      <c r="P23" s="2730"/>
      <c r="Q23" s="2730"/>
      <c r="R23" s="2642"/>
      <c r="S23" s="2642"/>
      <c r="T23" s="2642"/>
      <c r="U23" s="2650"/>
      <c r="V23" s="2644"/>
      <c r="W23" s="2644"/>
      <c r="X23" s="2644"/>
      <c r="Y23" s="2644"/>
      <c r="Z23" s="2645"/>
      <c r="AA23" s="2645"/>
    </row>
    <row r="24" spans="1:54" ht="17.25" thickBot="1">
      <c r="A24" s="2636" t="str">
        <f t="shared" ref="A24:A44" si="12">D24&amp;LEFT(E24,1)</f>
        <v/>
      </c>
      <c r="B24" s="2637"/>
      <c r="C24" s="2637"/>
      <c r="D24" s="2637"/>
      <c r="E24" s="2638"/>
      <c r="F24" s="2638"/>
      <c r="G24" s="2639"/>
      <c r="H24" s="2646"/>
      <c r="I24" s="2646"/>
      <c r="J24" s="2646"/>
      <c r="K24" s="2646"/>
      <c r="L24" s="2638"/>
      <c r="M24" s="2638"/>
      <c r="N24" s="2641"/>
      <c r="O24" s="2641"/>
      <c r="P24" s="2730"/>
      <c r="Q24" s="2730"/>
      <c r="R24" s="2642"/>
      <c r="S24" s="2642"/>
      <c r="T24" s="2642"/>
      <c r="U24" s="2650"/>
      <c r="V24" s="2644"/>
      <c r="W24" s="2644"/>
      <c r="X24" s="2644"/>
      <c r="Y24" s="2644"/>
      <c r="Z24" s="2645"/>
      <c r="AA24" s="2645"/>
      <c r="AU24" s="2635" t="s">
        <v>3819</v>
      </c>
      <c r="AV24" s="3793" t="s">
        <v>3820</v>
      </c>
      <c r="AW24" s="3793"/>
      <c r="AX24" s="3793"/>
      <c r="AY24" s="3793"/>
      <c r="AZ24" s="3793"/>
      <c r="BA24" s="3793"/>
      <c r="BB24" s="2632" t="s">
        <v>3821</v>
      </c>
    </row>
    <row r="25" spans="1:54" ht="15.75" customHeight="1">
      <c r="A25" s="2636"/>
      <c r="B25" s="2637"/>
      <c r="C25" s="2637"/>
      <c r="D25" s="2637"/>
      <c r="E25" s="2638"/>
      <c r="F25" s="2638"/>
      <c r="G25" s="2639"/>
      <c r="H25" s="2646"/>
      <c r="I25" s="2646"/>
      <c r="J25" s="2646"/>
      <c r="K25" s="2646"/>
      <c r="L25" s="2638"/>
      <c r="M25" s="2638"/>
      <c r="N25" s="2641"/>
      <c r="O25" s="2641"/>
      <c r="P25" s="2730"/>
      <c r="Q25" s="2730"/>
      <c r="R25" s="2642"/>
      <c r="S25" s="2642"/>
      <c r="T25" s="2642"/>
      <c r="U25" s="2650"/>
      <c r="V25" s="2644"/>
      <c r="W25" s="2644"/>
      <c r="X25" s="2644"/>
      <c r="Y25" s="2644"/>
      <c r="Z25" s="2645"/>
      <c r="AA25" s="2645"/>
      <c r="AU25" s="3776">
        <v>0.85</v>
      </c>
      <c r="AV25" s="3779" t="s">
        <v>3825</v>
      </c>
      <c r="AW25" s="3815" t="s">
        <v>3826</v>
      </c>
      <c r="AX25" s="3808" t="s">
        <v>3853</v>
      </c>
      <c r="AY25" s="3828"/>
      <c r="AZ25" s="3819"/>
      <c r="BA25" s="3802" t="s">
        <v>3831</v>
      </c>
    </row>
    <row r="26" spans="1:54" ht="17.25" customHeight="1" thickBot="1">
      <c r="A26" s="2636"/>
      <c r="B26" s="2637"/>
      <c r="C26" s="2637"/>
      <c r="D26" s="2637"/>
      <c r="E26" s="2638"/>
      <c r="F26" s="2638"/>
      <c r="G26" s="2639"/>
      <c r="H26" s="2646"/>
      <c r="I26" s="2646"/>
      <c r="J26" s="2646"/>
      <c r="K26" s="2646"/>
      <c r="L26" s="2638"/>
      <c r="M26" s="2638"/>
      <c r="N26" s="2641"/>
      <c r="O26" s="2641"/>
      <c r="P26" s="2730"/>
      <c r="Q26" s="2730"/>
      <c r="R26" s="2642"/>
      <c r="S26" s="2642"/>
      <c r="T26" s="2642"/>
      <c r="U26" s="2650"/>
      <c r="V26" s="2644"/>
      <c r="W26" s="2644"/>
      <c r="X26" s="2644"/>
      <c r="Y26" s="2644"/>
      <c r="Z26" s="2645"/>
      <c r="AA26" s="2645"/>
      <c r="AU26" s="3777"/>
      <c r="AV26" s="3780"/>
      <c r="AW26" s="3816"/>
      <c r="AX26" s="3826"/>
      <c r="AY26" s="3829"/>
      <c r="AZ26" s="3823"/>
      <c r="BA26" s="3803"/>
      <c r="BB26" s="2632" t="s">
        <v>3833</v>
      </c>
    </row>
    <row r="27" spans="1:54" ht="15.75" customHeight="1">
      <c r="A27" s="2636"/>
      <c r="B27" s="2637"/>
      <c r="C27" s="2637"/>
      <c r="D27" s="2637"/>
      <c r="E27" s="2638"/>
      <c r="F27" s="2638"/>
      <c r="G27" s="2639"/>
      <c r="H27" s="2646"/>
      <c r="I27" s="2646"/>
      <c r="J27" s="2646"/>
      <c r="K27" s="2646"/>
      <c r="L27" s="2638"/>
      <c r="M27" s="2638"/>
      <c r="N27" s="2641"/>
      <c r="O27" s="2641"/>
      <c r="P27" s="2730"/>
      <c r="Q27" s="2730"/>
      <c r="R27" s="2642"/>
      <c r="S27" s="2642"/>
      <c r="T27" s="2642"/>
      <c r="U27" s="2650"/>
      <c r="V27" s="2644"/>
      <c r="W27" s="2644"/>
      <c r="X27" s="2644"/>
      <c r="Y27" s="2644"/>
      <c r="Z27" s="2645"/>
      <c r="AA27" s="2645"/>
      <c r="AU27" s="3777"/>
      <c r="AV27" s="3780"/>
      <c r="AW27" s="3816"/>
      <c r="AX27" s="3810" t="s">
        <v>3854</v>
      </c>
      <c r="AY27" s="3830"/>
      <c r="AZ27" s="3785" t="s">
        <v>3831</v>
      </c>
      <c r="BA27" s="3782"/>
    </row>
    <row r="28" spans="1:54" ht="16.5" customHeight="1">
      <c r="A28" s="2636"/>
      <c r="B28" s="2637"/>
      <c r="C28" s="2637"/>
      <c r="D28" s="2637"/>
      <c r="E28" s="2638"/>
      <c r="F28" s="2638"/>
      <c r="G28" s="2639"/>
      <c r="H28" s="2646"/>
      <c r="I28" s="2646"/>
      <c r="J28" s="2646"/>
      <c r="K28" s="2646"/>
      <c r="L28" s="2638"/>
      <c r="M28" s="2638"/>
      <c r="N28" s="2641"/>
      <c r="O28" s="2641"/>
      <c r="P28" s="2730"/>
      <c r="Q28" s="2730"/>
      <c r="R28" s="2642"/>
      <c r="S28" s="2642"/>
      <c r="T28" s="2642"/>
      <c r="U28" s="2650"/>
      <c r="V28" s="2644"/>
      <c r="W28" s="2644"/>
      <c r="X28" s="2644"/>
      <c r="Y28" s="2644"/>
      <c r="Z28" s="2645"/>
      <c r="AA28" s="2645"/>
      <c r="AU28" s="3777"/>
      <c r="AV28" s="3780"/>
      <c r="AW28" s="3816"/>
      <c r="AX28" s="3811"/>
      <c r="AY28" s="3798"/>
      <c r="AZ28" s="3786"/>
      <c r="BA28" s="3783"/>
    </row>
    <row r="29" spans="1:54" ht="16.5" customHeight="1">
      <c r="A29" s="2636"/>
      <c r="B29" s="2637"/>
      <c r="C29" s="2637"/>
      <c r="D29" s="2637"/>
      <c r="E29" s="2638"/>
      <c r="F29" s="2638"/>
      <c r="G29" s="2639"/>
      <c r="H29" s="2646"/>
      <c r="I29" s="2646"/>
      <c r="J29" s="2646"/>
      <c r="K29" s="2646"/>
      <c r="L29" s="2638"/>
      <c r="M29" s="2638"/>
      <c r="N29" s="2641"/>
      <c r="O29" s="2641"/>
      <c r="P29" s="2730"/>
      <c r="Q29" s="2730"/>
      <c r="R29" s="2642"/>
      <c r="S29" s="2642"/>
      <c r="T29" s="2642"/>
      <c r="U29" s="2650"/>
      <c r="V29" s="2644"/>
      <c r="W29" s="2644"/>
      <c r="X29" s="2644"/>
      <c r="Y29" s="2644"/>
      <c r="Z29" s="2645"/>
      <c r="AA29" s="2645"/>
      <c r="AK29" s="2651"/>
      <c r="AT29" s="2651"/>
      <c r="AU29" s="3777"/>
      <c r="AV29" s="3780"/>
      <c r="AW29" s="3816"/>
      <c r="AX29" s="3811"/>
      <c r="AY29" s="3798"/>
      <c r="AZ29" s="3786"/>
      <c r="BA29" s="3783"/>
    </row>
    <row r="30" spans="1:54" ht="16.5" customHeight="1" thickBot="1">
      <c r="A30" s="2636" t="str">
        <f t="shared" si="12"/>
        <v/>
      </c>
      <c r="B30" s="2637"/>
      <c r="C30" s="2637"/>
      <c r="D30" s="2637"/>
      <c r="E30" s="2638"/>
      <c r="F30" s="2638"/>
      <c r="G30" s="2639"/>
      <c r="H30" s="2646"/>
      <c r="I30" s="2646"/>
      <c r="J30" s="2646"/>
      <c r="K30" s="2646"/>
      <c r="L30" s="2638"/>
      <c r="M30" s="2638"/>
      <c r="N30" s="2641"/>
      <c r="O30" s="2641"/>
      <c r="P30" s="2730"/>
      <c r="Q30" s="2730"/>
      <c r="R30" s="2642"/>
      <c r="S30" s="2642"/>
      <c r="T30" s="2642"/>
      <c r="U30" s="2650"/>
      <c r="V30" s="2644"/>
      <c r="W30" s="2644"/>
      <c r="X30" s="2644"/>
      <c r="Y30" s="2644"/>
      <c r="Z30" s="2645"/>
      <c r="AA30" s="2645"/>
      <c r="AU30" s="3777"/>
      <c r="AV30" s="3780"/>
      <c r="AW30" s="3816"/>
      <c r="AX30" s="3812"/>
      <c r="AY30" s="3800"/>
      <c r="AZ30" s="3787"/>
      <c r="BA30" s="3784"/>
      <c r="BB30" s="2632" t="s">
        <v>3838</v>
      </c>
    </row>
    <row r="31" spans="1:54" ht="15.75" customHeight="1">
      <c r="A31" s="2636" t="str">
        <f t="shared" si="12"/>
        <v/>
      </c>
      <c r="B31" s="2637"/>
      <c r="C31" s="2637"/>
      <c r="D31" s="2637"/>
      <c r="E31" s="2638"/>
      <c r="F31" s="2638"/>
      <c r="G31" s="2639"/>
      <c r="H31" s="2646"/>
      <c r="I31" s="2646"/>
      <c r="J31" s="2646"/>
      <c r="K31" s="2646"/>
      <c r="L31" s="2638"/>
      <c r="M31" s="2638"/>
      <c r="N31" s="2641"/>
      <c r="O31" s="2641"/>
      <c r="P31" s="2730"/>
      <c r="Q31" s="2730"/>
      <c r="R31" s="2642"/>
      <c r="S31" s="2642"/>
      <c r="T31" s="2642"/>
      <c r="U31" s="2650"/>
      <c r="V31" s="2644"/>
      <c r="W31" s="2644"/>
      <c r="X31" s="2644"/>
      <c r="Y31" s="2644"/>
      <c r="Z31" s="2645"/>
      <c r="AA31" s="2645"/>
      <c r="AU31" s="3777"/>
      <c r="AV31" s="3780"/>
      <c r="AW31" s="3816"/>
      <c r="AX31" s="3779" t="s">
        <v>3831</v>
      </c>
      <c r="AY31" s="3785"/>
      <c r="AZ31" s="3785"/>
      <c r="BA31" s="3782"/>
    </row>
    <row r="32" spans="1:54" ht="16.5" thickBot="1">
      <c r="A32" s="2636" t="str">
        <f t="shared" si="12"/>
        <v/>
      </c>
      <c r="B32" s="2637"/>
      <c r="C32" s="2637"/>
      <c r="D32" s="2637"/>
      <c r="E32" s="2638"/>
      <c r="F32" s="2638"/>
      <c r="G32" s="2639"/>
      <c r="H32" s="2646"/>
      <c r="I32" s="2646"/>
      <c r="J32" s="2646"/>
      <c r="K32" s="2646"/>
      <c r="L32" s="2638"/>
      <c r="M32" s="2638"/>
      <c r="N32" s="2641"/>
      <c r="O32" s="2641"/>
      <c r="P32" s="2730"/>
      <c r="Q32" s="2730"/>
      <c r="R32" s="2642"/>
      <c r="S32" s="2642"/>
      <c r="T32" s="2642"/>
      <c r="U32" s="2650"/>
      <c r="V32" s="2644"/>
      <c r="W32" s="2644"/>
      <c r="X32" s="2644"/>
      <c r="Y32" s="2644"/>
      <c r="Z32" s="2645"/>
      <c r="AA32" s="2645"/>
      <c r="AU32" s="3777"/>
      <c r="AV32" s="3780"/>
      <c r="AW32" s="3816"/>
      <c r="AX32" s="3781"/>
      <c r="AY32" s="3787"/>
      <c r="AZ32" s="3787"/>
      <c r="BA32" s="3784"/>
      <c r="BB32" s="2632" t="s">
        <v>3839</v>
      </c>
    </row>
    <row r="33" spans="1:54" ht="15.75" customHeight="1">
      <c r="A33" s="2636" t="str">
        <f t="shared" si="12"/>
        <v/>
      </c>
      <c r="B33" s="2637"/>
      <c r="C33" s="2637"/>
      <c r="D33" s="2637"/>
      <c r="E33" s="2638"/>
      <c r="F33" s="2638"/>
      <c r="G33" s="2639"/>
      <c r="H33" s="2646"/>
      <c r="I33" s="2646"/>
      <c r="J33" s="2646"/>
      <c r="K33" s="2646"/>
      <c r="L33" s="2638"/>
      <c r="M33" s="2638"/>
      <c r="N33" s="2641"/>
      <c r="O33" s="2641"/>
      <c r="P33" s="2730"/>
      <c r="Q33" s="2730"/>
      <c r="R33" s="2642"/>
      <c r="S33" s="2642"/>
      <c r="T33" s="2642"/>
      <c r="U33" s="2650"/>
      <c r="V33" s="2644"/>
      <c r="W33" s="2644"/>
      <c r="X33" s="2644"/>
      <c r="Y33" s="2644"/>
      <c r="Z33" s="2645"/>
      <c r="AA33" s="2645"/>
      <c r="AU33" s="3777"/>
      <c r="AV33" s="3780"/>
      <c r="AW33" s="3816"/>
      <c r="AX33" s="3779" t="s">
        <v>3831</v>
      </c>
      <c r="AY33" s="3818" t="s">
        <v>3855</v>
      </c>
      <c r="AZ33" s="3819"/>
      <c r="BA33" s="3782" t="s">
        <v>3831</v>
      </c>
    </row>
    <row r="34" spans="1:54" ht="16.5" customHeight="1">
      <c r="A34" s="2636" t="str">
        <f t="shared" si="12"/>
        <v/>
      </c>
      <c r="B34" s="2637"/>
      <c r="C34" s="2637"/>
      <c r="D34" s="2637"/>
      <c r="E34" s="2638"/>
      <c r="F34" s="2638"/>
      <c r="G34" s="2639"/>
      <c r="H34" s="2646"/>
      <c r="I34" s="2646"/>
      <c r="J34" s="2646"/>
      <c r="K34" s="2646"/>
      <c r="L34" s="2638"/>
      <c r="M34" s="2638"/>
      <c r="N34" s="2641"/>
      <c r="O34" s="2641"/>
      <c r="P34" s="2730"/>
      <c r="Q34" s="2730"/>
      <c r="R34" s="2642"/>
      <c r="S34" s="2642"/>
      <c r="T34" s="2642"/>
      <c r="U34" s="2650"/>
      <c r="V34" s="2644"/>
      <c r="W34" s="2644"/>
      <c r="X34" s="2644"/>
      <c r="Y34" s="2644"/>
      <c r="Z34" s="2645"/>
      <c r="AA34" s="2645"/>
      <c r="AU34" s="3777"/>
      <c r="AV34" s="3780"/>
      <c r="AW34" s="3816"/>
      <c r="AX34" s="3780"/>
      <c r="AY34" s="3820"/>
      <c r="AZ34" s="3821"/>
      <c r="BA34" s="3783"/>
      <c r="BB34" s="2632" t="s">
        <v>3843</v>
      </c>
    </row>
    <row r="35" spans="1:54" ht="15.75" customHeight="1">
      <c r="A35" s="2636" t="str">
        <f t="shared" si="12"/>
        <v/>
      </c>
      <c r="B35" s="2637"/>
      <c r="C35" s="2637"/>
      <c r="D35" s="2637"/>
      <c r="E35" s="2638"/>
      <c r="F35" s="2638"/>
      <c r="G35" s="2639"/>
      <c r="H35" s="2646"/>
      <c r="I35" s="2646"/>
      <c r="J35" s="2646"/>
      <c r="K35" s="2646"/>
      <c r="L35" s="2638"/>
      <c r="M35" s="2638"/>
      <c r="N35" s="2641"/>
      <c r="O35" s="2641"/>
      <c r="P35" s="2730"/>
      <c r="Q35" s="2730"/>
      <c r="R35" s="2642"/>
      <c r="S35" s="2642"/>
      <c r="T35" s="2642"/>
      <c r="U35" s="2650"/>
      <c r="V35" s="2644"/>
      <c r="W35" s="2644"/>
      <c r="X35" s="2644"/>
      <c r="Y35" s="2644"/>
      <c r="Z35" s="2645"/>
      <c r="AA35" s="2645"/>
      <c r="AU35" s="3777"/>
      <c r="AV35" s="3780"/>
      <c r="AW35" s="3816"/>
      <c r="AX35" s="3780"/>
      <c r="AY35" s="3820"/>
      <c r="AZ35" s="3821"/>
      <c r="BA35" s="3783" t="s">
        <v>3831</v>
      </c>
    </row>
    <row r="36" spans="1:54" ht="17.25" customHeight="1" thickBot="1">
      <c r="A36" s="2636" t="str">
        <f t="shared" si="12"/>
        <v/>
      </c>
      <c r="B36" s="2637"/>
      <c r="C36" s="2637"/>
      <c r="D36" s="2637"/>
      <c r="E36" s="2638"/>
      <c r="F36" s="2638"/>
      <c r="G36" s="2639"/>
      <c r="H36" s="2646"/>
      <c r="I36" s="2646"/>
      <c r="J36" s="2646"/>
      <c r="K36" s="2646"/>
      <c r="L36" s="2638"/>
      <c r="M36" s="2638"/>
      <c r="N36" s="2641"/>
      <c r="O36" s="2641"/>
      <c r="P36" s="2730"/>
      <c r="Q36" s="2730"/>
      <c r="R36" s="2642"/>
      <c r="S36" s="2642"/>
      <c r="T36" s="2642"/>
      <c r="U36" s="2650"/>
      <c r="V36" s="2644"/>
      <c r="W36" s="2644"/>
      <c r="X36" s="2644"/>
      <c r="Y36" s="2644"/>
      <c r="Z36" s="2645"/>
      <c r="AA36" s="2645"/>
      <c r="AU36" s="3777"/>
      <c r="AV36" s="3780"/>
      <c r="AW36" s="3816"/>
      <c r="AX36" s="3781"/>
      <c r="AY36" s="3822"/>
      <c r="AZ36" s="3823"/>
      <c r="BA36" s="3784"/>
      <c r="BB36" s="2632" t="s">
        <v>3846</v>
      </c>
    </row>
    <row r="37" spans="1:54" ht="15.75" customHeight="1">
      <c r="A37" s="2636" t="str">
        <f t="shared" si="12"/>
        <v/>
      </c>
      <c r="B37" s="2637"/>
      <c r="C37" s="2637"/>
      <c r="D37" s="2637"/>
      <c r="E37" s="2638"/>
      <c r="F37" s="2638"/>
      <c r="G37" s="2639"/>
      <c r="H37" s="2646"/>
      <c r="I37" s="2646"/>
      <c r="J37" s="2646"/>
      <c r="K37" s="2646"/>
      <c r="L37" s="2638"/>
      <c r="M37" s="2638"/>
      <c r="N37" s="2641"/>
      <c r="O37" s="2641"/>
      <c r="P37" s="2730"/>
      <c r="Q37" s="2730"/>
      <c r="R37" s="2642"/>
      <c r="S37" s="2642"/>
      <c r="T37" s="2642"/>
      <c r="U37" s="2650"/>
      <c r="V37" s="2644"/>
      <c r="W37" s="2644"/>
      <c r="X37" s="2644"/>
      <c r="Y37" s="2644"/>
      <c r="Z37" s="2645"/>
      <c r="AA37" s="2645"/>
      <c r="AU37" s="3777"/>
      <c r="AV37" s="3780"/>
      <c r="AW37" s="3816"/>
      <c r="AX37" s="3808" t="s">
        <v>3856</v>
      </c>
      <c r="AY37" s="3828"/>
      <c r="AZ37" s="3819"/>
      <c r="BA37" s="3782" t="s">
        <v>3831</v>
      </c>
    </row>
    <row r="38" spans="1:54" ht="16.5" customHeight="1">
      <c r="A38" s="2636" t="str">
        <f t="shared" si="12"/>
        <v/>
      </c>
      <c r="B38" s="2637"/>
      <c r="C38" s="2637"/>
      <c r="D38" s="2637"/>
      <c r="E38" s="2638"/>
      <c r="F38" s="2638"/>
      <c r="G38" s="2639"/>
      <c r="H38" s="2646"/>
      <c r="I38" s="2646"/>
      <c r="J38" s="2646"/>
      <c r="K38" s="2646"/>
      <c r="L38" s="2638"/>
      <c r="M38" s="2638"/>
      <c r="N38" s="2641"/>
      <c r="O38" s="2641"/>
      <c r="P38" s="2730"/>
      <c r="Q38" s="2730"/>
      <c r="R38" s="2642"/>
      <c r="S38" s="2642"/>
      <c r="T38" s="2642"/>
      <c r="U38" s="2650"/>
      <c r="V38" s="2644"/>
      <c r="W38" s="2644"/>
      <c r="X38" s="2644"/>
      <c r="Y38" s="2644"/>
      <c r="Z38" s="2645"/>
      <c r="AA38" s="2645"/>
      <c r="AU38" s="3777"/>
      <c r="AV38" s="3780"/>
      <c r="AW38" s="3816"/>
      <c r="AX38" s="3805"/>
      <c r="AY38" s="3806"/>
      <c r="AZ38" s="3821"/>
      <c r="BA38" s="3804"/>
    </row>
    <row r="39" spans="1:54" ht="17.25" customHeight="1" thickBot="1">
      <c r="A39" s="2636" t="str">
        <f t="shared" si="12"/>
        <v/>
      </c>
      <c r="B39" s="2637"/>
      <c r="C39" s="2637"/>
      <c r="D39" s="2637"/>
      <c r="E39" s="2638"/>
      <c r="F39" s="2638"/>
      <c r="G39" s="2639"/>
      <c r="H39" s="2646"/>
      <c r="I39" s="2646"/>
      <c r="J39" s="2646"/>
      <c r="K39" s="2646"/>
      <c r="L39" s="2638"/>
      <c r="M39" s="2638"/>
      <c r="N39" s="2641"/>
      <c r="O39" s="2641"/>
      <c r="P39" s="2730"/>
      <c r="Q39" s="2730"/>
      <c r="R39" s="2642"/>
      <c r="S39" s="2642"/>
      <c r="T39" s="2642"/>
      <c r="U39" s="2650"/>
      <c r="V39" s="2644"/>
      <c r="W39" s="2644"/>
      <c r="X39" s="2644"/>
      <c r="Y39" s="2644"/>
      <c r="Z39" s="2645"/>
      <c r="AA39" s="2645"/>
      <c r="AU39" s="3778"/>
      <c r="AV39" s="3781"/>
      <c r="AW39" s="3817"/>
      <c r="AX39" s="3826"/>
      <c r="AY39" s="3829"/>
      <c r="AZ39" s="3823"/>
      <c r="BA39" s="3814"/>
    </row>
    <row r="40" spans="1:54">
      <c r="A40" s="2636" t="str">
        <f t="shared" si="12"/>
        <v/>
      </c>
      <c r="B40" s="2637"/>
      <c r="C40" s="2637"/>
      <c r="D40" s="2637"/>
      <c r="E40" s="2638"/>
      <c r="F40" s="2638"/>
      <c r="G40" s="2639"/>
      <c r="H40" s="2646"/>
      <c r="I40" s="2646"/>
      <c r="J40" s="2646"/>
      <c r="K40" s="2646"/>
      <c r="L40" s="2638"/>
      <c r="M40" s="2638"/>
      <c r="N40" s="2641"/>
      <c r="O40" s="2641"/>
      <c r="P40" s="2730"/>
      <c r="Q40" s="2730"/>
      <c r="R40" s="2642"/>
      <c r="S40" s="2642"/>
      <c r="T40" s="2642"/>
      <c r="U40" s="2650"/>
      <c r="V40" s="2644"/>
      <c r="W40" s="2644"/>
      <c r="X40" s="2644"/>
      <c r="Y40" s="2644"/>
      <c r="Z40" s="2645"/>
      <c r="AA40" s="2645"/>
      <c r="AV40" s="3813" t="s">
        <v>3850</v>
      </c>
      <c r="AW40" s="3813"/>
      <c r="AX40" s="3813" t="s">
        <v>3851</v>
      </c>
      <c r="AY40" s="3813"/>
      <c r="AZ40" s="3813"/>
      <c r="BA40" s="3813"/>
      <c r="BB40" s="2632" t="s">
        <v>3852</v>
      </c>
    </row>
    <row r="41" spans="1:54">
      <c r="A41" s="2636" t="str">
        <f t="shared" si="12"/>
        <v/>
      </c>
      <c r="B41" s="2637"/>
      <c r="C41" s="2637"/>
      <c r="D41" s="2637"/>
      <c r="E41" s="2638"/>
      <c r="F41" s="2638"/>
      <c r="G41" s="2639"/>
      <c r="H41" s="2646"/>
      <c r="I41" s="2646"/>
      <c r="J41" s="2646"/>
      <c r="K41" s="2646"/>
      <c r="L41" s="2638"/>
      <c r="M41" s="2638"/>
      <c r="N41" s="2641"/>
      <c r="O41" s="2641"/>
      <c r="P41" s="2730"/>
      <c r="Q41" s="2730"/>
      <c r="R41" s="2642"/>
      <c r="S41" s="2642"/>
      <c r="T41" s="2642"/>
      <c r="U41" s="2650"/>
      <c r="V41" s="2644"/>
      <c r="W41" s="2644"/>
      <c r="X41" s="2644"/>
      <c r="Y41" s="2644"/>
      <c r="Z41" s="2645"/>
      <c r="AA41" s="2645"/>
      <c r="AU41" s="2652"/>
      <c r="AV41" s="2653"/>
      <c r="AW41" s="2653"/>
      <c r="AX41" s="2653"/>
      <c r="AY41" s="2653"/>
      <c r="AZ41" s="2653"/>
      <c r="BA41" s="2654"/>
    </row>
    <row r="42" spans="1:54">
      <c r="A42" s="2636" t="str">
        <f t="shared" si="12"/>
        <v/>
      </c>
      <c r="B42" s="2637"/>
      <c r="C42" s="2637"/>
      <c r="D42" s="2637"/>
      <c r="E42" s="2638"/>
      <c r="F42" s="2638"/>
      <c r="G42" s="2639"/>
      <c r="H42" s="2646"/>
      <c r="I42" s="2646"/>
      <c r="J42" s="2646"/>
      <c r="K42" s="2646"/>
      <c r="L42" s="2638"/>
      <c r="M42" s="2638"/>
      <c r="N42" s="2641"/>
      <c r="O42" s="2641"/>
      <c r="P42" s="2730"/>
      <c r="Q42" s="2730"/>
      <c r="R42" s="2642"/>
      <c r="S42" s="2642"/>
      <c r="T42" s="2642"/>
      <c r="U42" s="2650"/>
      <c r="V42" s="2644"/>
      <c r="W42" s="2644"/>
      <c r="X42" s="2644"/>
      <c r="Y42" s="2644"/>
      <c r="Z42" s="2645"/>
      <c r="AA42" s="2645"/>
      <c r="AU42" s="2652"/>
      <c r="AV42" s="2653"/>
      <c r="AW42" s="2653"/>
      <c r="AX42" s="2653"/>
      <c r="AY42" s="2653"/>
      <c r="AZ42" s="2653"/>
      <c r="BA42" s="2654"/>
    </row>
    <row r="43" spans="1:54">
      <c r="A43" s="2636" t="str">
        <f t="shared" si="12"/>
        <v/>
      </c>
      <c r="B43" s="2637"/>
      <c r="C43" s="2637"/>
      <c r="D43" s="2637"/>
      <c r="E43" s="2638"/>
      <c r="F43" s="2638"/>
      <c r="G43" s="2639"/>
      <c r="H43" s="2646"/>
      <c r="I43" s="2646"/>
      <c r="J43" s="2646"/>
      <c r="K43" s="2646"/>
      <c r="L43" s="2638"/>
      <c r="M43" s="2638"/>
      <c r="N43" s="2641"/>
      <c r="O43" s="2641"/>
      <c r="P43" s="2730"/>
      <c r="Q43" s="2730"/>
      <c r="R43" s="2642"/>
      <c r="S43" s="2642"/>
      <c r="T43" s="2642"/>
      <c r="U43" s="2650"/>
      <c r="V43" s="2644"/>
      <c r="W43" s="2644"/>
      <c r="X43" s="2644"/>
      <c r="Y43" s="2644"/>
      <c r="Z43" s="2645"/>
      <c r="AA43" s="2645"/>
      <c r="AV43" s="2654"/>
      <c r="AW43" s="2654"/>
      <c r="AX43" s="2654"/>
      <c r="AY43" s="2654"/>
      <c r="AZ43" s="2654"/>
      <c r="BA43" s="2654"/>
    </row>
    <row r="44" spans="1:54">
      <c r="A44" s="2636" t="str">
        <f t="shared" si="12"/>
        <v/>
      </c>
      <c r="B44" s="2637"/>
      <c r="C44" s="2637"/>
      <c r="D44" s="2637"/>
      <c r="E44" s="2638"/>
      <c r="F44" s="2638"/>
      <c r="G44" s="2639"/>
      <c r="H44" s="2646"/>
      <c r="I44" s="2646"/>
      <c r="J44" s="2646"/>
      <c r="K44" s="2646"/>
      <c r="L44" s="2638"/>
      <c r="M44" s="2638"/>
      <c r="N44" s="2641"/>
      <c r="O44" s="2641"/>
      <c r="P44" s="2730"/>
      <c r="Q44" s="2730"/>
      <c r="R44" s="2642"/>
      <c r="S44" s="2642"/>
      <c r="T44" s="2642"/>
      <c r="U44" s="2650"/>
      <c r="V44" s="2644"/>
      <c r="W44" s="2644"/>
      <c r="X44" s="2644"/>
      <c r="Y44" s="2644"/>
      <c r="Z44" s="2645"/>
      <c r="AA44" s="2645"/>
    </row>
  </sheetData>
  <mergeCells count="56">
    <mergeCell ref="BA35:BA36"/>
    <mergeCell ref="AX37:AZ39"/>
    <mergeCell ref="AX40:BA40"/>
    <mergeCell ref="AV24:BA24"/>
    <mergeCell ref="AV40:AW40"/>
    <mergeCell ref="BA25:BA26"/>
    <mergeCell ref="AX27:AY30"/>
    <mergeCell ref="AZ27:BA30"/>
    <mergeCell ref="AX31:BA32"/>
    <mergeCell ref="BA33:BA34"/>
    <mergeCell ref="AD21:AE21"/>
    <mergeCell ref="AF21:AI21"/>
    <mergeCell ref="AM21:AN21"/>
    <mergeCell ref="AO21:AR21"/>
    <mergeCell ref="AV21:AW21"/>
    <mergeCell ref="AX21:BA21"/>
    <mergeCell ref="BA37:BA39"/>
    <mergeCell ref="AU4:BB4"/>
    <mergeCell ref="AV6:AV20"/>
    <mergeCell ref="AW6:AW20"/>
    <mergeCell ref="BA14:BA15"/>
    <mergeCell ref="BA16:BA20"/>
    <mergeCell ref="AV5:BA5"/>
    <mergeCell ref="AX33:AX36"/>
    <mergeCell ref="AY33:AZ36"/>
    <mergeCell ref="AZ6:AZ7"/>
    <mergeCell ref="AX6:AY11"/>
    <mergeCell ref="AU25:AU39"/>
    <mergeCell ref="AV25:AV39"/>
    <mergeCell ref="AW25:AW39"/>
    <mergeCell ref="AX25:AZ26"/>
    <mergeCell ref="BA6:BA7"/>
    <mergeCell ref="AZ8:BA13"/>
    <mergeCell ref="AO10:AR13"/>
    <mergeCell ref="AX12:AY13"/>
    <mergeCell ref="AO18:AP20"/>
    <mergeCell ref="AQ18:AR20"/>
    <mergeCell ref="AO14:AR17"/>
    <mergeCell ref="AX14:AX17"/>
    <mergeCell ref="AY14:AZ17"/>
    <mergeCell ref="AX18:AZ20"/>
    <mergeCell ref="AU6:AU20"/>
    <mergeCell ref="AC4:AJ4"/>
    <mergeCell ref="AL4:AS4"/>
    <mergeCell ref="AC6:AC20"/>
    <mergeCell ref="AD6:AD20"/>
    <mergeCell ref="AE6:AE20"/>
    <mergeCell ref="AF6:AI17"/>
    <mergeCell ref="AL6:AL20"/>
    <mergeCell ref="AN6:AN20"/>
    <mergeCell ref="AO6:AR9"/>
    <mergeCell ref="AD5:AI5"/>
    <mergeCell ref="AM5:AR5"/>
    <mergeCell ref="AM6:AM20"/>
    <mergeCell ref="AF18:AG20"/>
    <mergeCell ref="AH18:AI20"/>
  </mergeCells>
  <phoneticPr fontId="9" type="noConversion"/>
  <pageMargins left="0.70866141732283472" right="0.70866141732283472" top="0.74803149606299213" bottom="0.74803149606299213" header="0.31496062992125984" footer="0.31496062992125984"/>
  <pageSetup paperSize="9" scale="35"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2">
    <pageSetUpPr fitToPage="1"/>
  </sheetPr>
  <dimension ref="A1:AC29"/>
  <sheetViews>
    <sheetView showGridLines="0" zoomScale="130" zoomScaleNormal="130" workbookViewId="0">
      <selection activeCell="G28" sqref="G28"/>
    </sheetView>
  </sheetViews>
  <sheetFormatPr defaultColWidth="8.875" defaultRowHeight="13.5"/>
  <cols>
    <col min="1" max="1" width="44.625" style="122" customWidth="1"/>
    <col min="2" max="2" width="47.5" style="122" customWidth="1"/>
    <col min="3" max="3" width="11.375" style="301" customWidth="1"/>
    <col min="4" max="4" width="16.625" style="302" customWidth="1"/>
    <col min="5" max="5" width="9.625" style="302" customWidth="1"/>
    <col min="6" max="6" width="10.375" style="302" customWidth="1"/>
    <col min="7" max="7" width="12.125" style="301" customWidth="1"/>
    <col min="8" max="16384" width="8.875" style="122"/>
  </cols>
  <sheetData>
    <row r="1" spans="1:7" s="293" customFormat="1" ht="16.5">
      <c r="A1" s="11" t="str">
        <f>+封面!A3&amp;" "&amp;封面!A2</f>
        <v xml:space="preserve">        保險股份有限公司(○○分公司) 年度(月、季、半年)報表</v>
      </c>
      <c r="C1" s="874"/>
      <c r="D1" s="875"/>
      <c r="E1" s="874"/>
      <c r="F1" s="874"/>
    </row>
    <row r="2" spans="1:7" s="293" customFormat="1" ht="15.75" thickBot="1">
      <c r="A2" s="120" t="s">
        <v>3251</v>
      </c>
      <c r="B2" s="876"/>
      <c r="C2" s="877"/>
      <c r="D2" s="878"/>
      <c r="E2" s="877"/>
      <c r="F2" s="877"/>
      <c r="G2" s="879" t="s">
        <v>2752</v>
      </c>
    </row>
    <row r="3" spans="1:7" ht="38.25" customHeight="1">
      <c r="A3" s="294" t="s">
        <v>2954</v>
      </c>
      <c r="B3" s="295" t="s">
        <v>2955</v>
      </c>
      <c r="C3" s="880" t="s">
        <v>3252</v>
      </c>
      <c r="D3" s="881" t="s">
        <v>3253</v>
      </c>
      <c r="E3" s="882" t="s">
        <v>3254</v>
      </c>
      <c r="F3" s="883" t="s">
        <v>593</v>
      </c>
      <c r="G3" s="884" t="s">
        <v>3255</v>
      </c>
    </row>
    <row r="4" spans="1:7" ht="14.45" customHeight="1">
      <c r="A4" s="885" t="s">
        <v>3256</v>
      </c>
      <c r="B4" s="886" t="s">
        <v>3257</v>
      </c>
      <c r="C4" s="887"/>
      <c r="D4" s="888"/>
      <c r="E4" s="889">
        <f>'表30-8-6'!H8</f>
        <v>0</v>
      </c>
      <c r="F4" s="890"/>
      <c r="G4" s="891">
        <f>ROUND(C4*MAX((D4-E4),0),0)</f>
        <v>0</v>
      </c>
    </row>
    <row r="5" spans="1:7" ht="14.45" customHeight="1">
      <c r="A5" s="23" t="s">
        <v>3258</v>
      </c>
      <c r="B5" s="892" t="s">
        <v>3257</v>
      </c>
      <c r="C5" s="893"/>
      <c r="D5" s="894"/>
      <c r="E5" s="895">
        <f>'表30-8-6'!H8</f>
        <v>0</v>
      </c>
      <c r="F5" s="896"/>
      <c r="G5" s="897">
        <f>ROUND(C5*MAX((D5-E5),0),0)</f>
        <v>0</v>
      </c>
    </row>
    <row r="6" spans="1:7" ht="14.45" customHeight="1">
      <c r="A6" s="23" t="s">
        <v>3259</v>
      </c>
      <c r="B6" s="892"/>
      <c r="C6" s="898">
        <f>SUM(C7:C8)</f>
        <v>0</v>
      </c>
      <c r="D6" s="899"/>
      <c r="E6" s="895"/>
      <c r="F6" s="896"/>
      <c r="G6" s="897">
        <f>SUM(G7:G8)</f>
        <v>0</v>
      </c>
    </row>
    <row r="7" spans="1:7" ht="14.45" customHeight="1">
      <c r="A7" s="296" t="s">
        <v>3260</v>
      </c>
      <c r="B7" s="892" t="s">
        <v>3257</v>
      </c>
      <c r="C7" s="893"/>
      <c r="D7" s="894"/>
      <c r="E7" s="895">
        <f>'表30-8-6'!H8</f>
        <v>0</v>
      </c>
      <c r="F7" s="896"/>
      <c r="G7" s="897">
        <f>ROUND(C7*MAX((D7-E7),0),0)</f>
        <v>0</v>
      </c>
    </row>
    <row r="8" spans="1:7" ht="14.45" customHeight="1">
      <c r="A8" s="296" t="s">
        <v>3261</v>
      </c>
      <c r="B8" s="892" t="s">
        <v>3257</v>
      </c>
      <c r="C8" s="893"/>
      <c r="D8" s="894"/>
      <c r="E8" s="895">
        <f>'表30-8-6'!H8</f>
        <v>0</v>
      </c>
      <c r="F8" s="896"/>
      <c r="G8" s="897">
        <f>ROUND(C8*MAX((D8-E8),0),0)</f>
        <v>0</v>
      </c>
    </row>
    <row r="9" spans="1:7" ht="14.45" customHeight="1">
      <c r="A9" s="23" t="s">
        <v>3262</v>
      </c>
      <c r="B9" s="892"/>
      <c r="C9" s="898">
        <f>SUM(C10:C11)</f>
        <v>0</v>
      </c>
      <c r="D9" s="899"/>
      <c r="E9" s="895"/>
      <c r="F9" s="896"/>
      <c r="G9" s="897">
        <f>SUM(G10:G11)</f>
        <v>0</v>
      </c>
    </row>
    <row r="10" spans="1:7" ht="14.45" customHeight="1">
      <c r="A10" s="296" t="s">
        <v>3263</v>
      </c>
      <c r="B10" s="892" t="s">
        <v>3257</v>
      </c>
      <c r="C10" s="893"/>
      <c r="D10" s="894"/>
      <c r="E10" s="900">
        <f>'表30-8-6'!H8</f>
        <v>0</v>
      </c>
      <c r="F10" s="896"/>
      <c r="G10" s="897">
        <f>ROUND(C10*MAX((D10-E10),0),0)</f>
        <v>0</v>
      </c>
    </row>
    <row r="11" spans="1:7" ht="14.45" customHeight="1">
      <c r="A11" s="296" t="s">
        <v>3264</v>
      </c>
      <c r="B11" s="892" t="s">
        <v>3257</v>
      </c>
      <c r="C11" s="893"/>
      <c r="D11" s="894"/>
      <c r="E11" s="900">
        <f>'表30-8-6'!H8</f>
        <v>0</v>
      </c>
      <c r="F11" s="896"/>
      <c r="G11" s="901">
        <f>ROUND(C11*MAX((D11-E11),0),0)</f>
        <v>0</v>
      </c>
    </row>
    <row r="12" spans="1:7" ht="14.45" customHeight="1">
      <c r="A12" s="902" t="s">
        <v>3265</v>
      </c>
      <c r="B12" s="903"/>
      <c r="C12" s="904">
        <f>SUM(C13:C14)</f>
        <v>0</v>
      </c>
      <c r="D12" s="905"/>
      <c r="E12" s="906"/>
      <c r="F12" s="899"/>
      <c r="G12" s="907">
        <f>SUM(G13:G14)</f>
        <v>0</v>
      </c>
    </row>
    <row r="13" spans="1:7" ht="14.45" customHeight="1">
      <c r="A13" s="296" t="s">
        <v>3266</v>
      </c>
      <c r="B13" s="892" t="s">
        <v>3257</v>
      </c>
      <c r="C13" s="908"/>
      <c r="D13" s="909"/>
      <c r="E13" s="899">
        <f>'表30-8-6'!H8</f>
        <v>0</v>
      </c>
      <c r="F13" s="899"/>
      <c r="G13" s="910">
        <f>ROUND(+C13*MAX(D13-E13,0)+0.8*F13,0)</f>
        <v>0</v>
      </c>
    </row>
    <row r="14" spans="1:7" ht="14.45" customHeight="1" thickBot="1">
      <c r="A14" s="911" t="s">
        <v>3267</v>
      </c>
      <c r="B14" s="912" t="s">
        <v>3268</v>
      </c>
      <c r="C14" s="913"/>
      <c r="D14" s="914"/>
      <c r="E14" s="915">
        <f>'表30-8-6'!H8</f>
        <v>0</v>
      </c>
      <c r="F14" s="915"/>
      <c r="G14" s="916">
        <f>ROUND(+C14*MAX(D14-E14,0)+0.8*F14,0)</f>
        <v>0</v>
      </c>
    </row>
    <row r="15" spans="1:7" ht="20.45" customHeight="1" thickTop="1" thickBot="1">
      <c r="A15" s="297" t="s">
        <v>3269</v>
      </c>
      <c r="B15" s="298"/>
      <c r="C15" s="299">
        <f>SUM(C4:C5,C7:C8,C10:C11,C13:C14)</f>
        <v>0</v>
      </c>
      <c r="D15" s="300"/>
      <c r="E15" s="300"/>
      <c r="F15" s="300"/>
      <c r="G15" s="917">
        <f>SUM(G4:G5,G7:G8,G10:G11,G13:G14)</f>
        <v>0</v>
      </c>
    </row>
    <row r="16" spans="1:7" ht="14.25">
      <c r="A16" s="918" t="s">
        <v>604</v>
      </c>
    </row>
    <row r="17" spans="1:29" ht="14.25">
      <c r="A17" s="122" t="s">
        <v>3270</v>
      </c>
    </row>
    <row r="29" spans="1:29" ht="15.75">
      <c r="AC29" s="303"/>
    </row>
  </sheetData>
  <phoneticPr fontId="9" type="noConversion"/>
  <pageMargins left="0.51181102362204722" right="0.35433070866141736" top="0.39370078740157483" bottom="0.27559055118110237" header="0.15748031496062992" footer="0.23622047244094491"/>
  <pageSetup paperSize="9" scale="90" fitToHeight="2" orientation="landscape" r:id="rId1"/>
  <headerFooter alignWithMargins="0">
    <oddFooter>&amp;C&amp;P/&amp;N&amp;R&amp;A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11">
    <pageSetUpPr fitToPage="1"/>
  </sheetPr>
  <dimension ref="A1:F17"/>
  <sheetViews>
    <sheetView showGridLines="0" workbookViewId="0">
      <selection activeCell="G28" sqref="G28"/>
    </sheetView>
  </sheetViews>
  <sheetFormatPr defaultRowHeight="15.75"/>
  <cols>
    <col min="1" max="1" width="41.875" style="1596" customWidth="1"/>
    <col min="2" max="2" width="56.25" style="1596" customWidth="1"/>
    <col min="3" max="3" width="18.125" style="1596" customWidth="1"/>
    <col min="4" max="4" width="11.75" style="1596" customWidth="1"/>
    <col min="5" max="5" width="14" style="1596" customWidth="1"/>
    <col min="6" max="6" width="22.5" style="1596" customWidth="1"/>
    <col min="7" max="16384" width="9" style="1596"/>
  </cols>
  <sheetData>
    <row r="1" spans="1:6" ht="16.5">
      <c r="A1" s="1472" t="str">
        <f>+封面!A3&amp;" "&amp;封面!A2</f>
        <v xml:space="preserve">        保險股份有限公司(○○分公司) 年度(月、季、半年)報表</v>
      </c>
      <c r="B1" s="2285"/>
      <c r="C1" s="2286"/>
      <c r="D1" s="2286"/>
      <c r="E1" s="2287"/>
      <c r="F1" s="2286"/>
    </row>
    <row r="2" spans="1:6" ht="16.5" thickBot="1">
      <c r="A2" s="2288" t="s">
        <v>5747</v>
      </c>
      <c r="B2" s="2289"/>
      <c r="C2" s="2290"/>
      <c r="D2" s="2290"/>
      <c r="E2" s="2285"/>
      <c r="F2" s="2291" t="s">
        <v>4254</v>
      </c>
    </row>
    <row r="3" spans="1:6" ht="49.9" customHeight="1">
      <c r="A3" s="2292" t="s">
        <v>4826</v>
      </c>
      <c r="B3" s="2293" t="s">
        <v>4827</v>
      </c>
      <c r="C3" s="2294" t="s">
        <v>4828</v>
      </c>
      <c r="D3" s="2295" t="s">
        <v>5748</v>
      </c>
      <c r="E3" s="2296" t="s">
        <v>4830</v>
      </c>
      <c r="F3" s="2297" t="s">
        <v>4831</v>
      </c>
    </row>
    <row r="4" spans="1:6">
      <c r="A4" s="2298" t="s">
        <v>5749</v>
      </c>
      <c r="B4" s="2299"/>
      <c r="C4" s="2300">
        <f>SUM(C5:C6)</f>
        <v>0</v>
      </c>
      <c r="D4" s="2301"/>
      <c r="E4" s="2302"/>
      <c r="F4" s="2303">
        <f>SUM(F5:F6)</f>
        <v>0</v>
      </c>
    </row>
    <row r="5" spans="1:6">
      <c r="A5" s="2304" t="s">
        <v>5750</v>
      </c>
      <c r="B5" s="2305" t="s">
        <v>5751</v>
      </c>
      <c r="C5" s="2306">
        <f>'表21-1'!J39-SUM('表21-1'!J19:J21,'表21-1'!J37)</f>
        <v>0</v>
      </c>
      <c r="D5" s="2307"/>
      <c r="E5" s="2308">
        <v>5.0000000000000001E-3</v>
      </c>
      <c r="F5" s="2309">
        <f>ROUND((C5+D5)*E5,0)</f>
        <v>0</v>
      </c>
    </row>
    <row r="6" spans="1:6">
      <c r="A6" s="2304" t="s">
        <v>5752</v>
      </c>
      <c r="B6" s="2305" t="s">
        <v>5753</v>
      </c>
      <c r="C6" s="2306">
        <f>'表21-3'!I49-SUM('表21-3'!I20:I22,'表21-3'!I38)</f>
        <v>0</v>
      </c>
      <c r="D6" s="2307"/>
      <c r="E6" s="2308">
        <v>0.01</v>
      </c>
      <c r="F6" s="2309">
        <f>ROUND((C6+D6)*E6,0)</f>
        <v>0</v>
      </c>
    </row>
    <row r="7" spans="1:6" ht="42.75">
      <c r="A7" s="2310" t="s">
        <v>5754</v>
      </c>
      <c r="B7" s="2311" t="s">
        <v>5755</v>
      </c>
      <c r="C7" s="2306">
        <f>表03!H104-表03!H98-表03!H68-表03!H69-表03!H70-表03!H71-表03!H72-'表30-8-3'!D26-C8+C9</f>
        <v>0</v>
      </c>
      <c r="D7" s="2312"/>
      <c r="E7" s="2308">
        <v>2.5000000000000001E-3</v>
      </c>
      <c r="F7" s="2309">
        <f>ROUND(C7*E7,0)</f>
        <v>0</v>
      </c>
    </row>
    <row r="8" spans="1:6" ht="28.5">
      <c r="A8" s="2313" t="s">
        <v>5756</v>
      </c>
      <c r="B8" s="2314"/>
      <c r="C8" s="2315"/>
      <c r="D8" s="2316"/>
      <c r="E8" s="2317"/>
      <c r="F8" s="2318"/>
    </row>
    <row r="9" spans="1:6" ht="16.5" thickBot="1">
      <c r="A9" s="2319" t="s">
        <v>5757</v>
      </c>
      <c r="B9" s="2320"/>
      <c r="C9" s="2321"/>
      <c r="D9" s="2322"/>
      <c r="E9" s="2323"/>
      <c r="F9" s="2324"/>
    </row>
    <row r="10" spans="1:6" ht="30" thickTop="1" thickBot="1">
      <c r="A10" s="2325" t="s">
        <v>5758</v>
      </c>
      <c r="B10" s="2326" t="s">
        <v>5759</v>
      </c>
      <c r="C10" s="2327"/>
      <c r="D10" s="2328"/>
      <c r="E10" s="2329">
        <v>0.05</v>
      </c>
      <c r="F10" s="2330">
        <f>IF(C10="y",(F4+F7)*E10,0)</f>
        <v>0</v>
      </c>
    </row>
    <row r="11" spans="1:6" ht="17.25" thickTop="1" thickBot="1">
      <c r="A11" s="2331" t="s">
        <v>5760</v>
      </c>
      <c r="B11" s="2332"/>
      <c r="C11" s="2333">
        <f>SUM(C5:C7)</f>
        <v>0</v>
      </c>
      <c r="D11" s="2334"/>
      <c r="E11" s="2335"/>
      <c r="F11" s="2336">
        <f>SUM(F5:F10)</f>
        <v>0</v>
      </c>
    </row>
    <row r="12" spans="1:6">
      <c r="A12" s="2337" t="s">
        <v>5761</v>
      </c>
      <c r="B12" s="2337"/>
      <c r="C12" s="2338"/>
      <c r="D12" s="2338"/>
      <c r="E12" s="2339"/>
      <c r="F12" s="2338"/>
    </row>
    <row r="13" spans="1:6">
      <c r="A13" s="2340" t="s">
        <v>2957</v>
      </c>
    </row>
    <row r="14" spans="1:6">
      <c r="A14" s="2340" t="s">
        <v>2958</v>
      </c>
    </row>
    <row r="15" spans="1:6">
      <c r="A15" s="2340" t="s">
        <v>2959</v>
      </c>
    </row>
    <row r="16" spans="1:6">
      <c r="A16" s="2340" t="s">
        <v>2960</v>
      </c>
    </row>
    <row r="17" spans="1:1">
      <c r="A17" s="1626" t="s">
        <v>5762</v>
      </c>
    </row>
  </sheetData>
  <phoneticPr fontId="9" type="noConversion"/>
  <pageMargins left="0" right="0" top="0" bottom="0" header="0" footer="0"/>
  <pageSetup paperSize="9" scale="72"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42">
    <tabColor rgb="FFEE0000"/>
    <pageSetUpPr fitToPage="1"/>
  </sheetPr>
  <dimension ref="A1:L75"/>
  <sheetViews>
    <sheetView showGridLines="0" workbookViewId="0"/>
  </sheetViews>
  <sheetFormatPr defaultColWidth="15.625" defaultRowHeight="15.75"/>
  <cols>
    <col min="1" max="1" width="6" style="1773" customWidth="1"/>
    <col min="2" max="2" width="7.5" style="1773" customWidth="1"/>
    <col min="3" max="3" width="43.75" style="1773" customWidth="1"/>
    <col min="4" max="4" width="74.625" style="1773" customWidth="1"/>
    <col min="5" max="5" width="15.875" style="1476" customWidth="1"/>
    <col min="6" max="6" width="15.625" style="1774"/>
    <col min="7" max="7" width="17.875" style="1476" customWidth="1"/>
    <col min="8" max="8" width="19.375" style="1773" customWidth="1"/>
    <col min="9" max="9" width="8.5" style="2232" customWidth="1"/>
    <col min="10" max="10" width="8.5" style="1773" customWidth="1"/>
    <col min="11" max="11" width="10.75" style="1773" customWidth="1"/>
    <col min="12" max="12" width="19.5" style="1773" customWidth="1"/>
    <col min="13" max="16384" width="15.625" style="1773"/>
  </cols>
  <sheetData>
    <row r="1" spans="1:9" ht="16.5">
      <c r="A1" s="2230" t="str">
        <f>+封面!A3&amp;" "&amp;封面!A2</f>
        <v xml:space="preserve">        保險股份有限公司(○○分公司) 年度(月、季、半年)報表</v>
      </c>
      <c r="D1" s="2231"/>
    </row>
    <row r="2" spans="1:9" ht="16.5">
      <c r="A2" s="2233" t="s">
        <v>5726</v>
      </c>
      <c r="D2" s="2232"/>
      <c r="G2" s="1478"/>
    </row>
    <row r="3" spans="1:9" ht="16.5">
      <c r="A3" s="2234" t="s">
        <v>3485</v>
      </c>
      <c r="B3" s="2235"/>
      <c r="C3" s="2235"/>
      <c r="E3" s="1773"/>
      <c r="G3" s="1478"/>
    </row>
    <row r="4" spans="1:9" ht="17.25" thickBot="1">
      <c r="B4" s="1775" t="s">
        <v>5727</v>
      </c>
      <c r="E4" s="1773"/>
      <c r="G4" s="1477" t="s">
        <v>5728</v>
      </c>
    </row>
    <row r="5" spans="1:9" ht="16.5">
      <c r="B5" s="1662" t="s">
        <v>4258</v>
      </c>
      <c r="C5" s="1663" t="s">
        <v>4879</v>
      </c>
      <c r="D5" s="1663" t="s">
        <v>4880</v>
      </c>
      <c r="E5" s="1663" t="s">
        <v>4881</v>
      </c>
      <c r="F5" s="1663" t="s">
        <v>4882</v>
      </c>
      <c r="G5" s="1664" t="s">
        <v>4883</v>
      </c>
    </row>
    <row r="6" spans="1:9" ht="16.5">
      <c r="B6" s="1665">
        <v>1</v>
      </c>
      <c r="C6" s="1666" t="s">
        <v>4884</v>
      </c>
      <c r="D6" s="1667" t="s">
        <v>4885</v>
      </c>
      <c r="E6" s="1668" t="e">
        <f ca="1">'表30-1'!B27</f>
        <v>#DIV/0!</v>
      </c>
      <c r="F6" s="1669"/>
      <c r="G6" s="1670"/>
    </row>
    <row r="7" spans="1:9" ht="16.5">
      <c r="B7" s="1665">
        <v>2</v>
      </c>
      <c r="C7" s="1671" t="s">
        <v>4886</v>
      </c>
      <c r="D7" s="1672" t="s">
        <v>4887</v>
      </c>
      <c r="E7" s="1673"/>
      <c r="F7" s="1674">
        <v>0.2</v>
      </c>
      <c r="G7" s="1675" t="e">
        <f ca="1">E6*F7</f>
        <v>#DIV/0!</v>
      </c>
    </row>
    <row r="8" spans="1:9" ht="17.25" thickBot="1">
      <c r="B8" s="1676">
        <v>3</v>
      </c>
      <c r="C8" s="1677" t="s">
        <v>4888</v>
      </c>
      <c r="D8" s="1678" t="s">
        <v>4889</v>
      </c>
      <c r="E8" s="1679"/>
      <c r="F8" s="1680">
        <v>1</v>
      </c>
      <c r="G8" s="1681" t="e">
        <f ca="1">E6*F8</f>
        <v>#DIV/0!</v>
      </c>
    </row>
    <row r="9" spans="1:9" ht="16.5" thickBot="1">
      <c r="C9" s="2233"/>
      <c r="D9" s="2232"/>
      <c r="G9" s="1478"/>
    </row>
    <row r="10" spans="1:9" ht="17.25" thickBot="1">
      <c r="B10" s="1662" t="s">
        <v>4258</v>
      </c>
      <c r="C10" s="2236" t="s">
        <v>4879</v>
      </c>
      <c r="D10" s="1779" t="s">
        <v>4880</v>
      </c>
      <c r="E10" s="2237" t="s">
        <v>4881</v>
      </c>
      <c r="F10" s="1779" t="s">
        <v>5729</v>
      </c>
      <c r="G10" s="2237" t="s">
        <v>5730</v>
      </c>
      <c r="H10" s="2238" t="s">
        <v>5731</v>
      </c>
    </row>
    <row r="11" spans="1:9" ht="16.5">
      <c r="A11" s="2239"/>
      <c r="B11" s="2240">
        <v>4</v>
      </c>
      <c r="C11" s="2241" t="s">
        <v>5732</v>
      </c>
      <c r="D11" s="2242" t="s">
        <v>5733</v>
      </c>
      <c r="E11" s="2243">
        <f>表03!O101</f>
        <v>0</v>
      </c>
      <c r="F11" s="2244">
        <v>1</v>
      </c>
      <c r="G11" s="2245">
        <f t="shared" ref="G11:G30" si="0">ROUND(E11*F11,0)</f>
        <v>0</v>
      </c>
      <c r="H11" s="2246"/>
    </row>
    <row r="12" spans="1:9" ht="16.5">
      <c r="A12" s="2247"/>
      <c r="B12" s="2248">
        <f>B11+1</f>
        <v>5</v>
      </c>
      <c r="C12" s="2249" t="s">
        <v>3494</v>
      </c>
      <c r="D12" s="2250" t="s">
        <v>5734</v>
      </c>
      <c r="E12" s="2251">
        <f>'表25-2'!U48-SUM('表25-2'!U19:U21,'表25-2'!U37)</f>
        <v>0</v>
      </c>
      <c r="F12" s="1686">
        <v>1</v>
      </c>
      <c r="G12" s="2252">
        <f t="shared" si="0"/>
        <v>0</v>
      </c>
      <c r="H12" s="2253"/>
    </row>
    <row r="13" spans="1:9" ht="16.5">
      <c r="A13" s="2254" t="s">
        <v>3486</v>
      </c>
      <c r="B13" s="2248">
        <f>B12+1</f>
        <v>6</v>
      </c>
      <c r="C13" s="2249" t="s">
        <v>3495</v>
      </c>
      <c r="D13" s="1684" t="s">
        <v>5735</v>
      </c>
      <c r="E13" s="2251" t="e">
        <f ca="1">'表30-8-8'!G13</f>
        <v>#DIV/0!</v>
      </c>
      <c r="F13" s="1686">
        <v>1</v>
      </c>
      <c r="G13" s="2252" t="e">
        <f t="shared" ca="1" si="0"/>
        <v>#DIV/0!</v>
      </c>
      <c r="H13" s="2253"/>
    </row>
    <row r="14" spans="1:9" ht="16.5">
      <c r="A14" s="2255" t="s">
        <v>3487</v>
      </c>
      <c r="B14" s="2248">
        <f>B13+1</f>
        <v>7</v>
      </c>
      <c r="C14" s="2256" t="s">
        <v>5736</v>
      </c>
      <c r="D14" s="2257"/>
      <c r="E14" s="2258"/>
      <c r="F14" s="2259"/>
      <c r="G14" s="2260"/>
      <c r="H14" s="2261"/>
    </row>
    <row r="15" spans="1:9" ht="33">
      <c r="A15" s="2255"/>
      <c r="B15" s="2863">
        <f>B14+1</f>
        <v>8</v>
      </c>
      <c r="C15" s="2256" t="s">
        <v>5737</v>
      </c>
      <c r="D15" s="2864"/>
      <c r="E15" s="2865"/>
      <c r="F15" s="2866"/>
      <c r="G15" s="2867"/>
      <c r="H15" s="2261"/>
    </row>
    <row r="16" spans="1:9" ht="17.25" thickBot="1">
      <c r="A16" s="2262"/>
      <c r="B16" s="2868">
        <f t="shared" ref="B16:B18" si="1">B15+1</f>
        <v>9</v>
      </c>
      <c r="C16" s="2860" t="s">
        <v>6290</v>
      </c>
      <c r="D16" s="2871" t="s">
        <v>6291</v>
      </c>
      <c r="E16" s="2263" t="e">
        <f>'表30-3-4'!D25</f>
        <v>#DIV/0!</v>
      </c>
      <c r="F16" s="2861">
        <v>1</v>
      </c>
      <c r="G16" s="2862" t="e">
        <f t="shared" ref="G16" si="2">ROUND(E16*F16,0)</f>
        <v>#DIV/0!</v>
      </c>
      <c r="H16" s="2869" t="s">
        <v>6292</v>
      </c>
      <c r="I16" s="2264"/>
    </row>
    <row r="17" spans="1:9" ht="16.5">
      <c r="A17" s="2265"/>
      <c r="B17" s="1721">
        <f t="shared" si="1"/>
        <v>10</v>
      </c>
      <c r="C17" s="1722" t="s">
        <v>5738</v>
      </c>
      <c r="D17" s="2870" t="s">
        <v>5739</v>
      </c>
      <c r="E17" s="1726">
        <f>-'表30-8-5'!$J$12</f>
        <v>0</v>
      </c>
      <c r="F17" s="1725">
        <v>1</v>
      </c>
      <c r="G17" s="1726">
        <f t="shared" si="0"/>
        <v>0</v>
      </c>
      <c r="H17" s="2266" t="s">
        <v>4892</v>
      </c>
    </row>
    <row r="18" spans="1:9" ht="33">
      <c r="A18" s="2247"/>
      <c r="B18" s="1682">
        <f t="shared" si="1"/>
        <v>11</v>
      </c>
      <c r="C18" s="1683" t="s">
        <v>5740</v>
      </c>
      <c r="D18" s="1684" t="s">
        <v>5741</v>
      </c>
      <c r="E18" s="1685">
        <f>IF('表30-8-5'!$I$7&gt;0,'表30-8-5'!$I$7,0)</f>
        <v>0</v>
      </c>
      <c r="F18" s="1686">
        <v>0.2</v>
      </c>
      <c r="G18" s="1685">
        <f t="shared" si="0"/>
        <v>0</v>
      </c>
      <c r="H18" s="1687" t="s">
        <v>4892</v>
      </c>
    </row>
    <row r="19" spans="1:9" ht="33">
      <c r="A19" s="2247"/>
      <c r="B19" s="1682">
        <f t="shared" ref="B19:B32" si="3">B18+1</f>
        <v>12</v>
      </c>
      <c r="C19" s="1683" t="s">
        <v>5742</v>
      </c>
      <c r="D19" s="1684" t="s">
        <v>5743</v>
      </c>
      <c r="E19" s="1685">
        <f>IF('表30-8-5'!$I$8&gt;0,'表30-8-5'!$I$8,0)</f>
        <v>0</v>
      </c>
      <c r="F19" s="1686">
        <v>0.2</v>
      </c>
      <c r="G19" s="1685">
        <f t="shared" si="0"/>
        <v>0</v>
      </c>
      <c r="H19" s="1687" t="s">
        <v>4892</v>
      </c>
    </row>
    <row r="20" spans="1:9" ht="16.5">
      <c r="A20" s="2247"/>
      <c r="B20" s="1682">
        <f t="shared" si="3"/>
        <v>13</v>
      </c>
      <c r="C20" s="1683" t="s">
        <v>4890</v>
      </c>
      <c r="D20" s="1684" t="s">
        <v>4891</v>
      </c>
      <c r="E20" s="1685">
        <f>+'表30-8-5'!J23</f>
        <v>0</v>
      </c>
      <c r="F20" s="1686">
        <v>0.2</v>
      </c>
      <c r="G20" s="1685">
        <f t="shared" si="0"/>
        <v>0</v>
      </c>
      <c r="H20" s="1687" t="s">
        <v>4892</v>
      </c>
    </row>
    <row r="21" spans="1:9" ht="16.5">
      <c r="A21" s="2247"/>
      <c r="B21" s="1688">
        <f>B20+1</f>
        <v>14</v>
      </c>
      <c r="C21" s="1689" t="s">
        <v>3496</v>
      </c>
      <c r="D21" s="1690" t="s">
        <v>4893</v>
      </c>
      <c r="E21" s="1685">
        <f>'表25-1'!S47-SUM('表25-1'!S18:S20,'表25-1'!S36)</f>
        <v>0</v>
      </c>
      <c r="F21" s="1686">
        <v>1</v>
      </c>
      <c r="G21" s="1685">
        <f>ROUND(E21*F21,0)</f>
        <v>0</v>
      </c>
      <c r="H21" s="1691"/>
    </row>
    <row r="22" spans="1:9" ht="33">
      <c r="A22" s="2247"/>
      <c r="B22" s="1682">
        <f>B21+1</f>
        <v>15</v>
      </c>
      <c r="C22" s="1683" t="s">
        <v>4894</v>
      </c>
      <c r="D22" s="1690" t="s">
        <v>4895</v>
      </c>
      <c r="E22" s="1685">
        <f>'表30-8-7'!M27</f>
        <v>0</v>
      </c>
      <c r="F22" s="1686">
        <v>1</v>
      </c>
      <c r="G22" s="1685">
        <f t="shared" si="0"/>
        <v>0</v>
      </c>
      <c r="H22" s="1691"/>
    </row>
    <row r="23" spans="1:9" ht="33">
      <c r="A23" s="2247"/>
      <c r="B23" s="1682">
        <f t="shared" si="3"/>
        <v>16</v>
      </c>
      <c r="C23" s="1683" t="s">
        <v>4896</v>
      </c>
      <c r="D23" s="1690" t="s">
        <v>4897</v>
      </c>
      <c r="E23" s="1685">
        <f>'表30-8-7'!M28</f>
        <v>0</v>
      </c>
      <c r="F23" s="1686">
        <v>1</v>
      </c>
      <c r="G23" s="1685">
        <f t="shared" si="0"/>
        <v>0</v>
      </c>
      <c r="H23" s="1691"/>
    </row>
    <row r="24" spans="1:9" ht="33">
      <c r="A24" s="2254" t="s">
        <v>3486</v>
      </c>
      <c r="B24" s="1682">
        <f t="shared" si="3"/>
        <v>17</v>
      </c>
      <c r="C24" s="1683" t="s">
        <v>4898</v>
      </c>
      <c r="D24" s="1692"/>
      <c r="E24" s="1693"/>
      <c r="F24" s="1686">
        <v>1</v>
      </c>
      <c r="G24" s="1685">
        <f t="shared" si="0"/>
        <v>0</v>
      </c>
      <c r="H24" s="1691"/>
    </row>
    <row r="25" spans="1:9" ht="33">
      <c r="A25" s="2267" t="s">
        <v>3488</v>
      </c>
      <c r="B25" s="1682">
        <f t="shared" si="3"/>
        <v>18</v>
      </c>
      <c r="C25" s="1694" t="s">
        <v>3526</v>
      </c>
      <c r="D25" s="1695" t="s">
        <v>4899</v>
      </c>
      <c r="E25" s="1685">
        <f>'表30-8-3'!D28</f>
        <v>0</v>
      </c>
      <c r="F25" s="1686">
        <v>1</v>
      </c>
      <c r="G25" s="1685">
        <f>ROUND(E25*F25,0)</f>
        <v>0</v>
      </c>
      <c r="H25" s="1691"/>
    </row>
    <row r="26" spans="1:9" ht="16.5">
      <c r="B26" s="1682">
        <f t="shared" si="3"/>
        <v>19</v>
      </c>
      <c r="C26" s="1683" t="s">
        <v>4900</v>
      </c>
      <c r="D26" s="1695" t="s">
        <v>4901</v>
      </c>
      <c r="E26" s="1686">
        <f>'表30-8-3'!C6</f>
        <v>0</v>
      </c>
      <c r="F26" s="1686">
        <v>1</v>
      </c>
      <c r="G26" s="1685">
        <f t="shared" si="0"/>
        <v>0</v>
      </c>
      <c r="H26" s="1691"/>
    </row>
    <row r="27" spans="1:9" ht="33">
      <c r="A27" s="2247"/>
      <c r="B27" s="1682">
        <f t="shared" si="3"/>
        <v>20</v>
      </c>
      <c r="C27" s="1683" t="s">
        <v>4902</v>
      </c>
      <c r="D27" s="1696"/>
      <c r="E27" s="1693"/>
      <c r="F27" s="1686">
        <v>1</v>
      </c>
      <c r="G27" s="1685">
        <f t="shared" si="0"/>
        <v>0</v>
      </c>
      <c r="H27" s="1691"/>
    </row>
    <row r="28" spans="1:9" ht="66">
      <c r="A28" s="2247"/>
      <c r="B28" s="1682">
        <f t="shared" si="3"/>
        <v>21</v>
      </c>
      <c r="C28" s="1683" t="s">
        <v>4903</v>
      </c>
      <c r="D28" s="1692"/>
      <c r="E28" s="1693"/>
      <c r="F28" s="1686">
        <v>1</v>
      </c>
      <c r="G28" s="1685">
        <f t="shared" si="0"/>
        <v>0</v>
      </c>
      <c r="H28" s="1691"/>
    </row>
    <row r="29" spans="1:9" ht="49.5">
      <c r="A29" s="2247"/>
      <c r="B29" s="1682">
        <f t="shared" si="3"/>
        <v>22</v>
      </c>
      <c r="C29" s="1683" t="s">
        <v>4904</v>
      </c>
      <c r="D29" s="1692"/>
      <c r="E29" s="1693"/>
      <c r="F29" s="1686">
        <v>1</v>
      </c>
      <c r="G29" s="1685">
        <f t="shared" si="0"/>
        <v>0</v>
      </c>
      <c r="H29" s="1691"/>
    </row>
    <row r="30" spans="1:9" ht="49.5">
      <c r="A30" s="2247"/>
      <c r="B30" s="1682">
        <f t="shared" si="3"/>
        <v>23</v>
      </c>
      <c r="C30" s="1683" t="s">
        <v>4905</v>
      </c>
      <c r="D30" s="1692"/>
      <c r="E30" s="1693"/>
      <c r="F30" s="1686">
        <v>1</v>
      </c>
      <c r="G30" s="1685">
        <f t="shared" si="0"/>
        <v>0</v>
      </c>
      <c r="H30" s="1691"/>
    </row>
    <row r="31" spans="1:9" ht="33.75" thickBot="1">
      <c r="A31" s="2262"/>
      <c r="B31" s="1697">
        <f t="shared" si="3"/>
        <v>24</v>
      </c>
      <c r="C31" s="1698" t="s">
        <v>4906</v>
      </c>
      <c r="D31" s="1699"/>
      <c r="E31" s="1700"/>
      <c r="F31" s="1701">
        <v>1</v>
      </c>
      <c r="G31" s="1702">
        <f>ROUND(E31*F31,0)</f>
        <v>0</v>
      </c>
      <c r="H31" s="1703"/>
    </row>
    <row r="32" spans="1:9" ht="17.25" thickBot="1">
      <c r="A32" s="2268" t="s">
        <v>3486</v>
      </c>
      <c r="B32" s="1704">
        <f t="shared" si="3"/>
        <v>25</v>
      </c>
      <c r="C32" s="1705" t="s">
        <v>4907</v>
      </c>
      <c r="D32" s="1706" t="str">
        <f>"自有資本額：第"&amp;B11&amp;"列至第"&amp;B16&amp;"列合計扣除第"&amp;B17&amp;"列至第"&amp;B32-1&amp;"列合計後之數額"</f>
        <v>自有資本額：第4列至第9列合計扣除第10列至第24列合計後之數額</v>
      </c>
      <c r="E32" s="1707"/>
      <c r="F32" s="1708"/>
      <c r="G32" s="1709" t="e">
        <f ca="1">SUM(G11:G16)-SUM(G17:G31)</f>
        <v>#DIV/0!</v>
      </c>
      <c r="H32" s="1710"/>
      <c r="I32" s="2269"/>
    </row>
    <row r="33" spans="1:9" ht="49.5">
      <c r="A33" s="2270" t="s">
        <v>3489</v>
      </c>
      <c r="B33" s="1711">
        <f>B32+1</f>
        <v>26</v>
      </c>
      <c r="C33" s="1712" t="s">
        <v>4908</v>
      </c>
      <c r="D33" s="1713" t="s">
        <v>4909</v>
      </c>
      <c r="E33" s="1714">
        <f>'表30-8-1'!M32</f>
        <v>0</v>
      </c>
      <c r="F33" s="1715">
        <v>1</v>
      </c>
      <c r="G33" s="1716">
        <f t="shared" ref="G33:G39" si="4">ROUND(E33*F33,0)</f>
        <v>0</v>
      </c>
      <c r="H33" s="1717"/>
    </row>
    <row r="34" spans="1:9" ht="49.5">
      <c r="A34" s="2267" t="s">
        <v>3487</v>
      </c>
      <c r="B34" s="1682">
        <f t="shared" ref="B34:B40" si="5">B33+1</f>
        <v>27</v>
      </c>
      <c r="C34" s="1718" t="s">
        <v>4910</v>
      </c>
      <c r="D34" s="1695" t="s">
        <v>4911</v>
      </c>
      <c r="E34" s="1719">
        <f>'表30-8-2'!M32</f>
        <v>0</v>
      </c>
      <c r="F34" s="1686">
        <v>1</v>
      </c>
      <c r="G34" s="1685">
        <f t="shared" si="4"/>
        <v>0</v>
      </c>
      <c r="H34" s="1691"/>
    </row>
    <row r="35" spans="1:9" ht="33.75" thickBot="1">
      <c r="A35" s="2262"/>
      <c r="B35" s="1697">
        <f t="shared" si="5"/>
        <v>28</v>
      </c>
      <c r="C35" s="1720" t="s">
        <v>4912</v>
      </c>
      <c r="D35" s="1699"/>
      <c r="E35" s="1700"/>
      <c r="F35" s="1701">
        <v>1</v>
      </c>
      <c r="G35" s="1702">
        <f>ROUND(E35*F35,0)</f>
        <v>0</v>
      </c>
      <c r="H35" s="1703"/>
    </row>
    <row r="36" spans="1:9" ht="66">
      <c r="A36" s="2247"/>
      <c r="B36" s="1721">
        <f t="shared" si="5"/>
        <v>29</v>
      </c>
      <c r="C36" s="1722" t="s">
        <v>4913</v>
      </c>
      <c r="D36" s="1723"/>
      <c r="E36" s="1724"/>
      <c r="F36" s="1725">
        <v>1</v>
      </c>
      <c r="G36" s="1726">
        <f t="shared" si="4"/>
        <v>0</v>
      </c>
      <c r="H36" s="1727"/>
    </row>
    <row r="37" spans="1:9" ht="49.5">
      <c r="A37" s="2254" t="s">
        <v>3489</v>
      </c>
      <c r="B37" s="1682">
        <f t="shared" si="5"/>
        <v>30</v>
      </c>
      <c r="C37" s="1683" t="s">
        <v>4914</v>
      </c>
      <c r="D37" s="1692"/>
      <c r="E37" s="1693"/>
      <c r="F37" s="1686">
        <v>1</v>
      </c>
      <c r="G37" s="1685">
        <f t="shared" si="4"/>
        <v>0</v>
      </c>
      <c r="H37" s="1691"/>
    </row>
    <row r="38" spans="1:9" ht="49.5">
      <c r="A38" s="2267" t="s">
        <v>3490</v>
      </c>
      <c r="B38" s="1682">
        <f t="shared" si="5"/>
        <v>31</v>
      </c>
      <c r="C38" s="1683" t="s">
        <v>4915</v>
      </c>
      <c r="D38" s="1692"/>
      <c r="E38" s="1693"/>
      <c r="F38" s="1686">
        <v>1</v>
      </c>
      <c r="G38" s="1685">
        <f t="shared" si="4"/>
        <v>0</v>
      </c>
      <c r="H38" s="1691"/>
    </row>
    <row r="39" spans="1:9" ht="33.75" thickBot="1">
      <c r="A39" s="2262"/>
      <c r="B39" s="1697">
        <f t="shared" si="5"/>
        <v>32</v>
      </c>
      <c r="C39" s="1698" t="s">
        <v>4916</v>
      </c>
      <c r="D39" s="1699"/>
      <c r="E39" s="1700"/>
      <c r="F39" s="1701">
        <v>1</v>
      </c>
      <c r="G39" s="1702">
        <f t="shared" si="4"/>
        <v>0</v>
      </c>
      <c r="H39" s="1703"/>
    </row>
    <row r="40" spans="1:9" ht="16.5">
      <c r="A40" s="2271" t="s">
        <v>3489</v>
      </c>
      <c r="B40" s="1721">
        <f t="shared" si="5"/>
        <v>33</v>
      </c>
      <c r="C40" s="1728" t="s">
        <v>4917</v>
      </c>
      <c r="D40" s="1729" t="str">
        <f>"自有資本額：第"&amp;B33&amp;"列至第"&amp;B35&amp;"列合計扣除第"&amp;B36&amp;"列至第"&amp;B40-1&amp;"列合計後之數額"</f>
        <v>自有資本額：第26列至第28列合計扣除第29列至第32列合計後之數額</v>
      </c>
      <c r="E40" s="1730"/>
      <c r="F40" s="1731"/>
      <c r="G40" s="1726">
        <f>SUM(G33:G35)-SUM(G36:G39)</f>
        <v>0</v>
      </c>
      <c r="H40" s="1727"/>
      <c r="I40" s="2269"/>
    </row>
    <row r="41" spans="1:9" ht="17.25" thickBot="1">
      <c r="A41" s="2268" t="s">
        <v>3489</v>
      </c>
      <c r="B41" s="1732">
        <f>B40+1</f>
        <v>34</v>
      </c>
      <c r="C41" s="1733" t="s">
        <v>4918</v>
      </c>
      <c r="D41" s="1734" t="str">
        <f>"自有資本：Min(第"&amp;B40&amp;"列自有資本額,第"&amp;B7&amp;"列限額)"</f>
        <v>自有資本：Min(第33列自有資本額,第2列限額)</v>
      </c>
      <c r="E41" s="1735"/>
      <c r="F41" s="1736"/>
      <c r="G41" s="1737" t="e">
        <f ca="1">MIN(G40,G7)</f>
        <v>#DIV/0!</v>
      </c>
      <c r="H41" s="1738"/>
      <c r="I41" s="2269"/>
    </row>
    <row r="42" spans="1:9" ht="16.5">
      <c r="A42" s="2272"/>
      <c r="B42" s="1711">
        <f>B41+1</f>
        <v>35</v>
      </c>
      <c r="C42" s="1712" t="s">
        <v>4919</v>
      </c>
      <c r="D42" s="1739" t="str">
        <f>"第"&amp;B66&amp;"列金額"&amp;TEXT(1-VLOOKUP(H62,G63:H66,2,0),"##%")&amp;"之部分"</f>
        <v>第56列金額25%之部分</v>
      </c>
      <c r="E42" s="1714">
        <f>E66-E43</f>
        <v>0</v>
      </c>
      <c r="F42" s="1715">
        <v>1</v>
      </c>
      <c r="G42" s="1716">
        <f t="shared" ref="G42:G48" si="6">ROUND(E42*F42,0)</f>
        <v>0</v>
      </c>
      <c r="H42" s="1717"/>
    </row>
    <row r="43" spans="1:9" ht="16.5">
      <c r="A43" s="2271"/>
      <c r="B43" s="1682">
        <f t="shared" ref="B43:B58" si="7">B42+1</f>
        <v>36</v>
      </c>
      <c r="C43" s="1718" t="s">
        <v>4920</v>
      </c>
      <c r="D43" s="1740" t="str">
        <f>"第"&amp;B66&amp;"列金額"&amp;TEXT(VLOOKUP(H62,G63:H66,2,0),"##%")&amp;"之部分"</f>
        <v>第56列金額75%之部分</v>
      </c>
      <c r="E43" s="1719">
        <f>E66*VLOOKUP(H62,G63:H66,2,0)</f>
        <v>0</v>
      </c>
      <c r="F43" s="1686">
        <v>1</v>
      </c>
      <c r="G43" s="1685">
        <f t="shared" si="6"/>
        <v>0</v>
      </c>
      <c r="H43" s="1691"/>
    </row>
    <row r="44" spans="1:9" ht="49.5">
      <c r="A44" s="2271"/>
      <c r="B44" s="1682">
        <f t="shared" si="7"/>
        <v>37</v>
      </c>
      <c r="C44" s="1718" t="s">
        <v>4921</v>
      </c>
      <c r="D44" s="1695" t="s">
        <v>4922</v>
      </c>
      <c r="E44" s="1741">
        <f>'表30-8-1'!M31</f>
        <v>0</v>
      </c>
      <c r="F44" s="1686">
        <v>1</v>
      </c>
      <c r="G44" s="1685">
        <f t="shared" si="6"/>
        <v>0</v>
      </c>
      <c r="H44" s="1691"/>
    </row>
    <row r="45" spans="1:9" ht="49.5">
      <c r="A45" s="2254" t="s">
        <v>3491</v>
      </c>
      <c r="B45" s="1682">
        <f t="shared" si="7"/>
        <v>38</v>
      </c>
      <c r="C45" s="1718" t="s">
        <v>4923</v>
      </c>
      <c r="D45" s="1718" t="s">
        <v>4924</v>
      </c>
      <c r="E45" s="1741">
        <f>'表30-8-2'!M31</f>
        <v>0</v>
      </c>
      <c r="F45" s="1686">
        <v>1</v>
      </c>
      <c r="G45" s="1685">
        <f t="shared" si="6"/>
        <v>0</v>
      </c>
      <c r="H45" s="1691"/>
    </row>
    <row r="46" spans="1:9" ht="33">
      <c r="A46" s="2267" t="s">
        <v>3492</v>
      </c>
      <c r="B46" s="1682">
        <f t="shared" si="7"/>
        <v>39</v>
      </c>
      <c r="C46" s="1718" t="s">
        <v>4925</v>
      </c>
      <c r="D46" s="1684" t="s">
        <v>4926</v>
      </c>
      <c r="E46" s="1742">
        <f>'表30-8-1'!M33</f>
        <v>0</v>
      </c>
      <c r="F46" s="1686">
        <v>1</v>
      </c>
      <c r="G46" s="1685">
        <f t="shared" si="6"/>
        <v>0</v>
      </c>
      <c r="H46" s="1691"/>
    </row>
    <row r="47" spans="1:9" ht="33">
      <c r="A47" s="2271"/>
      <c r="B47" s="1682">
        <f t="shared" si="7"/>
        <v>40</v>
      </c>
      <c r="C47" s="1718" t="s">
        <v>4927</v>
      </c>
      <c r="D47" s="1684" t="s">
        <v>4928</v>
      </c>
      <c r="E47" s="1742">
        <f>'表30-8-2'!M33</f>
        <v>0</v>
      </c>
      <c r="F47" s="1686">
        <v>1</v>
      </c>
      <c r="G47" s="1685">
        <f t="shared" si="6"/>
        <v>0</v>
      </c>
      <c r="H47" s="1691"/>
    </row>
    <row r="48" spans="1:9" ht="33">
      <c r="A48" s="2271"/>
      <c r="B48" s="1682">
        <f>B47+1</f>
        <v>41</v>
      </c>
      <c r="C48" s="1718" t="s">
        <v>4929</v>
      </c>
      <c r="D48" s="1718" t="s">
        <v>4930</v>
      </c>
      <c r="E48" s="1742">
        <f>'表30-8-2'!M34</f>
        <v>0</v>
      </c>
      <c r="F48" s="1686">
        <v>1</v>
      </c>
      <c r="G48" s="1685">
        <f t="shared" si="6"/>
        <v>0</v>
      </c>
      <c r="H48" s="1691"/>
      <c r="I48" s="2269"/>
    </row>
    <row r="49" spans="1:9" ht="16.5">
      <c r="A49" s="2271"/>
      <c r="B49" s="1682">
        <f>B48+1</f>
        <v>42</v>
      </c>
      <c r="C49" s="1718" t="s">
        <v>4931</v>
      </c>
      <c r="D49" s="1740" t="str">
        <f>"自有資本額：第"&amp;B40&amp;"列扣除第"&amp;B41&amp;"列"</f>
        <v>自有資本額：第33列扣除第34列</v>
      </c>
      <c r="E49" s="1743"/>
      <c r="F49" s="1686">
        <v>1</v>
      </c>
      <c r="G49" s="1685" t="e">
        <f ca="1">G40-G41</f>
        <v>#DIV/0!</v>
      </c>
      <c r="H49" s="1691"/>
      <c r="I49" s="2269"/>
    </row>
    <row r="50" spans="1:9" ht="33">
      <c r="A50" s="2271"/>
      <c r="B50" s="1682">
        <f t="shared" si="7"/>
        <v>43</v>
      </c>
      <c r="C50" s="1718" t="s">
        <v>4932</v>
      </c>
      <c r="D50" s="1692"/>
      <c r="E50" s="1693"/>
      <c r="F50" s="1686">
        <v>1</v>
      </c>
      <c r="G50" s="1685">
        <f t="shared" ref="G50:G55" si="8">ROUND(E50*F50,0)</f>
        <v>0</v>
      </c>
      <c r="H50" s="1691"/>
    </row>
    <row r="51" spans="1:9" ht="33.75" thickBot="1">
      <c r="A51" s="2273"/>
      <c r="B51" s="1697">
        <f t="shared" si="7"/>
        <v>44</v>
      </c>
      <c r="C51" s="1720" t="s">
        <v>4933</v>
      </c>
      <c r="D51" s="1699"/>
      <c r="E51" s="1700"/>
      <c r="F51" s="1701">
        <v>1</v>
      </c>
      <c r="G51" s="1702">
        <f t="shared" si="8"/>
        <v>0</v>
      </c>
      <c r="H51" s="1703"/>
      <c r="I51" s="2269"/>
    </row>
    <row r="52" spans="1:9" ht="66">
      <c r="A52" s="2271"/>
      <c r="B52" s="1721">
        <f t="shared" si="7"/>
        <v>45</v>
      </c>
      <c r="C52" s="1722" t="s">
        <v>4934</v>
      </c>
      <c r="D52" s="1723"/>
      <c r="E52" s="1724"/>
      <c r="F52" s="1725">
        <v>1</v>
      </c>
      <c r="G52" s="1726">
        <f t="shared" si="8"/>
        <v>0</v>
      </c>
      <c r="H52" s="1727"/>
      <c r="I52" s="2269"/>
    </row>
    <row r="53" spans="1:9" ht="49.5">
      <c r="A53" s="2254" t="s">
        <v>3491</v>
      </c>
      <c r="B53" s="1682">
        <f t="shared" si="7"/>
        <v>46</v>
      </c>
      <c r="C53" s="1683" t="s">
        <v>4935</v>
      </c>
      <c r="D53" s="1744"/>
      <c r="E53" s="1745"/>
      <c r="F53" s="1746">
        <v>1</v>
      </c>
      <c r="G53" s="1747">
        <f t="shared" si="8"/>
        <v>0</v>
      </c>
      <c r="H53" s="1748"/>
      <c r="I53" s="2269"/>
    </row>
    <row r="54" spans="1:9" ht="49.5">
      <c r="A54" s="2267" t="s">
        <v>3525</v>
      </c>
      <c r="B54" s="1749">
        <f t="shared" si="7"/>
        <v>47</v>
      </c>
      <c r="C54" s="1683" t="s">
        <v>4936</v>
      </c>
      <c r="D54" s="1692"/>
      <c r="E54" s="1693"/>
      <c r="F54" s="1686">
        <v>1</v>
      </c>
      <c r="G54" s="1685">
        <f t="shared" si="8"/>
        <v>0</v>
      </c>
      <c r="H54" s="1691"/>
      <c r="I54" s="2269"/>
    </row>
    <row r="55" spans="1:9" ht="33.75" thickBot="1">
      <c r="A55" s="2274"/>
      <c r="B55" s="1697">
        <f t="shared" si="7"/>
        <v>48</v>
      </c>
      <c r="C55" s="1698" t="s">
        <v>4937</v>
      </c>
      <c r="D55" s="1699"/>
      <c r="E55" s="1700"/>
      <c r="F55" s="1701">
        <v>1</v>
      </c>
      <c r="G55" s="1702">
        <f t="shared" si="8"/>
        <v>0</v>
      </c>
      <c r="H55" s="1703"/>
      <c r="I55" s="2269"/>
    </row>
    <row r="56" spans="1:9" ht="16.5">
      <c r="A56" s="2271"/>
      <c r="B56" s="1721">
        <f>B55+1</f>
        <v>49</v>
      </c>
      <c r="C56" s="1728" t="s">
        <v>4938</v>
      </c>
      <c r="D56" s="1750" t="str">
        <f>"自有資本額：第"&amp;B42&amp;"列至第"&amp;B51&amp;"列合計扣除第"&amp;B52&amp;"列至第"&amp;B56-1&amp;"列合計後之數額"</f>
        <v>自有資本額：第35列至第44列合計扣除第45列至第48列合計後之數額</v>
      </c>
      <c r="E56" s="1751"/>
      <c r="F56" s="1752"/>
      <c r="G56" s="1753" t="e">
        <f ca="1">G42+SUM(G43:G51)-SUM(G52:G55)</f>
        <v>#DIV/0!</v>
      </c>
      <c r="H56" s="1727"/>
      <c r="I56" s="2269"/>
    </row>
    <row r="57" spans="1:9" ht="16.5">
      <c r="A57" s="2271" t="s">
        <v>3491</v>
      </c>
      <c r="B57" s="1754">
        <f t="shared" si="7"/>
        <v>50</v>
      </c>
      <c r="C57" s="1755" t="s">
        <v>4939</v>
      </c>
      <c r="D57" s="1756" t="str">
        <f>"自有資本：Min(第"&amp;B56&amp;"列扣除第"&amp;B42&amp;"列後之自有資本額,第"&amp;B8&amp;"列限額)"</f>
        <v>自有資本：Min(第49列扣除第35列後之自有資本額,第3列限額)</v>
      </c>
      <c r="E57" s="1757"/>
      <c r="F57" s="1758"/>
      <c r="G57" s="1759" t="e">
        <f ca="1">G42+MIN(SUM(G43:G51)-SUM(G52:G55),G8)</f>
        <v>#DIV/0!</v>
      </c>
      <c r="H57" s="1691"/>
      <c r="I57" s="2269"/>
    </row>
    <row r="58" spans="1:9" ht="17.25" thickBot="1">
      <c r="A58" s="2275"/>
      <c r="B58" s="1760">
        <f t="shared" si="7"/>
        <v>51</v>
      </c>
      <c r="C58" s="1761" t="s">
        <v>4940</v>
      </c>
      <c r="D58" s="1762" t="str">
        <f>"自有資本額：第"&amp;B56&amp;"列扣除第"&amp;B57&amp;"列"</f>
        <v>自有資本額：第49列扣除第50列</v>
      </c>
      <c r="E58" s="1763"/>
      <c r="F58" s="1764"/>
      <c r="G58" s="1765" t="e">
        <f ca="1">G56-G57</f>
        <v>#DIV/0!</v>
      </c>
      <c r="H58" s="1738"/>
      <c r="I58" s="2269"/>
    </row>
    <row r="59" spans="1:9" ht="17.25" thickBot="1">
      <c r="A59" s="2276"/>
      <c r="B59" s="1766">
        <f>B58+1</f>
        <v>52</v>
      </c>
      <c r="C59" s="1767" t="s">
        <v>4941</v>
      </c>
      <c r="D59" s="1768" t="str">
        <f>"自有資本額：第"&amp;B32&amp;"列加第"&amp;B41&amp;"加第"&amp;B57&amp;"列"</f>
        <v>自有資本額：第25列加第34加第50列</v>
      </c>
      <c r="E59" s="1769"/>
      <c r="F59" s="1770"/>
      <c r="G59" s="1771" t="e">
        <f ca="1">G32+G41+G57</f>
        <v>#DIV/0!</v>
      </c>
      <c r="H59" s="1772"/>
      <c r="I59" s="2269"/>
    </row>
    <row r="61" spans="1:9" ht="17.25" thickBot="1">
      <c r="B61" s="1775" t="s">
        <v>4942</v>
      </c>
      <c r="G61" s="1776" t="s">
        <v>4943</v>
      </c>
      <c r="H61" s="1777"/>
    </row>
    <row r="62" spans="1:9" ht="17.25" thickBot="1">
      <c r="B62" s="1778" t="s">
        <v>4258</v>
      </c>
      <c r="C62" s="1779" t="s">
        <v>4944</v>
      </c>
      <c r="D62" s="1779" t="s">
        <v>4880</v>
      </c>
      <c r="E62" s="1780" t="s">
        <v>3493</v>
      </c>
      <c r="G62" s="1781" t="s">
        <v>4945</v>
      </c>
      <c r="H62" s="2913">
        <v>114</v>
      </c>
    </row>
    <row r="63" spans="1:9" ht="33.75" customHeight="1">
      <c r="B63" s="1782">
        <f>B59+1</f>
        <v>53</v>
      </c>
      <c r="C63" s="1783" t="s">
        <v>4946</v>
      </c>
      <c r="D63" s="1784" t="s">
        <v>4947</v>
      </c>
      <c r="E63" s="1785">
        <f>'表30-8-3'!D6</f>
        <v>0</v>
      </c>
      <c r="F63" s="1786"/>
      <c r="G63" s="1787">
        <v>112</v>
      </c>
      <c r="H63" s="1788">
        <v>0.25</v>
      </c>
    </row>
    <row r="64" spans="1:9" ht="33.75" customHeight="1">
      <c r="B64" s="1682">
        <f>B63+1</f>
        <v>54</v>
      </c>
      <c r="C64" s="1718" t="s">
        <v>4948</v>
      </c>
      <c r="D64" s="1695" t="s">
        <v>4949</v>
      </c>
      <c r="E64" s="1789">
        <f>'表30-8-3'!B6</f>
        <v>0</v>
      </c>
      <c r="F64" s="1786"/>
      <c r="G64" s="1790">
        <v>113</v>
      </c>
      <c r="H64" s="1791">
        <v>0.5</v>
      </c>
    </row>
    <row r="65" spans="2:12" ht="33.75" customHeight="1">
      <c r="B65" s="1682">
        <f>B64+1</f>
        <v>55</v>
      </c>
      <c r="C65" s="1718" t="s">
        <v>4900</v>
      </c>
      <c r="D65" s="1695" t="s">
        <v>4950</v>
      </c>
      <c r="E65" s="1789">
        <f>'表30-8-3'!C6</f>
        <v>0</v>
      </c>
      <c r="F65" s="1786"/>
      <c r="G65" s="1790">
        <v>114</v>
      </c>
      <c r="H65" s="1791">
        <v>0.75</v>
      </c>
    </row>
    <row r="66" spans="2:12" ht="33.75" customHeight="1" thickBot="1">
      <c r="B66" s="1760">
        <f>B65+1</f>
        <v>56</v>
      </c>
      <c r="C66" s="1761" t="s">
        <v>4951</v>
      </c>
      <c r="D66" s="1792" t="str">
        <f>"第"&amp;B63&amp;"列至第"&amp;B65&amp;"列合計"</f>
        <v>第53列至第55列合計</v>
      </c>
      <c r="E66" s="1793">
        <f>SUM(E63:E65)</f>
        <v>0</v>
      </c>
      <c r="F66" s="1786"/>
      <c r="G66" s="1794">
        <v>115</v>
      </c>
      <c r="H66" s="1795">
        <v>1</v>
      </c>
    </row>
    <row r="67" spans="2:12" ht="33" customHeight="1">
      <c r="D67" s="2277"/>
      <c r="E67" s="2278"/>
      <c r="F67" s="1773"/>
      <c r="I67" s="2269"/>
    </row>
    <row r="68" spans="2:12" ht="16.5">
      <c r="B68" s="2279" t="s">
        <v>5744</v>
      </c>
      <c r="C68" s="2233"/>
      <c r="D68" s="2233"/>
      <c r="E68" s="2233"/>
      <c r="F68" s="1786"/>
      <c r="G68" s="2280"/>
      <c r="I68" s="2281"/>
      <c r="J68" s="2282"/>
      <c r="L68" s="2283"/>
    </row>
    <row r="69" spans="2:12" ht="16.5">
      <c r="B69" s="2284" t="s">
        <v>5745</v>
      </c>
      <c r="F69" s="2233"/>
      <c r="G69" s="2233"/>
    </row>
    <row r="70" spans="2:12" ht="16.5">
      <c r="B70" s="2279" t="s">
        <v>5746</v>
      </c>
    </row>
    <row r="72" spans="2:12">
      <c r="C72" s="2279"/>
    </row>
    <row r="73" spans="2:12">
      <c r="C73" s="2279"/>
    </row>
    <row r="74" spans="2:12">
      <c r="C74" s="2279"/>
    </row>
    <row r="75" spans="2:12">
      <c r="C75" s="2279"/>
    </row>
  </sheetData>
  <phoneticPr fontId="7" type="noConversion"/>
  <printOptions horizontalCentered="1"/>
  <pageMargins left="0.31496062992125984" right="0.31496062992125984" top="0.3" bottom="0.33" header="0.2" footer="0.2"/>
  <pageSetup paperSize="9" scale="4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17">
    <pageSetUpPr fitToPage="1"/>
  </sheetPr>
  <dimension ref="A1:P35"/>
  <sheetViews>
    <sheetView workbookViewId="0">
      <pane xSplit="3" topLeftCell="G1" activePane="topRight" state="frozen"/>
      <selection activeCell="G28" sqref="G28"/>
      <selection pane="topRight"/>
    </sheetView>
  </sheetViews>
  <sheetFormatPr defaultColWidth="15.625" defaultRowHeight="15.75"/>
  <cols>
    <col min="1" max="1" width="5.625" style="1369" customWidth="1"/>
    <col min="2" max="2" width="15.625" style="1369" customWidth="1"/>
    <col min="3" max="3" width="35.625" style="1369" customWidth="1"/>
    <col min="4" max="16384" width="15.625" style="1369"/>
  </cols>
  <sheetData>
    <row r="1" spans="1:16" s="1351" customFormat="1" ht="16.5">
      <c r="A1" s="1199" t="str">
        <f>+封面!A3&amp;" "&amp;封面!A2</f>
        <v xml:space="preserve">        保險股份有限公司(○○分公司) 年度(月、季、半年)報表</v>
      </c>
      <c r="B1" s="2073"/>
      <c r="C1" s="2073"/>
      <c r="D1" s="2073"/>
      <c r="E1" s="2073"/>
      <c r="F1" s="2073"/>
    </row>
    <row r="2" spans="1:16" s="1351" customFormat="1" ht="16.5">
      <c r="A2" s="2074" t="s">
        <v>5364</v>
      </c>
      <c r="B2" s="2074"/>
      <c r="C2" s="2074"/>
      <c r="D2" s="2074"/>
      <c r="E2" s="2074"/>
      <c r="F2" s="2074"/>
      <c r="G2" s="1230"/>
      <c r="M2" s="2075"/>
      <c r="P2" s="2076" t="s">
        <v>4972</v>
      </c>
    </row>
    <row r="3" spans="1:16" s="1351" customFormat="1">
      <c r="A3" s="3213" t="s">
        <v>4064</v>
      </c>
      <c r="B3" s="3214" t="s">
        <v>4066</v>
      </c>
      <c r="C3" s="3214"/>
      <c r="D3" s="3217" t="s">
        <v>4195</v>
      </c>
      <c r="E3" s="3218"/>
      <c r="F3" s="3218"/>
      <c r="G3" s="3219"/>
      <c r="H3" s="3217" t="s">
        <v>4196</v>
      </c>
      <c r="I3" s="3218"/>
      <c r="J3" s="3218"/>
      <c r="K3" s="3219"/>
      <c r="L3" s="3217" t="s">
        <v>5365</v>
      </c>
      <c r="M3" s="3218"/>
      <c r="N3" s="3218"/>
      <c r="O3" s="3219"/>
      <c r="P3" s="3214" t="s">
        <v>5197</v>
      </c>
    </row>
    <row r="4" spans="1:16" s="1351" customFormat="1" ht="49.5">
      <c r="A4" s="3213"/>
      <c r="B4" s="3214"/>
      <c r="C4" s="3214"/>
      <c r="D4" s="1889" t="s">
        <v>3872</v>
      </c>
      <c r="E4" s="1889" t="s">
        <v>5366</v>
      </c>
      <c r="F4" s="2077" t="s">
        <v>4198</v>
      </c>
      <c r="G4" s="2077" t="s">
        <v>4199</v>
      </c>
      <c r="H4" s="1889" t="s">
        <v>3872</v>
      </c>
      <c r="I4" s="1889" t="s">
        <v>5366</v>
      </c>
      <c r="J4" s="2077" t="s">
        <v>4198</v>
      </c>
      <c r="K4" s="2077" t="s">
        <v>4199</v>
      </c>
      <c r="L4" s="1889" t="s">
        <v>3872</v>
      </c>
      <c r="M4" s="1889" t="s">
        <v>5366</v>
      </c>
      <c r="N4" s="2077" t="s">
        <v>4198</v>
      </c>
      <c r="O4" s="2077" t="s">
        <v>4199</v>
      </c>
      <c r="P4" s="3214"/>
    </row>
    <row r="5" spans="1:16" s="1351" customFormat="1">
      <c r="A5" s="3213"/>
      <c r="B5" s="3215" t="s">
        <v>422</v>
      </c>
      <c r="C5" s="3215"/>
      <c r="D5" s="1243" t="s">
        <v>29</v>
      </c>
      <c r="E5" s="1243" t="s">
        <v>30</v>
      </c>
      <c r="F5" s="2078" t="s">
        <v>741</v>
      </c>
      <c r="G5" s="2078" t="s">
        <v>32</v>
      </c>
      <c r="H5" s="2078" t="s">
        <v>432</v>
      </c>
      <c r="I5" s="2078" t="s">
        <v>175</v>
      </c>
      <c r="J5" s="2078" t="s">
        <v>176</v>
      </c>
      <c r="K5" s="2078" t="s">
        <v>177</v>
      </c>
      <c r="L5" s="2078" t="s">
        <v>178</v>
      </c>
      <c r="M5" s="2078" t="s">
        <v>179</v>
      </c>
      <c r="N5" s="2078" t="s">
        <v>180</v>
      </c>
      <c r="O5" s="2078" t="s">
        <v>416</v>
      </c>
      <c r="P5" s="2078" t="s">
        <v>417</v>
      </c>
    </row>
    <row r="6" spans="1:16" s="1351" customFormat="1" ht="16.5">
      <c r="A6" s="1891">
        <v>1</v>
      </c>
      <c r="B6" s="3216" t="s">
        <v>5367</v>
      </c>
      <c r="C6" s="1357" t="s">
        <v>5368</v>
      </c>
      <c r="D6" s="2079"/>
      <c r="E6" s="2080"/>
      <c r="F6" s="2079"/>
      <c r="G6" s="2079"/>
      <c r="H6" s="2079"/>
      <c r="I6" s="2080"/>
      <c r="J6" s="2079"/>
      <c r="K6" s="2079"/>
      <c r="L6" s="2079"/>
      <c r="M6" s="2080"/>
      <c r="N6" s="2079"/>
      <c r="O6" s="2079"/>
      <c r="P6" s="2081"/>
    </row>
    <row r="7" spans="1:16" s="1351" customFormat="1" ht="16.5">
      <c r="A7" s="1891">
        <v>2</v>
      </c>
      <c r="B7" s="3216"/>
      <c r="C7" s="1357" t="s">
        <v>5369</v>
      </c>
      <c r="D7" s="2079"/>
      <c r="E7" s="2080"/>
      <c r="F7" s="2079"/>
      <c r="G7" s="2079"/>
      <c r="H7" s="2079"/>
      <c r="I7" s="2080"/>
      <c r="J7" s="2079"/>
      <c r="K7" s="2079"/>
      <c r="L7" s="2079"/>
      <c r="M7" s="2080"/>
      <c r="N7" s="2079"/>
      <c r="O7" s="2079"/>
      <c r="P7" s="2081"/>
    </row>
    <row r="8" spans="1:16" s="1351" customFormat="1" ht="16.5">
      <c r="A8" s="1891">
        <v>3</v>
      </c>
      <c r="B8" s="3216"/>
      <c r="C8" s="1357" t="s">
        <v>5370</v>
      </c>
      <c r="D8" s="2079"/>
      <c r="E8" s="2080"/>
      <c r="F8" s="2079"/>
      <c r="G8" s="2079"/>
      <c r="H8" s="2079"/>
      <c r="I8" s="2080"/>
      <c r="J8" s="2079"/>
      <c r="K8" s="2079"/>
      <c r="L8" s="2079"/>
      <c r="M8" s="2080"/>
      <c r="N8" s="2079"/>
      <c r="O8" s="2079"/>
      <c r="P8" s="2081"/>
    </row>
    <row r="9" spans="1:16" s="1351" customFormat="1" ht="16.5">
      <c r="A9" s="1891">
        <v>4</v>
      </c>
      <c r="B9" s="3216"/>
      <c r="C9" s="1357" t="s">
        <v>5371</v>
      </c>
      <c r="D9" s="2079"/>
      <c r="E9" s="2080"/>
      <c r="F9" s="2079"/>
      <c r="G9" s="2079"/>
      <c r="H9" s="2079"/>
      <c r="I9" s="2080"/>
      <c r="J9" s="2079"/>
      <c r="K9" s="2079"/>
      <c r="L9" s="2079"/>
      <c r="M9" s="2080"/>
      <c r="N9" s="2079"/>
      <c r="O9" s="2079"/>
      <c r="P9" s="2081"/>
    </row>
    <row r="10" spans="1:16" s="1351" customFormat="1" ht="16.5">
      <c r="A10" s="1891">
        <v>5</v>
      </c>
      <c r="B10" s="3216"/>
      <c r="C10" s="1357" t="s">
        <v>5372</v>
      </c>
      <c r="D10" s="2079"/>
      <c r="E10" s="2080"/>
      <c r="F10" s="2079"/>
      <c r="G10" s="2079"/>
      <c r="H10" s="2079"/>
      <c r="I10" s="2080"/>
      <c r="J10" s="2079"/>
      <c r="K10" s="2079"/>
      <c r="L10" s="2079"/>
      <c r="M10" s="2080"/>
      <c r="N10" s="2079"/>
      <c r="O10" s="2079"/>
      <c r="P10" s="2081"/>
    </row>
    <row r="11" spans="1:16" s="1351" customFormat="1" ht="16.5">
      <c r="A11" s="1891">
        <v>6</v>
      </c>
      <c r="B11" s="3216"/>
      <c r="C11" s="1357" t="s">
        <v>5373</v>
      </c>
      <c r="D11" s="2079"/>
      <c r="E11" s="2080"/>
      <c r="F11" s="2079"/>
      <c r="G11" s="2079"/>
      <c r="H11" s="2079"/>
      <c r="I11" s="2080"/>
      <c r="J11" s="2079"/>
      <c r="K11" s="2079"/>
      <c r="L11" s="2079"/>
      <c r="M11" s="2080"/>
      <c r="N11" s="2079"/>
      <c r="O11" s="2079"/>
      <c r="P11" s="2081"/>
    </row>
    <row r="12" spans="1:16" s="1351" customFormat="1" ht="16.5">
      <c r="A12" s="1891">
        <v>7</v>
      </c>
      <c r="B12" s="3216"/>
      <c r="C12" s="1357" t="s">
        <v>5374</v>
      </c>
      <c r="D12" s="2079"/>
      <c r="E12" s="2080"/>
      <c r="F12" s="2079"/>
      <c r="G12" s="2079"/>
      <c r="H12" s="2079"/>
      <c r="I12" s="2080"/>
      <c r="J12" s="2079"/>
      <c r="K12" s="2079"/>
      <c r="L12" s="2079"/>
      <c r="M12" s="2080"/>
      <c r="N12" s="2079"/>
      <c r="O12" s="2079"/>
      <c r="P12" s="2081"/>
    </row>
    <row r="13" spans="1:16" s="1351" customFormat="1" ht="16.5">
      <c r="A13" s="1891">
        <v>8</v>
      </c>
      <c r="B13" s="3216"/>
      <c r="C13" s="1357" t="s">
        <v>5375</v>
      </c>
      <c r="D13" s="2079"/>
      <c r="E13" s="2080"/>
      <c r="F13" s="2079"/>
      <c r="G13" s="2079"/>
      <c r="H13" s="2082"/>
      <c r="I13" s="2083"/>
      <c r="J13" s="2082"/>
      <c r="K13" s="2082"/>
      <c r="L13" s="2079"/>
      <c r="M13" s="2080"/>
      <c r="N13" s="2079"/>
      <c r="O13" s="2079"/>
      <c r="P13" s="2081"/>
    </row>
    <row r="14" spans="1:16" s="1351" customFormat="1" ht="16.5">
      <c r="A14" s="1891">
        <v>9</v>
      </c>
      <c r="B14" s="3216"/>
      <c r="C14" s="1357" t="s">
        <v>5376</v>
      </c>
      <c r="D14" s="2079"/>
      <c r="E14" s="2080"/>
      <c r="F14" s="2079"/>
      <c r="G14" s="2079"/>
      <c r="H14" s="2082"/>
      <c r="I14" s="2083"/>
      <c r="J14" s="2082"/>
      <c r="K14" s="2082"/>
      <c r="L14" s="2079"/>
      <c r="M14" s="2080"/>
      <c r="N14" s="2079"/>
      <c r="O14" s="2079"/>
      <c r="P14" s="2081"/>
    </row>
    <row r="15" spans="1:16" s="1351" customFormat="1" ht="16.5">
      <c r="A15" s="1891">
        <v>10</v>
      </c>
      <c r="B15" s="3216"/>
      <c r="C15" s="1357" t="s">
        <v>4030</v>
      </c>
      <c r="D15" s="2079"/>
      <c r="E15" s="2080"/>
      <c r="F15" s="2079"/>
      <c r="G15" s="2079"/>
      <c r="H15" s="2079"/>
      <c r="I15" s="2080"/>
      <c r="J15" s="2079"/>
      <c r="K15" s="2079"/>
      <c r="L15" s="2079"/>
      <c r="M15" s="2080"/>
      <c r="N15" s="2079"/>
      <c r="O15" s="2079"/>
      <c r="P15" s="2081"/>
    </row>
    <row r="16" spans="1:16" s="1351" customFormat="1" ht="16.5">
      <c r="A16" s="1891">
        <v>11</v>
      </c>
      <c r="B16" s="3216"/>
      <c r="C16" s="1357" t="s">
        <v>5377</v>
      </c>
      <c r="D16" s="2079"/>
      <c r="E16" s="2080"/>
      <c r="F16" s="2079"/>
      <c r="G16" s="2079"/>
      <c r="H16" s="2079"/>
      <c r="I16" s="2080"/>
      <c r="J16" s="2079"/>
      <c r="K16" s="2079"/>
      <c r="L16" s="2079"/>
      <c r="M16" s="2080"/>
      <c r="N16" s="2079"/>
      <c r="O16" s="2079"/>
      <c r="P16" s="2081"/>
    </row>
    <row r="17" spans="1:16" s="1351" customFormat="1" ht="16.5">
      <c r="A17" s="1891">
        <v>12</v>
      </c>
      <c r="B17" s="3216"/>
      <c r="C17" s="1357" t="s">
        <v>5378</v>
      </c>
      <c r="D17" s="2079"/>
      <c r="E17" s="2080"/>
      <c r="F17" s="2079"/>
      <c r="G17" s="2079"/>
      <c r="H17" s="2079"/>
      <c r="I17" s="2080"/>
      <c r="J17" s="2079"/>
      <c r="K17" s="2079"/>
      <c r="L17" s="2079"/>
      <c r="M17" s="2080"/>
      <c r="N17" s="2079"/>
      <c r="O17" s="2079"/>
      <c r="P17" s="2081"/>
    </row>
    <row r="18" spans="1:16" s="1351" customFormat="1" ht="16.5">
      <c r="A18" s="1891">
        <v>13</v>
      </c>
      <c r="B18" s="3216"/>
      <c r="C18" s="1357" t="s">
        <v>5379</v>
      </c>
      <c r="D18" s="2079"/>
      <c r="E18" s="2080"/>
      <c r="F18" s="2079"/>
      <c r="G18" s="2079"/>
      <c r="H18" s="2079"/>
      <c r="I18" s="2080"/>
      <c r="J18" s="2079"/>
      <c r="K18" s="2079"/>
      <c r="L18" s="2079"/>
      <c r="M18" s="2080"/>
      <c r="N18" s="2079"/>
      <c r="O18" s="2079"/>
      <c r="P18" s="2081"/>
    </row>
    <row r="19" spans="1:16" s="1351" customFormat="1">
      <c r="A19" s="1891">
        <v>14</v>
      </c>
      <c r="B19" s="3216"/>
      <c r="C19" s="1371" t="s">
        <v>727</v>
      </c>
      <c r="D19" s="2079"/>
      <c r="E19" s="2080"/>
      <c r="F19" s="2079"/>
      <c r="G19" s="2079"/>
      <c r="H19" s="2079"/>
      <c r="I19" s="2080"/>
      <c r="J19" s="2079"/>
      <c r="K19" s="2079"/>
      <c r="L19" s="2079"/>
      <c r="M19" s="2080"/>
      <c r="N19" s="2079"/>
      <c r="O19" s="2079"/>
      <c r="P19" s="2081"/>
    </row>
    <row r="20" spans="1:16" s="1351" customFormat="1" ht="16.5">
      <c r="A20" s="1891">
        <v>15</v>
      </c>
      <c r="B20" s="3216"/>
      <c r="C20" s="1357" t="s">
        <v>4032</v>
      </c>
      <c r="D20" s="2079"/>
      <c r="E20" s="2080"/>
      <c r="F20" s="2079"/>
      <c r="G20" s="2079"/>
      <c r="H20" s="2079"/>
      <c r="I20" s="2080"/>
      <c r="J20" s="2079"/>
      <c r="K20" s="2079"/>
      <c r="L20" s="2079"/>
      <c r="M20" s="2080"/>
      <c r="N20" s="2079"/>
      <c r="O20" s="2079"/>
      <c r="P20" s="2081"/>
    </row>
    <row r="21" spans="1:16" s="1351" customFormat="1" ht="16.5">
      <c r="A21" s="1891">
        <v>16</v>
      </c>
      <c r="B21" s="3216" t="s">
        <v>4200</v>
      </c>
      <c r="C21" s="1357" t="s">
        <v>5380</v>
      </c>
      <c r="D21" s="2079"/>
      <c r="E21" s="2080"/>
      <c r="F21" s="2079"/>
      <c r="G21" s="2079"/>
      <c r="H21" s="2079"/>
      <c r="I21" s="2080"/>
      <c r="J21" s="2079"/>
      <c r="K21" s="2079"/>
      <c r="L21" s="2079"/>
      <c r="M21" s="2080"/>
      <c r="N21" s="2079"/>
      <c r="O21" s="2079"/>
      <c r="P21" s="2081"/>
    </row>
    <row r="22" spans="1:16" s="1351" customFormat="1" ht="16.5">
      <c r="A22" s="1891">
        <v>17</v>
      </c>
      <c r="B22" s="3216"/>
      <c r="C22" s="1357" t="s">
        <v>5381</v>
      </c>
      <c r="D22" s="2079"/>
      <c r="E22" s="2080"/>
      <c r="F22" s="2079"/>
      <c r="G22" s="2079"/>
      <c r="H22" s="2079"/>
      <c r="I22" s="2080"/>
      <c r="J22" s="2079"/>
      <c r="K22" s="2079"/>
      <c r="L22" s="2079"/>
      <c r="M22" s="2080"/>
      <c r="N22" s="2079"/>
      <c r="O22" s="2079"/>
      <c r="P22" s="2081"/>
    </row>
    <row r="23" spans="1:16" s="1351" customFormat="1" ht="16.5">
      <c r="A23" s="1891">
        <v>18</v>
      </c>
      <c r="B23" s="3223" t="s">
        <v>4218</v>
      </c>
      <c r="C23" s="1246" t="s">
        <v>5341</v>
      </c>
      <c r="D23" s="2079"/>
      <c r="E23" s="2080"/>
      <c r="F23" s="2079"/>
      <c r="G23" s="2079"/>
      <c r="H23" s="2079"/>
      <c r="I23" s="2080"/>
      <c r="J23" s="2079"/>
      <c r="K23" s="2079"/>
      <c r="L23" s="2079"/>
      <c r="M23" s="2080"/>
      <c r="N23" s="2079"/>
      <c r="O23" s="2079"/>
      <c r="P23" s="2081"/>
    </row>
    <row r="24" spans="1:16" s="1351" customFormat="1" ht="16.5">
      <c r="A24" s="1891">
        <v>19</v>
      </c>
      <c r="B24" s="3223"/>
      <c r="C24" s="1995" t="s">
        <v>4219</v>
      </c>
      <c r="D24" s="2079"/>
      <c r="E24" s="2080"/>
      <c r="F24" s="2079"/>
      <c r="G24" s="2079"/>
      <c r="H24" s="2079"/>
      <c r="I24" s="2080"/>
      <c r="J24" s="2079"/>
      <c r="K24" s="2079"/>
      <c r="L24" s="2079"/>
      <c r="M24" s="2080"/>
      <c r="N24" s="2079"/>
      <c r="O24" s="2079"/>
      <c r="P24" s="2081"/>
    </row>
    <row r="25" spans="1:16" s="1351" customFormat="1" ht="16.5">
      <c r="A25" s="1891">
        <v>20</v>
      </c>
      <c r="B25" s="3223"/>
      <c r="C25" s="1995" t="s">
        <v>4223</v>
      </c>
      <c r="D25" s="2079"/>
      <c r="E25" s="2080"/>
      <c r="F25" s="2079"/>
      <c r="G25" s="2079"/>
      <c r="H25" s="2079"/>
      <c r="I25" s="2080"/>
      <c r="J25" s="2079"/>
      <c r="K25" s="2079"/>
      <c r="L25" s="2079"/>
      <c r="M25" s="2080"/>
      <c r="N25" s="2079"/>
      <c r="O25" s="2079"/>
      <c r="P25" s="2081"/>
    </row>
    <row r="26" spans="1:16" s="1351" customFormat="1" ht="16.5">
      <c r="A26" s="1891">
        <v>21</v>
      </c>
      <c r="B26" s="3223"/>
      <c r="C26" s="1371" t="s">
        <v>5342</v>
      </c>
      <c r="D26" s="2079"/>
      <c r="E26" s="2080"/>
      <c r="F26" s="2079"/>
      <c r="G26" s="2079"/>
      <c r="H26" s="2079"/>
      <c r="I26" s="2080"/>
      <c r="J26" s="2079"/>
      <c r="K26" s="2079"/>
      <c r="L26" s="2079"/>
      <c r="M26" s="2080"/>
      <c r="N26" s="2079"/>
      <c r="O26" s="2079"/>
      <c r="P26" s="2081"/>
    </row>
    <row r="27" spans="1:16" s="1351" customFormat="1" ht="16.5">
      <c r="A27" s="1891">
        <v>22</v>
      </c>
      <c r="B27" s="3223"/>
      <c r="C27" s="1992" t="s">
        <v>5382</v>
      </c>
      <c r="D27" s="2079"/>
      <c r="E27" s="2080"/>
      <c r="F27" s="2079"/>
      <c r="G27" s="2079"/>
      <c r="H27" s="2079"/>
      <c r="I27" s="2080"/>
      <c r="J27" s="2079"/>
      <c r="K27" s="2079"/>
      <c r="L27" s="2079"/>
      <c r="M27" s="2080"/>
      <c r="N27" s="2079"/>
      <c r="O27" s="2079"/>
      <c r="P27" s="2081"/>
    </row>
    <row r="28" spans="1:16" s="1351" customFormat="1">
      <c r="A28" s="1891">
        <v>23</v>
      </c>
      <c r="B28" s="3222" t="s">
        <v>5383</v>
      </c>
      <c r="C28" s="3222"/>
      <c r="D28" s="2079"/>
      <c r="E28" s="2080"/>
      <c r="F28" s="2079"/>
      <c r="G28" s="2079"/>
      <c r="H28" s="2079"/>
      <c r="I28" s="2080"/>
      <c r="J28" s="2079"/>
      <c r="K28" s="2079"/>
      <c r="L28" s="2079"/>
      <c r="M28" s="2080"/>
      <c r="N28" s="2079"/>
      <c r="O28" s="2079"/>
      <c r="P28" s="2081"/>
    </row>
    <row r="29" spans="1:16" s="1351" customFormat="1" ht="16.5" thickBot="1">
      <c r="A29" s="1253"/>
      <c r="B29" s="1196"/>
    </row>
    <row r="30" spans="1:16" s="1351" customFormat="1" ht="33">
      <c r="A30" s="2084">
        <f>A28+1</f>
        <v>24</v>
      </c>
      <c r="B30" s="3220" t="s">
        <v>5384</v>
      </c>
      <c r="C30" s="2085" t="s">
        <v>5385</v>
      </c>
      <c r="D30" s="2086"/>
      <c r="E30" s="2087"/>
      <c r="F30" s="2086"/>
      <c r="G30" s="2086"/>
      <c r="H30" s="2088"/>
      <c r="I30" s="2087"/>
      <c r="J30" s="2086"/>
      <c r="K30" s="2086"/>
      <c r="L30" s="2086"/>
      <c r="M30" s="2087"/>
      <c r="N30" s="2086"/>
      <c r="O30" s="2086"/>
      <c r="P30" s="2089"/>
    </row>
    <row r="31" spans="1:16" s="1351" customFormat="1" ht="38.25" thickBot="1">
      <c r="A31" s="2090">
        <f>A30+1</f>
        <v>25</v>
      </c>
      <c r="B31" s="3221"/>
      <c r="C31" s="2091" t="s">
        <v>5386</v>
      </c>
      <c r="D31" s="2092"/>
      <c r="E31" s="2093"/>
      <c r="F31" s="2092"/>
      <c r="G31" s="2092"/>
      <c r="H31" s="2094"/>
      <c r="I31" s="2093"/>
      <c r="J31" s="2092"/>
      <c r="K31" s="2092"/>
      <c r="L31" s="2092"/>
      <c r="M31" s="2093"/>
      <c r="N31" s="2092"/>
      <c r="O31" s="2092"/>
      <c r="P31" s="2095"/>
    </row>
    <row r="32" spans="1:16" s="1351" customFormat="1" ht="16.5">
      <c r="A32" s="1375" t="s">
        <v>4076</v>
      </c>
      <c r="B32" s="1196"/>
    </row>
    <row r="33" spans="1:2" s="1351" customFormat="1" ht="16.5">
      <c r="A33" s="1375">
        <v>1</v>
      </c>
      <c r="B33" s="1196" t="s">
        <v>5387</v>
      </c>
    </row>
    <row r="34" spans="1:2" ht="16.5">
      <c r="A34" s="2096">
        <v>2</v>
      </c>
      <c r="B34" s="2000" t="s">
        <v>5388</v>
      </c>
    </row>
    <row r="35" spans="1:2" ht="16.5">
      <c r="A35" s="2096">
        <v>3</v>
      </c>
      <c r="B35" s="2000" t="s">
        <v>5250</v>
      </c>
    </row>
  </sheetData>
  <mergeCells count="12">
    <mergeCell ref="B30:B31"/>
    <mergeCell ref="L3:O3"/>
    <mergeCell ref="B28:C28"/>
    <mergeCell ref="B21:B22"/>
    <mergeCell ref="B23:B27"/>
    <mergeCell ref="A3:A5"/>
    <mergeCell ref="P3:P4"/>
    <mergeCell ref="B5:C5"/>
    <mergeCell ref="B6:B20"/>
    <mergeCell ref="B3:C4"/>
    <mergeCell ref="D3:G3"/>
    <mergeCell ref="H3:K3"/>
  </mergeCells>
  <phoneticPr fontId="9" type="noConversion"/>
  <dataValidations count="2">
    <dataValidation type="decimal" allowBlank="1" showInputMessage="1" showErrorMessage="1" errorTitle="錯誤" error="輸入資料格式錯誤!!" sqref="E6:E28 M6:M28 I6:I28" xr:uid="{00000000-0002-0000-0600-000000000000}">
      <formula1>-999999999999999000</formula1>
      <formula2>999999999999999000</formula2>
    </dataValidation>
    <dataValidation type="whole" allowBlank="1" showInputMessage="1" showErrorMessage="1" errorTitle="錯誤" error="輸入資料格式錯誤!!" sqref="D6:D28 J6:L28 N6:O28 F6:H28" xr:uid="{00000000-0002-0000-0600-000001000000}">
      <formula1>-9.99999999999999E+28</formula1>
      <formula2>9.99999999999999E+28</formula2>
    </dataValidation>
  </dataValidations>
  <printOptions horizontalCentered="1"/>
  <pageMargins left="0.47244094488188981" right="0.47244094488188981" top="0.39370078740157483" bottom="0.39370078740157483" header="0" footer="0"/>
  <pageSetup paperSize="9" scale="52" orientation="landscape" blackAndWhite="1" r:id="rId1"/>
  <headerFooter alignWithMargins="0">
    <oddFooter>&amp;C第 &amp;P 頁，共 &amp;N 頁&amp;R&amp;A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6">
    <pageSetUpPr fitToPage="1"/>
  </sheetPr>
  <dimension ref="A1:N47"/>
  <sheetViews>
    <sheetView workbookViewId="0">
      <selection activeCell="B2" sqref="B2"/>
    </sheetView>
  </sheetViews>
  <sheetFormatPr defaultRowHeight="15.75"/>
  <cols>
    <col min="1" max="1" width="5.625" style="1813" customWidth="1"/>
    <col min="2" max="13" width="15.625" style="1813" customWidth="1"/>
    <col min="14" max="14" width="30.625" style="1813"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14" t="s">
        <v>4998</v>
      </c>
    </row>
    <row r="3" spans="1:14" s="1195" customFormat="1" ht="16.5">
      <c r="A3" s="1196" t="s">
        <v>4999</v>
      </c>
      <c r="M3" s="1824"/>
      <c r="N3" s="1824" t="s">
        <v>4774</v>
      </c>
    </row>
    <row r="4" spans="1:14" s="2229" customFormat="1" ht="49.5">
      <c r="A4" s="3831" t="s">
        <v>4064</v>
      </c>
      <c r="B4" s="1816" t="s">
        <v>5000</v>
      </c>
      <c r="C4" s="1816" t="s">
        <v>4974</v>
      </c>
      <c r="D4" s="1896" t="s">
        <v>4975</v>
      </c>
      <c r="E4" s="1896" t="s">
        <v>5001</v>
      </c>
      <c r="F4" s="1816" t="s">
        <v>4977</v>
      </c>
      <c r="G4" s="1816" t="s">
        <v>4978</v>
      </c>
      <c r="H4" s="1816" t="s">
        <v>4979</v>
      </c>
      <c r="I4" s="1895" t="s">
        <v>5002</v>
      </c>
      <c r="J4" s="1895" t="s">
        <v>5003</v>
      </c>
      <c r="K4" s="1816" t="s">
        <v>4980</v>
      </c>
      <c r="L4" s="1898" t="s">
        <v>1953</v>
      </c>
      <c r="M4" s="1898" t="s">
        <v>1957</v>
      </c>
      <c r="N4" s="1816" t="s">
        <v>4981</v>
      </c>
    </row>
    <row r="5" spans="1:14" s="2229" customFormat="1" ht="15.75" customHeight="1">
      <c r="A5" s="3832"/>
      <c r="B5" s="1816">
        <v>1</v>
      </c>
      <c r="C5" s="1816">
        <v>2</v>
      </c>
      <c r="D5" s="1816">
        <v>3</v>
      </c>
      <c r="E5" s="1816">
        <v>4</v>
      </c>
      <c r="F5" s="1816">
        <v>5</v>
      </c>
      <c r="G5" s="1816">
        <v>6</v>
      </c>
      <c r="H5" s="1816">
        <v>7</v>
      </c>
      <c r="I5" s="1895">
        <v>8</v>
      </c>
      <c r="J5" s="1895">
        <v>9</v>
      </c>
      <c r="K5" s="1895">
        <v>10</v>
      </c>
      <c r="L5" s="1895">
        <v>11</v>
      </c>
      <c r="M5" s="1895">
        <v>12</v>
      </c>
      <c r="N5" s="1895">
        <v>13</v>
      </c>
    </row>
    <row r="6" spans="1:14" s="2229" customFormat="1">
      <c r="A6" s="1816">
        <v>1</v>
      </c>
      <c r="B6" s="1818"/>
      <c r="C6" s="1818"/>
      <c r="D6" s="1818"/>
      <c r="E6" s="1818"/>
      <c r="F6" s="1818"/>
      <c r="G6" s="1818"/>
      <c r="H6" s="1818"/>
      <c r="I6" s="1818"/>
      <c r="J6" s="1818"/>
      <c r="K6" s="1818"/>
      <c r="L6" s="1818"/>
      <c r="M6" s="1818"/>
      <c r="N6" s="1818"/>
    </row>
    <row r="7" spans="1:14" s="2229" customFormat="1">
      <c r="A7" s="1816">
        <f t="shared" ref="A7:A34" si="0">A6+1</f>
        <v>2</v>
      </c>
      <c r="B7" s="1818"/>
      <c r="C7" s="1818"/>
      <c r="D7" s="1818"/>
      <c r="E7" s="1818"/>
      <c r="F7" s="1818"/>
      <c r="G7" s="1818"/>
      <c r="H7" s="1818"/>
      <c r="I7" s="1818"/>
      <c r="J7" s="1818"/>
      <c r="K7" s="1818"/>
      <c r="L7" s="1818"/>
      <c r="M7" s="1818"/>
      <c r="N7" s="1818"/>
    </row>
    <row r="8" spans="1:14" s="2229" customFormat="1">
      <c r="A8" s="1816">
        <f t="shared" si="0"/>
        <v>3</v>
      </c>
      <c r="B8" s="1818"/>
      <c r="C8" s="1818"/>
      <c r="D8" s="1818"/>
      <c r="E8" s="1818"/>
      <c r="F8" s="1818"/>
      <c r="G8" s="1818"/>
      <c r="H8" s="1818"/>
      <c r="I8" s="1818"/>
      <c r="J8" s="1818"/>
      <c r="K8" s="1818"/>
      <c r="L8" s="1818"/>
      <c r="M8" s="1818"/>
      <c r="N8" s="1818"/>
    </row>
    <row r="9" spans="1:14" s="2229" customFormat="1">
      <c r="A9" s="1816">
        <f t="shared" si="0"/>
        <v>4</v>
      </c>
      <c r="B9" s="1818"/>
      <c r="C9" s="1818"/>
      <c r="D9" s="1818"/>
      <c r="E9" s="1818"/>
      <c r="F9" s="1818"/>
      <c r="G9" s="1818"/>
      <c r="H9" s="1818"/>
      <c r="I9" s="1818"/>
      <c r="J9" s="1818"/>
      <c r="K9" s="1818"/>
      <c r="L9" s="1818"/>
      <c r="M9" s="1818"/>
      <c r="N9" s="1818"/>
    </row>
    <row r="10" spans="1:14" s="2229" customFormat="1">
      <c r="A10" s="1816">
        <f t="shared" si="0"/>
        <v>5</v>
      </c>
      <c r="B10" s="1818"/>
      <c r="C10" s="1818"/>
      <c r="D10" s="1818"/>
      <c r="E10" s="1818"/>
      <c r="F10" s="1818"/>
      <c r="G10" s="1818"/>
      <c r="H10" s="1818"/>
      <c r="I10" s="1818"/>
      <c r="J10" s="1818"/>
      <c r="K10" s="1818"/>
      <c r="L10" s="1818"/>
      <c r="M10" s="1818"/>
      <c r="N10" s="1818"/>
    </row>
    <row r="11" spans="1:14" s="2229" customFormat="1">
      <c r="A11" s="1816">
        <f t="shared" si="0"/>
        <v>6</v>
      </c>
      <c r="B11" s="1818"/>
      <c r="C11" s="1818"/>
      <c r="D11" s="1818"/>
      <c r="E11" s="1818"/>
      <c r="F11" s="1818"/>
      <c r="G11" s="1818"/>
      <c r="H11" s="1818"/>
      <c r="I11" s="1818"/>
      <c r="J11" s="1818"/>
      <c r="K11" s="1818"/>
      <c r="L11" s="1818"/>
      <c r="M11" s="1818"/>
      <c r="N11" s="1818"/>
    </row>
    <row r="12" spans="1:14" s="2229" customFormat="1">
      <c r="A12" s="1816">
        <f t="shared" si="0"/>
        <v>7</v>
      </c>
      <c r="B12" s="1818"/>
      <c r="C12" s="1818"/>
      <c r="D12" s="1818"/>
      <c r="E12" s="1818"/>
      <c r="F12" s="1818"/>
      <c r="G12" s="1818"/>
      <c r="H12" s="1818"/>
      <c r="I12" s="1818"/>
      <c r="J12" s="1818"/>
      <c r="K12" s="1818"/>
      <c r="L12" s="1818"/>
      <c r="M12" s="1818"/>
      <c r="N12" s="1818"/>
    </row>
    <row r="13" spans="1:14" s="2229" customFormat="1">
      <c r="A13" s="1816">
        <f t="shared" si="0"/>
        <v>8</v>
      </c>
      <c r="B13" s="1818"/>
      <c r="C13" s="1818"/>
      <c r="D13" s="1818"/>
      <c r="E13" s="1818"/>
      <c r="F13" s="1818"/>
      <c r="G13" s="1818"/>
      <c r="H13" s="1818"/>
      <c r="I13" s="1818"/>
      <c r="J13" s="1818"/>
      <c r="K13" s="1818"/>
      <c r="L13" s="1818"/>
      <c r="M13" s="1818"/>
      <c r="N13" s="1818"/>
    </row>
    <row r="14" spans="1:14" s="2229" customFormat="1">
      <c r="A14" s="1816">
        <f t="shared" si="0"/>
        <v>9</v>
      </c>
      <c r="B14" s="1818"/>
      <c r="C14" s="1818"/>
      <c r="D14" s="1818"/>
      <c r="E14" s="1818"/>
      <c r="F14" s="1818"/>
      <c r="G14" s="1818"/>
      <c r="H14" s="1818"/>
      <c r="I14" s="1818"/>
      <c r="J14" s="1818"/>
      <c r="K14" s="1818"/>
      <c r="L14" s="1818"/>
      <c r="M14" s="1818"/>
      <c r="N14" s="1818"/>
    </row>
    <row r="15" spans="1:14" s="2229" customFormat="1" ht="33">
      <c r="A15" s="1816">
        <f t="shared" si="0"/>
        <v>10</v>
      </c>
      <c r="B15" s="1820" t="s">
        <v>4982</v>
      </c>
      <c r="C15" s="1819"/>
      <c r="D15" s="1819"/>
      <c r="E15" s="1819"/>
      <c r="F15" s="1819"/>
      <c r="G15" s="1819"/>
      <c r="H15" s="1819"/>
      <c r="I15" s="1819"/>
      <c r="J15" s="1819"/>
      <c r="K15" s="1819"/>
      <c r="L15" s="1819"/>
      <c r="M15" s="1819"/>
      <c r="N15" s="1825" t="s">
        <v>717</v>
      </c>
    </row>
    <row r="16" spans="1:14" s="2229" customFormat="1">
      <c r="A16" s="1816">
        <f t="shared" si="0"/>
        <v>11</v>
      </c>
      <c r="B16" s="1818"/>
      <c r="C16" s="1818"/>
      <c r="D16" s="1818"/>
      <c r="E16" s="1818"/>
      <c r="F16" s="1818"/>
      <c r="G16" s="1818"/>
      <c r="H16" s="1818"/>
      <c r="I16" s="1818"/>
      <c r="J16" s="1818"/>
      <c r="K16" s="1818"/>
      <c r="L16" s="1818"/>
      <c r="M16" s="1818"/>
      <c r="N16" s="1818"/>
    </row>
    <row r="17" spans="1:14" s="2229" customFormat="1">
      <c r="A17" s="1816">
        <f t="shared" si="0"/>
        <v>12</v>
      </c>
      <c r="B17" s="1818"/>
      <c r="C17" s="1818"/>
      <c r="D17" s="1818"/>
      <c r="E17" s="1818"/>
      <c r="F17" s="1818"/>
      <c r="G17" s="1818"/>
      <c r="H17" s="1818"/>
      <c r="I17" s="1818"/>
      <c r="J17" s="1818"/>
      <c r="K17" s="1818"/>
      <c r="L17" s="1818"/>
      <c r="M17" s="1818"/>
      <c r="N17" s="1818"/>
    </row>
    <row r="18" spans="1:14" s="2229" customFormat="1">
      <c r="A18" s="1816">
        <f t="shared" si="0"/>
        <v>13</v>
      </c>
      <c r="B18" s="1818"/>
      <c r="C18" s="1818"/>
      <c r="D18" s="1818"/>
      <c r="E18" s="1818"/>
      <c r="F18" s="1818"/>
      <c r="G18" s="1818"/>
      <c r="H18" s="1818"/>
      <c r="I18" s="1818"/>
      <c r="J18" s="1818"/>
      <c r="K18" s="1818"/>
      <c r="L18" s="1818"/>
      <c r="M18" s="1818"/>
      <c r="N18" s="1818"/>
    </row>
    <row r="19" spans="1:14" s="2229" customFormat="1">
      <c r="A19" s="1816">
        <f t="shared" si="0"/>
        <v>14</v>
      </c>
      <c r="B19" s="1818"/>
      <c r="C19" s="1818"/>
      <c r="D19" s="1818"/>
      <c r="E19" s="1818"/>
      <c r="F19" s="1818"/>
      <c r="G19" s="1818"/>
      <c r="H19" s="1818"/>
      <c r="I19" s="1818"/>
      <c r="J19" s="1818"/>
      <c r="K19" s="1818"/>
      <c r="L19" s="1818"/>
      <c r="M19" s="1818"/>
      <c r="N19" s="1818"/>
    </row>
    <row r="20" spans="1:14" s="2229" customFormat="1">
      <c r="A20" s="1816">
        <f t="shared" si="0"/>
        <v>15</v>
      </c>
      <c r="B20" s="1818"/>
      <c r="C20" s="1818"/>
      <c r="D20" s="1818"/>
      <c r="E20" s="1818"/>
      <c r="F20" s="1818"/>
      <c r="G20" s="1818"/>
      <c r="H20" s="1818"/>
      <c r="I20" s="1818"/>
      <c r="J20" s="1818"/>
      <c r="K20" s="1818"/>
      <c r="L20" s="1818"/>
      <c r="M20" s="1818"/>
      <c r="N20" s="1818"/>
    </row>
    <row r="21" spans="1:14" s="2229" customFormat="1">
      <c r="A21" s="1816">
        <f t="shared" si="0"/>
        <v>16</v>
      </c>
      <c r="B21" s="1818"/>
      <c r="C21" s="1818"/>
      <c r="D21" s="1818"/>
      <c r="E21" s="1818"/>
      <c r="F21" s="1818"/>
      <c r="G21" s="1818"/>
      <c r="H21" s="1818"/>
      <c r="I21" s="1818"/>
      <c r="J21" s="1818"/>
      <c r="K21" s="1818"/>
      <c r="L21" s="1818"/>
      <c r="M21" s="1818"/>
      <c r="N21" s="1818"/>
    </row>
    <row r="22" spans="1:14" s="2229" customFormat="1">
      <c r="A22" s="1816">
        <f t="shared" si="0"/>
        <v>17</v>
      </c>
      <c r="B22" s="1818"/>
      <c r="C22" s="1818"/>
      <c r="D22" s="1818"/>
      <c r="E22" s="1818"/>
      <c r="F22" s="1818"/>
      <c r="G22" s="1818"/>
      <c r="H22" s="1818"/>
      <c r="I22" s="1818"/>
      <c r="J22" s="1818"/>
      <c r="K22" s="1818"/>
      <c r="L22" s="1818"/>
      <c r="M22" s="1818"/>
      <c r="N22" s="1818"/>
    </row>
    <row r="23" spans="1:14" s="2229" customFormat="1">
      <c r="A23" s="1816">
        <f t="shared" si="0"/>
        <v>18</v>
      </c>
      <c r="B23" s="1818"/>
      <c r="C23" s="1818"/>
      <c r="D23" s="1818"/>
      <c r="E23" s="1818"/>
      <c r="F23" s="1818"/>
      <c r="G23" s="1818"/>
      <c r="H23" s="1818"/>
      <c r="I23" s="1818"/>
      <c r="J23" s="1818"/>
      <c r="K23" s="1818"/>
      <c r="L23" s="1818"/>
      <c r="M23" s="1818"/>
      <c r="N23" s="1818"/>
    </row>
    <row r="24" spans="1:14" s="2229" customFormat="1">
      <c r="A24" s="1816">
        <f t="shared" si="0"/>
        <v>19</v>
      </c>
      <c r="B24" s="1818"/>
      <c r="C24" s="1818"/>
      <c r="D24" s="1818"/>
      <c r="E24" s="1818"/>
      <c r="F24" s="1818"/>
      <c r="G24" s="1818"/>
      <c r="H24" s="1818"/>
      <c r="I24" s="1818"/>
      <c r="J24" s="1818"/>
      <c r="K24" s="1818"/>
      <c r="L24" s="1818"/>
      <c r="M24" s="1818"/>
      <c r="N24" s="1818"/>
    </row>
    <row r="25" spans="1:14" s="2229" customFormat="1" ht="33">
      <c r="A25" s="1816">
        <f t="shared" si="0"/>
        <v>20</v>
      </c>
      <c r="B25" s="1820" t="s">
        <v>4982</v>
      </c>
      <c r="C25" s="1819"/>
      <c r="D25" s="1819"/>
      <c r="E25" s="1819"/>
      <c r="F25" s="1819"/>
      <c r="G25" s="1819"/>
      <c r="H25" s="1819"/>
      <c r="I25" s="1819"/>
      <c r="J25" s="1819"/>
      <c r="K25" s="1819"/>
      <c r="L25" s="1819"/>
      <c r="M25" s="1819"/>
      <c r="N25" s="1825" t="s">
        <v>717</v>
      </c>
    </row>
    <row r="26" spans="1:14" s="2229" customFormat="1">
      <c r="A26" s="1816">
        <f t="shared" si="0"/>
        <v>21</v>
      </c>
      <c r="B26" s="1818"/>
      <c r="C26" s="1818"/>
      <c r="D26" s="1818"/>
      <c r="E26" s="1818"/>
      <c r="F26" s="1818"/>
      <c r="G26" s="1818"/>
      <c r="H26" s="1818"/>
      <c r="I26" s="1818"/>
      <c r="J26" s="1818"/>
      <c r="K26" s="1818"/>
      <c r="L26" s="1818"/>
      <c r="M26" s="1818"/>
      <c r="N26" s="1818"/>
    </row>
    <row r="27" spans="1:14" s="2229" customFormat="1">
      <c r="A27" s="1816">
        <f t="shared" si="0"/>
        <v>22</v>
      </c>
      <c r="B27" s="1818"/>
      <c r="C27" s="1818"/>
      <c r="D27" s="1818"/>
      <c r="E27" s="1818"/>
      <c r="F27" s="1818"/>
      <c r="G27" s="1818"/>
      <c r="H27" s="1818"/>
      <c r="I27" s="1818"/>
      <c r="J27" s="1818"/>
      <c r="K27" s="1818"/>
      <c r="L27" s="1818"/>
      <c r="M27" s="1818"/>
      <c r="N27" s="1818"/>
    </row>
    <row r="28" spans="1:14" s="2229" customFormat="1">
      <c r="A28" s="1816">
        <f t="shared" si="0"/>
        <v>23</v>
      </c>
      <c r="B28" s="1818"/>
      <c r="C28" s="1818"/>
      <c r="D28" s="1818"/>
      <c r="E28" s="1818"/>
      <c r="F28" s="1818"/>
      <c r="G28" s="1818"/>
      <c r="H28" s="1818"/>
      <c r="I28" s="1818"/>
      <c r="J28" s="1818"/>
      <c r="K28" s="1818"/>
      <c r="L28" s="1818"/>
      <c r="M28" s="1818"/>
      <c r="N28" s="1818"/>
    </row>
    <row r="29" spans="1:14" s="2229" customFormat="1">
      <c r="A29" s="1816">
        <f t="shared" si="0"/>
        <v>24</v>
      </c>
      <c r="B29" s="1818"/>
      <c r="C29" s="1818"/>
      <c r="D29" s="1818"/>
      <c r="E29" s="1818"/>
      <c r="F29" s="1818"/>
      <c r="G29" s="1818"/>
      <c r="H29" s="1818"/>
      <c r="I29" s="1818"/>
      <c r="J29" s="1818"/>
      <c r="K29" s="1818"/>
      <c r="L29" s="1818"/>
      <c r="M29" s="1818"/>
      <c r="N29" s="1818"/>
    </row>
    <row r="30" spans="1:14" s="2229" customFormat="1">
      <c r="A30" s="1816">
        <f t="shared" si="0"/>
        <v>25</v>
      </c>
      <c r="B30" s="1816"/>
      <c r="C30" s="1826"/>
      <c r="D30" s="1818"/>
      <c r="E30" s="1818"/>
      <c r="F30" s="1818"/>
      <c r="G30" s="1818"/>
      <c r="H30" s="1818"/>
      <c r="I30" s="1818"/>
      <c r="J30" s="1818"/>
      <c r="K30" s="1818"/>
      <c r="L30" s="1818"/>
      <c r="M30" s="1818"/>
      <c r="N30" s="1818"/>
    </row>
    <row r="31" spans="1:14" s="2229" customFormat="1" ht="15.75" customHeight="1">
      <c r="A31" s="1816">
        <f t="shared" si="0"/>
        <v>26</v>
      </c>
      <c r="B31" s="3839" t="s">
        <v>5004</v>
      </c>
      <c r="C31" s="3833" t="s">
        <v>3499</v>
      </c>
      <c r="D31" s="3834"/>
      <c r="E31" s="3834"/>
      <c r="F31" s="3834"/>
      <c r="G31" s="3834"/>
      <c r="H31" s="3834"/>
      <c r="I31" s="3834"/>
      <c r="J31" s="3835"/>
      <c r="K31" s="1818"/>
      <c r="L31" s="1818"/>
      <c r="M31" s="1818"/>
      <c r="N31" s="1818"/>
    </row>
    <row r="32" spans="1:14" s="1526" customFormat="1" ht="16.5" customHeight="1">
      <c r="A32" s="1816">
        <f t="shared" si="0"/>
        <v>27</v>
      </c>
      <c r="B32" s="3840"/>
      <c r="C32" s="3833" t="s">
        <v>5005</v>
      </c>
      <c r="D32" s="3834"/>
      <c r="E32" s="3834"/>
      <c r="F32" s="3834"/>
      <c r="G32" s="3834"/>
      <c r="H32" s="3834"/>
      <c r="I32" s="3834"/>
      <c r="J32" s="3835"/>
      <c r="K32" s="1827"/>
      <c r="L32" s="1821"/>
      <c r="M32" s="1821"/>
      <c r="N32" s="1821"/>
    </row>
    <row r="33" spans="1:14" s="1526" customFormat="1" ht="16.5" customHeight="1">
      <c r="A33" s="1816">
        <f t="shared" si="0"/>
        <v>28</v>
      </c>
      <c r="B33" s="3841"/>
      <c r="C33" s="3833" t="s">
        <v>1868</v>
      </c>
      <c r="D33" s="3834"/>
      <c r="E33" s="3834"/>
      <c r="F33" s="3834"/>
      <c r="G33" s="3834"/>
      <c r="H33" s="3834"/>
      <c r="I33" s="3834"/>
      <c r="J33" s="3835"/>
      <c r="K33" s="1827"/>
      <c r="L33" s="1821"/>
      <c r="M33" s="1821"/>
      <c r="N33" s="1821"/>
    </row>
    <row r="34" spans="1:14" s="2229" customFormat="1" ht="16.5" customHeight="1">
      <c r="A34" s="1816">
        <f t="shared" si="0"/>
        <v>29</v>
      </c>
      <c r="B34" s="3836" t="s">
        <v>5006</v>
      </c>
      <c r="C34" s="3837"/>
      <c r="D34" s="3837"/>
      <c r="E34" s="3837"/>
      <c r="F34" s="3837"/>
      <c r="G34" s="3837"/>
      <c r="H34" s="3837"/>
      <c r="I34" s="3837"/>
      <c r="J34" s="3838"/>
      <c r="K34" s="1818"/>
      <c r="L34" s="1822"/>
      <c r="M34" s="1828"/>
      <c r="N34" s="1818"/>
    </row>
    <row r="35" spans="1:14" ht="16.5">
      <c r="A35" s="1527" t="s">
        <v>5007</v>
      </c>
    </row>
    <row r="36" spans="1:14" s="1195" customFormat="1" ht="16.5">
      <c r="A36" s="1196" t="s">
        <v>4987</v>
      </c>
    </row>
    <row r="37" spans="1:14" s="1195" customFormat="1" ht="16.5">
      <c r="A37" s="1823" t="s">
        <v>4988</v>
      </c>
    </row>
    <row r="38" spans="1:14" s="1195" customFormat="1" ht="16.5">
      <c r="A38" s="1823" t="s">
        <v>4989</v>
      </c>
    </row>
    <row r="39" spans="1:14" s="1195" customFormat="1" ht="16.5">
      <c r="A39" s="1196" t="s">
        <v>5008</v>
      </c>
      <c r="B39" s="1829"/>
    </row>
    <row r="40" spans="1:14" s="1195" customFormat="1" ht="16.5">
      <c r="A40" s="1196" t="s">
        <v>4991</v>
      </c>
    </row>
    <row r="41" spans="1:14" s="1195" customFormat="1" ht="16.5">
      <c r="A41" s="1196" t="s">
        <v>5009</v>
      </c>
    </row>
    <row r="42" spans="1:14" s="1195" customFormat="1" ht="16.5">
      <c r="A42" s="1196" t="s">
        <v>5010</v>
      </c>
    </row>
    <row r="43" spans="1:14" ht="16.5">
      <c r="A43" s="1196" t="s">
        <v>4994</v>
      </c>
      <c r="B43" s="1195"/>
    </row>
    <row r="44" spans="1:14" ht="16.5">
      <c r="A44" s="1196" t="s">
        <v>5011</v>
      </c>
      <c r="B44" s="1195"/>
    </row>
    <row r="45" spans="1:14" ht="16.5">
      <c r="A45" s="1196" t="s">
        <v>4996</v>
      </c>
      <c r="B45" s="1195"/>
    </row>
    <row r="46" spans="1:14" ht="16.5">
      <c r="A46" s="1196" t="s">
        <v>4997</v>
      </c>
    </row>
    <row r="47" spans="1:14" ht="16.5">
      <c r="A47" s="1196" t="s">
        <v>5725</v>
      </c>
    </row>
  </sheetData>
  <mergeCells count="6">
    <mergeCell ref="A4:A5"/>
    <mergeCell ref="C32:J32"/>
    <mergeCell ref="C33:J33"/>
    <mergeCell ref="B34:J34"/>
    <mergeCell ref="C31:J31"/>
    <mergeCell ref="B31:B33"/>
  </mergeCells>
  <phoneticPr fontId="7" type="noConversion"/>
  <pageMargins left="0" right="0" top="0" bottom="0" header="0" footer="0"/>
  <pageSetup paperSize="9" scale="6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7">
    <pageSetUpPr fitToPage="1"/>
  </sheetPr>
  <dimension ref="A1:N48"/>
  <sheetViews>
    <sheetView workbookViewId="0">
      <selection activeCell="A2" sqref="A2"/>
    </sheetView>
  </sheetViews>
  <sheetFormatPr defaultRowHeight="15.75"/>
  <cols>
    <col min="1" max="1" width="5.625" style="1813" customWidth="1"/>
    <col min="2" max="13" width="15.625" style="1813" customWidth="1"/>
    <col min="14" max="14" width="30.625" style="1195"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30" t="s">
        <v>4970</v>
      </c>
    </row>
    <row r="3" spans="1:14" s="1195" customFormat="1" ht="16.5">
      <c r="A3" s="1196" t="s">
        <v>4971</v>
      </c>
      <c r="N3" s="1815" t="s">
        <v>4972</v>
      </c>
    </row>
    <row r="4" spans="1:14" ht="66">
      <c r="A4" s="3831" t="s">
        <v>4064</v>
      </c>
      <c r="B4" s="1816" t="s">
        <v>4973</v>
      </c>
      <c r="C4" s="1816" t="s">
        <v>4974</v>
      </c>
      <c r="D4" s="1896" t="s">
        <v>4975</v>
      </c>
      <c r="E4" s="1816" t="s">
        <v>4976</v>
      </c>
      <c r="F4" s="1816" t="s">
        <v>4977</v>
      </c>
      <c r="G4" s="1816" t="s">
        <v>4978</v>
      </c>
      <c r="H4" s="1816" t="s">
        <v>4979</v>
      </c>
      <c r="I4" s="1817" t="s">
        <v>718</v>
      </c>
      <c r="J4" s="1817" t="s">
        <v>716</v>
      </c>
      <c r="K4" s="1895" t="s">
        <v>4980</v>
      </c>
      <c r="L4" s="1898" t="s">
        <v>1954</v>
      </c>
      <c r="M4" s="1898" t="s">
        <v>1955</v>
      </c>
      <c r="N4" s="1895" t="s">
        <v>4981</v>
      </c>
    </row>
    <row r="5" spans="1:14" ht="15.75" customHeight="1">
      <c r="A5" s="3832"/>
      <c r="B5" s="1816">
        <v>1</v>
      </c>
      <c r="C5" s="1816">
        <v>2</v>
      </c>
      <c r="D5" s="1816">
        <v>3</v>
      </c>
      <c r="E5" s="1816">
        <v>4</v>
      </c>
      <c r="F5" s="1816">
        <v>5</v>
      </c>
      <c r="G5" s="1816">
        <v>6</v>
      </c>
      <c r="H5" s="1816">
        <v>7</v>
      </c>
      <c r="I5" s="1895">
        <v>8</v>
      </c>
      <c r="J5" s="1895">
        <v>9</v>
      </c>
      <c r="K5" s="1895">
        <v>10</v>
      </c>
      <c r="L5" s="1895">
        <v>11</v>
      </c>
      <c r="M5" s="1895">
        <v>12</v>
      </c>
      <c r="N5" s="1895">
        <v>13</v>
      </c>
    </row>
    <row r="6" spans="1:14">
      <c r="A6" s="1816">
        <v>1</v>
      </c>
      <c r="B6" s="1818"/>
      <c r="C6" s="1818"/>
      <c r="D6" s="1818"/>
      <c r="E6" s="1818"/>
      <c r="F6" s="1818"/>
      <c r="G6" s="1818"/>
      <c r="H6" s="1818"/>
      <c r="I6" s="1818"/>
      <c r="J6" s="1818"/>
      <c r="K6" s="1818"/>
      <c r="L6" s="1818"/>
      <c r="M6" s="1818"/>
      <c r="N6" s="1819"/>
    </row>
    <row r="7" spans="1:14">
      <c r="A7" s="1816">
        <f t="shared" ref="A7:A35" si="0">A6+1</f>
        <v>2</v>
      </c>
      <c r="B7" s="1818"/>
      <c r="C7" s="1818"/>
      <c r="D7" s="1818"/>
      <c r="E7" s="1818"/>
      <c r="F7" s="1818"/>
      <c r="G7" s="1818"/>
      <c r="H7" s="1818"/>
      <c r="I7" s="1818"/>
      <c r="J7" s="1818"/>
      <c r="K7" s="1818"/>
      <c r="L7" s="1818"/>
      <c r="M7" s="1818"/>
      <c r="N7" s="1819"/>
    </row>
    <row r="8" spans="1:14">
      <c r="A8" s="1816">
        <f t="shared" si="0"/>
        <v>3</v>
      </c>
      <c r="B8" s="1818"/>
      <c r="C8" s="1818"/>
      <c r="D8" s="1818"/>
      <c r="E8" s="1818"/>
      <c r="F8" s="1818"/>
      <c r="G8" s="1818"/>
      <c r="H8" s="1818"/>
      <c r="I8" s="1818"/>
      <c r="J8" s="1818"/>
      <c r="K8" s="1818"/>
      <c r="L8" s="1818"/>
      <c r="M8" s="1818"/>
      <c r="N8" s="1819"/>
    </row>
    <row r="9" spans="1:14">
      <c r="A9" s="1816">
        <f t="shared" si="0"/>
        <v>4</v>
      </c>
      <c r="B9" s="1818"/>
      <c r="C9" s="1818"/>
      <c r="D9" s="1818"/>
      <c r="E9" s="1818"/>
      <c r="F9" s="1818"/>
      <c r="G9" s="1818"/>
      <c r="H9" s="1818"/>
      <c r="I9" s="1818"/>
      <c r="J9" s="1818"/>
      <c r="K9" s="1818"/>
      <c r="L9" s="1818"/>
      <c r="M9" s="1818"/>
      <c r="N9" s="1819"/>
    </row>
    <row r="10" spans="1:14">
      <c r="A10" s="1816">
        <f t="shared" si="0"/>
        <v>5</v>
      </c>
      <c r="B10" s="1818"/>
      <c r="C10" s="1818"/>
      <c r="D10" s="1818"/>
      <c r="E10" s="1818"/>
      <c r="F10" s="1818"/>
      <c r="G10" s="1818"/>
      <c r="H10" s="1818"/>
      <c r="I10" s="1818"/>
      <c r="J10" s="1818"/>
      <c r="K10" s="1818"/>
      <c r="L10" s="1818"/>
      <c r="M10" s="1818"/>
      <c r="N10" s="1819"/>
    </row>
    <row r="11" spans="1:14">
      <c r="A11" s="1816">
        <f t="shared" si="0"/>
        <v>6</v>
      </c>
      <c r="B11" s="1818"/>
      <c r="C11" s="1818"/>
      <c r="D11" s="1818"/>
      <c r="E11" s="1818"/>
      <c r="F11" s="1818"/>
      <c r="G11" s="1818"/>
      <c r="H11" s="1818"/>
      <c r="I11" s="1818"/>
      <c r="J11" s="1818"/>
      <c r="K11" s="1818"/>
      <c r="L11" s="1818"/>
      <c r="M11" s="1818"/>
      <c r="N11" s="1819"/>
    </row>
    <row r="12" spans="1:14">
      <c r="A12" s="1816">
        <f t="shared" si="0"/>
        <v>7</v>
      </c>
      <c r="B12" s="1818"/>
      <c r="C12" s="1818"/>
      <c r="D12" s="1818"/>
      <c r="E12" s="1818"/>
      <c r="F12" s="1818"/>
      <c r="G12" s="1818"/>
      <c r="H12" s="1818"/>
      <c r="I12" s="1818"/>
      <c r="J12" s="1818"/>
      <c r="K12" s="1818"/>
      <c r="L12" s="1818"/>
      <c r="M12" s="1818"/>
      <c r="N12" s="1819"/>
    </row>
    <row r="13" spans="1:14">
      <c r="A13" s="1816">
        <f t="shared" si="0"/>
        <v>8</v>
      </c>
      <c r="B13" s="1818"/>
      <c r="C13" s="1818"/>
      <c r="D13" s="1818"/>
      <c r="E13" s="1818"/>
      <c r="F13" s="1818"/>
      <c r="G13" s="1818"/>
      <c r="H13" s="1818"/>
      <c r="I13" s="1818"/>
      <c r="J13" s="1818"/>
      <c r="K13" s="1818"/>
      <c r="L13" s="1818"/>
      <c r="M13" s="1818"/>
      <c r="N13" s="1819"/>
    </row>
    <row r="14" spans="1:14">
      <c r="A14" s="1816">
        <f t="shared" si="0"/>
        <v>9</v>
      </c>
      <c r="B14" s="1818"/>
      <c r="C14" s="1818"/>
      <c r="D14" s="1818"/>
      <c r="E14" s="1818"/>
      <c r="F14" s="1818"/>
      <c r="G14" s="1818"/>
      <c r="H14" s="1818"/>
      <c r="I14" s="1818"/>
      <c r="J14" s="1818"/>
      <c r="K14" s="1818"/>
      <c r="L14" s="1818"/>
      <c r="M14" s="1818"/>
      <c r="N14" s="1819"/>
    </row>
    <row r="15" spans="1:14" ht="33">
      <c r="A15" s="1816">
        <f t="shared" si="0"/>
        <v>10</v>
      </c>
      <c r="B15" s="1820" t="s">
        <v>4982</v>
      </c>
      <c r="C15" s="1819"/>
      <c r="D15" s="1819"/>
      <c r="E15" s="1819"/>
      <c r="F15" s="1819"/>
      <c r="G15" s="1819"/>
      <c r="H15" s="1819"/>
      <c r="I15" s="1819"/>
      <c r="J15" s="1819"/>
      <c r="K15" s="1819"/>
      <c r="L15" s="1819"/>
      <c r="M15" s="1819"/>
      <c r="N15" s="1819" t="s">
        <v>4983</v>
      </c>
    </row>
    <row r="16" spans="1:14">
      <c r="A16" s="1816">
        <f t="shared" si="0"/>
        <v>11</v>
      </c>
      <c r="B16" s="1818"/>
      <c r="C16" s="1818"/>
      <c r="D16" s="1818"/>
      <c r="E16" s="1818"/>
      <c r="F16" s="1818"/>
      <c r="G16" s="1818"/>
      <c r="H16" s="1818"/>
      <c r="I16" s="1818"/>
      <c r="J16" s="1818"/>
      <c r="K16" s="1818"/>
      <c r="L16" s="1818"/>
      <c r="M16" s="1818"/>
      <c r="N16" s="1819"/>
    </row>
    <row r="17" spans="1:14">
      <c r="A17" s="1816">
        <f t="shared" si="0"/>
        <v>12</v>
      </c>
      <c r="B17" s="1818"/>
      <c r="C17" s="1818"/>
      <c r="D17" s="1818"/>
      <c r="E17" s="1818"/>
      <c r="F17" s="1818"/>
      <c r="G17" s="1818"/>
      <c r="H17" s="1818"/>
      <c r="I17" s="1818"/>
      <c r="J17" s="1818"/>
      <c r="K17" s="1818"/>
      <c r="L17" s="1818"/>
      <c r="M17" s="1818"/>
      <c r="N17" s="1819"/>
    </row>
    <row r="18" spans="1:14">
      <c r="A18" s="1816">
        <f t="shared" si="0"/>
        <v>13</v>
      </c>
      <c r="B18" s="1818"/>
      <c r="C18" s="1818"/>
      <c r="D18" s="1818"/>
      <c r="E18" s="1818"/>
      <c r="F18" s="1818"/>
      <c r="G18" s="1818"/>
      <c r="H18" s="1818"/>
      <c r="I18" s="1818"/>
      <c r="J18" s="1818"/>
      <c r="K18" s="1818"/>
      <c r="L18" s="1818"/>
      <c r="M18" s="1818"/>
      <c r="N18" s="1819"/>
    </row>
    <row r="19" spans="1:14">
      <c r="A19" s="1816">
        <f t="shared" si="0"/>
        <v>14</v>
      </c>
      <c r="B19" s="1818"/>
      <c r="C19" s="1818"/>
      <c r="D19" s="1818"/>
      <c r="E19" s="1818"/>
      <c r="F19" s="1818"/>
      <c r="G19" s="1818"/>
      <c r="H19" s="1818"/>
      <c r="I19" s="1818"/>
      <c r="J19" s="1818"/>
      <c r="K19" s="1818"/>
      <c r="L19" s="1818"/>
      <c r="M19" s="1818"/>
      <c r="N19" s="1819"/>
    </row>
    <row r="20" spans="1:14">
      <c r="A20" s="1816">
        <f t="shared" si="0"/>
        <v>15</v>
      </c>
      <c r="B20" s="1818"/>
      <c r="C20" s="1818"/>
      <c r="D20" s="1818"/>
      <c r="E20" s="1818"/>
      <c r="F20" s="1818"/>
      <c r="G20" s="1818"/>
      <c r="H20" s="1818"/>
      <c r="I20" s="1818"/>
      <c r="J20" s="1818"/>
      <c r="K20" s="1818"/>
      <c r="L20" s="1818"/>
      <c r="M20" s="1818"/>
      <c r="N20" s="1819"/>
    </row>
    <row r="21" spans="1:14">
      <c r="A21" s="1816">
        <f t="shared" si="0"/>
        <v>16</v>
      </c>
      <c r="B21" s="1818"/>
      <c r="C21" s="1818"/>
      <c r="D21" s="1818"/>
      <c r="E21" s="1818"/>
      <c r="F21" s="1818"/>
      <c r="G21" s="1818"/>
      <c r="H21" s="1818"/>
      <c r="I21" s="1818"/>
      <c r="J21" s="1818"/>
      <c r="K21" s="1818"/>
      <c r="L21" s="1818"/>
      <c r="M21" s="1818"/>
      <c r="N21" s="1819"/>
    </row>
    <row r="22" spans="1:14">
      <c r="A22" s="1816">
        <f t="shared" si="0"/>
        <v>17</v>
      </c>
      <c r="B22" s="1818"/>
      <c r="C22" s="1818"/>
      <c r="D22" s="1818"/>
      <c r="E22" s="1818"/>
      <c r="F22" s="1818"/>
      <c r="G22" s="1818"/>
      <c r="H22" s="1818"/>
      <c r="I22" s="1818"/>
      <c r="J22" s="1818"/>
      <c r="K22" s="1818"/>
      <c r="L22" s="1818"/>
      <c r="M22" s="1818"/>
      <c r="N22" s="1819"/>
    </row>
    <row r="23" spans="1:14">
      <c r="A23" s="1816">
        <f t="shared" si="0"/>
        <v>18</v>
      </c>
      <c r="B23" s="1818"/>
      <c r="C23" s="1818"/>
      <c r="D23" s="1818"/>
      <c r="E23" s="1818"/>
      <c r="F23" s="1818"/>
      <c r="G23" s="1818"/>
      <c r="H23" s="1818"/>
      <c r="I23" s="1818"/>
      <c r="J23" s="1818"/>
      <c r="K23" s="1818"/>
      <c r="L23" s="1818"/>
      <c r="M23" s="1818"/>
      <c r="N23" s="1819"/>
    </row>
    <row r="24" spans="1:14">
      <c r="A24" s="1816">
        <f t="shared" si="0"/>
        <v>19</v>
      </c>
      <c r="B24" s="1818"/>
      <c r="C24" s="1818"/>
      <c r="D24" s="1818"/>
      <c r="E24" s="1818"/>
      <c r="F24" s="1818"/>
      <c r="G24" s="1818"/>
      <c r="H24" s="1818"/>
      <c r="I24" s="1818"/>
      <c r="J24" s="1818"/>
      <c r="K24" s="1818"/>
      <c r="L24" s="1818"/>
      <c r="M24" s="1818"/>
      <c r="N24" s="1819"/>
    </row>
    <row r="25" spans="1:14" ht="33">
      <c r="A25" s="1816">
        <f t="shared" si="0"/>
        <v>20</v>
      </c>
      <c r="B25" s="1820" t="s">
        <v>4982</v>
      </c>
      <c r="C25" s="1819"/>
      <c r="D25" s="1819"/>
      <c r="E25" s="1819"/>
      <c r="F25" s="1819"/>
      <c r="G25" s="1819"/>
      <c r="H25" s="1819"/>
      <c r="I25" s="1819"/>
      <c r="J25" s="1819"/>
      <c r="K25" s="1819"/>
      <c r="L25" s="1819"/>
      <c r="M25" s="1819"/>
      <c r="N25" s="1819" t="s">
        <v>4983</v>
      </c>
    </row>
    <row r="26" spans="1:14">
      <c r="A26" s="1816">
        <f t="shared" si="0"/>
        <v>21</v>
      </c>
      <c r="B26" s="1818"/>
      <c r="C26" s="1818"/>
      <c r="D26" s="1818"/>
      <c r="E26" s="1818"/>
      <c r="F26" s="1818"/>
      <c r="G26" s="1818"/>
      <c r="H26" s="1818"/>
      <c r="I26" s="1818"/>
      <c r="J26" s="1818"/>
      <c r="K26" s="1818"/>
      <c r="L26" s="1818"/>
      <c r="M26" s="1818"/>
      <c r="N26" s="1819"/>
    </row>
    <row r="27" spans="1:14">
      <c r="A27" s="1816">
        <f t="shared" si="0"/>
        <v>22</v>
      </c>
      <c r="B27" s="1818"/>
      <c r="C27" s="1818"/>
      <c r="D27" s="1818"/>
      <c r="E27" s="1818"/>
      <c r="F27" s="1818"/>
      <c r="G27" s="1818"/>
      <c r="H27" s="1818"/>
      <c r="I27" s="1818"/>
      <c r="J27" s="1818"/>
      <c r="K27" s="1818"/>
      <c r="L27" s="1818"/>
      <c r="M27" s="1818"/>
      <c r="N27" s="1819"/>
    </row>
    <row r="28" spans="1:14">
      <c r="A28" s="1816">
        <f t="shared" si="0"/>
        <v>23</v>
      </c>
      <c r="B28" s="1818"/>
      <c r="C28" s="1818"/>
      <c r="D28" s="1818"/>
      <c r="E28" s="1818"/>
      <c r="F28" s="1818"/>
      <c r="G28" s="1818"/>
      <c r="H28" s="1818"/>
      <c r="I28" s="1818"/>
      <c r="J28" s="1818"/>
      <c r="K28" s="1818"/>
      <c r="L28" s="1818"/>
      <c r="M28" s="1818"/>
      <c r="N28" s="1819"/>
    </row>
    <row r="29" spans="1:14">
      <c r="A29" s="1816">
        <f t="shared" si="0"/>
        <v>24</v>
      </c>
      <c r="B29" s="1818"/>
      <c r="C29" s="1818"/>
      <c r="D29" s="1818"/>
      <c r="E29" s="1818"/>
      <c r="F29" s="1818"/>
      <c r="G29" s="1818"/>
      <c r="H29" s="1818"/>
      <c r="I29" s="1818"/>
      <c r="J29" s="1818"/>
      <c r="K29" s="1818"/>
      <c r="L29" s="1818"/>
      <c r="M29" s="1818"/>
      <c r="N29" s="1819"/>
    </row>
    <row r="30" spans="1:14">
      <c r="A30" s="1816">
        <f t="shared" si="0"/>
        <v>25</v>
      </c>
      <c r="B30" s="1818"/>
      <c r="C30" s="1818"/>
      <c r="D30" s="1818"/>
      <c r="E30" s="1818"/>
      <c r="F30" s="1818"/>
      <c r="G30" s="1818"/>
      <c r="H30" s="1818"/>
      <c r="I30" s="1818"/>
      <c r="J30" s="1818"/>
      <c r="K30" s="1818"/>
      <c r="L30" s="1818"/>
      <c r="M30" s="1818"/>
      <c r="N30" s="1819"/>
    </row>
    <row r="31" spans="1:14" ht="16.5" customHeight="1">
      <c r="A31" s="1816">
        <f t="shared" si="0"/>
        <v>26</v>
      </c>
      <c r="B31" s="3847" t="s">
        <v>1869</v>
      </c>
      <c r="C31" s="3833" t="s">
        <v>3500</v>
      </c>
      <c r="D31" s="3842"/>
      <c r="E31" s="3842"/>
      <c r="F31" s="3842"/>
      <c r="G31" s="3842"/>
      <c r="H31" s="3842"/>
      <c r="I31" s="3842"/>
      <c r="J31" s="3843"/>
      <c r="K31" s="1818"/>
      <c r="L31" s="1818"/>
      <c r="M31" s="1818"/>
      <c r="N31" s="1819"/>
    </row>
    <row r="32" spans="1:14" s="1526" customFormat="1" ht="15.75" customHeight="1">
      <c r="A32" s="1816">
        <f t="shared" si="0"/>
        <v>27</v>
      </c>
      <c r="B32" s="3848"/>
      <c r="C32" s="3833" t="s">
        <v>4984</v>
      </c>
      <c r="D32" s="3842"/>
      <c r="E32" s="3842"/>
      <c r="F32" s="3842"/>
      <c r="G32" s="3842"/>
      <c r="H32" s="3842"/>
      <c r="I32" s="3842"/>
      <c r="J32" s="3843"/>
      <c r="K32" s="1821"/>
      <c r="L32" s="1821"/>
      <c r="M32" s="1819"/>
      <c r="N32" s="1819"/>
    </row>
    <row r="33" spans="1:14" s="1526" customFormat="1" ht="15.75" customHeight="1">
      <c r="A33" s="1816">
        <f t="shared" si="0"/>
        <v>28</v>
      </c>
      <c r="B33" s="3848"/>
      <c r="C33" s="3833" t="s">
        <v>1870</v>
      </c>
      <c r="D33" s="3842"/>
      <c r="E33" s="3842"/>
      <c r="F33" s="3842"/>
      <c r="G33" s="3842"/>
      <c r="H33" s="3842"/>
      <c r="I33" s="3842"/>
      <c r="J33" s="3843"/>
      <c r="K33" s="1821"/>
      <c r="L33" s="1821"/>
      <c r="M33" s="1819"/>
      <c r="N33" s="1819"/>
    </row>
    <row r="34" spans="1:14" s="1526" customFormat="1" ht="15.75" customHeight="1">
      <c r="A34" s="1816">
        <f t="shared" si="0"/>
        <v>29</v>
      </c>
      <c r="B34" s="3849"/>
      <c r="C34" s="3844" t="s">
        <v>3501</v>
      </c>
      <c r="D34" s="3845"/>
      <c r="E34" s="3845"/>
      <c r="F34" s="3845"/>
      <c r="G34" s="3845"/>
      <c r="H34" s="3845"/>
      <c r="I34" s="3845"/>
      <c r="J34" s="3846"/>
      <c r="K34" s="1821"/>
      <c r="L34" s="1821"/>
      <c r="M34" s="1819"/>
      <c r="N34" s="1819"/>
    </row>
    <row r="35" spans="1:14" ht="16.5" customHeight="1">
      <c r="A35" s="1816">
        <f t="shared" si="0"/>
        <v>30</v>
      </c>
      <c r="B35" s="3836" t="s">
        <v>4985</v>
      </c>
      <c r="C35" s="3837"/>
      <c r="D35" s="3837"/>
      <c r="E35" s="3837"/>
      <c r="F35" s="3837"/>
      <c r="G35" s="3837"/>
      <c r="H35" s="3837"/>
      <c r="I35" s="3837"/>
      <c r="J35" s="3838"/>
      <c r="K35" s="1818"/>
      <c r="L35" s="1822"/>
      <c r="M35" s="1818"/>
      <c r="N35" s="1819"/>
    </row>
    <row r="36" spans="1:14" ht="16.5">
      <c r="A36" s="1527" t="s">
        <v>4986</v>
      </c>
    </row>
    <row r="37" spans="1:14" s="1195" customFormat="1" ht="16.5">
      <c r="A37" s="1196" t="s">
        <v>4987</v>
      </c>
    </row>
    <row r="38" spans="1:14" s="1195" customFormat="1" ht="16.5">
      <c r="A38" s="1823" t="s">
        <v>4988</v>
      </c>
    </row>
    <row r="39" spans="1:14" s="1195" customFormat="1" ht="16.5">
      <c r="A39" s="1823" t="s">
        <v>4989</v>
      </c>
    </row>
    <row r="40" spans="1:14" s="1195" customFormat="1" ht="16.5">
      <c r="A40" s="1196" t="s">
        <v>4990</v>
      </c>
      <c r="B40" s="1196"/>
    </row>
    <row r="41" spans="1:14" s="1195" customFormat="1" ht="16.5">
      <c r="A41" s="1527" t="s">
        <v>4991</v>
      </c>
    </row>
    <row r="42" spans="1:14" s="1195" customFormat="1" ht="16.5">
      <c r="A42" s="1527" t="s">
        <v>4992</v>
      </c>
    </row>
    <row r="43" spans="1:14" s="1195" customFormat="1" ht="16.5">
      <c r="A43" s="1196" t="s">
        <v>4993</v>
      </c>
    </row>
    <row r="44" spans="1:14" s="1195" customFormat="1" ht="16.5">
      <c r="A44" s="1196" t="s">
        <v>4994</v>
      </c>
    </row>
    <row r="45" spans="1:14" ht="16.5">
      <c r="A45" s="1527" t="s">
        <v>4995</v>
      </c>
    </row>
    <row r="46" spans="1:14" ht="16.5">
      <c r="A46" s="1196" t="s">
        <v>4996</v>
      </c>
    </row>
    <row r="47" spans="1:14" ht="16.5">
      <c r="A47" s="1196" t="s">
        <v>4997</v>
      </c>
    </row>
    <row r="48" spans="1:14" ht="16.5">
      <c r="A48" s="1196" t="s">
        <v>5725</v>
      </c>
    </row>
  </sheetData>
  <mergeCells count="7">
    <mergeCell ref="A4:A5"/>
    <mergeCell ref="C32:J32"/>
    <mergeCell ref="C34:J34"/>
    <mergeCell ref="B35:J35"/>
    <mergeCell ref="B31:B34"/>
    <mergeCell ref="C33:J33"/>
    <mergeCell ref="C31:J31"/>
  </mergeCells>
  <phoneticPr fontId="7" type="noConversion"/>
  <pageMargins left="0" right="0" top="0" bottom="0" header="0" footer="0"/>
  <pageSetup paperSize="9" scale="6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工作表12">
    <pageSetUpPr fitToPage="1"/>
  </sheetPr>
  <dimension ref="A1:G43"/>
  <sheetViews>
    <sheetView showGridLines="0" view="pageBreakPreview" zoomScaleNormal="115" zoomScaleSheetLayoutView="100" workbookViewId="0">
      <selection activeCell="A2" sqref="A2"/>
    </sheetView>
  </sheetViews>
  <sheetFormatPr defaultRowHeight="13.5"/>
  <cols>
    <col min="1" max="1" width="4.875" style="1833" customWidth="1"/>
    <col min="2" max="2" width="25.375" style="1833" customWidth="1"/>
    <col min="3" max="3" width="32.75" style="1833" bestFit="1" customWidth="1"/>
    <col min="4" max="4" width="20.25" style="1833" customWidth="1"/>
    <col min="5" max="5" width="23.125" style="1833" customWidth="1"/>
    <col min="6" max="6" width="20.625" style="1833" customWidth="1"/>
    <col min="7" max="8" width="17.75" style="1833" customWidth="1"/>
    <col min="9" max="9" width="16.625" style="1833" customWidth="1"/>
    <col min="10" max="10" width="16.25" style="1833" customWidth="1"/>
    <col min="11" max="16384" width="9" style="1833"/>
  </cols>
  <sheetData>
    <row r="1" spans="1:7" ht="14.25">
      <c r="A1" s="2223" t="str">
        <f>+封面!A3&amp;" "&amp;封面!A2</f>
        <v xml:space="preserve">        保險股份有限公司(○○分公司) 年度(月、季、半年)報表</v>
      </c>
      <c r="B1" s="1931"/>
      <c r="C1" s="1931"/>
      <c r="D1" s="1931"/>
      <c r="E1" s="1931"/>
      <c r="F1" s="1931"/>
      <c r="G1" s="1931"/>
    </row>
    <row r="2" spans="1:7" ht="14.25">
      <c r="A2" s="1796" t="s">
        <v>5719</v>
      </c>
      <c r="B2" s="1796"/>
      <c r="C2" s="1796"/>
      <c r="D2" s="1796"/>
      <c r="E2" s="1796"/>
      <c r="F2" s="1931"/>
      <c r="G2" s="1931"/>
    </row>
    <row r="3" spans="1:7" ht="14.25">
      <c r="A3" s="1931" t="s">
        <v>5720</v>
      </c>
      <c r="B3" s="1796"/>
      <c r="C3" s="1796"/>
      <c r="D3" s="1796"/>
      <c r="E3" s="1796"/>
      <c r="F3" s="1931"/>
      <c r="G3" s="1931"/>
    </row>
    <row r="4" spans="1:7" ht="28.5">
      <c r="A4" s="3850" t="s">
        <v>4854</v>
      </c>
      <c r="B4" s="1797" t="s">
        <v>4952</v>
      </c>
      <c r="C4" s="1797" t="s">
        <v>4953</v>
      </c>
      <c r="D4" s="1798" t="s">
        <v>1899</v>
      </c>
      <c r="E4" s="1798" t="s">
        <v>1956</v>
      </c>
    </row>
    <row r="5" spans="1:7" ht="13.5" customHeight="1">
      <c r="A5" s="3850"/>
      <c r="B5" s="1799" t="s">
        <v>1897</v>
      </c>
      <c r="C5" s="1799" t="s">
        <v>1898</v>
      </c>
      <c r="D5" s="1800" t="s">
        <v>63</v>
      </c>
      <c r="E5" s="1801" t="s">
        <v>31</v>
      </c>
    </row>
    <row r="6" spans="1:7">
      <c r="A6" s="2224">
        <v>1</v>
      </c>
      <c r="B6" s="1802">
        <f>'表25-8'!$E$8</f>
        <v>0</v>
      </c>
      <c r="C6" s="1802"/>
      <c r="D6" s="1803">
        <f>D23</f>
        <v>0</v>
      </c>
      <c r="E6" s="1804">
        <v>1</v>
      </c>
    </row>
    <row r="7" spans="1:7">
      <c r="A7" s="1796"/>
      <c r="B7" s="1796"/>
      <c r="C7" s="1796"/>
      <c r="D7" s="1796"/>
      <c r="E7" s="1796"/>
      <c r="F7" s="1931"/>
      <c r="G7" s="1931"/>
    </row>
    <row r="8" spans="1:7" ht="14.25">
      <c r="A8" s="1931" t="s">
        <v>5721</v>
      </c>
      <c r="B8" s="1796"/>
      <c r="C8" s="1796"/>
      <c r="D8" s="1796"/>
      <c r="E8" s="1796"/>
    </row>
    <row r="9" spans="1:7" ht="28.5">
      <c r="A9" s="3270" t="s">
        <v>5107</v>
      </c>
      <c r="B9" s="3851" t="s">
        <v>4954</v>
      </c>
      <c r="C9" s="3852"/>
      <c r="D9" s="1798" t="s">
        <v>2953</v>
      </c>
      <c r="E9" s="1798" t="s">
        <v>3498</v>
      </c>
    </row>
    <row r="10" spans="1:7" ht="13.5" customHeight="1">
      <c r="A10" s="3272"/>
      <c r="B10" s="3853"/>
      <c r="C10" s="3854"/>
      <c r="D10" s="1799" t="s">
        <v>64</v>
      </c>
      <c r="E10" s="1805" t="s">
        <v>3497</v>
      </c>
    </row>
    <row r="11" spans="1:7" ht="14.25" customHeight="1">
      <c r="A11" s="1942">
        <v>2</v>
      </c>
      <c r="B11" s="3855" t="s">
        <v>4955</v>
      </c>
      <c r="C11" s="2749" t="s">
        <v>4956</v>
      </c>
      <c r="D11" s="1806">
        <f>'表13-2'!Y8+'表13-2'!Y7</f>
        <v>0</v>
      </c>
      <c r="E11" s="1807">
        <f>D11*$E$6</f>
        <v>0</v>
      </c>
    </row>
    <row r="12" spans="1:7" ht="14.25" customHeight="1">
      <c r="A12" s="1942">
        <v>3</v>
      </c>
      <c r="B12" s="3856"/>
      <c r="C12" s="2749" t="s">
        <v>4957</v>
      </c>
      <c r="D12" s="1806">
        <f>'表13-2'!Y9</f>
        <v>0</v>
      </c>
      <c r="E12" s="1807">
        <f>D12*$E$6</f>
        <v>0</v>
      </c>
    </row>
    <row r="13" spans="1:7" ht="14.25" customHeight="1">
      <c r="A13" s="1942">
        <v>4</v>
      </c>
      <c r="B13" s="3856"/>
      <c r="C13" s="2749" t="s">
        <v>4958</v>
      </c>
      <c r="D13" s="1806">
        <f>'表13-2'!Y10</f>
        <v>0</v>
      </c>
      <c r="E13" s="1807">
        <f>D13*$E$6</f>
        <v>0</v>
      </c>
    </row>
    <row r="14" spans="1:7" ht="15" customHeight="1">
      <c r="A14" s="1942">
        <v>5</v>
      </c>
      <c r="B14" s="3857"/>
      <c r="C14" s="2749" t="s">
        <v>4959</v>
      </c>
      <c r="D14" s="1806">
        <f>SUM(D11:D13)</f>
        <v>0</v>
      </c>
      <c r="E14" s="1808">
        <f>SUM(E11:E13)</f>
        <v>0</v>
      </c>
    </row>
    <row r="15" spans="1:7" ht="14.25" customHeight="1">
      <c r="A15" s="1942">
        <v>6</v>
      </c>
      <c r="B15" s="3855" t="s">
        <v>4960</v>
      </c>
      <c r="C15" s="2750" t="s">
        <v>685</v>
      </c>
      <c r="D15" s="1806">
        <f>'表13-2'!Y16</f>
        <v>0</v>
      </c>
      <c r="E15" s="1807">
        <f>D15*$E$6</f>
        <v>0</v>
      </c>
    </row>
    <row r="16" spans="1:7" ht="14.25" customHeight="1">
      <c r="A16" s="1942">
        <v>7</v>
      </c>
      <c r="B16" s="3856"/>
      <c r="C16" s="2750" t="s">
        <v>686</v>
      </c>
      <c r="D16" s="1806">
        <f>'表13-2'!Y17</f>
        <v>0</v>
      </c>
      <c r="E16" s="1807">
        <f>D16*$E$6</f>
        <v>0</v>
      </c>
    </row>
    <row r="17" spans="1:7" ht="15" customHeight="1">
      <c r="A17" s="1942">
        <v>8</v>
      </c>
      <c r="B17" s="3857"/>
      <c r="C17" s="2749" t="s">
        <v>4959</v>
      </c>
      <c r="D17" s="1806">
        <f>SUM(D15:D16)</f>
        <v>0</v>
      </c>
      <c r="E17" s="1808">
        <f>SUM(E15:E16)</f>
        <v>0</v>
      </c>
    </row>
    <row r="18" spans="1:7" ht="14.25" customHeight="1">
      <c r="A18" s="1942">
        <v>9</v>
      </c>
      <c r="B18" s="3860" t="s">
        <v>4961</v>
      </c>
      <c r="C18" s="2749" t="s">
        <v>4962</v>
      </c>
      <c r="D18" s="1806">
        <f>'表13-2'!Y20</f>
        <v>0</v>
      </c>
      <c r="E18" s="1807">
        <f>D18*$E$6</f>
        <v>0</v>
      </c>
    </row>
    <row r="19" spans="1:7" ht="14.25" customHeight="1">
      <c r="A19" s="1942">
        <v>10</v>
      </c>
      <c r="B19" s="3861"/>
      <c r="C19" s="2749" t="s">
        <v>4963</v>
      </c>
      <c r="D19" s="1806">
        <f>'表13-2'!Y21</f>
        <v>0</v>
      </c>
      <c r="E19" s="1807">
        <f>D19*$E$6</f>
        <v>0</v>
      </c>
    </row>
    <row r="20" spans="1:7" ht="14.25" customHeight="1">
      <c r="A20" s="1942">
        <v>11</v>
      </c>
      <c r="B20" s="3861"/>
      <c r="C20" s="2749" t="s">
        <v>4964</v>
      </c>
      <c r="D20" s="1806">
        <f>'表13-2'!Y22</f>
        <v>0</v>
      </c>
      <c r="E20" s="1807">
        <f>D20*$E$6</f>
        <v>0</v>
      </c>
    </row>
    <row r="21" spans="1:7" ht="14.25" customHeight="1">
      <c r="A21" s="1942">
        <v>12</v>
      </c>
      <c r="B21" s="3861"/>
      <c r="C21" s="2749" t="s">
        <v>4965</v>
      </c>
      <c r="D21" s="1806">
        <f>'表13-2'!Y23</f>
        <v>0</v>
      </c>
      <c r="E21" s="1807">
        <f>D21*$E$6</f>
        <v>0</v>
      </c>
    </row>
    <row r="22" spans="1:7" ht="15" customHeight="1">
      <c r="A22" s="1942">
        <v>13</v>
      </c>
      <c r="B22" s="3862"/>
      <c r="C22" s="2749" t="s">
        <v>4966</v>
      </c>
      <c r="D22" s="1806">
        <f>SUM(D18:D21)</f>
        <v>0</v>
      </c>
      <c r="E22" s="1808">
        <f>SUM(E18:E21)</f>
        <v>0</v>
      </c>
    </row>
    <row r="23" spans="1:7" ht="15">
      <c r="A23" s="1942">
        <v>14</v>
      </c>
      <c r="B23" s="3863" t="s">
        <v>4967</v>
      </c>
      <c r="C23" s="3864"/>
      <c r="D23" s="1806">
        <f>D14+D17+D22</f>
        <v>0</v>
      </c>
      <c r="E23" s="1808">
        <f>E14+E17+E22</f>
        <v>0</v>
      </c>
    </row>
    <row r="24" spans="1:7">
      <c r="A24" s="2225"/>
      <c r="B24" s="1809"/>
      <c r="C24" s="1809"/>
      <c r="D24" s="1810"/>
      <c r="E24" s="1810"/>
      <c r="F24" s="2226"/>
      <c r="G24" s="2226"/>
    </row>
    <row r="25" spans="1:7" ht="27">
      <c r="A25" s="2751" t="s">
        <v>5499</v>
      </c>
      <c r="B25" s="3865" t="s">
        <v>4968</v>
      </c>
      <c r="C25" s="3866"/>
      <c r="D25" s="1811" t="s">
        <v>4969</v>
      </c>
      <c r="E25" s="1810"/>
      <c r="F25" s="2226"/>
      <c r="G25" s="2226"/>
    </row>
    <row r="26" spans="1:7" ht="14.25">
      <c r="A26" s="2752">
        <v>15</v>
      </c>
      <c r="B26" s="3858" t="s">
        <v>5722</v>
      </c>
      <c r="C26" s="3859"/>
      <c r="D26" s="1803">
        <f>'表13-1'!U21</f>
        <v>0</v>
      </c>
      <c r="E26" s="1810"/>
      <c r="F26" s="2226"/>
      <c r="G26" s="2226"/>
    </row>
    <row r="27" spans="1:7" ht="14.25">
      <c r="A27" s="2752">
        <v>16</v>
      </c>
      <c r="B27" s="2753" t="s">
        <v>5723</v>
      </c>
      <c r="C27" s="2751"/>
      <c r="D27" s="1803"/>
      <c r="E27" s="1810"/>
      <c r="F27" s="2226"/>
      <c r="G27" s="2226"/>
    </row>
    <row r="28" spans="1:7" ht="14.25">
      <c r="A28" s="2752">
        <v>17</v>
      </c>
      <c r="B28" s="3858" t="s">
        <v>5724</v>
      </c>
      <c r="C28" s="3859"/>
      <c r="D28" s="1803">
        <f>D26-D27</f>
        <v>0</v>
      </c>
    </row>
    <row r="29" spans="1:7">
      <c r="A29" s="2227"/>
      <c r="B29" s="1628"/>
      <c r="C29" s="1628"/>
    </row>
    <row r="30" spans="1:7" ht="14.25">
      <c r="A30" s="1833" t="s">
        <v>4860</v>
      </c>
    </row>
    <row r="31" spans="1:7" ht="14.25">
      <c r="A31" s="1831">
        <v>1</v>
      </c>
      <c r="B31" s="1832" t="s">
        <v>5012</v>
      </c>
    </row>
    <row r="32" spans="1:7" ht="14.25">
      <c r="A32" s="1831">
        <v>2</v>
      </c>
      <c r="B32" s="1832" t="s">
        <v>5013</v>
      </c>
    </row>
    <row r="33" spans="1:4" ht="14.25">
      <c r="A33" s="1831">
        <v>3</v>
      </c>
      <c r="B33" s="1832" t="s">
        <v>5014</v>
      </c>
      <c r="C33" s="1832"/>
      <c r="D33" s="1832"/>
    </row>
    <row r="34" spans="1:4" ht="14.25">
      <c r="A34" s="1831">
        <v>4</v>
      </c>
      <c r="B34" s="1832" t="s">
        <v>5015</v>
      </c>
      <c r="C34" s="1832"/>
      <c r="D34" s="1832"/>
    </row>
    <row r="35" spans="1:4" ht="14.25">
      <c r="A35" s="1831">
        <v>5</v>
      </c>
      <c r="B35" s="1832" t="s">
        <v>5016</v>
      </c>
      <c r="C35" s="1832"/>
      <c r="D35" s="1832"/>
    </row>
    <row r="36" spans="1:4" ht="14.25">
      <c r="A36" s="1831">
        <v>6</v>
      </c>
      <c r="B36" s="1832" t="s">
        <v>5017</v>
      </c>
      <c r="C36" s="1832"/>
      <c r="D36" s="1832"/>
    </row>
    <row r="37" spans="1:4" ht="14.25">
      <c r="A37" s="1831">
        <v>7</v>
      </c>
      <c r="B37" s="1832" t="s">
        <v>5018</v>
      </c>
      <c r="C37" s="1832"/>
      <c r="D37" s="1832"/>
    </row>
    <row r="38" spans="1:4" ht="14.25">
      <c r="A38" s="1831">
        <v>8</v>
      </c>
      <c r="B38" s="1832" t="s">
        <v>5019</v>
      </c>
      <c r="C38" s="1832"/>
      <c r="D38" s="1832"/>
    </row>
    <row r="39" spans="1:4" ht="14.25">
      <c r="A39" s="1831">
        <v>9</v>
      </c>
      <c r="B39" s="1832" t="s">
        <v>5020</v>
      </c>
      <c r="C39" s="1832"/>
      <c r="D39" s="1832"/>
    </row>
    <row r="40" spans="1:4" ht="14.25">
      <c r="A40" s="1831">
        <v>10</v>
      </c>
      <c r="B40" s="1832" t="s">
        <v>5021</v>
      </c>
      <c r="C40" s="1832"/>
      <c r="D40" s="1832"/>
    </row>
    <row r="41" spans="1:4" ht="14.25">
      <c r="A41" s="1831">
        <v>11</v>
      </c>
      <c r="B41" s="1832" t="s">
        <v>5022</v>
      </c>
      <c r="C41" s="1832"/>
      <c r="D41" s="1832"/>
    </row>
    <row r="42" spans="1:4" ht="14.25">
      <c r="A42" s="1831">
        <v>12</v>
      </c>
      <c r="B42" s="1832" t="s">
        <v>5023</v>
      </c>
    </row>
    <row r="43" spans="1:4" ht="15">
      <c r="A43" s="2228">
        <v>13</v>
      </c>
      <c r="B43" s="1936" t="s">
        <v>5104</v>
      </c>
    </row>
  </sheetData>
  <mergeCells count="10">
    <mergeCell ref="A4:A5"/>
    <mergeCell ref="A9:A10"/>
    <mergeCell ref="B9:C10"/>
    <mergeCell ref="B11:B14"/>
    <mergeCell ref="B28:C28"/>
    <mergeCell ref="B15:B17"/>
    <mergeCell ref="B18:B22"/>
    <mergeCell ref="B23:C23"/>
    <mergeCell ref="B25:C25"/>
    <mergeCell ref="B26:C26"/>
  </mergeCells>
  <phoneticPr fontId="9" type="noConversion"/>
  <pageMargins left="0" right="0" top="0" bottom="0" header="0" footer="0"/>
  <pageSetup paperSize="9" scale="92"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工作表13">
    <pageSetUpPr fitToPage="1"/>
  </sheetPr>
  <dimension ref="A1:AB60"/>
  <sheetViews>
    <sheetView showGridLines="0" view="pageBreakPreview" zoomScale="110" zoomScaleNormal="100" zoomScaleSheetLayoutView="110" workbookViewId="0"/>
  </sheetViews>
  <sheetFormatPr defaultRowHeight="13.5"/>
  <cols>
    <col min="1" max="1" width="9" style="2188"/>
    <col min="2" max="2" width="10.5" style="2188" customWidth="1"/>
    <col min="3" max="3" width="36.25" style="2188" customWidth="1"/>
    <col min="4" max="4" width="15.375" style="2188" customWidth="1"/>
    <col min="5" max="5" width="13" style="2188" customWidth="1"/>
    <col min="6" max="6" width="11.75" style="2188" customWidth="1"/>
    <col min="7" max="7" width="17.375" style="2188" customWidth="1"/>
    <col min="8" max="8" width="14.125" style="2188" bestFit="1" customWidth="1"/>
    <col min="9" max="9" width="16.375" style="2188" customWidth="1"/>
    <col min="10" max="10" width="17.875" style="2188" customWidth="1"/>
    <col min="11" max="16384" width="9" style="2188"/>
  </cols>
  <sheetData>
    <row r="1" spans="1:22" ht="16.5">
      <c r="A1" s="1472" t="str">
        <f>+封面!A3&amp;" "&amp;封面!A2</f>
        <v xml:space="preserve">        保險股份有限公司(○○分公司) 年度(月、季、半年)報表</v>
      </c>
      <c r="L1" s="2189"/>
      <c r="M1" s="2190"/>
      <c r="N1" s="2190"/>
      <c r="O1" s="2190"/>
      <c r="P1" s="2190"/>
      <c r="Q1" s="2190"/>
      <c r="R1" s="2190"/>
      <c r="S1" s="2190"/>
      <c r="T1" s="2190"/>
      <c r="U1" s="2190"/>
      <c r="V1" s="2190"/>
    </row>
    <row r="2" spans="1:22" ht="14.25">
      <c r="A2" s="2191" t="s">
        <v>5693</v>
      </c>
      <c r="L2" s="2189"/>
      <c r="M2" s="2192"/>
      <c r="N2" s="2192"/>
      <c r="O2" s="2192"/>
      <c r="P2" s="2192"/>
      <c r="Q2" s="2192"/>
      <c r="R2" s="2192"/>
      <c r="S2" s="2192"/>
      <c r="T2" s="2192"/>
      <c r="U2" s="2192"/>
      <c r="V2" s="2192"/>
    </row>
    <row r="3" spans="1:22" ht="14.25">
      <c r="A3" s="2193"/>
      <c r="E3" s="1625" t="s">
        <v>5694</v>
      </c>
    </row>
    <row r="4" spans="1:22" ht="16.5" customHeight="1">
      <c r="A4" s="3867" t="s">
        <v>5107</v>
      </c>
      <c r="B4" s="3871" t="s">
        <v>4954</v>
      </c>
      <c r="C4" s="3872"/>
      <c r="D4" s="2194" t="s">
        <v>5695</v>
      </c>
      <c r="E4" s="2195" t="s">
        <v>5696</v>
      </c>
      <c r="G4" s="2196"/>
      <c r="H4" s="2196"/>
    </row>
    <row r="5" spans="1:22" ht="14.25">
      <c r="A5" s="3868"/>
      <c r="B5" s="3869" t="s">
        <v>78</v>
      </c>
      <c r="C5" s="3870"/>
      <c r="D5" s="2197" t="s">
        <v>423</v>
      </c>
      <c r="E5" s="2198" t="s">
        <v>477</v>
      </c>
      <c r="G5" s="2199" t="s">
        <v>5697</v>
      </c>
      <c r="H5" s="2199" t="s">
        <v>5698</v>
      </c>
    </row>
    <row r="6" spans="1:22" ht="16.5" customHeight="1">
      <c r="A6" s="2754">
        <v>1</v>
      </c>
      <c r="B6" s="3875" t="s">
        <v>5699</v>
      </c>
      <c r="C6" s="2755" t="s">
        <v>5700</v>
      </c>
      <c r="D6" s="2200">
        <f>SUMIF($B$19:$B$53,"A",$E$19:$E$53)</f>
        <v>0</v>
      </c>
      <c r="E6" s="2200">
        <f>SUMIF($B$19:$B$53,"A",$J$19:$J$53)</f>
        <v>0</v>
      </c>
      <c r="G6" s="2201" t="s">
        <v>523</v>
      </c>
      <c r="H6" s="2202">
        <v>7.8100000000000003E-2</v>
      </c>
    </row>
    <row r="7" spans="1:22" ht="16.5" customHeight="1">
      <c r="A7" s="2754">
        <v>2</v>
      </c>
      <c r="B7" s="3876"/>
      <c r="C7" s="2755" t="s">
        <v>5701</v>
      </c>
      <c r="D7" s="2200">
        <f>SUMIF($B$19:$B$53,"B",$E$19:$E$53)</f>
        <v>0</v>
      </c>
      <c r="E7" s="2200">
        <f>SUMIF($B$19:$B$53,"B",$J$19:$J$53)</f>
        <v>0</v>
      </c>
      <c r="G7" s="2201" t="s">
        <v>524</v>
      </c>
      <c r="H7" s="2202">
        <v>8.8300000000000003E-2</v>
      </c>
    </row>
    <row r="8" spans="1:22" ht="14.25" customHeight="1">
      <c r="A8" s="2754">
        <v>3</v>
      </c>
      <c r="B8" s="3877"/>
      <c r="C8" s="2755" t="s">
        <v>5702</v>
      </c>
      <c r="D8" s="2200">
        <f>SUMIF($B$19:$B$53,"C",$E$19:$E$53)</f>
        <v>0</v>
      </c>
      <c r="E8" s="2200">
        <f>SUMIF($B$19:$B$53,"C",$J$19:$J$53)</f>
        <v>0</v>
      </c>
      <c r="G8" s="2201" t="s">
        <v>525</v>
      </c>
      <c r="H8" s="2202">
        <v>3.5299999999999998E-2</v>
      </c>
    </row>
    <row r="9" spans="1:22" ht="16.5" customHeight="1">
      <c r="A9" s="2754">
        <v>4</v>
      </c>
      <c r="B9" s="3875" t="s">
        <v>5703</v>
      </c>
      <c r="C9" s="2756" t="s">
        <v>5704</v>
      </c>
      <c r="D9" s="2200">
        <f>SUMIF($B$19:$B$53,"D",$E$19:$E$53)</f>
        <v>0</v>
      </c>
      <c r="E9" s="2200">
        <f>SUMIF($B$19:$B$53,"D",$J$19:$J$53)</f>
        <v>0</v>
      </c>
      <c r="G9" s="2201" t="s">
        <v>526</v>
      </c>
      <c r="H9" s="2202">
        <v>0.1</v>
      </c>
    </row>
    <row r="10" spans="1:22" ht="16.5" customHeight="1">
      <c r="A10" s="2754">
        <v>5</v>
      </c>
      <c r="B10" s="3877"/>
      <c r="C10" s="2756" t="s">
        <v>5705</v>
      </c>
      <c r="D10" s="2200">
        <f>SUMIF($B$19:$B$53,"E",$E$19:$E$53)</f>
        <v>0</v>
      </c>
      <c r="E10" s="2200">
        <f>SUMIF($B$19:$B$53,"E",$J$19:$J$53)</f>
        <v>0</v>
      </c>
      <c r="G10" s="2201" t="s">
        <v>527</v>
      </c>
      <c r="H10" s="2202">
        <v>0.1</v>
      </c>
    </row>
    <row r="11" spans="1:22" ht="16.5" customHeight="1">
      <c r="A11" s="2754">
        <v>6</v>
      </c>
      <c r="B11" s="3881" t="s">
        <v>5706</v>
      </c>
      <c r="C11" s="2757" t="s">
        <v>5707</v>
      </c>
      <c r="D11" s="2200">
        <f>SUMIF($B$19:$B$53,"F",$E$19:$E$53)</f>
        <v>0</v>
      </c>
      <c r="E11" s="2200">
        <f>SUMIF($B$19:$B$53,"F",$J$19:$J$53)</f>
        <v>0</v>
      </c>
      <c r="G11" s="2201" t="s">
        <v>528</v>
      </c>
      <c r="H11" s="2202">
        <v>0.12280000000000001</v>
      </c>
    </row>
    <row r="12" spans="1:22" ht="16.5" customHeight="1">
      <c r="A12" s="2754">
        <v>7</v>
      </c>
      <c r="B12" s="3882"/>
      <c r="C12" s="2757" t="s">
        <v>5708</v>
      </c>
      <c r="D12" s="2200">
        <f>SUMIF($B$19:$B$53,"G",$E$19:$E$53)</f>
        <v>0</v>
      </c>
      <c r="E12" s="2200">
        <f>SUMIF($B$19:$B$53,"G",$J$19:$J$53)</f>
        <v>0</v>
      </c>
      <c r="G12" s="2201" t="s">
        <v>529</v>
      </c>
      <c r="H12" s="2202">
        <v>0.12280000000000001</v>
      </c>
    </row>
    <row r="13" spans="1:22" ht="16.5" customHeight="1">
      <c r="A13" s="2754">
        <v>8</v>
      </c>
      <c r="B13" s="3882"/>
      <c r="C13" s="2757" t="s">
        <v>5709</v>
      </c>
      <c r="D13" s="2200">
        <f>SUMIF($B$19:$B$53,"H",$E$19:$E$53)</f>
        <v>0</v>
      </c>
      <c r="E13" s="2200">
        <f>SUMIF($B$19:$B$53,"H",$J$19:$J$53)</f>
        <v>0</v>
      </c>
      <c r="G13" s="2201" t="s">
        <v>530</v>
      </c>
      <c r="H13" s="2202">
        <v>0.11169999999999999</v>
      </c>
    </row>
    <row r="14" spans="1:22" ht="16.5" customHeight="1">
      <c r="A14" s="2754">
        <v>9</v>
      </c>
      <c r="B14" s="3883"/>
      <c r="C14" s="2757" t="s">
        <v>5710</v>
      </c>
      <c r="D14" s="2200">
        <f>SUMIF($B$19:$B$53,"I",$E$19:$E$53)</f>
        <v>0</v>
      </c>
      <c r="E14" s="2200">
        <f>SUMIF($B$19:$B$53,"I",$J$19:$J$53)</f>
        <v>0</v>
      </c>
      <c r="G14" s="2201" t="s">
        <v>531</v>
      </c>
      <c r="H14" s="2202">
        <v>0.11169999999999999</v>
      </c>
    </row>
    <row r="15" spans="1:22">
      <c r="A15" s="2754">
        <v>10</v>
      </c>
      <c r="B15" s="3873" t="s">
        <v>5711</v>
      </c>
      <c r="C15" s="3874"/>
      <c r="D15" s="2203">
        <f>SUM(D6:D14)</f>
        <v>0</v>
      </c>
      <c r="E15" s="2203">
        <f>SUM(E6:E14)</f>
        <v>0</v>
      </c>
      <c r="G15" s="2204"/>
      <c r="H15" s="2205"/>
    </row>
    <row r="17" spans="1:28" ht="28.5" customHeight="1">
      <c r="A17" s="3867" t="s">
        <v>5107</v>
      </c>
      <c r="B17" s="2194" t="s">
        <v>4954</v>
      </c>
      <c r="C17" s="2194" t="s">
        <v>5712</v>
      </c>
      <c r="D17" s="1939" t="s">
        <v>5713</v>
      </c>
      <c r="E17" s="2194" t="s">
        <v>5695</v>
      </c>
      <c r="F17" s="2194" t="s">
        <v>5698</v>
      </c>
      <c r="G17" s="1798" t="s">
        <v>711</v>
      </c>
      <c r="H17" s="2194" t="s">
        <v>5714</v>
      </c>
      <c r="I17" s="2194" t="s">
        <v>5715</v>
      </c>
      <c r="J17" s="2194" t="s">
        <v>5696</v>
      </c>
    </row>
    <row r="18" spans="1:28" ht="13.5" customHeight="1">
      <c r="A18" s="3868"/>
      <c r="B18" s="2207" t="s">
        <v>478</v>
      </c>
      <c r="C18" s="2207" t="s">
        <v>479</v>
      </c>
      <c r="D18" s="2208" t="s">
        <v>174</v>
      </c>
      <c r="E18" s="2207" t="s">
        <v>175</v>
      </c>
      <c r="F18" s="2208" t="s">
        <v>176</v>
      </c>
      <c r="G18" s="2207" t="s">
        <v>177</v>
      </c>
      <c r="H18" s="2208" t="s">
        <v>178</v>
      </c>
      <c r="I18" s="2207" t="s">
        <v>480</v>
      </c>
      <c r="J18" s="2207" t="s">
        <v>481</v>
      </c>
    </row>
    <row r="19" spans="1:28">
      <c r="A19" s="2206">
        <v>11</v>
      </c>
      <c r="B19" s="2201"/>
      <c r="C19" s="2209"/>
      <c r="D19" s="2209"/>
      <c r="E19" s="2210"/>
      <c r="F19" s="2211">
        <f t="shared" ref="F19:F53" si="0">IFERROR(VLOOKUP(B19,$G$6:$H$14,2),0)</f>
        <v>0</v>
      </c>
      <c r="G19" s="2212"/>
      <c r="H19" s="2213">
        <f>IF(D19="A",(G19+1)*0.4,G19*0.4)</f>
        <v>0</v>
      </c>
      <c r="I19" s="2211">
        <f t="shared" ref="I19:I53" si="1">F19+F19*H19</f>
        <v>0</v>
      </c>
      <c r="J19" s="2214">
        <f t="shared" ref="J19:J53" si="2">E19*I19</f>
        <v>0</v>
      </c>
    </row>
    <row r="20" spans="1:28">
      <c r="A20" s="2206">
        <v>12</v>
      </c>
      <c r="B20" s="2201"/>
      <c r="C20" s="2209"/>
      <c r="D20" s="2209"/>
      <c r="E20" s="2210"/>
      <c r="F20" s="2211">
        <f t="shared" si="0"/>
        <v>0</v>
      </c>
      <c r="G20" s="2212"/>
      <c r="H20" s="2213">
        <f t="shared" ref="H20:H53" si="3">IF(D20="A",(G20+1)*0.4,G20*0.4)</f>
        <v>0</v>
      </c>
      <c r="I20" s="2211">
        <f t="shared" si="1"/>
        <v>0</v>
      </c>
      <c r="J20" s="2214">
        <f t="shared" si="2"/>
        <v>0</v>
      </c>
    </row>
    <row r="21" spans="1:28">
      <c r="A21" s="2206">
        <v>13</v>
      </c>
      <c r="B21" s="2201"/>
      <c r="C21" s="2209"/>
      <c r="D21" s="2209"/>
      <c r="E21" s="2210"/>
      <c r="F21" s="2211">
        <f t="shared" si="0"/>
        <v>0</v>
      </c>
      <c r="G21" s="2212"/>
      <c r="H21" s="2213">
        <f t="shared" si="3"/>
        <v>0</v>
      </c>
      <c r="I21" s="2211">
        <f t="shared" si="1"/>
        <v>0</v>
      </c>
      <c r="J21" s="2214">
        <f t="shared" si="2"/>
        <v>0</v>
      </c>
    </row>
    <row r="22" spans="1:28">
      <c r="A22" s="2206">
        <v>14</v>
      </c>
      <c r="B22" s="2201"/>
      <c r="C22" s="2209"/>
      <c r="D22" s="2209"/>
      <c r="E22" s="2210"/>
      <c r="F22" s="2211">
        <f t="shared" si="0"/>
        <v>0</v>
      </c>
      <c r="G22" s="2212"/>
      <c r="H22" s="2213">
        <f t="shared" si="3"/>
        <v>0</v>
      </c>
      <c r="I22" s="2211">
        <f t="shared" si="1"/>
        <v>0</v>
      </c>
      <c r="J22" s="2214">
        <f t="shared" si="2"/>
        <v>0</v>
      </c>
    </row>
    <row r="23" spans="1:28">
      <c r="A23" s="2206">
        <v>15</v>
      </c>
      <c r="B23" s="2201"/>
      <c r="C23" s="2209"/>
      <c r="D23" s="2209"/>
      <c r="E23" s="2210"/>
      <c r="F23" s="2211">
        <f t="shared" si="0"/>
        <v>0</v>
      </c>
      <c r="G23" s="2212"/>
      <c r="H23" s="2213">
        <f t="shared" si="3"/>
        <v>0</v>
      </c>
      <c r="I23" s="2211">
        <f t="shared" si="1"/>
        <v>0</v>
      </c>
      <c r="J23" s="2214">
        <f t="shared" si="2"/>
        <v>0</v>
      </c>
    </row>
    <row r="24" spans="1:28">
      <c r="A24" s="2206">
        <v>16</v>
      </c>
      <c r="B24" s="2201"/>
      <c r="C24" s="2209"/>
      <c r="D24" s="2209"/>
      <c r="E24" s="2210"/>
      <c r="F24" s="2211">
        <f t="shared" si="0"/>
        <v>0</v>
      </c>
      <c r="G24" s="2212"/>
      <c r="H24" s="2213">
        <f t="shared" si="3"/>
        <v>0</v>
      </c>
      <c r="I24" s="2211">
        <f t="shared" si="1"/>
        <v>0</v>
      </c>
      <c r="J24" s="2214">
        <f t="shared" si="2"/>
        <v>0</v>
      </c>
    </row>
    <row r="25" spans="1:28">
      <c r="A25" s="2206">
        <v>17</v>
      </c>
      <c r="B25" s="2201"/>
      <c r="C25" s="2209"/>
      <c r="D25" s="2209"/>
      <c r="E25" s="2210"/>
      <c r="F25" s="2211">
        <f t="shared" si="0"/>
        <v>0</v>
      </c>
      <c r="G25" s="2212"/>
      <c r="H25" s="2213">
        <f t="shared" si="3"/>
        <v>0</v>
      </c>
      <c r="I25" s="2211">
        <f t="shared" si="1"/>
        <v>0</v>
      </c>
      <c r="J25" s="2214">
        <f t="shared" si="2"/>
        <v>0</v>
      </c>
    </row>
    <row r="26" spans="1:28" ht="15.75">
      <c r="A26" s="2206">
        <v>18</v>
      </c>
      <c r="B26" s="2201"/>
      <c r="C26" s="2209"/>
      <c r="D26" s="2209"/>
      <c r="E26" s="2210"/>
      <c r="F26" s="2211">
        <f t="shared" si="0"/>
        <v>0</v>
      </c>
      <c r="G26" s="2212"/>
      <c r="H26" s="2213">
        <f t="shared" si="3"/>
        <v>0</v>
      </c>
      <c r="I26" s="2211">
        <f t="shared" si="1"/>
        <v>0</v>
      </c>
      <c r="J26" s="2214">
        <f t="shared" si="2"/>
        <v>0</v>
      </c>
      <c r="AB26" s="2215"/>
    </row>
    <row r="27" spans="1:28">
      <c r="A27" s="2206">
        <v>19</v>
      </c>
      <c r="B27" s="2201"/>
      <c r="C27" s="2209"/>
      <c r="D27" s="2209"/>
      <c r="E27" s="2210"/>
      <c r="F27" s="2211">
        <f t="shared" si="0"/>
        <v>0</v>
      </c>
      <c r="G27" s="2212"/>
      <c r="H27" s="2213">
        <f t="shared" si="3"/>
        <v>0</v>
      </c>
      <c r="I27" s="2211">
        <f t="shared" si="1"/>
        <v>0</v>
      </c>
      <c r="J27" s="2214">
        <f t="shared" si="2"/>
        <v>0</v>
      </c>
    </row>
    <row r="28" spans="1:28">
      <c r="A28" s="2206">
        <v>20</v>
      </c>
      <c r="B28" s="2201"/>
      <c r="C28" s="2209"/>
      <c r="D28" s="2209"/>
      <c r="E28" s="2210"/>
      <c r="F28" s="2211">
        <f t="shared" si="0"/>
        <v>0</v>
      </c>
      <c r="G28" s="2212"/>
      <c r="H28" s="2213">
        <f t="shared" si="3"/>
        <v>0</v>
      </c>
      <c r="I28" s="2211">
        <f t="shared" si="1"/>
        <v>0</v>
      </c>
      <c r="J28" s="2214">
        <f t="shared" si="2"/>
        <v>0</v>
      </c>
    </row>
    <row r="29" spans="1:28">
      <c r="A29" s="2206">
        <v>21</v>
      </c>
      <c r="B29" s="2201"/>
      <c r="C29" s="2209"/>
      <c r="D29" s="2209"/>
      <c r="E29" s="2210"/>
      <c r="F29" s="2211">
        <f t="shared" si="0"/>
        <v>0</v>
      </c>
      <c r="G29" s="2212"/>
      <c r="H29" s="2213">
        <f t="shared" si="3"/>
        <v>0</v>
      </c>
      <c r="I29" s="2211">
        <f t="shared" si="1"/>
        <v>0</v>
      </c>
      <c r="J29" s="2214">
        <f t="shared" si="2"/>
        <v>0</v>
      </c>
    </row>
    <row r="30" spans="1:28">
      <c r="A30" s="2206">
        <v>22</v>
      </c>
      <c r="B30" s="2201"/>
      <c r="C30" s="2209"/>
      <c r="D30" s="2209"/>
      <c r="E30" s="2210"/>
      <c r="F30" s="2211">
        <f t="shared" si="0"/>
        <v>0</v>
      </c>
      <c r="G30" s="2212"/>
      <c r="H30" s="2213">
        <f t="shared" si="3"/>
        <v>0</v>
      </c>
      <c r="I30" s="2211">
        <f t="shared" si="1"/>
        <v>0</v>
      </c>
      <c r="J30" s="2214">
        <f t="shared" si="2"/>
        <v>0</v>
      </c>
    </row>
    <row r="31" spans="1:28">
      <c r="A31" s="2206">
        <v>23</v>
      </c>
      <c r="B31" s="2201"/>
      <c r="C31" s="2209"/>
      <c r="D31" s="2209"/>
      <c r="E31" s="2210"/>
      <c r="F31" s="2211">
        <f t="shared" si="0"/>
        <v>0</v>
      </c>
      <c r="G31" s="2212"/>
      <c r="H31" s="2213">
        <f t="shared" si="3"/>
        <v>0</v>
      </c>
      <c r="I31" s="2211">
        <f t="shared" si="1"/>
        <v>0</v>
      </c>
      <c r="J31" s="2214">
        <f t="shared" si="2"/>
        <v>0</v>
      </c>
    </row>
    <row r="32" spans="1:28">
      <c r="A32" s="2206">
        <v>24</v>
      </c>
      <c r="B32" s="2201"/>
      <c r="C32" s="2209"/>
      <c r="D32" s="2209"/>
      <c r="E32" s="2210"/>
      <c r="F32" s="2211">
        <f t="shared" si="0"/>
        <v>0</v>
      </c>
      <c r="G32" s="2212"/>
      <c r="H32" s="2213">
        <f t="shared" si="3"/>
        <v>0</v>
      </c>
      <c r="I32" s="2211">
        <f t="shared" si="1"/>
        <v>0</v>
      </c>
      <c r="J32" s="2214">
        <f t="shared" si="2"/>
        <v>0</v>
      </c>
    </row>
    <row r="33" spans="1:10">
      <c r="A33" s="2206">
        <v>25</v>
      </c>
      <c r="B33" s="2201"/>
      <c r="C33" s="2209"/>
      <c r="D33" s="2209"/>
      <c r="E33" s="2210"/>
      <c r="F33" s="2211">
        <f t="shared" si="0"/>
        <v>0</v>
      </c>
      <c r="G33" s="2212"/>
      <c r="H33" s="2213">
        <f t="shared" si="3"/>
        <v>0</v>
      </c>
      <c r="I33" s="2211">
        <f t="shared" si="1"/>
        <v>0</v>
      </c>
      <c r="J33" s="2214">
        <f t="shared" si="2"/>
        <v>0</v>
      </c>
    </row>
    <row r="34" spans="1:10">
      <c r="A34" s="2206">
        <v>26</v>
      </c>
      <c r="B34" s="2201"/>
      <c r="C34" s="2209"/>
      <c r="D34" s="2209"/>
      <c r="E34" s="2210"/>
      <c r="F34" s="2211">
        <f t="shared" si="0"/>
        <v>0</v>
      </c>
      <c r="G34" s="2212"/>
      <c r="H34" s="2213">
        <f t="shared" si="3"/>
        <v>0</v>
      </c>
      <c r="I34" s="2211">
        <f t="shared" si="1"/>
        <v>0</v>
      </c>
      <c r="J34" s="2214">
        <f t="shared" si="2"/>
        <v>0</v>
      </c>
    </row>
    <row r="35" spans="1:10">
      <c r="A35" s="2206">
        <v>27</v>
      </c>
      <c r="B35" s="2201"/>
      <c r="C35" s="2209"/>
      <c r="D35" s="2209"/>
      <c r="E35" s="2210"/>
      <c r="F35" s="2211">
        <f t="shared" si="0"/>
        <v>0</v>
      </c>
      <c r="G35" s="2212"/>
      <c r="H35" s="2213">
        <f t="shared" si="3"/>
        <v>0</v>
      </c>
      <c r="I35" s="2211">
        <f t="shared" si="1"/>
        <v>0</v>
      </c>
      <c r="J35" s="2214">
        <f t="shared" si="2"/>
        <v>0</v>
      </c>
    </row>
    <row r="36" spans="1:10">
      <c r="A36" s="2206">
        <v>28</v>
      </c>
      <c r="B36" s="2201"/>
      <c r="C36" s="2209"/>
      <c r="D36" s="2209"/>
      <c r="E36" s="2210"/>
      <c r="F36" s="2211">
        <f t="shared" si="0"/>
        <v>0</v>
      </c>
      <c r="G36" s="2212"/>
      <c r="H36" s="2213">
        <f t="shared" si="3"/>
        <v>0</v>
      </c>
      <c r="I36" s="2211">
        <f t="shared" si="1"/>
        <v>0</v>
      </c>
      <c r="J36" s="2214">
        <f t="shared" si="2"/>
        <v>0</v>
      </c>
    </row>
    <row r="37" spans="1:10">
      <c r="A37" s="2206">
        <v>29</v>
      </c>
      <c r="B37" s="2201"/>
      <c r="C37" s="2209"/>
      <c r="D37" s="2209"/>
      <c r="E37" s="2210"/>
      <c r="F37" s="2211">
        <f t="shared" si="0"/>
        <v>0</v>
      </c>
      <c r="G37" s="2212"/>
      <c r="H37" s="2213">
        <f t="shared" si="3"/>
        <v>0</v>
      </c>
      <c r="I37" s="2211">
        <f t="shared" si="1"/>
        <v>0</v>
      </c>
      <c r="J37" s="2214">
        <f t="shared" si="2"/>
        <v>0</v>
      </c>
    </row>
    <row r="38" spans="1:10">
      <c r="A38" s="2206">
        <v>30</v>
      </c>
      <c r="B38" s="2201"/>
      <c r="C38" s="2209"/>
      <c r="D38" s="2209"/>
      <c r="E38" s="2210"/>
      <c r="F38" s="2211">
        <f t="shared" si="0"/>
        <v>0</v>
      </c>
      <c r="G38" s="2212"/>
      <c r="H38" s="2213">
        <f t="shared" si="3"/>
        <v>0</v>
      </c>
      <c r="I38" s="2211">
        <f t="shared" si="1"/>
        <v>0</v>
      </c>
      <c r="J38" s="2214">
        <f t="shared" si="2"/>
        <v>0</v>
      </c>
    </row>
    <row r="39" spans="1:10">
      <c r="A39" s="2206">
        <v>31</v>
      </c>
      <c r="B39" s="2201"/>
      <c r="C39" s="2209"/>
      <c r="D39" s="2209"/>
      <c r="E39" s="2210"/>
      <c r="F39" s="2211">
        <f t="shared" si="0"/>
        <v>0</v>
      </c>
      <c r="G39" s="2212"/>
      <c r="H39" s="2213">
        <f t="shared" si="3"/>
        <v>0</v>
      </c>
      <c r="I39" s="2211">
        <f t="shared" si="1"/>
        <v>0</v>
      </c>
      <c r="J39" s="2214">
        <f t="shared" si="2"/>
        <v>0</v>
      </c>
    </row>
    <row r="40" spans="1:10">
      <c r="A40" s="2206">
        <v>32</v>
      </c>
      <c r="B40" s="2201"/>
      <c r="C40" s="2209"/>
      <c r="D40" s="2209"/>
      <c r="E40" s="2210"/>
      <c r="F40" s="2211">
        <f t="shared" si="0"/>
        <v>0</v>
      </c>
      <c r="G40" s="2212"/>
      <c r="H40" s="2213">
        <f t="shared" si="3"/>
        <v>0</v>
      </c>
      <c r="I40" s="2211">
        <f t="shared" si="1"/>
        <v>0</v>
      </c>
      <c r="J40" s="2214">
        <f t="shared" si="2"/>
        <v>0</v>
      </c>
    </row>
    <row r="41" spans="1:10">
      <c r="A41" s="2206">
        <v>33</v>
      </c>
      <c r="B41" s="2201"/>
      <c r="C41" s="2209"/>
      <c r="D41" s="2209"/>
      <c r="E41" s="2210"/>
      <c r="F41" s="2211">
        <f t="shared" si="0"/>
        <v>0</v>
      </c>
      <c r="G41" s="2212"/>
      <c r="H41" s="2213">
        <f t="shared" si="3"/>
        <v>0</v>
      </c>
      <c r="I41" s="2211">
        <f t="shared" si="1"/>
        <v>0</v>
      </c>
      <c r="J41" s="2214">
        <f t="shared" si="2"/>
        <v>0</v>
      </c>
    </row>
    <row r="42" spans="1:10">
      <c r="A42" s="2206">
        <v>34</v>
      </c>
      <c r="B42" s="2201"/>
      <c r="C42" s="2209"/>
      <c r="D42" s="2209"/>
      <c r="E42" s="2210"/>
      <c r="F42" s="2211">
        <f t="shared" si="0"/>
        <v>0</v>
      </c>
      <c r="G42" s="2212"/>
      <c r="H42" s="2213">
        <f t="shared" si="3"/>
        <v>0</v>
      </c>
      <c r="I42" s="2211">
        <f t="shared" si="1"/>
        <v>0</v>
      </c>
      <c r="J42" s="2214">
        <f t="shared" si="2"/>
        <v>0</v>
      </c>
    </row>
    <row r="43" spans="1:10">
      <c r="A43" s="2206">
        <v>35</v>
      </c>
      <c r="B43" s="2201"/>
      <c r="C43" s="2209"/>
      <c r="D43" s="2209"/>
      <c r="E43" s="2210"/>
      <c r="F43" s="2211">
        <f t="shared" si="0"/>
        <v>0</v>
      </c>
      <c r="G43" s="2212"/>
      <c r="H43" s="2213">
        <f t="shared" si="3"/>
        <v>0</v>
      </c>
      <c r="I43" s="2211">
        <f t="shared" si="1"/>
        <v>0</v>
      </c>
      <c r="J43" s="2214">
        <f t="shared" si="2"/>
        <v>0</v>
      </c>
    </row>
    <row r="44" spans="1:10">
      <c r="A44" s="2206">
        <v>36</v>
      </c>
      <c r="B44" s="2201"/>
      <c r="C44" s="2209"/>
      <c r="D44" s="2209"/>
      <c r="E44" s="2210"/>
      <c r="F44" s="2211">
        <f t="shared" si="0"/>
        <v>0</v>
      </c>
      <c r="G44" s="2212"/>
      <c r="H44" s="2213">
        <f t="shared" si="3"/>
        <v>0</v>
      </c>
      <c r="I44" s="2211">
        <f t="shared" si="1"/>
        <v>0</v>
      </c>
      <c r="J44" s="2214">
        <f t="shared" si="2"/>
        <v>0</v>
      </c>
    </row>
    <row r="45" spans="1:10">
      <c r="A45" s="2206">
        <v>37</v>
      </c>
      <c r="B45" s="2201"/>
      <c r="C45" s="2209"/>
      <c r="D45" s="2209"/>
      <c r="E45" s="2210"/>
      <c r="F45" s="2211">
        <f t="shared" si="0"/>
        <v>0</v>
      </c>
      <c r="G45" s="2212"/>
      <c r="H45" s="2213">
        <f t="shared" si="3"/>
        <v>0</v>
      </c>
      <c r="I45" s="2211">
        <f t="shared" si="1"/>
        <v>0</v>
      </c>
      <c r="J45" s="2214">
        <f t="shared" si="2"/>
        <v>0</v>
      </c>
    </row>
    <row r="46" spans="1:10">
      <c r="A46" s="2206">
        <v>38</v>
      </c>
      <c r="B46" s="2201"/>
      <c r="C46" s="2209"/>
      <c r="D46" s="2209"/>
      <c r="E46" s="2210"/>
      <c r="F46" s="2211">
        <f t="shared" si="0"/>
        <v>0</v>
      </c>
      <c r="G46" s="2212"/>
      <c r="H46" s="2213">
        <f t="shared" si="3"/>
        <v>0</v>
      </c>
      <c r="I46" s="2211">
        <f t="shared" si="1"/>
        <v>0</v>
      </c>
      <c r="J46" s="2214">
        <f t="shared" si="2"/>
        <v>0</v>
      </c>
    </row>
    <row r="47" spans="1:10">
      <c r="A47" s="2206">
        <v>39</v>
      </c>
      <c r="B47" s="2201"/>
      <c r="C47" s="2209"/>
      <c r="D47" s="2209"/>
      <c r="E47" s="2210"/>
      <c r="F47" s="2211">
        <f t="shared" si="0"/>
        <v>0</v>
      </c>
      <c r="G47" s="2212"/>
      <c r="H47" s="2213">
        <f t="shared" si="3"/>
        <v>0</v>
      </c>
      <c r="I47" s="2211">
        <f t="shared" si="1"/>
        <v>0</v>
      </c>
      <c r="J47" s="2214">
        <f t="shared" si="2"/>
        <v>0</v>
      </c>
    </row>
    <row r="48" spans="1:10">
      <c r="A48" s="2206">
        <v>40</v>
      </c>
      <c r="B48" s="2201"/>
      <c r="C48" s="2209"/>
      <c r="D48" s="2209"/>
      <c r="E48" s="2210"/>
      <c r="F48" s="2211">
        <f t="shared" si="0"/>
        <v>0</v>
      </c>
      <c r="G48" s="2212"/>
      <c r="H48" s="2213">
        <f t="shared" si="3"/>
        <v>0</v>
      </c>
      <c r="I48" s="2211">
        <f t="shared" si="1"/>
        <v>0</v>
      </c>
      <c r="J48" s="2214">
        <f t="shared" si="2"/>
        <v>0</v>
      </c>
    </row>
    <row r="49" spans="1:14">
      <c r="A49" s="2206">
        <v>41</v>
      </c>
      <c r="B49" s="2201"/>
      <c r="C49" s="2209"/>
      <c r="D49" s="2209"/>
      <c r="E49" s="2210"/>
      <c r="F49" s="2211">
        <f t="shared" si="0"/>
        <v>0</v>
      </c>
      <c r="G49" s="2212"/>
      <c r="H49" s="2213">
        <f t="shared" si="3"/>
        <v>0</v>
      </c>
      <c r="I49" s="2211">
        <f t="shared" si="1"/>
        <v>0</v>
      </c>
      <c r="J49" s="2214">
        <f t="shared" si="2"/>
        <v>0</v>
      </c>
    </row>
    <row r="50" spans="1:14">
      <c r="A50" s="2206">
        <v>42</v>
      </c>
      <c r="B50" s="2201"/>
      <c r="C50" s="2209"/>
      <c r="D50" s="2209"/>
      <c r="E50" s="2210"/>
      <c r="F50" s="2211">
        <f t="shared" si="0"/>
        <v>0</v>
      </c>
      <c r="G50" s="2212"/>
      <c r="H50" s="2213">
        <f t="shared" si="3"/>
        <v>0</v>
      </c>
      <c r="I50" s="2211">
        <f t="shared" si="1"/>
        <v>0</v>
      </c>
      <c r="J50" s="2214">
        <f t="shared" si="2"/>
        <v>0</v>
      </c>
    </row>
    <row r="51" spans="1:14">
      <c r="A51" s="2206">
        <v>43</v>
      </c>
      <c r="B51" s="2201"/>
      <c r="C51" s="2209"/>
      <c r="D51" s="2209"/>
      <c r="E51" s="2210"/>
      <c r="F51" s="2211">
        <f t="shared" si="0"/>
        <v>0</v>
      </c>
      <c r="G51" s="2212"/>
      <c r="H51" s="2213">
        <f t="shared" si="3"/>
        <v>0</v>
      </c>
      <c r="I51" s="2211">
        <f t="shared" si="1"/>
        <v>0</v>
      </c>
      <c r="J51" s="2214">
        <f t="shared" si="2"/>
        <v>0</v>
      </c>
    </row>
    <row r="52" spans="1:14">
      <c r="A52" s="2206">
        <v>44</v>
      </c>
      <c r="B52" s="2201"/>
      <c r="C52" s="2209"/>
      <c r="D52" s="2209"/>
      <c r="E52" s="2210"/>
      <c r="F52" s="2211">
        <f t="shared" si="0"/>
        <v>0</v>
      </c>
      <c r="G52" s="2212"/>
      <c r="H52" s="2213">
        <f t="shared" si="3"/>
        <v>0</v>
      </c>
      <c r="I52" s="2211">
        <f t="shared" si="1"/>
        <v>0</v>
      </c>
      <c r="J52" s="2214">
        <f t="shared" si="2"/>
        <v>0</v>
      </c>
    </row>
    <row r="53" spans="1:14">
      <c r="A53" s="2206">
        <v>45</v>
      </c>
      <c r="B53" s="2201"/>
      <c r="C53" s="2209"/>
      <c r="D53" s="2209"/>
      <c r="E53" s="2210"/>
      <c r="F53" s="2211">
        <f t="shared" si="0"/>
        <v>0</v>
      </c>
      <c r="G53" s="2212"/>
      <c r="H53" s="2213">
        <f t="shared" si="3"/>
        <v>0</v>
      </c>
      <c r="I53" s="2211">
        <f t="shared" si="1"/>
        <v>0</v>
      </c>
      <c r="J53" s="2214">
        <f t="shared" si="2"/>
        <v>0</v>
      </c>
    </row>
    <row r="54" spans="1:14">
      <c r="A54" s="2216"/>
      <c r="B54" s="2190"/>
      <c r="C54" s="2217"/>
      <c r="D54" s="2218"/>
      <c r="E54" s="2219"/>
      <c r="F54" s="2220"/>
      <c r="G54" s="2221"/>
      <c r="H54" s="2219"/>
      <c r="I54" s="2222"/>
    </row>
    <row r="55" spans="1:14" ht="14.25">
      <c r="A55" s="2188" t="s">
        <v>5716</v>
      </c>
    </row>
    <row r="56" spans="1:14" ht="43.5" customHeight="1">
      <c r="A56" s="2758">
        <v>1</v>
      </c>
      <c r="B56" s="3880" t="s">
        <v>5717</v>
      </c>
      <c r="C56" s="3880"/>
      <c r="D56" s="3880"/>
      <c r="E56" s="3880"/>
      <c r="F56" s="3880"/>
      <c r="G56" s="3880"/>
      <c r="H56" s="3880"/>
      <c r="I56" s="3880"/>
      <c r="J56" s="3880"/>
    </row>
    <row r="57" spans="1:14" ht="14.25">
      <c r="A57" s="2759">
        <v>2</v>
      </c>
      <c r="B57" s="2759" t="s">
        <v>5177</v>
      </c>
      <c r="C57" s="2759"/>
      <c r="D57" s="2759"/>
      <c r="E57" s="2759"/>
      <c r="F57" s="2759"/>
      <c r="G57" s="2759"/>
      <c r="H57" s="2759"/>
      <c r="I57" s="2759"/>
      <c r="J57" s="2759"/>
    </row>
    <row r="58" spans="1:14" ht="14.25">
      <c r="A58" s="2759">
        <v>3</v>
      </c>
      <c r="B58" s="2760" t="s">
        <v>710</v>
      </c>
      <c r="C58" s="2759"/>
      <c r="D58" s="2759"/>
      <c r="E58" s="2759"/>
      <c r="F58" s="2759"/>
      <c r="G58" s="2759"/>
      <c r="H58" s="2759"/>
      <c r="I58" s="2759"/>
      <c r="J58" s="2759"/>
    </row>
    <row r="59" spans="1:14" ht="16.899999999999999" customHeight="1">
      <c r="A59" s="2761">
        <v>4</v>
      </c>
      <c r="B59" s="3878" t="s">
        <v>3480</v>
      </c>
      <c r="C59" s="3878"/>
      <c r="D59" s="3878"/>
      <c r="E59" s="3878"/>
      <c r="F59" s="3878"/>
      <c r="G59" s="3878"/>
      <c r="H59" s="3878"/>
      <c r="I59" s="3878"/>
      <c r="J59" s="3878"/>
      <c r="K59" s="1625"/>
      <c r="L59" s="1625"/>
      <c r="M59" s="1625"/>
      <c r="N59" s="1625"/>
    </row>
    <row r="60" spans="1:14">
      <c r="A60" s="2762">
        <v>5</v>
      </c>
      <c r="B60" s="3879" t="s">
        <v>5718</v>
      </c>
      <c r="C60" s="3879"/>
      <c r="D60" s="3879"/>
      <c r="E60" s="3879"/>
      <c r="F60" s="3879"/>
      <c r="G60" s="3879"/>
      <c r="H60" s="3879"/>
      <c r="I60" s="3879"/>
      <c r="J60" s="3879"/>
    </row>
  </sheetData>
  <mergeCells count="11">
    <mergeCell ref="B59:J59"/>
    <mergeCell ref="B60:J60"/>
    <mergeCell ref="B56:J56"/>
    <mergeCell ref="B11:B14"/>
    <mergeCell ref="A17:A18"/>
    <mergeCell ref="A4:A5"/>
    <mergeCell ref="B5:C5"/>
    <mergeCell ref="B4:C4"/>
    <mergeCell ref="B15:C15"/>
    <mergeCell ref="B6:B8"/>
    <mergeCell ref="B9:B10"/>
  </mergeCells>
  <phoneticPr fontId="7" type="noConversion"/>
  <pageMargins left="0" right="0" top="0" bottom="0" header="0" footer="0"/>
  <pageSetup paperSize="9" scale="67" orientation="landscape" r:id="rId1"/>
  <headerFooter alignWithMargins="0">
    <oddFooter>&amp;C&amp;P/&amp;N&amp;R&amp;A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工作表14">
    <pageSetUpPr fitToPage="1"/>
  </sheetPr>
  <dimension ref="A1:AD26"/>
  <sheetViews>
    <sheetView showGridLines="0" view="pageBreakPreview" zoomScaleNormal="100" zoomScaleSheetLayoutView="100" workbookViewId="0"/>
  </sheetViews>
  <sheetFormatPr defaultRowHeight="15.75"/>
  <cols>
    <col min="1" max="1" width="5.75" style="1627" customWidth="1"/>
    <col min="2" max="2" width="18.875" style="1627" customWidth="1"/>
    <col min="3" max="3" width="8.875" style="1627" customWidth="1"/>
    <col min="4" max="4" width="12.75" style="1627" customWidth="1"/>
    <col min="5" max="9" width="13.625" style="1627" customWidth="1"/>
    <col min="10" max="10" width="12.75" style="1627" customWidth="1"/>
    <col min="11" max="16384" width="9" style="1627"/>
  </cols>
  <sheetData>
    <row r="1" spans="1:10" ht="16.5">
      <c r="A1" s="1472" t="str">
        <f>+封面!A3&amp;" "&amp;封面!A2</f>
        <v xml:space="preserve">        保險股份有限公司(○○分公司) 年度(月、季、半年)報表</v>
      </c>
      <c r="E1" s="2187"/>
      <c r="F1" s="2187"/>
      <c r="G1" s="2187"/>
      <c r="H1" s="2187"/>
      <c r="I1" s="2187"/>
      <c r="J1" s="2187"/>
    </row>
    <row r="2" spans="1:10">
      <c r="A2" s="1628" t="s">
        <v>5682</v>
      </c>
    </row>
    <row r="3" spans="1:10" ht="9.75" customHeight="1"/>
    <row r="4" spans="1:10" ht="17.649999999999999" customHeight="1">
      <c r="A4" s="3889" t="s">
        <v>5107</v>
      </c>
      <c r="B4" s="3894" t="s">
        <v>703</v>
      </c>
      <c r="C4" s="3895"/>
      <c r="D4" s="3896"/>
      <c r="E4" s="3887" t="s">
        <v>5683</v>
      </c>
      <c r="F4" s="3892" t="s">
        <v>694</v>
      </c>
      <c r="G4" s="3887" t="s">
        <v>5684</v>
      </c>
      <c r="H4" s="3893" t="s">
        <v>5685</v>
      </c>
      <c r="I4" s="3893"/>
      <c r="J4" s="3887" t="s">
        <v>5686</v>
      </c>
    </row>
    <row r="5" spans="1:10" ht="43.5" customHeight="1">
      <c r="A5" s="3890"/>
      <c r="B5" s="3897"/>
      <c r="C5" s="3898"/>
      <c r="D5" s="3899"/>
      <c r="E5" s="3888"/>
      <c r="F5" s="3888"/>
      <c r="G5" s="3888"/>
      <c r="H5" s="2763" t="s">
        <v>695</v>
      </c>
      <c r="I5" s="2764" t="s">
        <v>5687</v>
      </c>
      <c r="J5" s="3888"/>
    </row>
    <row r="6" spans="1:10">
      <c r="A6" s="3891"/>
      <c r="B6" s="3900" t="s">
        <v>78</v>
      </c>
      <c r="C6" s="3901"/>
      <c r="D6" s="3902"/>
      <c r="E6" s="2765" t="s">
        <v>29</v>
      </c>
      <c r="F6" s="2765" t="s">
        <v>171</v>
      </c>
      <c r="G6" s="2765" t="s">
        <v>172</v>
      </c>
      <c r="H6" s="2765" t="s">
        <v>532</v>
      </c>
      <c r="I6" s="2765" t="s">
        <v>533</v>
      </c>
      <c r="J6" s="2765" t="s">
        <v>315</v>
      </c>
    </row>
    <row r="7" spans="1:10" ht="28.5" customHeight="1">
      <c r="A7" s="2766">
        <v>1</v>
      </c>
      <c r="B7" s="3884" t="s">
        <v>5688</v>
      </c>
      <c r="C7" s="3885"/>
      <c r="D7" s="3886"/>
      <c r="E7" s="2767">
        <f>SUMPRODUCT(('表10-1'!J6:J25="A1")*('表10-1'!I6:I25="A")*('表10-1'!AA6:AA25))+SUMPRODUCT(('表10-1'!J6:J25="A1")*('表10-1'!I6:I25="B")*('表10-1'!AA6:AA25))+SUMPRODUCT(('表10-1'!J6:J25="A2")*('表10-1'!I6:I25="A")*('表10-1'!AA6:AA25))+SUMPRODUCT(('表10-1'!J6:J25="A2")*('表10-1'!I6:I25="B")*('表10-1'!AA6:AA25))</f>
        <v>0</v>
      </c>
      <c r="F7" s="2768">
        <f>SUMPRODUCT(('表10-1'!J6:J25="A1")*('表10-1'!I6:I25="A")*('表10-1'!V6:V25))+SUMPRODUCT(('表10-1'!J6:J25="A1")*('表10-1'!I6:I25="B")*('表10-1'!V6:V25))+SUMPRODUCT(('表10-1'!J6:J25="A2")*('表10-1'!I6:I25="A")*('表10-1'!V6:V25))+SUMPRODUCT(('表10-1'!J6:J25="A2")*('表10-1'!I6:I25="B")*('表10-1'!V6:V25))</f>
        <v>0</v>
      </c>
      <c r="G7" s="2768">
        <f>SUMPRODUCT(('表10-1'!J6:J25="A1")*('表10-1'!I6:I25="A")*('表10-1'!AB6:AB25))+SUMPRODUCT(('表10-1'!J6:J25="A1")*('表10-1'!I6:I25="B")*('表10-1'!AB6:AB25))+SUMPRODUCT(('表10-1'!J6:J25="A2")*('表10-1'!I6:I25="A")*('表10-1'!AB6:AB25))+SUMPRODUCT(('表10-1'!J6:J25="A2")*('表10-1'!I6:I25="B")*('表10-1'!AB6:AB25))</f>
        <v>0</v>
      </c>
      <c r="H7" s="2768">
        <f>F7-E7</f>
        <v>0</v>
      </c>
      <c r="I7" s="2768">
        <f>G7-E7</f>
        <v>0</v>
      </c>
      <c r="J7" s="2768">
        <f>I7-H7</f>
        <v>0</v>
      </c>
    </row>
    <row r="8" spans="1:10" ht="28.5" customHeight="1">
      <c r="A8" s="2766">
        <v>2</v>
      </c>
      <c r="B8" s="3884" t="s">
        <v>5689</v>
      </c>
      <c r="C8" s="3885"/>
      <c r="D8" s="3886"/>
      <c r="E8" s="2767">
        <f>SUMPRODUCT(('表10-1'!J6:J25="B")*('表10-1'!I6:I25="A")*('表10-1'!AA6:AA25))+SUMPRODUCT(('表10-1'!J6:J25="B")*('表10-1'!I6:I25="B")*('表10-1'!AA6:AA25))</f>
        <v>0</v>
      </c>
      <c r="F8" s="2768">
        <f>SUMPRODUCT(('表10-1'!J6:J25="B")*('表10-1'!I6:I25="A")*('表10-1'!V6:V25))+SUMPRODUCT(('表10-1'!J6:J25="B")*('表10-1'!I6:I25="B")*('表10-1'!V6:V25))</f>
        <v>0</v>
      </c>
      <c r="G8" s="2768">
        <f>SUMPRODUCT(('表10-1'!J6:J25="B")*('表10-1'!I6:I25="A")*('表10-1'!AB6:AB25))+SUMPRODUCT(('表10-1'!J6:J25="B")*('表10-1'!I6:I25="B")*('表10-1'!AB6:AB25))</f>
        <v>0</v>
      </c>
      <c r="H8" s="2768">
        <f>F8-E8</f>
        <v>0</v>
      </c>
      <c r="I8" s="2768">
        <f>G8-E8</f>
        <v>0</v>
      </c>
      <c r="J8" s="2768">
        <f>I8-H8</f>
        <v>0</v>
      </c>
    </row>
    <row r="9" spans="1:10" ht="28.5" customHeight="1">
      <c r="A9" s="2766">
        <v>3</v>
      </c>
      <c r="B9" s="3884" t="s">
        <v>5690</v>
      </c>
      <c r="C9" s="3885"/>
      <c r="D9" s="3886"/>
      <c r="E9" s="2767">
        <f>'表09-1'!AD16</f>
        <v>0</v>
      </c>
      <c r="F9" s="2769">
        <f>'表09-1'!Y16</f>
        <v>0</v>
      </c>
      <c r="G9" s="2770">
        <f>'表09-1'!AE16</f>
        <v>0</v>
      </c>
      <c r="H9" s="2768">
        <f>F9-E9</f>
        <v>0</v>
      </c>
      <c r="I9" s="2768">
        <f>G9-E9</f>
        <v>0</v>
      </c>
      <c r="J9" s="2768">
        <f>I9-H9</f>
        <v>0</v>
      </c>
    </row>
    <row r="10" spans="1:10" ht="28.5" customHeight="1">
      <c r="A10" s="2766">
        <v>4</v>
      </c>
      <c r="B10" s="3884" t="s">
        <v>5691</v>
      </c>
      <c r="C10" s="3885"/>
      <c r="D10" s="3886"/>
      <c r="E10" s="2767">
        <f>'表12-1'!Z16</f>
        <v>0</v>
      </c>
      <c r="F10" s="2768">
        <f>'表12-1'!U16</f>
        <v>0</v>
      </c>
      <c r="G10" s="2768">
        <f>'表12-1'!AA16</f>
        <v>0</v>
      </c>
      <c r="H10" s="2768">
        <f>F10-E10</f>
        <v>0</v>
      </c>
      <c r="I10" s="2768">
        <f>G10-E10</f>
        <v>0</v>
      </c>
      <c r="J10" s="2768">
        <f>I10-H10</f>
        <v>0</v>
      </c>
    </row>
    <row r="11" spans="1:10" ht="28.5" customHeight="1">
      <c r="A11" s="2766">
        <v>5</v>
      </c>
      <c r="B11" s="3884" t="s">
        <v>5692</v>
      </c>
      <c r="C11" s="3885"/>
      <c r="D11" s="3886"/>
      <c r="E11" s="2767">
        <f>'表12-1'!Z17</f>
        <v>0</v>
      </c>
      <c r="F11" s="2768">
        <f>'表12-1'!U17</f>
        <v>0</v>
      </c>
      <c r="G11" s="2768">
        <f>'表12-1'!AA17</f>
        <v>0</v>
      </c>
      <c r="H11" s="2768">
        <f>F11-E11</f>
        <v>0</v>
      </c>
      <c r="I11" s="2768">
        <f>G11-E11</f>
        <v>0</v>
      </c>
      <c r="J11" s="2768">
        <f>I11-H11</f>
        <v>0</v>
      </c>
    </row>
    <row r="12" spans="1:10">
      <c r="A12" s="2766">
        <v>6</v>
      </c>
      <c r="B12" s="3884" t="s">
        <v>5173</v>
      </c>
      <c r="C12" s="3885"/>
      <c r="D12" s="3886"/>
      <c r="E12" s="2771"/>
      <c r="F12" s="2771"/>
      <c r="G12" s="2771"/>
      <c r="H12" s="2768">
        <f>SUM(H7:H11)</f>
        <v>0</v>
      </c>
      <c r="I12" s="2771"/>
      <c r="J12" s="2768">
        <f>SUM(J7:J11)</f>
        <v>0</v>
      </c>
    </row>
    <row r="13" spans="1:10">
      <c r="A13" s="2772"/>
      <c r="B13" s="2772"/>
      <c r="C13" s="2772"/>
      <c r="D13" s="2772"/>
      <c r="E13" s="2772"/>
      <c r="F13" s="2772"/>
      <c r="G13" s="2772"/>
      <c r="H13" s="2772"/>
      <c r="I13" s="2772"/>
      <c r="J13" s="2772"/>
    </row>
    <row r="14" spans="1:10">
      <c r="A14" s="2773"/>
      <c r="B14" s="2774"/>
      <c r="C14" s="2774"/>
      <c r="D14" s="2774"/>
      <c r="E14" s="2772"/>
      <c r="F14" s="2772"/>
      <c r="G14" s="2772"/>
      <c r="H14" s="2772"/>
      <c r="I14" s="2772"/>
      <c r="J14" s="2772"/>
    </row>
    <row r="15" spans="1:10" ht="28.5">
      <c r="A15" s="3906" t="s">
        <v>668</v>
      </c>
      <c r="B15" s="3894" t="s">
        <v>669</v>
      </c>
      <c r="C15" s="3895"/>
      <c r="D15" s="3896"/>
      <c r="E15" s="2763" t="s">
        <v>558</v>
      </c>
      <c r="F15" s="2763" t="s">
        <v>656</v>
      </c>
      <c r="G15" s="2763" t="s">
        <v>670</v>
      </c>
      <c r="H15" s="2775" t="s">
        <v>671</v>
      </c>
      <c r="I15" s="2763" t="s">
        <v>672</v>
      </c>
      <c r="J15" s="2763" t="s">
        <v>673</v>
      </c>
    </row>
    <row r="16" spans="1:10" ht="15.75" customHeight="1">
      <c r="A16" s="3907"/>
      <c r="B16" s="3897"/>
      <c r="C16" s="3898"/>
      <c r="D16" s="3899"/>
      <c r="E16" s="2776" t="s">
        <v>674</v>
      </c>
      <c r="F16" s="2776" t="s">
        <v>675</v>
      </c>
      <c r="G16" s="2776" t="s">
        <v>676</v>
      </c>
      <c r="H16" s="2776" t="s">
        <v>677</v>
      </c>
      <c r="I16" s="2776" t="s">
        <v>678</v>
      </c>
      <c r="J16" s="2777" t="s">
        <v>679</v>
      </c>
    </row>
    <row r="17" spans="1:30" ht="15.75" customHeight="1">
      <c r="A17" s="2766">
        <v>7</v>
      </c>
      <c r="B17" s="3893" t="s">
        <v>5688</v>
      </c>
      <c r="C17" s="3892" t="s">
        <v>680</v>
      </c>
      <c r="D17" s="2778" t="s">
        <v>681</v>
      </c>
      <c r="E17" s="2767">
        <f>SUMPRODUCT(('表10-1'!J6:J25="A1")*('表10-1'!I6:I25="C")*('表10-1'!X6:X25&gt;=0)*(-('表10-1'!W6:W25)&lt;=('表10-1'!X6:X25))*('表10-1'!AA6:AA25))+SUMPRODUCT(('表10-1'!J6:J25="A1")*('表10-1'!I6:I25="D")*('表10-1'!X6:X25&gt;=0)*(-('表10-1'!W6:W25)&lt;=('表10-1'!X6:X25))*('表10-1'!AA6:AA25))+SUMPRODUCT(('表10-1'!J6:J25="A1")*('表10-1'!I6:I25="E")*('表10-1'!X6:X25&gt;=0)*(-('表10-1'!W6:W25)&lt;=('表10-1'!X6:X25))*('表10-1'!AA6:AA25))+SUMPRODUCT(('表10-1'!J6:J25="A2")*('表10-1'!I6:I25="C")*('表10-1'!X6:X25&gt;=0)*(-('表10-1'!W6:W25)&lt;=('表10-1'!X6:X25))*('表10-1'!AA6:AA25))+SUMPRODUCT(('表10-1'!J6:J25="A2")*('表10-1'!I6:I25="D")*('表10-1'!X6:X25&gt;=0)*(-('表10-1'!W6:W25)&lt;=('表10-1'!X6:X25))*('表10-1'!AA6:AA25))+SUMPRODUCT(('表10-1'!J6:J25="A2")*('表10-1'!I6:I25="E")*('表10-1'!X6:X25&gt;=0)*(-('表10-1'!W6:W25)&lt;=('表10-1'!X6:X25))*('表10-1'!AA6:AA25))</f>
        <v>0</v>
      </c>
      <c r="F17" s="2767">
        <f>SUMPRODUCT(('表10-1'!J6:J25="A1")*('表10-1'!I6:I25="C")*('表10-1'!X6:X25&gt;=0)*(-('表10-1'!W6:W25)&lt;=('表10-1'!X6:X25))*('表10-1'!U6:U25))+SUMPRODUCT(('表10-1'!J6:J25="A1")*('表10-1'!I6:I25="D")*('表10-1'!X6:X25&gt;=0)*(-('表10-1'!W6:W25)&lt;=('表10-1'!X6:X25))*('表10-1'!U6:U25))+SUMPRODUCT(('表10-1'!J6:J25="A1")*('表10-1'!I6:I25="E")*('表10-1'!X6:X25&gt;=0)*(-('表10-1'!W6:W25)&lt;=('表10-1'!X6:X25))*('表10-1'!U6:U25))+SUMPRODUCT(('表10-1'!J6:J25="A2")*('表10-1'!I6:I25="C")*('表10-1'!X6:X25&gt;=0)*(-('表10-1'!W6:W25)&lt;=('表10-1'!X6:X25))*('表10-1'!U6:U25))+SUMPRODUCT(('表10-1'!J6:J25="A2")*('表10-1'!I6:I25="D")*('表10-1'!X6:X25&gt;=0)*(-('表10-1'!W6:W25)&lt;=('表10-1'!X6:X25))*('表10-1'!U6:U25))+SUMPRODUCT(('表10-1'!J6:J25="A2")*('表10-1'!I6:I25="E")*('表10-1'!X6:X25&gt;=0)*(-('表10-1'!W6:W25)&lt;=('表10-1'!X6:X25))*('表10-1'!U6:U25))</f>
        <v>0</v>
      </c>
      <c r="G17" s="2767">
        <f>SUMPRODUCT(('表10-1'!J6:J25="A1")*('表10-1'!I6:I25="C")*('表10-1'!X6:X25&gt;=0)*(-('表10-1'!W6:W25)&lt;=('表10-1'!X6:X25))*('表10-1'!V6:V25))+SUMPRODUCT(('表10-1'!J6:J25="A1")*('表10-1'!I6:I25="D")*('表10-1'!X6:X25&gt;=0)*(-('表10-1'!W6:W25)&lt;=('表10-1'!X6:X25))*('表10-1'!V6:V25))+SUMPRODUCT(('表10-1'!J6:J25="A1")*('表10-1'!I6:I25="E")*('表10-1'!X6:X25&gt;=0)*(-('表10-1'!W6:W25)&lt;=('表10-1'!X6:X25))*('表10-1'!V6:V25))+SUMPRODUCT(('表10-1'!J6:J25="A2")*('表10-1'!I6:I25="C")*('表10-1'!X6:X25&gt;=0)*(-('表10-1'!W6:W25)&lt;=('表10-1'!X6:X25))*('表10-1'!V6:V25))+SUMPRODUCT(('表10-1'!J6:J25="A2")*('表10-1'!I6:I25="D")*('表10-1'!X6:X25&gt;=0)*(-('表10-1'!W6:W25)&lt;=('表10-1'!X6:X25))*('表10-1'!V6:V25))+SUMPRODUCT(('表10-1'!J6:J25="A2")*('表10-1'!I6:I25="E")*('表10-1'!X6:X25&gt;=0)*(-('表10-1'!W6:W25)&lt;=('表10-1'!X6:X25))*('表10-1'!V6:V25))</f>
        <v>0</v>
      </c>
      <c r="H17" s="2767">
        <f>SUMPRODUCT(('表10-1'!J6:J25="A1")*('表10-1'!I6:I25="C")*('表10-1'!X6:X25&gt;=0)*(-('表10-1'!W6:W25)&lt;=('表10-1'!X6:X25))*('表10-1'!X6:X25))+SUMPRODUCT(('表10-1'!J6:J25="A1")*('表10-1'!I6:I25="D")*('表10-1'!X6:X25&gt;=0)*(-('表10-1'!W6:W25)&lt;=('表10-1'!X6:X25))*('表10-1'!X6:X25))+SUMPRODUCT(('表10-1'!J6:J25="A1")*('表10-1'!I6:I25="E")*('表10-1'!X6:X25&gt;=0)*(-('表10-1'!W6:W25)&lt;=('表10-1'!X6:X25))*('表10-1'!X6:X25))+SUMPRODUCT(('表10-1'!J6:J25="A2")*('表10-1'!I6:I25="C")*('表10-1'!X6:X25&gt;=0)*(-('表10-1'!W6:W25)&lt;=('表10-1'!X6:X25))*('表10-1'!X6:X25))+SUMPRODUCT(('表10-1'!J6:J25="A2")*('表10-1'!I6:I25="D")*('表10-1'!X6:X25&gt;=0)*(-('表10-1'!W6:W25)&lt;=('表10-1'!X6:X25))*('表10-1'!X6:X25))+SUMPRODUCT(('表10-1'!J6:J25="A2")*('表10-1'!I6:I25="E")*('表10-1'!X6:X25&gt;=0)*(-('表10-1'!W6:W25)&lt;=('表10-1'!X6:X25))*('表10-1'!X6:X25))</f>
        <v>0</v>
      </c>
      <c r="I17" s="2767">
        <f>-(SUMPRODUCT(('表10-1'!J6:J25="A1")*('表10-1'!I6:I25="C")*('表10-1'!X6:X25&gt;=0)*(-('表10-1'!W6:W25)&lt;=('表10-1'!X6:X25))*('表10-1'!W6:W25&lt;0)*('表10-1'!W6:W25))+SUMPRODUCT(('表10-1'!J6:J25="A1")*('表10-1'!I6:I25="D")*('表10-1'!X6:X25&gt;=0)*(-('表10-1'!W6:W25)&lt;=('表10-1'!X6:X25))*('表10-1'!W6:W25&lt;0)*('表10-1'!W6:W25))+SUMPRODUCT(('表10-1'!J6:J25="A1")*('表10-1'!I6:I25="E")*('表10-1'!X6:X25&gt;=0)*(-('表10-1'!W6:W25)&lt;=('表10-1'!X6:X25))*('表10-1'!W6:W25&lt;0)*('表10-1'!W6:W25))+SUMPRODUCT(('表10-1'!J6:J25="A2")*('表10-1'!I6:I25="C")*('表10-1'!X6:X25&gt;=0)*(-('表10-1'!W6:W25)&lt;=('表10-1'!X6:X25))*('表10-1'!W6:W25&lt;0)*('表10-1'!W6:W25))+SUMPRODUCT(('表10-1'!J6:J25="A2")*('表10-1'!I6:I25="D")*('表10-1'!X6:X25&gt;=0)*(-('表10-1'!W6:W25)&lt;=('表10-1'!X6:X25))*('表10-1'!W6:W25&lt;0)*('表10-1'!W6:W25))+SUMPRODUCT(('表10-1'!J6:J25="A2")*('表10-1'!I6:I25="E")*('表10-1'!X6:X25&gt;=0)*(-('表10-1'!W6:W25)&lt;=('表10-1'!X6:X25))*('表10-1'!W6:W25&lt;0)*('表10-1'!W6:W25)))</f>
        <v>0</v>
      </c>
      <c r="J17" s="2767">
        <f>+H17-I17</f>
        <v>0</v>
      </c>
    </row>
    <row r="18" spans="1:30">
      <c r="A18" s="2766">
        <v>8</v>
      </c>
      <c r="B18" s="3893"/>
      <c r="C18" s="3908"/>
      <c r="D18" s="2778" t="s">
        <v>682</v>
      </c>
      <c r="E18" s="2767">
        <f>SUMPRODUCT(('表10-1'!J6:J25="A1")*('表10-1'!I6:I25="C")*('表10-1'!X6:X25&gt;=0)*(-('表10-1'!W6:W25)&gt;('表10-1'!X6:X25))*('表10-1'!AA6:AA25))+SUMPRODUCT(('表10-1'!J6:J25="A1")*('表10-1'!I6:I25="D")*('表10-1'!X6:X25&gt;=0)*(-('表10-1'!W6:W25)&gt;('表10-1'!X6:X25))*('表10-1'!AA6:AA25))+SUMPRODUCT(('表10-1'!J6:J25="A1")*('表10-1'!I6:I25="E")*('表10-1'!X6:X25&gt;=0)*(-('表10-1'!W6:W25)&gt;('表10-1'!X6:X25))*('表10-1'!AA6:AA25))+SUMPRODUCT(('表10-1'!J6:J25="A2")*('表10-1'!I6:I25="C")*('表10-1'!X6:X25&gt;=0)*(-('表10-1'!W6:W25)&gt;('表10-1'!X6:X25))*('表10-1'!AA6:AA25))+SUMPRODUCT(('表10-1'!J6:J25="A2")*('表10-1'!I6:I25="D")*('表10-1'!X6:X25&gt;=0)*(-('表10-1'!W6:W25)&gt;('表10-1'!X6:X25))*('表10-1'!AA6:AA25))+SUMPRODUCT(('表10-1'!J6:J25="A2")*('表10-1'!I6:I25="E")*('表10-1'!X6:X25&gt;=0)*(-('表10-1'!W6:W25)&gt;('表10-1'!X6:X25))*('表10-1'!AA6:AA25))</f>
        <v>0</v>
      </c>
      <c r="F18" s="2767">
        <f>SUMPRODUCT(('表10-1'!J6:J25="A1")*('表10-1'!I6:I25="C")*('表10-1'!X6:X25&gt;=0)*(-('表10-1'!W6:W25)&gt;('表10-1'!X6:X25))*('表10-1'!U6:U25))+SUMPRODUCT(('表10-1'!J6:J25="A1")*('表10-1'!I6:I25="D")*('表10-1'!X6:X25&gt;=0)*(-('表10-1'!W6:W25)&gt;('表10-1'!X6:X25))*('表10-1'!U6:U25))+SUMPRODUCT(('表10-1'!J6:J25="A1")*('表10-1'!I6:I25="E")*('表10-1'!X6:X25&gt;=0)*(-('表10-1'!W6:W25)&gt;('表10-1'!X6:X25))*('表10-1'!U6:U25))+SUMPRODUCT(('表10-1'!J6:J25="A2")*('表10-1'!I6:I25="C")*('表10-1'!X6:X25&gt;=0)*(-('表10-1'!W6:W25)&gt;('表10-1'!X6:X25))*('表10-1'!U6:U25))+SUMPRODUCT(('表10-1'!J6:J25="A2")*('表10-1'!I6:I25="D")*('表10-1'!X6:X25&gt;=0)*(-('表10-1'!W6:W25)&gt;('表10-1'!X6:X25))*('表10-1'!U6:U25))+SUMPRODUCT(('表10-1'!J6:J25="A2")*('表10-1'!I6:I25="E")*('表10-1'!X6:X25&gt;=0)*(-('表10-1'!W6:W25)&gt;('表10-1'!X6:X25))*('表10-1'!U6:U25))</f>
        <v>0</v>
      </c>
      <c r="G18" s="2767">
        <f>SUMPRODUCT(('表10-1'!J6:J25="A1")*('表10-1'!I6:I25="C")*('表10-1'!X6:X25&gt;=0)*(-('表10-1'!W6:W25)&gt;('表10-1'!X6:X25))*('表10-1'!V6:V25))+SUMPRODUCT(('表10-1'!J6:J25="A1")*('表10-1'!I6:I25="D")*('表10-1'!X6:X25&gt;=0)*(-('表10-1'!W6:W25)&gt;('表10-1'!X6:X25))*('表10-1'!V6:V25))+SUMPRODUCT(('表10-1'!J6:J25="A1")*('表10-1'!I6:I25="E")*('表10-1'!X6:X25&gt;=0)*(-('表10-1'!W6:W25)&gt;('表10-1'!X6:X25))*('表10-1'!V6:V25))+SUMPRODUCT(('表10-1'!J6:J25="A2")*('表10-1'!I6:I25="C")*('表10-1'!X6:X25&gt;=0)*(-('表10-1'!W6:W25)&gt;('表10-1'!X6:X25))*('表10-1'!V6:V25))+SUMPRODUCT(('表10-1'!J6:J25="A2")*('表10-1'!I6:I25="D")*('表10-1'!X6:X25&gt;=0)*(-('表10-1'!W6:W25)&gt;('表10-1'!X6:X25))*('表10-1'!V6:V25))+SUMPRODUCT(('表10-1'!J6:J25="A2")*('表10-1'!I6:I25="E")*('表10-1'!X6:X25&gt;=0)*(-('表10-1'!W6:W25)&gt;('表10-1'!X6:X25))*('表10-1'!V6:V25))</f>
        <v>0</v>
      </c>
      <c r="H18" s="2771"/>
      <c r="I18" s="2771"/>
      <c r="J18" s="2771"/>
    </row>
    <row r="19" spans="1:30">
      <c r="A19" s="2766">
        <v>9</v>
      </c>
      <c r="B19" s="3893"/>
      <c r="C19" s="3903" t="s">
        <v>683</v>
      </c>
      <c r="D19" s="3909"/>
      <c r="E19" s="2767">
        <f>SUMPRODUCT(('表10-1'!J6:J25="A1")*('表10-1'!I6:I25="C")*('表10-1'!X6:X25&lt;0)*('表10-1'!AA6:AA25))+SUMPRODUCT(('表10-1'!J6:J25="A1")*('表10-1'!I6:I25="D")*('表10-1'!X6:X25&lt;0)*('表10-1'!AA6:AA25))+SUMPRODUCT(('表10-1'!J6:J25="A1")*('表10-1'!I6:I25="E")*('表10-1'!X6:X25&lt;0)*('表10-1'!AA6:AA25))+SUMPRODUCT(('表10-1'!J6:J25="A2")*('表10-1'!I6:I25="C")*('表10-1'!X6:X25&lt;0)*('表10-1'!AA6:AA25))+SUMPRODUCT(('表10-1'!J6:J25="A2")*('表10-1'!I6:I25="D")*('表10-1'!X6:X25&lt;0)*('表10-1'!AA6:AA25))+SUMPRODUCT(('表10-1'!J6:J25="A2")*('表10-1'!I6:I25="E")*('表10-1'!X6:X25&lt;0)*('表10-1'!AA6:AA25))</f>
        <v>0</v>
      </c>
      <c r="F19" s="2767">
        <f>SUMPRODUCT(('表10-1'!J6:J25="A1")*('表10-1'!I6:I25="C")*('表10-1'!X6:X25&lt;0)*('表10-1'!U6:U25))+SUMPRODUCT(('表10-1'!J6:J25="A1")*('表10-1'!I6:I25="D")*('表10-1'!X6:X25&lt;0)*('表10-1'!U6:U25))+SUMPRODUCT(('表10-1'!J6:J25="A1")*('表10-1'!I6:I25="E")*('表10-1'!X6:X25&lt;0)*('表10-1'!U6:U25))+SUMPRODUCT(('表10-1'!J6:J25="A2")*('表10-1'!I6:I25="C")*('表10-1'!X6:X25&lt;0)*('表10-1'!U6:U25))+SUMPRODUCT(('表10-1'!J6:J25="A2")*('表10-1'!I6:I25="D")*('表10-1'!X6:X25&lt;0)*('表10-1'!U6:U25))+SUMPRODUCT(('表10-1'!J6:J25="A2")*('表10-1'!I6:I25="E")*('表10-1'!X6:X25&lt;0)*('表10-1'!U6:U25))</f>
        <v>0</v>
      </c>
      <c r="G19" s="2767">
        <f>SUMPRODUCT(('表10-1'!J6:J25="A1")*('表10-1'!I6:I25="C")*('表10-1'!X6:X25&lt;0)*('表10-1'!V6:V25))+SUMPRODUCT(('表10-1'!J6:J25="A1")*('表10-1'!I6:I25="D")*('表10-1'!X6:X25&lt;0)*('表10-1'!V6:V25))+SUMPRODUCT(('表10-1'!J6:J25="A1")*('表10-1'!I6:I25="E")*('表10-1'!X6:X25&lt;0)*('表10-1'!V6:V25))+SUMPRODUCT(('表10-1'!J6:J25="A2")*('表10-1'!I6:I25="C")*('表10-1'!X6:X25&lt;0)*('表10-1'!V6:V25))+SUMPRODUCT(('表10-1'!J6:J25="A2")*('表10-1'!I6:I25="D")*('表10-1'!X6:X25&lt;0)*('表10-1'!V6:V25))+SUMPRODUCT(('表10-1'!J6:J25="A2")*('表10-1'!I6:I25="E")*('表10-1'!X6:X25&lt;0)*('表10-1'!V6:V25))</f>
        <v>0</v>
      </c>
      <c r="H19" s="2771"/>
      <c r="I19" s="2771"/>
      <c r="J19" s="2771"/>
    </row>
    <row r="20" spans="1:30" ht="15.75" customHeight="1">
      <c r="A20" s="2766">
        <v>10</v>
      </c>
      <c r="B20" s="3893" t="s">
        <v>5689</v>
      </c>
      <c r="C20" s="3892" t="s">
        <v>680</v>
      </c>
      <c r="D20" s="2778" t="s">
        <v>681</v>
      </c>
      <c r="E20" s="2767">
        <f>SUMPRODUCT(('表10-1'!J6:J25="B")*('表10-1'!I6:I25="C")*('表10-1'!X6:X25&gt;=0)*(-('表10-1'!W6:W25)&lt;=('表10-1'!X6:X25))*('表10-1'!AA6:AA25))+SUMPRODUCT(('表10-1'!J6:J25="B")*('表10-1'!I6:I25="D")*('表10-1'!X6:X25&gt;=0)*(-('表10-1'!W6:W25)&lt;=('表10-1'!X6:X25))*('表10-1'!AA6:AA25))+SUMPRODUCT(('表10-1'!J6:J25="B")*('表10-1'!I6:I25="E")*('表10-1'!X6:X25&gt;=0)*(-('表10-1'!W6:W25)&lt;=('表10-1'!X6:X25))*('表10-1'!AA6:AA25))</f>
        <v>0</v>
      </c>
      <c r="F20" s="2767">
        <f>SUMPRODUCT(('表10-1'!J6:J25="B")*('表10-1'!I6:I25="C")*('表10-1'!X6:X25&gt;=0)*(-('表10-1'!W6:W25)&lt;=('表10-1'!X6:X25))*('表10-1'!U6:U25))+SUMPRODUCT(('表10-1'!J6:J25="B")*('表10-1'!I6:I25="D")*('表10-1'!X6:X25&gt;=0)*(-('表10-1'!W6:W25)&lt;=('表10-1'!X6:X25))*('表10-1'!U6:U25))+SUMPRODUCT(('表10-1'!J6:J25="B")*('表10-1'!I6:I25="E")*('表10-1'!X6:X25&gt;=0)*(-('表10-1'!W6:W25)&lt;=('表10-1'!X6:X25))*('表10-1'!U6:U25))</f>
        <v>0</v>
      </c>
      <c r="G20" s="2767">
        <f>SUMPRODUCT(('表10-1'!J6:J25="B")*('表10-1'!I6:I25="C")*('表10-1'!X6:X25&gt;=0)*(-('表10-1'!W6:W25)&lt;=('表10-1'!X6:X25))*('表10-1'!V6:V25))+SUMPRODUCT(('表10-1'!J6:J25="B")*('表10-1'!I6:I25="D")*('表10-1'!X6:X25&gt;=0)*(-('表10-1'!W6:W25)&lt;=('表10-1'!X6:X25))*('表10-1'!V6:V25))+SUMPRODUCT(('表10-1'!J6:J25="B")*('表10-1'!I6:I25="E")*('表10-1'!X6:X25&gt;=0)*(-('表10-1'!W6:W25)&lt;=('表10-1'!X6:X25))*('表10-1'!V6:V25))</f>
        <v>0</v>
      </c>
      <c r="H20" s="2767">
        <f>SUMPRODUCT(('表10-1'!J6:J25="B")*('表10-1'!I6:I25="C")*('表10-1'!X6:X25&gt;=0)*(-('表10-1'!W6:W25)&lt;=('表10-1'!X6:X25))*('表10-1'!X6:X25))+SUMPRODUCT(('表10-1'!J6:J25="B")*('表10-1'!I6:I25="D")*('表10-1'!X6:X25&gt;=0)*(-('表10-1'!W6:W25)&lt;=('表10-1'!X6:X25))*('表10-1'!X6:X25))+SUMPRODUCT(('表10-1'!J6:J25="B")*('表10-1'!I6:I25="E")*('表10-1'!X6:X25&gt;=0)*(-('表10-1'!W6:W25)&lt;=('表10-1'!X6:X25))*('表10-1'!X6:X25))</f>
        <v>0</v>
      </c>
      <c r="I20" s="2767">
        <f>-(SUMPRODUCT(('表10-1'!J6:J25="B")*('表10-1'!I6:I25="C")*('表10-1'!X6:X25&gt;=0)*(-('表10-1'!W6:W25)&lt;=('表10-1'!X6:X25))*('表10-1'!W6:W25&lt;0)*('表10-1'!W6:W25))+SUMPRODUCT(('表10-1'!J6:J25="B")*('表10-1'!I6:I25="D")*('表10-1'!X6:X25&gt;=0)*(-('表10-1'!W6:W25)&lt;=('表10-1'!X6:X25))*('表10-1'!W6:W25&lt;0)*('表10-1'!W6:W25))+SUMPRODUCT(('表10-1'!J6:J25="B")*('表10-1'!I6:I25="E")*('表10-1'!X6:X25&gt;=0)*(-('表10-1'!W6:W25)&lt;=('表10-1'!X6:X25))*('表10-1'!W6:W25&lt;0)*('表10-1'!W6:W25)))</f>
        <v>0</v>
      </c>
      <c r="J20" s="2767">
        <f>+H20-I20</f>
        <v>0</v>
      </c>
    </row>
    <row r="21" spans="1:30">
      <c r="A21" s="2766">
        <v>11</v>
      </c>
      <c r="B21" s="3893"/>
      <c r="C21" s="3908"/>
      <c r="D21" s="2778" t="s">
        <v>682</v>
      </c>
      <c r="E21" s="2767">
        <f>SUMPRODUCT(('表10-1'!J6:J25="B")*('表10-1'!I6:I25="C")*('表10-1'!X6:X25&gt;=0)*(-('表10-1'!W6:W25)&gt;('表10-1'!X6:X25))*('表10-1'!AA6:AA25))+SUMPRODUCT(('表10-1'!J6:J25="B")*('表10-1'!I6:I25="D")*('表10-1'!X6:X25&gt;=0)*(-('表10-1'!W6:W25)&gt;('表10-1'!X6:X25))*('表10-1'!AA6:AA25))+SUMPRODUCT(('表10-1'!J6:J25="B")*('表10-1'!I6:I25="E")*('表10-1'!X6:X25&gt;=0)*(-('表10-1'!W6:W25)&gt;('表10-1'!X6:X25))*('表10-1'!AA6:AA25))</f>
        <v>0</v>
      </c>
      <c r="F21" s="2767">
        <f>SUMPRODUCT(('表10-1'!J6:J25="B")*('表10-1'!I6:I25="C")*('表10-1'!X6:X25&gt;=0)*(-('表10-1'!W6:W25)&gt;('表10-1'!X6:X25))*('表10-1'!U6:U25))+SUMPRODUCT(('表10-1'!J6:J25="B")*('表10-1'!I6:I25="D")*('表10-1'!X6:X25&gt;=0)*(-('表10-1'!W6:W25)&gt;('表10-1'!X6:X25))*('表10-1'!U6:U25))+SUMPRODUCT(('表10-1'!J6:J25="B")*('表10-1'!I6:I25="E")*('表10-1'!X6:X25&gt;=0)*(-('表10-1'!W6:W25)&gt;('表10-1'!X6:X25))*('表10-1'!U6:U25))</f>
        <v>0</v>
      </c>
      <c r="G21" s="2767">
        <f>SUMPRODUCT(('表10-1'!J6:J25="B")*('表10-1'!I6:I25="C")*('表10-1'!X6:X25&gt;=0)*(-('表10-1'!W6:W25)&gt;('表10-1'!X6:X25))*('表10-1'!V6:V25))+SUMPRODUCT(('表10-1'!J6:J25="B")*('表10-1'!I6:I25="D")*('表10-1'!X6:X25&gt;=0)*(-('表10-1'!W6:W25)&gt;('表10-1'!X6:X25))*('表10-1'!V6:V25))+SUMPRODUCT(('表10-1'!J6:J25="B")*('表10-1'!I6:I25="E")*('表10-1'!X6:X25&gt;=0)*(-('表10-1'!W6:W25)&gt;('表10-1'!X6:X25))*('表10-1'!V6:V25))</f>
        <v>0</v>
      </c>
      <c r="H21" s="2771"/>
      <c r="I21" s="2771"/>
      <c r="J21" s="2771"/>
    </row>
    <row r="22" spans="1:30">
      <c r="A22" s="2766">
        <v>12</v>
      </c>
      <c r="B22" s="3893"/>
      <c r="C22" s="3903" t="s">
        <v>683</v>
      </c>
      <c r="D22" s="3909"/>
      <c r="E22" s="2767">
        <f>SUMPRODUCT(('表10-1'!J6:J25="B")*('表10-1'!I6:I25="C")*('表10-1'!X6:X25&lt;0)*('表10-1'!AA6:AA25))+SUMPRODUCT(('表10-1'!J6:J25="B")*('表10-1'!I6:I25="D")*('表10-1'!X6:X25&lt;0)*('表10-1'!AA6:AA25))+SUMPRODUCT(('表10-1'!J6:J25="B")*('表10-1'!I6:I25="E")*('表10-1'!X6:X25&lt;0)*('表10-1'!AA6:AA25))</f>
        <v>0</v>
      </c>
      <c r="F22" s="2767">
        <f>SUMPRODUCT(('表10-1'!J6:J25="B")*('表10-1'!I6:I25="C")*('表10-1'!X6:X25&lt;0)*('表10-1'!U6:U25))+SUMPRODUCT(('表10-1'!J6:J25="B")*('表10-1'!I6:I25="D")*('表10-1'!X6:X25&lt;0)*('表10-1'!U6:U25))+SUMPRODUCT(('表10-1'!J6:J25="B")*('表10-1'!I6:I25="E")*('表10-1'!X6:X25&lt;0)*('表10-1'!U6:U25))</f>
        <v>0</v>
      </c>
      <c r="G22" s="2767">
        <f>SUMPRODUCT(('表10-1'!J6:J25="B")*('表10-1'!I6:I25="C")*('表10-1'!X6:X25&lt;0)*('表10-1'!V6:V25))+SUMPRODUCT(('表10-1'!J6:J25="B")*('表10-1'!I6:I25="D")*('表10-1'!X6:X25&lt;0)*('表10-1'!V6:V25))+SUMPRODUCT(('表10-1'!J6:J25="B")*('表10-1'!I6:I25="E")*('表10-1'!X6:X25&lt;0)*('表10-1'!V6:V25))</f>
        <v>0</v>
      </c>
      <c r="H22" s="2771"/>
      <c r="I22" s="2771"/>
      <c r="J22" s="2771"/>
    </row>
    <row r="23" spans="1:30">
      <c r="A23" s="2766">
        <v>13</v>
      </c>
      <c r="B23" s="3903" t="s">
        <v>684</v>
      </c>
      <c r="C23" s="3904"/>
      <c r="D23" s="3905"/>
      <c r="E23" s="2771"/>
      <c r="F23" s="2771"/>
      <c r="G23" s="2771"/>
      <c r="H23" s="2771"/>
      <c r="I23" s="2771"/>
      <c r="J23" s="2767">
        <f>+J17+J20</f>
        <v>0</v>
      </c>
    </row>
    <row r="24" spans="1:30">
      <c r="A24" s="2779" t="s">
        <v>739</v>
      </c>
      <c r="B24" s="2780" t="s">
        <v>5104</v>
      </c>
      <c r="C24" s="2772"/>
      <c r="D24" s="2772"/>
      <c r="E24" s="2772"/>
      <c r="F24" s="2772"/>
      <c r="G24" s="2772"/>
      <c r="H24" s="2772"/>
      <c r="I24" s="2772"/>
      <c r="J24" s="2772"/>
    </row>
    <row r="26" spans="1:30" ht="16.5">
      <c r="AD26" s="2180"/>
    </row>
  </sheetData>
  <mergeCells count="23">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 ref="B7:D7"/>
    <mergeCell ref="J4:J5"/>
    <mergeCell ref="A4:A6"/>
    <mergeCell ref="E4:E5"/>
    <mergeCell ref="F4:F5"/>
    <mergeCell ref="G4:G5"/>
    <mergeCell ref="H4:I4"/>
    <mergeCell ref="B4:D5"/>
    <mergeCell ref="B6:D6"/>
  </mergeCells>
  <phoneticPr fontId="9" type="noConversion"/>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工作表15">
    <tabColor rgb="FFEE0000"/>
    <pageSetUpPr fitToPage="1"/>
  </sheetPr>
  <dimension ref="A1:H23"/>
  <sheetViews>
    <sheetView showGridLines="0" workbookViewId="0">
      <selection activeCell="F29" sqref="F29"/>
    </sheetView>
  </sheetViews>
  <sheetFormatPr defaultRowHeight="16.5"/>
  <cols>
    <col min="1" max="1" width="9" style="2180"/>
    <col min="2" max="7" width="13.25" style="2180" customWidth="1"/>
    <col min="8" max="8" width="29.625" style="2180" bestFit="1" customWidth="1"/>
    <col min="9" max="16384" width="9" style="2180"/>
  </cols>
  <sheetData>
    <row r="1" spans="1:8">
      <c r="A1" s="1472" t="s">
        <v>1847</v>
      </c>
    </row>
    <row r="2" spans="1:8">
      <c r="A2" s="2181" t="s">
        <v>750</v>
      </c>
    </row>
    <row r="3" spans="1:8">
      <c r="A3" s="2181"/>
      <c r="B3" s="2182"/>
      <c r="C3" s="2182"/>
      <c r="D3" s="2183"/>
      <c r="E3" s="2183"/>
      <c r="F3" s="2183"/>
      <c r="G3" s="2183"/>
      <c r="H3" s="2183"/>
    </row>
    <row r="4" spans="1:8" ht="15.75" customHeight="1">
      <c r="A4" s="3910" t="s">
        <v>94</v>
      </c>
      <c r="B4" s="3911" t="s">
        <v>648</v>
      </c>
      <c r="C4" s="3912"/>
      <c r="D4" s="3912"/>
      <c r="E4" s="3912"/>
      <c r="F4" s="3912"/>
      <c r="G4" s="3912"/>
      <c r="H4" s="3913" t="s">
        <v>688</v>
      </c>
    </row>
    <row r="5" spans="1:8" ht="15.75" customHeight="1">
      <c r="A5" s="3910"/>
      <c r="B5" s="3906" t="s">
        <v>689</v>
      </c>
      <c r="C5" s="3910" t="s">
        <v>690</v>
      </c>
      <c r="D5" s="3910" t="s">
        <v>690</v>
      </c>
      <c r="E5" s="3910" t="s">
        <v>690</v>
      </c>
      <c r="F5" s="3910" t="s">
        <v>690</v>
      </c>
      <c r="G5" s="3910" t="s">
        <v>691</v>
      </c>
      <c r="H5" s="3913"/>
    </row>
    <row r="6" spans="1:8">
      <c r="A6" s="3910"/>
      <c r="B6" s="3915"/>
      <c r="C6" s="3906"/>
      <c r="D6" s="3906"/>
      <c r="E6" s="3906"/>
      <c r="F6" s="3906"/>
      <c r="G6" s="3906"/>
      <c r="H6" s="3914"/>
    </row>
    <row r="7" spans="1:8">
      <c r="A7" s="3910"/>
      <c r="B7" s="2781" t="s">
        <v>78</v>
      </c>
      <c r="C7" s="2781" t="s">
        <v>29</v>
      </c>
      <c r="D7" s="2781" t="s">
        <v>171</v>
      </c>
      <c r="E7" s="2781" t="s">
        <v>172</v>
      </c>
      <c r="F7" s="2781" t="s">
        <v>173</v>
      </c>
      <c r="G7" s="2781" t="s">
        <v>2952</v>
      </c>
      <c r="H7" s="2781" t="s">
        <v>33</v>
      </c>
    </row>
    <row r="8" spans="1:8">
      <c r="A8" s="2782">
        <v>1</v>
      </c>
      <c r="B8" s="2783"/>
      <c r="C8" s="2783"/>
      <c r="D8" s="2783"/>
      <c r="E8" s="2783"/>
      <c r="F8" s="2783"/>
      <c r="G8" s="2784"/>
      <c r="H8" s="2784">
        <f>SUM(B8:G8)/5</f>
        <v>0</v>
      </c>
    </row>
    <row r="11" spans="1:8">
      <c r="A11" s="2184" t="s">
        <v>455</v>
      </c>
    </row>
    <row r="12" spans="1:8">
      <c r="A12" s="2185">
        <v>1</v>
      </c>
      <c r="B12" s="2914" t="s">
        <v>6300</v>
      </c>
      <c r="C12" s="2915"/>
      <c r="D12" s="2915"/>
      <c r="E12" s="2915"/>
      <c r="F12" s="2915"/>
    </row>
    <row r="13" spans="1:8">
      <c r="A13" s="2185">
        <v>2</v>
      </c>
      <c r="B13" s="2914" t="s">
        <v>6301</v>
      </c>
      <c r="C13" s="2915"/>
      <c r="D13" s="2915"/>
      <c r="E13" s="2915"/>
      <c r="F13" s="2915"/>
    </row>
    <row r="14" spans="1:8">
      <c r="A14" s="2186"/>
      <c r="B14" s="2914" t="s">
        <v>6302</v>
      </c>
      <c r="C14" s="2915"/>
      <c r="D14" s="2915"/>
      <c r="E14" s="2915"/>
      <c r="F14" s="2915"/>
    </row>
    <row r="15" spans="1:8">
      <c r="A15" s="2186"/>
      <c r="B15" s="2916" t="s">
        <v>6307</v>
      </c>
      <c r="C15" s="2915"/>
      <c r="D15" s="2915"/>
      <c r="E15" s="2915"/>
      <c r="F15" s="2915"/>
    </row>
    <row r="16" spans="1:8">
      <c r="A16" s="2186"/>
      <c r="B16" s="2914" t="s">
        <v>6303</v>
      </c>
      <c r="C16" s="2915"/>
      <c r="D16" s="2915"/>
      <c r="E16" s="2915"/>
      <c r="F16" s="2915"/>
    </row>
    <row r="17" spans="1:6">
      <c r="A17" s="2186"/>
      <c r="B17" s="2917" t="s">
        <v>5496</v>
      </c>
      <c r="C17" s="2915"/>
      <c r="D17" s="2915"/>
      <c r="E17" s="2915"/>
      <c r="F17" s="2915"/>
    </row>
    <row r="18" spans="1:6">
      <c r="A18" s="2185">
        <v>3</v>
      </c>
      <c r="B18" s="2914" t="s">
        <v>6304</v>
      </c>
      <c r="C18" s="2915"/>
      <c r="D18" s="2915"/>
      <c r="E18" s="2915"/>
      <c r="F18" s="2915"/>
    </row>
    <row r="19" spans="1:6">
      <c r="A19" s="2186"/>
      <c r="B19" s="2914" t="s">
        <v>6305</v>
      </c>
      <c r="C19" s="2915"/>
      <c r="D19" s="2915"/>
      <c r="E19" s="2915"/>
      <c r="F19" s="2915"/>
    </row>
    <row r="20" spans="1:6">
      <c r="A20" s="2186"/>
      <c r="B20" s="2914" t="s">
        <v>6302</v>
      </c>
      <c r="C20" s="2915"/>
      <c r="D20" s="2915"/>
      <c r="E20" s="2915"/>
      <c r="F20" s="2915"/>
    </row>
    <row r="21" spans="1:6">
      <c r="A21" s="2186"/>
      <c r="B21" s="2916" t="s">
        <v>6307</v>
      </c>
      <c r="C21" s="2915"/>
      <c r="D21" s="2915"/>
      <c r="E21" s="2915"/>
      <c r="F21" s="2915"/>
    </row>
    <row r="22" spans="1:6">
      <c r="A22" s="2186"/>
      <c r="B22" s="2914" t="s">
        <v>6306</v>
      </c>
      <c r="C22" s="2915"/>
      <c r="D22" s="2915"/>
      <c r="E22" s="2915"/>
      <c r="F22" s="2915"/>
    </row>
    <row r="23" spans="1:6">
      <c r="A23" s="2186"/>
      <c r="B23" s="2917" t="s">
        <v>5496</v>
      </c>
      <c r="C23" s="2915"/>
      <c r="D23" s="2915"/>
      <c r="E23" s="2915"/>
      <c r="F23" s="2915"/>
    </row>
  </sheetData>
  <mergeCells count="9">
    <mergeCell ref="A4:A7"/>
    <mergeCell ref="B4:G4"/>
    <mergeCell ref="H4:H6"/>
    <mergeCell ref="B5:B6"/>
    <mergeCell ref="C5:C6"/>
    <mergeCell ref="D5:D6"/>
    <mergeCell ref="G5:G6"/>
    <mergeCell ref="E5:E6"/>
    <mergeCell ref="F5:F6"/>
  </mergeCells>
  <phoneticPr fontId="9" type="noConversion"/>
  <dataValidations count="1">
    <dataValidation type="whole" allowBlank="1" showInputMessage="1" showErrorMessage="1" errorTitle="錯誤" error="輸入資料格式錯誤!!" sqref="H4 D3:H3 D6:G6" xr:uid="{00000000-0002-0000-4900-000000000000}">
      <formula1>-9.99999999999999E+28</formula1>
      <formula2>9.99999999999999E+30</formula2>
    </dataValidation>
  </dataValidations>
  <pageMargins left="0" right="0" top="0" bottom="0" header="0" footer="0"/>
  <pageSetup paperSize="9" scale="99"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工作表24">
    <pageSetUpPr fitToPage="1"/>
  </sheetPr>
  <dimension ref="A1:Y54"/>
  <sheetViews>
    <sheetView workbookViewId="0">
      <selection activeCell="B1" sqref="B1"/>
    </sheetView>
  </sheetViews>
  <sheetFormatPr defaultColWidth="20.625" defaultRowHeight="15.75"/>
  <cols>
    <col min="1" max="1" width="5.625" style="9" customWidth="1"/>
    <col min="2" max="2" width="30.625" style="9" customWidth="1"/>
    <col min="3" max="16384" width="20.625" style="9"/>
  </cols>
  <sheetData>
    <row r="1" spans="1:24" ht="16.5">
      <c r="A1" s="14" t="s">
        <v>1846</v>
      </c>
      <c r="B1" s="253"/>
      <c r="C1" s="253"/>
      <c r="D1" s="253"/>
      <c r="E1" s="253"/>
      <c r="F1" s="253"/>
      <c r="G1" s="253"/>
      <c r="H1" s="253"/>
      <c r="I1" s="253"/>
      <c r="J1" s="253"/>
      <c r="K1" s="253"/>
      <c r="L1" s="253"/>
      <c r="M1" s="253"/>
      <c r="N1" s="253"/>
      <c r="O1" s="253"/>
      <c r="P1" s="253"/>
      <c r="Q1" s="253"/>
      <c r="R1" s="253"/>
      <c r="S1" s="253"/>
      <c r="T1" s="253"/>
      <c r="U1" s="253"/>
      <c r="V1" s="253"/>
      <c r="W1" s="254"/>
    </row>
    <row r="2" spans="1:24" ht="16.5">
      <c r="A2" s="1170" t="s">
        <v>2891</v>
      </c>
      <c r="B2" s="253"/>
      <c r="C2" s="253"/>
      <c r="D2" s="253"/>
      <c r="E2" s="253"/>
      <c r="F2" s="253"/>
      <c r="G2" s="253"/>
      <c r="H2" s="253"/>
      <c r="I2" s="253"/>
      <c r="J2" s="253"/>
      <c r="K2" s="253"/>
      <c r="L2" s="253"/>
      <c r="M2" s="253"/>
      <c r="N2" s="253"/>
      <c r="O2" s="253"/>
      <c r="P2" s="253"/>
      <c r="Q2" s="253"/>
      <c r="R2" s="253"/>
      <c r="W2" s="254"/>
    </row>
    <row r="3" spans="1:24" ht="16.5">
      <c r="A3" s="255" t="s">
        <v>2892</v>
      </c>
      <c r="B3" s="253"/>
      <c r="C3" s="253"/>
      <c r="D3" s="253"/>
      <c r="E3" s="253"/>
      <c r="F3" s="253"/>
      <c r="G3" s="253"/>
      <c r="H3" s="253"/>
      <c r="I3" s="253"/>
      <c r="J3" s="253"/>
      <c r="K3" s="253"/>
      <c r="L3" s="253"/>
      <c r="M3" s="253"/>
      <c r="N3" s="253"/>
      <c r="O3" s="253"/>
      <c r="P3" s="253"/>
      <c r="Q3" s="253"/>
      <c r="R3" s="253"/>
      <c r="V3" s="256"/>
      <c r="W3" s="256" t="s">
        <v>2893</v>
      </c>
    </row>
    <row r="4" spans="1:24" ht="15.75" customHeight="1">
      <c r="A4" s="3921" t="s">
        <v>1866</v>
      </c>
      <c r="B4" s="3938" t="s">
        <v>2894</v>
      </c>
      <c r="C4" s="3939"/>
      <c r="D4" s="3938" t="s">
        <v>2895</v>
      </c>
      <c r="E4" s="3940"/>
      <c r="F4" s="3940"/>
      <c r="G4" s="3939"/>
      <c r="H4" s="3921" t="s">
        <v>2896</v>
      </c>
      <c r="I4" s="3921" t="s">
        <v>2897</v>
      </c>
      <c r="J4" s="3921" t="s">
        <v>2898</v>
      </c>
      <c r="K4" s="3921" t="s">
        <v>2899</v>
      </c>
      <c r="L4" s="3921" t="s">
        <v>2900</v>
      </c>
      <c r="M4" s="3921" t="s">
        <v>2901</v>
      </c>
      <c r="N4" s="3792" t="s">
        <v>2902</v>
      </c>
      <c r="O4" s="3792" t="s">
        <v>2903</v>
      </c>
      <c r="P4" s="3792" t="s">
        <v>2904</v>
      </c>
      <c r="Q4" s="3792" t="s">
        <v>2905</v>
      </c>
      <c r="R4" s="3792" t="s">
        <v>2906</v>
      </c>
      <c r="S4" s="3792" t="s">
        <v>2907</v>
      </c>
      <c r="T4" s="3792" t="s">
        <v>2908</v>
      </c>
      <c r="U4" s="3792" t="s">
        <v>2909</v>
      </c>
      <c r="V4" s="3792" t="s">
        <v>2910</v>
      </c>
      <c r="W4" s="3792" t="s">
        <v>2750</v>
      </c>
      <c r="X4" s="254"/>
    </row>
    <row r="5" spans="1:24" ht="16.5">
      <c r="A5" s="3922"/>
      <c r="B5" s="25" t="s">
        <v>2911</v>
      </c>
      <c r="C5" s="25" t="s">
        <v>2912</v>
      </c>
      <c r="D5" s="25" t="s">
        <v>2911</v>
      </c>
      <c r="E5" s="25" t="s">
        <v>2912</v>
      </c>
      <c r="F5" s="25" t="s">
        <v>2913</v>
      </c>
      <c r="G5" s="25" t="s">
        <v>2914</v>
      </c>
      <c r="H5" s="3923"/>
      <c r="I5" s="3923"/>
      <c r="J5" s="3923"/>
      <c r="K5" s="3923"/>
      <c r="L5" s="3923"/>
      <c r="M5" s="3923"/>
      <c r="N5" s="3792"/>
      <c r="O5" s="3792"/>
      <c r="P5" s="3792"/>
      <c r="Q5" s="3792"/>
      <c r="R5" s="3792"/>
      <c r="S5" s="3792"/>
      <c r="T5" s="3792"/>
      <c r="U5" s="3792"/>
      <c r="V5" s="3792"/>
      <c r="W5" s="3792"/>
      <c r="X5" s="254"/>
    </row>
    <row r="6" spans="1:24" ht="15.75" customHeight="1">
      <c r="A6" s="3923"/>
      <c r="B6" s="257" t="s">
        <v>422</v>
      </c>
      <c r="C6" s="257" t="s">
        <v>423</v>
      </c>
      <c r="D6" s="257" t="s">
        <v>171</v>
      </c>
      <c r="E6" s="257" t="s">
        <v>172</v>
      </c>
      <c r="F6" s="257" t="s">
        <v>173</v>
      </c>
      <c r="G6" s="257" t="s">
        <v>174</v>
      </c>
      <c r="H6" s="257" t="s">
        <v>175</v>
      </c>
      <c r="I6" s="257" t="s">
        <v>176</v>
      </c>
      <c r="J6" s="257" t="s">
        <v>177</v>
      </c>
      <c r="K6" s="257" t="s">
        <v>178</v>
      </c>
      <c r="L6" s="257" t="s">
        <v>179</v>
      </c>
      <c r="M6" s="257" t="s">
        <v>180</v>
      </c>
      <c r="N6" s="257" t="s">
        <v>416</v>
      </c>
      <c r="O6" s="257" t="s">
        <v>417</v>
      </c>
      <c r="P6" s="257" t="s">
        <v>418</v>
      </c>
      <c r="Q6" s="257" t="s">
        <v>419</v>
      </c>
      <c r="R6" s="257" t="s">
        <v>420</v>
      </c>
      <c r="S6" s="257" t="s">
        <v>424</v>
      </c>
      <c r="T6" s="257" t="s">
        <v>425</v>
      </c>
      <c r="U6" s="257" t="s">
        <v>426</v>
      </c>
      <c r="V6" s="257" t="s">
        <v>427</v>
      </c>
      <c r="W6" s="257" t="s">
        <v>428</v>
      </c>
      <c r="X6" s="254"/>
    </row>
    <row r="7" spans="1:24">
      <c r="A7" s="258">
        <v>1</v>
      </c>
      <c r="B7" s="259"/>
      <c r="C7" s="260"/>
      <c r="D7" s="259"/>
      <c r="E7" s="260"/>
      <c r="F7" s="260"/>
      <c r="G7" s="260"/>
      <c r="H7" s="260"/>
      <c r="I7" s="260"/>
      <c r="J7" s="260"/>
      <c r="K7" s="260"/>
      <c r="L7" s="260"/>
      <c r="M7" s="260"/>
      <c r="N7" s="260"/>
      <c r="O7" s="260"/>
      <c r="P7" s="261"/>
      <c r="Q7" s="260"/>
      <c r="R7" s="262"/>
      <c r="S7" s="262"/>
      <c r="T7" s="262"/>
      <c r="U7" s="262"/>
      <c r="V7" s="260"/>
      <c r="W7" s="260"/>
      <c r="X7" s="254"/>
    </row>
    <row r="8" spans="1:24">
      <c r="A8" s="258">
        <v>2</v>
      </c>
      <c r="B8" s="259"/>
      <c r="C8" s="260"/>
      <c r="D8" s="259"/>
      <c r="E8" s="260"/>
      <c r="F8" s="260"/>
      <c r="G8" s="260"/>
      <c r="H8" s="260"/>
      <c r="I8" s="260"/>
      <c r="J8" s="260"/>
      <c r="K8" s="260"/>
      <c r="L8" s="260"/>
      <c r="M8" s="260"/>
      <c r="N8" s="260"/>
      <c r="O8" s="260"/>
      <c r="P8" s="261"/>
      <c r="Q8" s="260"/>
      <c r="R8" s="262"/>
      <c r="S8" s="262"/>
      <c r="T8" s="262"/>
      <c r="U8" s="262"/>
      <c r="V8" s="260"/>
      <c r="W8" s="260"/>
      <c r="X8" s="254"/>
    </row>
    <row r="9" spans="1:24">
      <c r="A9" s="258">
        <v>3</v>
      </c>
      <c r="B9" s="259"/>
      <c r="C9" s="260"/>
      <c r="D9" s="259"/>
      <c r="E9" s="260"/>
      <c r="F9" s="260"/>
      <c r="G9" s="260"/>
      <c r="H9" s="260"/>
      <c r="I9" s="260"/>
      <c r="J9" s="260"/>
      <c r="K9" s="260"/>
      <c r="L9" s="260"/>
      <c r="M9" s="260"/>
      <c r="N9" s="260"/>
      <c r="O9" s="260"/>
      <c r="P9" s="261"/>
      <c r="Q9" s="260"/>
      <c r="R9" s="262"/>
      <c r="S9" s="262"/>
      <c r="T9" s="262"/>
      <c r="U9" s="262"/>
      <c r="V9" s="260"/>
      <c r="W9" s="260"/>
      <c r="X9" s="254"/>
    </row>
    <row r="10" spans="1:24">
      <c r="A10" s="258">
        <v>4</v>
      </c>
      <c r="B10" s="259"/>
      <c r="C10" s="260"/>
      <c r="D10" s="259"/>
      <c r="E10" s="260"/>
      <c r="F10" s="260"/>
      <c r="G10" s="260"/>
      <c r="H10" s="260"/>
      <c r="I10" s="260"/>
      <c r="J10" s="260"/>
      <c r="K10" s="260"/>
      <c r="L10" s="260"/>
      <c r="M10" s="260"/>
      <c r="N10" s="260"/>
      <c r="O10" s="260"/>
      <c r="P10" s="261"/>
      <c r="Q10" s="260"/>
      <c r="R10" s="262"/>
      <c r="S10" s="262"/>
      <c r="T10" s="262"/>
      <c r="U10" s="262"/>
      <c r="V10" s="260"/>
      <c r="W10" s="260"/>
      <c r="X10" s="254"/>
    </row>
    <row r="11" spans="1:24">
      <c r="A11" s="258">
        <v>5</v>
      </c>
      <c r="B11" s="259"/>
      <c r="C11" s="260"/>
      <c r="D11" s="259"/>
      <c r="E11" s="260"/>
      <c r="F11" s="260"/>
      <c r="G11" s="260"/>
      <c r="H11" s="260"/>
      <c r="I11" s="260"/>
      <c r="J11" s="260"/>
      <c r="K11" s="260"/>
      <c r="L11" s="260"/>
      <c r="M11" s="260"/>
      <c r="N11" s="260"/>
      <c r="O11" s="260"/>
      <c r="P11" s="261"/>
      <c r="Q11" s="260"/>
      <c r="R11" s="262"/>
      <c r="S11" s="262"/>
      <c r="T11" s="262"/>
      <c r="U11" s="262"/>
      <c r="V11" s="260"/>
      <c r="W11" s="260"/>
      <c r="X11" s="254"/>
    </row>
    <row r="12" spans="1:24">
      <c r="A12" s="258">
        <v>6</v>
      </c>
      <c r="B12" s="259"/>
      <c r="C12" s="260"/>
      <c r="D12" s="259"/>
      <c r="E12" s="260"/>
      <c r="F12" s="260"/>
      <c r="G12" s="260"/>
      <c r="H12" s="260"/>
      <c r="I12" s="260"/>
      <c r="J12" s="260"/>
      <c r="K12" s="260"/>
      <c r="L12" s="260"/>
      <c r="M12" s="260"/>
      <c r="N12" s="260"/>
      <c r="O12" s="260"/>
      <c r="P12" s="261"/>
      <c r="Q12" s="260"/>
      <c r="R12" s="262"/>
      <c r="S12" s="262"/>
      <c r="T12" s="262"/>
      <c r="U12" s="262"/>
      <c r="V12" s="260"/>
      <c r="W12" s="260"/>
      <c r="X12" s="254"/>
    </row>
    <row r="13" spans="1:24">
      <c r="A13" s="258">
        <v>7</v>
      </c>
      <c r="B13" s="259"/>
      <c r="C13" s="260"/>
      <c r="D13" s="259"/>
      <c r="E13" s="260"/>
      <c r="F13" s="260"/>
      <c r="G13" s="260"/>
      <c r="H13" s="260"/>
      <c r="I13" s="260"/>
      <c r="J13" s="260"/>
      <c r="K13" s="260"/>
      <c r="L13" s="260"/>
      <c r="M13" s="260"/>
      <c r="N13" s="260"/>
      <c r="O13" s="260"/>
      <c r="P13" s="261"/>
      <c r="Q13" s="260"/>
      <c r="R13" s="262"/>
      <c r="S13" s="262"/>
      <c r="T13" s="262"/>
      <c r="U13" s="262"/>
      <c r="V13" s="260"/>
      <c r="W13" s="260"/>
      <c r="X13" s="254"/>
    </row>
    <row r="14" spans="1:24">
      <c r="A14" s="258">
        <v>8</v>
      </c>
      <c r="B14" s="259"/>
      <c r="C14" s="260"/>
      <c r="D14" s="259"/>
      <c r="E14" s="260"/>
      <c r="F14" s="260"/>
      <c r="G14" s="260"/>
      <c r="H14" s="260"/>
      <c r="I14" s="260"/>
      <c r="J14" s="260"/>
      <c r="K14" s="260"/>
      <c r="L14" s="260"/>
      <c r="M14" s="260"/>
      <c r="N14" s="260"/>
      <c r="O14" s="260"/>
      <c r="P14" s="261"/>
      <c r="Q14" s="260"/>
      <c r="R14" s="262"/>
      <c r="S14" s="262"/>
      <c r="T14" s="262"/>
      <c r="U14" s="262"/>
      <c r="V14" s="260"/>
      <c r="W14" s="260"/>
      <c r="X14" s="254"/>
    </row>
    <row r="15" spans="1:24">
      <c r="A15" s="258">
        <v>9</v>
      </c>
      <c r="B15" s="259"/>
      <c r="C15" s="260"/>
      <c r="D15" s="259"/>
      <c r="E15" s="260"/>
      <c r="F15" s="260"/>
      <c r="G15" s="260"/>
      <c r="H15" s="260"/>
      <c r="I15" s="260"/>
      <c r="J15" s="260"/>
      <c r="K15" s="260"/>
      <c r="L15" s="260"/>
      <c r="M15" s="260"/>
      <c r="N15" s="260"/>
      <c r="O15" s="260"/>
      <c r="P15" s="261"/>
      <c r="Q15" s="260"/>
      <c r="R15" s="262"/>
      <c r="S15" s="262"/>
      <c r="T15" s="262"/>
      <c r="U15" s="262"/>
      <c r="V15" s="260"/>
      <c r="W15" s="260"/>
      <c r="X15" s="254"/>
    </row>
    <row r="16" spans="1:24">
      <c r="A16" s="258">
        <v>10</v>
      </c>
      <c r="B16" s="259"/>
      <c r="C16" s="260"/>
      <c r="D16" s="259"/>
      <c r="E16" s="260"/>
      <c r="F16" s="260"/>
      <c r="G16" s="260"/>
      <c r="H16" s="260"/>
      <c r="I16" s="260"/>
      <c r="J16" s="260"/>
      <c r="K16" s="260"/>
      <c r="L16" s="260"/>
      <c r="M16" s="260"/>
      <c r="N16" s="260"/>
      <c r="O16" s="260"/>
      <c r="P16" s="261"/>
      <c r="Q16" s="260"/>
      <c r="R16" s="262"/>
      <c r="S16" s="262"/>
      <c r="T16" s="262"/>
      <c r="U16" s="262"/>
      <c r="V16" s="260"/>
      <c r="W16" s="260"/>
      <c r="X16" s="254"/>
    </row>
    <row r="17" spans="1:25">
      <c r="A17" s="263"/>
      <c r="B17" s="264"/>
      <c r="C17" s="265"/>
      <c r="D17" s="264"/>
      <c r="E17" s="265"/>
      <c r="F17" s="265"/>
      <c r="G17" s="265"/>
      <c r="H17" s="265"/>
      <c r="I17" s="265"/>
      <c r="J17" s="265"/>
      <c r="K17" s="265"/>
      <c r="L17" s="265"/>
      <c r="M17" s="265"/>
      <c r="N17" s="265"/>
      <c r="O17" s="266"/>
      <c r="P17" s="265"/>
      <c r="Q17" s="267"/>
      <c r="R17" s="267"/>
      <c r="S17" s="265"/>
      <c r="T17" s="265"/>
      <c r="U17" s="265"/>
      <c r="V17" s="265"/>
      <c r="W17" s="254"/>
    </row>
    <row r="18" spans="1:25" ht="16.5">
      <c r="A18" s="255" t="s">
        <v>2915</v>
      </c>
      <c r="B18" s="264"/>
      <c r="C18" s="265"/>
      <c r="D18" s="264"/>
      <c r="E18" s="265"/>
      <c r="F18" s="265"/>
      <c r="G18" s="265"/>
      <c r="H18" s="265"/>
      <c r="I18" s="265"/>
      <c r="J18" s="265"/>
      <c r="K18" s="265"/>
      <c r="L18" s="265"/>
      <c r="M18" s="265"/>
      <c r="N18" s="265"/>
      <c r="O18" s="266"/>
      <c r="P18" s="265"/>
      <c r="Q18" s="267"/>
      <c r="R18" s="267"/>
      <c r="S18" s="265"/>
      <c r="T18" s="265"/>
      <c r="U18" s="265"/>
      <c r="V18" s="265"/>
      <c r="W18" s="254"/>
    </row>
    <row r="19" spans="1:25" ht="15.75" customHeight="1">
      <c r="A19" s="3921" t="s">
        <v>1866</v>
      </c>
      <c r="B19" s="3924" t="s">
        <v>2916</v>
      </c>
      <c r="C19" s="3926" t="s">
        <v>2917</v>
      </c>
      <c r="D19" s="3927"/>
      <c r="E19" s="3928"/>
      <c r="F19" s="3929" t="s">
        <v>752</v>
      </c>
      <c r="G19" s="3930"/>
      <c r="H19" s="3931"/>
      <c r="I19" s="265"/>
      <c r="J19" s="3921" t="s">
        <v>1866</v>
      </c>
      <c r="K19" s="3932" t="s">
        <v>2918</v>
      </c>
      <c r="L19" s="3933"/>
      <c r="M19" s="3924" t="s">
        <v>2919</v>
      </c>
      <c r="N19" s="265"/>
      <c r="O19" s="266"/>
      <c r="P19" s="265"/>
      <c r="Q19" s="267"/>
      <c r="R19" s="267"/>
      <c r="S19" s="265"/>
      <c r="T19" s="265"/>
      <c r="U19" s="265"/>
      <c r="V19" s="265"/>
      <c r="W19" s="254"/>
    </row>
    <row r="20" spans="1:25" ht="33">
      <c r="A20" s="3922"/>
      <c r="B20" s="3925"/>
      <c r="C20" s="268" t="s">
        <v>2920</v>
      </c>
      <c r="D20" s="268" t="s">
        <v>2921</v>
      </c>
      <c r="E20" s="268" t="s">
        <v>2922</v>
      </c>
      <c r="F20" s="268" t="s">
        <v>2920</v>
      </c>
      <c r="G20" s="268" t="s">
        <v>2921</v>
      </c>
      <c r="H20" s="268" t="s">
        <v>2922</v>
      </c>
      <c r="I20" s="265"/>
      <c r="J20" s="3922"/>
      <c r="K20" s="3934"/>
      <c r="L20" s="3935"/>
      <c r="M20" s="3925"/>
      <c r="N20" s="265"/>
      <c r="P20" s="265"/>
      <c r="Q20" s="266"/>
      <c r="R20" s="265"/>
      <c r="S20" s="267"/>
      <c r="T20" s="267"/>
      <c r="U20" s="267"/>
      <c r="V20" s="267"/>
      <c r="W20" s="265"/>
      <c r="X20" s="265"/>
      <c r="Y20" s="254"/>
    </row>
    <row r="21" spans="1:25">
      <c r="A21" s="3923"/>
      <c r="B21" s="257" t="s">
        <v>84</v>
      </c>
      <c r="C21" s="257" t="s">
        <v>144</v>
      </c>
      <c r="D21" s="257" t="s">
        <v>300</v>
      </c>
      <c r="E21" s="257" t="s">
        <v>301</v>
      </c>
      <c r="F21" s="257" t="s">
        <v>302</v>
      </c>
      <c r="G21" s="257" t="s">
        <v>303</v>
      </c>
      <c r="H21" s="257" t="s">
        <v>304</v>
      </c>
      <c r="I21" s="265"/>
      <c r="J21" s="3923"/>
      <c r="K21" s="3936" t="s">
        <v>738</v>
      </c>
      <c r="L21" s="3937"/>
      <c r="M21" s="257" t="s">
        <v>729</v>
      </c>
      <c r="N21" s="265"/>
      <c r="P21" s="265"/>
      <c r="Q21" s="266"/>
      <c r="R21" s="265"/>
      <c r="S21" s="267"/>
      <c r="T21" s="267"/>
      <c r="U21" s="267"/>
      <c r="V21" s="267"/>
      <c r="W21" s="265"/>
      <c r="X21" s="265"/>
      <c r="Y21" s="254"/>
    </row>
    <row r="22" spans="1:25" ht="16.5">
      <c r="A22" s="258">
        <v>1</v>
      </c>
      <c r="B22" s="269" t="s">
        <v>2923</v>
      </c>
      <c r="C22" s="270">
        <f t="shared" ref="C22:H22" si="0">C23++C28</f>
        <v>0</v>
      </c>
      <c r="D22" s="270">
        <f t="shared" si="0"/>
        <v>0</v>
      </c>
      <c r="E22" s="270">
        <f t="shared" si="0"/>
        <v>0</v>
      </c>
      <c r="F22" s="270">
        <f>F23++F28</f>
        <v>0</v>
      </c>
      <c r="G22" s="270">
        <f t="shared" si="0"/>
        <v>0</v>
      </c>
      <c r="H22" s="270">
        <f t="shared" si="0"/>
        <v>0</v>
      </c>
      <c r="I22" s="265"/>
      <c r="J22" s="271">
        <f>A37+1</f>
        <v>17</v>
      </c>
      <c r="K22" s="3916" t="s">
        <v>2924</v>
      </c>
      <c r="L22" s="269" t="s">
        <v>2925</v>
      </c>
      <c r="M22" s="272">
        <f>SUM(C24:E24,C29:E29,C34:E34)</f>
        <v>0</v>
      </c>
      <c r="N22" s="265"/>
      <c r="O22" s="265"/>
      <c r="P22" s="265"/>
      <c r="Q22" s="266"/>
      <c r="R22" s="265"/>
      <c r="S22" s="267"/>
      <c r="T22" s="267"/>
      <c r="U22" s="267"/>
      <c r="V22" s="267"/>
      <c r="W22" s="265"/>
      <c r="X22" s="265"/>
      <c r="Y22" s="254"/>
    </row>
    <row r="23" spans="1:25" ht="16.5">
      <c r="A23" s="258">
        <f>A22+1</f>
        <v>2</v>
      </c>
      <c r="B23" s="273" t="s">
        <v>2926</v>
      </c>
      <c r="C23" s="270">
        <f t="shared" ref="C23:H23" si="1">C24+C25</f>
        <v>0</v>
      </c>
      <c r="D23" s="270">
        <f t="shared" si="1"/>
        <v>0</v>
      </c>
      <c r="E23" s="270">
        <f t="shared" si="1"/>
        <v>0</v>
      </c>
      <c r="F23" s="270">
        <f t="shared" si="1"/>
        <v>0</v>
      </c>
      <c r="G23" s="270">
        <f t="shared" si="1"/>
        <v>0</v>
      </c>
      <c r="H23" s="270">
        <f t="shared" si="1"/>
        <v>0</v>
      </c>
      <c r="I23" s="265"/>
      <c r="J23" s="271">
        <f t="shared" ref="J23:J28" si="2">J22+1</f>
        <v>18</v>
      </c>
      <c r="K23" s="3917"/>
      <c r="L23" s="269" t="s">
        <v>2927</v>
      </c>
      <c r="M23" s="274">
        <f>M24+M25</f>
        <v>0</v>
      </c>
      <c r="N23" s="265"/>
      <c r="O23" s="265"/>
      <c r="P23" s="265"/>
      <c r="Q23" s="266"/>
      <c r="R23" s="265"/>
      <c r="S23" s="267"/>
      <c r="T23" s="267"/>
      <c r="U23" s="267"/>
      <c r="V23" s="267"/>
      <c r="W23" s="265"/>
      <c r="X23" s="265"/>
      <c r="Y23" s="254"/>
    </row>
    <row r="24" spans="1:25" ht="33" customHeight="1">
      <c r="A24" s="258">
        <f t="shared" ref="A24:A36" si="3">A23+1</f>
        <v>3</v>
      </c>
      <c r="B24" s="275" t="s">
        <v>2925</v>
      </c>
      <c r="C24" s="276">
        <f>SUMPRODUCT(($F$7:$F$16="C")*1,($J$7:$J$16="A")*1,($K$7:$K$16="Y")*1,$S$7:$S$16,$T$7:$T$16,$U$7:$U$16)</f>
        <v>0</v>
      </c>
      <c r="D24" s="276">
        <f>SUMPRODUCT(($F$7:$F$16="C")*1,($J$7:$J$16="B1")*1,($K$7:$K$16="Y")*1,$S$7:$S$16,$T$7:$T$16,$U$7:$U$16)</f>
        <v>0</v>
      </c>
      <c r="E24" s="276">
        <f>SUMPRODUCT(($F$7:$F$16="C")*1,($J$7:$J$16="B2")*1,($K$7:$K$16="Y")*1,$S$7:$S$16,$T$7:$T$16,$U$7:$U$16)</f>
        <v>0</v>
      </c>
      <c r="F24" s="276">
        <f>C24</f>
        <v>0</v>
      </c>
      <c r="G24" s="276">
        <f>D24</f>
        <v>0</v>
      </c>
      <c r="H24" s="276">
        <f>E24</f>
        <v>0</v>
      </c>
      <c r="I24" s="265"/>
      <c r="J24" s="271">
        <f t="shared" si="2"/>
        <v>19</v>
      </c>
      <c r="K24" s="3917"/>
      <c r="L24" s="273" t="s">
        <v>2928</v>
      </c>
      <c r="M24" s="272">
        <f>SUM(C26:E26,C31:E31,C36:E36)</f>
        <v>0</v>
      </c>
      <c r="N24" s="265"/>
      <c r="O24" s="265"/>
      <c r="P24" s="265"/>
      <c r="Q24" s="266"/>
      <c r="R24" s="265"/>
      <c r="S24" s="267"/>
      <c r="T24" s="267"/>
      <c r="U24" s="267"/>
      <c r="V24" s="267"/>
      <c r="W24" s="265"/>
      <c r="X24" s="265"/>
      <c r="Y24" s="254"/>
    </row>
    <row r="25" spans="1:25" ht="33" customHeight="1">
      <c r="A25" s="258">
        <f t="shared" si="3"/>
        <v>4</v>
      </c>
      <c r="B25" s="275" t="s">
        <v>2927</v>
      </c>
      <c r="C25" s="270">
        <f t="shared" ref="C25:H25" si="4">C26+C27</f>
        <v>0</v>
      </c>
      <c r="D25" s="270">
        <f t="shared" si="4"/>
        <v>0</v>
      </c>
      <c r="E25" s="270">
        <f t="shared" si="4"/>
        <v>0</v>
      </c>
      <c r="F25" s="270">
        <f t="shared" si="4"/>
        <v>0</v>
      </c>
      <c r="G25" s="270">
        <f t="shared" si="4"/>
        <v>0</v>
      </c>
      <c r="H25" s="270">
        <f t="shared" si="4"/>
        <v>0</v>
      </c>
      <c r="I25" s="265"/>
      <c r="J25" s="271">
        <f t="shared" si="2"/>
        <v>20</v>
      </c>
      <c r="K25" s="3918"/>
      <c r="L25" s="273" t="s">
        <v>2929</v>
      </c>
      <c r="M25" s="272">
        <f>SUM(C27:E27,C32:E32,C37:E37)</f>
        <v>0</v>
      </c>
      <c r="N25" s="265"/>
      <c r="O25" s="265"/>
      <c r="P25" s="265"/>
      <c r="Q25" s="266"/>
      <c r="R25" s="265"/>
      <c r="S25" s="267"/>
      <c r="T25" s="267"/>
      <c r="U25" s="267"/>
      <c r="V25" s="267"/>
      <c r="W25" s="265"/>
      <c r="X25" s="265"/>
      <c r="Y25" s="254"/>
    </row>
    <row r="26" spans="1:25" ht="33" customHeight="1">
      <c r="A26" s="258">
        <f t="shared" si="3"/>
        <v>5</v>
      </c>
      <c r="B26" s="277" t="s">
        <v>2930</v>
      </c>
      <c r="C26" s="276">
        <f>SUMPRODUCT(($F$7:$F$16="C")*1,($J$7:$J$16="A")*1,($K$7:$K$16="N")*1,($L$7:$L$16="Y")*1,$S$7:$S$16,$T$7:$T$16,$U$7:$U$16)</f>
        <v>0</v>
      </c>
      <c r="D26" s="276">
        <f>SUMPRODUCT(($F$7:$F$16="C")*1,($J$7:$J$16="B1")*1,($K$7:$K$16="N")*1,($L$7:$L$16="Y")*1,$S$7:$S$16,$T$7:$T$16,$U$7:$U$16)</f>
        <v>0</v>
      </c>
      <c r="E26" s="276">
        <f>SUMPRODUCT(($F$7:$F$16="C")*1,($J$7:$J$16="B2")*1,($K$7:$K$16="N")*1,($L$7:$L$16="Y")*1,$S$7:$S$16,$T$7:$T$16,$U$7:$U$16)</f>
        <v>0</v>
      </c>
      <c r="F26" s="276">
        <f t="shared" ref="F26:H27" si="5">IF($M$23=0,0,C26/$M$23*$M$28)</f>
        <v>0</v>
      </c>
      <c r="G26" s="276">
        <f t="shared" si="5"/>
        <v>0</v>
      </c>
      <c r="H26" s="276">
        <f t="shared" si="5"/>
        <v>0</v>
      </c>
      <c r="I26" s="265"/>
      <c r="J26" s="271">
        <f t="shared" si="2"/>
        <v>21</v>
      </c>
      <c r="K26" s="3919" t="s">
        <v>2931</v>
      </c>
      <c r="L26" s="3920"/>
      <c r="M26" s="269">
        <f>表03!O96*10%</f>
        <v>0</v>
      </c>
      <c r="N26" s="265"/>
      <c r="O26" s="265"/>
      <c r="P26" s="265"/>
      <c r="Q26" s="266"/>
      <c r="R26" s="265"/>
      <c r="S26" s="267"/>
      <c r="T26" s="267"/>
      <c r="U26" s="267"/>
      <c r="V26" s="267"/>
      <c r="W26" s="265"/>
      <c r="X26" s="265"/>
      <c r="Y26" s="254"/>
    </row>
    <row r="27" spans="1:25" ht="33">
      <c r="A27" s="258">
        <f t="shared" si="3"/>
        <v>6</v>
      </c>
      <c r="B27" s="277" t="s">
        <v>2932</v>
      </c>
      <c r="C27" s="276">
        <f>SUMPRODUCT(($F$7:$F$16="C")*1,($J$7:$J$16="A")*1,($K$7:$K$16="N")*1,($L$7:$L$16="N")*1,$S$7:$S$16,$T$7:$T$16,$U$7:$U$16)</f>
        <v>0</v>
      </c>
      <c r="D27" s="276">
        <f>SUMPRODUCT(($F$7:$F$16="C")*1,($J$7:$J$16="B1")*1,($K$7:$K$16="N")*1,($L$7:$L$16="N")*1,$S$7:$S$16,$T$7:$T$16,$U$7:$U$16)</f>
        <v>0</v>
      </c>
      <c r="E27" s="276">
        <f>SUMPRODUCT(($F$7:$F$16="C")*1,($J$7:$J$16="B2")*1,($K$7:$K$16="N")*1,($L$7:$L$16="N")*1,$S$7:$S$16,$T$7:$T$16,$U$7:$U$16)</f>
        <v>0</v>
      </c>
      <c r="F27" s="276">
        <f t="shared" si="5"/>
        <v>0</v>
      </c>
      <c r="G27" s="276">
        <f t="shared" si="5"/>
        <v>0</v>
      </c>
      <c r="H27" s="276">
        <f t="shared" si="5"/>
        <v>0</v>
      </c>
      <c r="I27" s="265"/>
      <c r="J27" s="271">
        <f t="shared" si="2"/>
        <v>22</v>
      </c>
      <c r="K27" s="3919" t="s">
        <v>2933</v>
      </c>
      <c r="L27" s="3920"/>
      <c r="M27" s="272">
        <f>M22</f>
        <v>0</v>
      </c>
      <c r="N27" s="265"/>
      <c r="O27" s="265"/>
      <c r="P27" s="265"/>
      <c r="Q27" s="266"/>
      <c r="R27" s="265"/>
      <c r="S27" s="267"/>
      <c r="T27" s="267"/>
      <c r="U27" s="267"/>
      <c r="V27" s="267"/>
      <c r="W27" s="265"/>
      <c r="X27" s="265"/>
      <c r="Y27" s="254"/>
    </row>
    <row r="28" spans="1:25" ht="16.5" customHeight="1">
      <c r="A28" s="258">
        <f t="shared" si="3"/>
        <v>7</v>
      </c>
      <c r="B28" s="273" t="s">
        <v>2934</v>
      </c>
      <c r="C28" s="270">
        <f t="shared" ref="C28:H28" si="6">C29+C30</f>
        <v>0</v>
      </c>
      <c r="D28" s="270">
        <f t="shared" si="6"/>
        <v>0</v>
      </c>
      <c r="E28" s="270">
        <f t="shared" si="6"/>
        <v>0</v>
      </c>
      <c r="F28" s="270">
        <f t="shared" si="6"/>
        <v>0</v>
      </c>
      <c r="G28" s="270">
        <f t="shared" si="6"/>
        <v>0</v>
      </c>
      <c r="H28" s="270">
        <f t="shared" si="6"/>
        <v>0</v>
      </c>
      <c r="I28" s="265"/>
      <c r="J28" s="271">
        <f t="shared" si="2"/>
        <v>23</v>
      </c>
      <c r="K28" s="3919" t="s">
        <v>2935</v>
      </c>
      <c r="L28" s="3920"/>
      <c r="M28" s="272">
        <f>IF(M25=0,0,
IF(M25&gt;0,MAX(M23-M26,0)))</f>
        <v>0</v>
      </c>
      <c r="N28" s="265"/>
      <c r="O28" s="265"/>
      <c r="P28" s="265"/>
      <c r="Q28" s="266"/>
      <c r="R28" s="265"/>
      <c r="S28" s="267"/>
      <c r="T28" s="267"/>
      <c r="U28" s="267"/>
      <c r="V28" s="267"/>
      <c r="W28" s="265"/>
      <c r="X28" s="265"/>
      <c r="Y28" s="254"/>
    </row>
    <row r="29" spans="1:25" ht="16.5">
      <c r="A29" s="258">
        <f t="shared" si="3"/>
        <v>8</v>
      </c>
      <c r="B29" s="275" t="s">
        <v>2925</v>
      </c>
      <c r="C29" s="276">
        <f>SUMPRODUCT(($F$7:$F$16="B")*1,($J$7:$J$16="A")*1,($K$7:$K$16="Y")*1,$S$7:$S$16,$T$7:$T$16,$U$7:$U$16)</f>
        <v>0</v>
      </c>
      <c r="D29" s="276">
        <f>SUMPRODUCT(($F$7:$F$16="B")*1,($J$7:$J$16="B1")*1,($K$7:$K$16="Y")*1,$S$7:$S$16,$T$7:$T$16,$U$7:$U$16)</f>
        <v>0</v>
      </c>
      <c r="E29" s="276">
        <f>SUMPRODUCT(($F$7:$F$16="B")*1,($J$7:$J$16="B2")*1,($K$7:$K$16="Y")*1,$S$7:$S$16,$T$7:$T$16,$U$7:$U$16)</f>
        <v>0</v>
      </c>
      <c r="F29" s="276">
        <f>C29</f>
        <v>0</v>
      </c>
      <c r="G29" s="276">
        <f>D29</f>
        <v>0</v>
      </c>
      <c r="H29" s="276">
        <f>E29</f>
        <v>0</v>
      </c>
      <c r="I29" s="265"/>
      <c r="J29" s="265"/>
      <c r="K29" s="265"/>
      <c r="L29" s="265"/>
      <c r="M29" s="266"/>
      <c r="N29" s="265"/>
      <c r="O29" s="267"/>
      <c r="P29" s="267"/>
      <c r="Q29" s="265"/>
      <c r="R29" s="265"/>
      <c r="S29" s="254"/>
      <c r="T29" s="254"/>
      <c r="U29" s="254"/>
    </row>
    <row r="30" spans="1:25" ht="16.5">
      <c r="A30" s="258">
        <f t="shared" si="3"/>
        <v>9</v>
      </c>
      <c r="B30" s="275" t="s">
        <v>2927</v>
      </c>
      <c r="C30" s="270">
        <f t="shared" ref="C30:H30" si="7">C31+C32</f>
        <v>0</v>
      </c>
      <c r="D30" s="270">
        <f t="shared" si="7"/>
        <v>0</v>
      </c>
      <c r="E30" s="270">
        <f t="shared" si="7"/>
        <v>0</v>
      </c>
      <c r="F30" s="270">
        <f t="shared" si="7"/>
        <v>0</v>
      </c>
      <c r="G30" s="270">
        <f t="shared" si="7"/>
        <v>0</v>
      </c>
      <c r="H30" s="270">
        <f t="shared" si="7"/>
        <v>0</v>
      </c>
      <c r="I30" s="265"/>
      <c r="N30" s="265"/>
      <c r="O30" s="265"/>
      <c r="P30" s="265"/>
      <c r="Q30" s="266"/>
      <c r="R30" s="265"/>
      <c r="S30" s="267"/>
      <c r="T30" s="267"/>
      <c r="U30" s="267"/>
      <c r="V30" s="267"/>
      <c r="W30" s="265"/>
      <c r="X30" s="265"/>
      <c r="Y30" s="254"/>
    </row>
    <row r="31" spans="1:25" ht="33">
      <c r="A31" s="258">
        <f t="shared" si="3"/>
        <v>10</v>
      </c>
      <c r="B31" s="277" t="s">
        <v>2930</v>
      </c>
      <c r="C31" s="276">
        <f>SUMPRODUCT(($F$7:$F$16="B")*1,($J$7:$J$16="A")*1,($K$7:$K$16="N")*1,($L$7:$L$16="Y")*1,$S$7:$S$16,$T$7:$T$16,$U$7:$U$16)</f>
        <v>0</v>
      </c>
      <c r="D31" s="276">
        <f>SUMPRODUCT(($F$7:$F$16="B")*1,($J$7:$J$16="B1")*1,($K$7:$K$16="N")*1,($L$7:$L$16="Y")*1,$S$7:$S$16,$T$7:$T$16,$U$7:$U$16)</f>
        <v>0</v>
      </c>
      <c r="E31" s="276">
        <f>SUMPRODUCT(($F$7:$F$16="B")*1,($J$7:$J$16="B2")*1,($K$7:$K$16="N")*1,($L$7:$L$16="Y")*1,$S$7:$S$16,$T$7:$T$16,$U$7:$U$16)</f>
        <v>0</v>
      </c>
      <c r="F31" s="276">
        <f t="shared" ref="F31:H32" si="8">IF($M$23=0,0,C31/$M$23*$M$28)</f>
        <v>0</v>
      </c>
      <c r="G31" s="276">
        <f t="shared" si="8"/>
        <v>0</v>
      </c>
      <c r="H31" s="276">
        <f t="shared" si="8"/>
        <v>0</v>
      </c>
      <c r="I31" s="265"/>
      <c r="J31" s="265"/>
      <c r="K31" s="265"/>
      <c r="L31" s="265"/>
      <c r="M31" s="265"/>
      <c r="N31" s="265"/>
      <c r="O31" s="265"/>
      <c r="P31" s="265"/>
      <c r="Q31" s="266"/>
      <c r="R31" s="265"/>
      <c r="S31" s="267"/>
      <c r="T31" s="267"/>
      <c r="U31" s="267"/>
      <c r="V31" s="267"/>
      <c r="W31" s="265"/>
      <c r="X31" s="265"/>
      <c r="Y31" s="254"/>
    </row>
    <row r="32" spans="1:25" ht="33">
      <c r="A32" s="258">
        <f t="shared" si="3"/>
        <v>11</v>
      </c>
      <c r="B32" s="277" t="s">
        <v>2932</v>
      </c>
      <c r="C32" s="276">
        <f>SUMPRODUCT(($F$7:$F$16="B")*1,($J$7:$J$16="A")*1,($K$7:$K$16="N")*1,($L$7:$L$16="N")*1,$S$7:$S$16,$T$7:$T$16,$U$7:$U$16)</f>
        <v>0</v>
      </c>
      <c r="D32" s="276">
        <f>SUMPRODUCT(($F$7:$F$16="B")*1,($J$7:$J$16="B1")*1,($K$7:$K$16="N")*1,($L$7:$L$16="N")*1,$S$7:$S$16,$T$7:$T$16,$U$7:$U$16)</f>
        <v>0</v>
      </c>
      <c r="E32" s="276">
        <f>SUMPRODUCT(($F$7:$F$16="B")*1,($J$7:$J$16="B2")*1,($K$7:$K$16="N")*1,($L$7:$L$16="N")*1,$S$7:$S$16,$T$7:$T$16,$U$7:$U$16)</f>
        <v>0</v>
      </c>
      <c r="F32" s="276">
        <f t="shared" si="8"/>
        <v>0</v>
      </c>
      <c r="G32" s="276">
        <f t="shared" si="8"/>
        <v>0</v>
      </c>
      <c r="H32" s="276">
        <f t="shared" si="8"/>
        <v>0</v>
      </c>
      <c r="I32" s="265"/>
      <c r="J32" s="265"/>
      <c r="K32" s="265"/>
      <c r="L32" s="265"/>
      <c r="M32" s="265"/>
      <c r="N32" s="265"/>
      <c r="O32" s="265"/>
      <c r="P32" s="265"/>
      <c r="Q32" s="266"/>
      <c r="R32" s="265"/>
      <c r="S32" s="267"/>
      <c r="T32" s="267"/>
      <c r="U32" s="267"/>
      <c r="V32" s="267"/>
      <c r="W32" s="265"/>
      <c r="X32" s="265"/>
      <c r="Y32" s="254"/>
    </row>
    <row r="33" spans="1:25" ht="16.5">
      <c r="A33" s="258">
        <f t="shared" si="3"/>
        <v>12</v>
      </c>
      <c r="B33" s="269" t="s">
        <v>2936</v>
      </c>
      <c r="C33" s="270">
        <f t="shared" ref="C33:H33" si="9">C34+C35</f>
        <v>0</v>
      </c>
      <c r="D33" s="270">
        <f t="shared" si="9"/>
        <v>0</v>
      </c>
      <c r="E33" s="270">
        <f t="shared" si="9"/>
        <v>0</v>
      </c>
      <c r="F33" s="270">
        <f t="shared" si="9"/>
        <v>0</v>
      </c>
      <c r="G33" s="270">
        <f t="shared" si="9"/>
        <v>0</v>
      </c>
      <c r="H33" s="270">
        <f t="shared" si="9"/>
        <v>0</v>
      </c>
      <c r="I33" s="265"/>
      <c r="J33" s="265"/>
      <c r="K33" s="265"/>
      <c r="L33" s="265"/>
      <c r="M33" s="265"/>
      <c r="N33" s="265"/>
      <c r="O33" s="265"/>
      <c r="P33" s="265"/>
      <c r="Q33" s="266"/>
      <c r="R33" s="265"/>
      <c r="S33" s="267"/>
      <c r="T33" s="267"/>
      <c r="U33" s="267"/>
      <c r="V33" s="267"/>
      <c r="W33" s="265"/>
      <c r="X33" s="265"/>
      <c r="Y33" s="254"/>
    </row>
    <row r="34" spans="1:25" ht="16.5">
      <c r="A34" s="258">
        <f t="shared" si="3"/>
        <v>13</v>
      </c>
      <c r="B34" s="273" t="s">
        <v>2925</v>
      </c>
      <c r="C34" s="276">
        <f>SUMPRODUCT(($F$7:$F$16="A")*1,($J$7:$J$16="A")*1,($K$7:$K$16="Y")*1,$S$7:$S$16,$T$7:$T$16,$U$7:$U$16)</f>
        <v>0</v>
      </c>
      <c r="D34" s="276">
        <f>SUMPRODUCT(($F$7:$F$16="A")*1,($J$7:$J$16="B1")*1,($K$7:$K$16="Y")*1,$S$7:$S$16,$T$7:$T$16,$U$7:$U$16)</f>
        <v>0</v>
      </c>
      <c r="E34" s="276">
        <f>SUMPRODUCT(($F$7:$F$16="A")*1,($J$7:$J$16="B2")*1,($K$7:$K$16="Y")*1,$S$7:$S$16,$T$7:$T$16,$U$7:$U$16)</f>
        <v>0</v>
      </c>
      <c r="F34" s="276">
        <f>C34</f>
        <v>0</v>
      </c>
      <c r="G34" s="276">
        <f>D34</f>
        <v>0</v>
      </c>
      <c r="H34" s="276">
        <f>E34</f>
        <v>0</v>
      </c>
      <c r="I34" s="265"/>
      <c r="J34" s="265"/>
      <c r="K34" s="265"/>
      <c r="L34" s="265"/>
      <c r="M34" s="265"/>
      <c r="N34" s="265"/>
      <c r="O34" s="265"/>
      <c r="P34" s="265"/>
      <c r="Q34" s="266"/>
      <c r="R34" s="265"/>
      <c r="S34" s="267"/>
      <c r="T34" s="267"/>
      <c r="U34" s="267"/>
      <c r="V34" s="267"/>
      <c r="W34" s="265"/>
      <c r="X34" s="265"/>
      <c r="Y34" s="254"/>
    </row>
    <row r="35" spans="1:25" ht="16.5">
      <c r="A35" s="258">
        <f t="shared" si="3"/>
        <v>14</v>
      </c>
      <c r="B35" s="273" t="s">
        <v>2927</v>
      </c>
      <c r="C35" s="270">
        <f t="shared" ref="C35:H35" si="10">C36+C37</f>
        <v>0</v>
      </c>
      <c r="D35" s="270">
        <f t="shared" si="10"/>
        <v>0</v>
      </c>
      <c r="E35" s="270">
        <f>E36+E37</f>
        <v>0</v>
      </c>
      <c r="F35" s="270">
        <f t="shared" si="10"/>
        <v>0</v>
      </c>
      <c r="G35" s="270">
        <f t="shared" si="10"/>
        <v>0</v>
      </c>
      <c r="H35" s="270">
        <f t="shared" si="10"/>
        <v>0</v>
      </c>
      <c r="I35" s="265"/>
      <c r="J35" s="265"/>
      <c r="K35" s="265"/>
      <c r="L35" s="265"/>
      <c r="M35" s="265"/>
      <c r="N35" s="265"/>
      <c r="O35" s="265"/>
      <c r="P35" s="265"/>
      <c r="Q35" s="266"/>
      <c r="R35" s="265"/>
      <c r="S35" s="267"/>
      <c r="T35" s="267"/>
      <c r="U35" s="267"/>
      <c r="V35" s="267"/>
      <c r="W35" s="265"/>
      <c r="X35" s="265"/>
      <c r="Y35" s="254"/>
    </row>
    <row r="36" spans="1:25" ht="16.5">
      <c r="A36" s="258">
        <f t="shared" si="3"/>
        <v>15</v>
      </c>
      <c r="B36" s="275" t="s">
        <v>2930</v>
      </c>
      <c r="C36" s="276">
        <f>SUMPRODUCT(($F$7:$F$16="A")*1,($J$7:$J$16="A")*1,($K$7:$K$16="N")*1,($L$7:$L$16="Y")*1,$S$7:$S$16,$T$7:$T$16,$U$7:$U$16)</f>
        <v>0</v>
      </c>
      <c r="D36" s="276">
        <f>SUMPRODUCT(($F$7:$F$16="A")*1,($J$7:$J$16="B1")*1,($K$7:$K$16="N")*1,($L$7:$L$16="Y")*1,$S$7:$S$16,$T$7:$T$16,$U$7:$U$16)</f>
        <v>0</v>
      </c>
      <c r="E36" s="276">
        <f>SUMPRODUCT(($F$7:$F$16="A")*1,($J$7:$J$16="B2")*1,($K$7:$K$16="N")*1,($L$7:$L$16="Y")*1,$S$7:$S$16,$T$7:$T$16,$U$7:$U$16)</f>
        <v>0</v>
      </c>
      <c r="F36" s="276">
        <f t="shared" ref="F36:H37" si="11">IF($M$23=0,0,C36/$M$23*$M$28)</f>
        <v>0</v>
      </c>
      <c r="G36" s="276">
        <f t="shared" si="11"/>
        <v>0</v>
      </c>
      <c r="H36" s="276">
        <f t="shared" si="11"/>
        <v>0</v>
      </c>
      <c r="I36" s="265"/>
      <c r="J36" s="265"/>
      <c r="K36" s="265"/>
      <c r="L36" s="265"/>
      <c r="M36" s="265"/>
      <c r="N36" s="265"/>
      <c r="O36" s="265"/>
      <c r="P36" s="265"/>
      <c r="Q36" s="266"/>
      <c r="R36" s="265"/>
      <c r="S36" s="267"/>
      <c r="T36" s="267"/>
      <c r="U36" s="267"/>
      <c r="V36" s="267"/>
      <c r="W36" s="265"/>
      <c r="X36" s="265"/>
      <c r="Y36" s="254"/>
    </row>
    <row r="37" spans="1:25" ht="16.5">
      <c r="A37" s="258">
        <f>A36+1</f>
        <v>16</v>
      </c>
      <c r="B37" s="275" t="s">
        <v>2932</v>
      </c>
      <c r="C37" s="276">
        <f>SUMPRODUCT(($F$7:$F$16="A")*1,($J$7:$J$16="A")*1,($K$7:$K$16="N")*1,($L$7:$L$16="N")*1,$S$7:$S$16,$T$7:$T$16,$U$7:$U$16)</f>
        <v>0</v>
      </c>
      <c r="D37" s="276">
        <f>SUMPRODUCT(($F$7:$F$16="A")*1,($J$7:$J$16="B1")*1,($K$7:$K$16="N")*1,($L$7:$L$16="N")*1,$S$7:$S$16,$T$7:$T$16,$U$7:$U$16)</f>
        <v>0</v>
      </c>
      <c r="E37" s="276">
        <f>SUMPRODUCT(($F$7:$F$16="A")*1,($J$7:$J$16="B2")*1,($K$7:$K$16="N")*1,($L$7:$L$16="N")*1,$S$7:$S$16,$T$7:$T$16,$U$7:$U$16)</f>
        <v>0</v>
      </c>
      <c r="F37" s="276">
        <f t="shared" si="11"/>
        <v>0</v>
      </c>
      <c r="G37" s="276">
        <f t="shared" si="11"/>
        <v>0</v>
      </c>
      <c r="H37" s="276">
        <f t="shared" si="11"/>
        <v>0</v>
      </c>
      <c r="I37" s="265"/>
      <c r="J37" s="265"/>
      <c r="K37" s="265"/>
      <c r="L37" s="265"/>
      <c r="M37" s="265"/>
      <c r="N37" s="265"/>
      <c r="O37" s="265"/>
      <c r="P37" s="265"/>
      <c r="Q37" s="266"/>
      <c r="R37" s="265"/>
      <c r="S37" s="267"/>
      <c r="T37" s="267"/>
      <c r="U37" s="267"/>
      <c r="V37" s="267"/>
      <c r="W37" s="265"/>
      <c r="X37" s="265"/>
      <c r="Y37" s="254"/>
    </row>
    <row r="38" spans="1:25">
      <c r="A38" s="263"/>
      <c r="B38" s="264"/>
      <c r="C38" s="265"/>
      <c r="D38" s="264"/>
      <c r="E38" s="265"/>
      <c r="F38" s="265"/>
      <c r="G38" s="265"/>
      <c r="H38" s="265"/>
      <c r="I38" s="265"/>
      <c r="J38" s="265"/>
      <c r="K38" s="265"/>
      <c r="L38" s="265"/>
      <c r="M38" s="265"/>
      <c r="N38" s="265"/>
      <c r="O38" s="266"/>
      <c r="P38" s="265"/>
      <c r="Q38" s="267"/>
      <c r="R38" s="267"/>
      <c r="S38" s="265"/>
      <c r="T38" s="265"/>
      <c r="U38" s="265"/>
      <c r="V38" s="265"/>
      <c r="W38" s="254"/>
    </row>
    <row r="39" spans="1:25" ht="16.5">
      <c r="A39" s="278" t="s">
        <v>2937</v>
      </c>
      <c r="B39" s="255"/>
      <c r="C39" s="253"/>
      <c r="D39" s="253"/>
      <c r="E39" s="253"/>
      <c r="F39" s="253"/>
      <c r="G39" s="253"/>
      <c r="H39" s="253"/>
      <c r="I39" s="253"/>
      <c r="J39" s="253"/>
      <c r="K39" s="253"/>
      <c r="L39" s="253"/>
      <c r="M39" s="253"/>
      <c r="N39" s="253"/>
      <c r="O39" s="253"/>
      <c r="P39" s="253"/>
      <c r="Q39" s="253"/>
      <c r="R39" s="253"/>
      <c r="S39" s="253"/>
      <c r="T39" s="253"/>
      <c r="U39" s="253"/>
      <c r="V39" s="253"/>
      <c r="W39" s="254"/>
    </row>
    <row r="40" spans="1:25" ht="16.5">
      <c r="A40" s="278">
        <v>1</v>
      </c>
      <c r="B40" s="255" t="s">
        <v>2938</v>
      </c>
      <c r="C40" s="279"/>
      <c r="D40" s="279"/>
      <c r="E40" s="279"/>
      <c r="F40" s="279"/>
      <c r="G40" s="279"/>
      <c r="H40" s="279"/>
      <c r="I40" s="279"/>
      <c r="J40" s="279"/>
      <c r="K40" s="279"/>
      <c r="L40" s="279"/>
      <c r="M40" s="279"/>
      <c r="N40" s="279"/>
      <c r="O40" s="279"/>
      <c r="P40" s="279"/>
      <c r="Q40" s="279"/>
      <c r="R40" s="279"/>
      <c r="S40" s="279"/>
      <c r="T40" s="279"/>
      <c r="U40" s="279"/>
      <c r="V40" s="279"/>
      <c r="W40" s="254"/>
    </row>
    <row r="41" spans="1:25" ht="16.5">
      <c r="A41" s="278">
        <v>2</v>
      </c>
      <c r="B41" s="255" t="s">
        <v>2939</v>
      </c>
      <c r="C41" s="279"/>
      <c r="D41" s="279"/>
      <c r="E41" s="279"/>
      <c r="F41" s="279"/>
      <c r="G41" s="279"/>
      <c r="H41" s="279"/>
      <c r="I41" s="279"/>
      <c r="J41" s="279"/>
      <c r="K41" s="279"/>
      <c r="L41" s="279"/>
      <c r="M41" s="279"/>
      <c r="N41" s="279"/>
      <c r="O41" s="279"/>
      <c r="P41" s="279"/>
      <c r="Q41" s="279"/>
      <c r="R41" s="279"/>
      <c r="S41" s="279"/>
      <c r="T41" s="279"/>
      <c r="U41" s="279"/>
      <c r="V41" s="279"/>
      <c r="W41" s="254"/>
    </row>
    <row r="42" spans="1:25" ht="16.5">
      <c r="A42" s="278"/>
      <c r="B42" s="255" t="s">
        <v>2940</v>
      </c>
      <c r="C42" s="279"/>
      <c r="D42" s="279"/>
      <c r="E42" s="279"/>
      <c r="F42" s="279"/>
      <c r="G42" s="279"/>
      <c r="H42" s="279"/>
      <c r="I42" s="279"/>
      <c r="J42" s="279"/>
      <c r="K42" s="279"/>
      <c r="L42" s="279"/>
      <c r="M42" s="279"/>
      <c r="N42" s="279"/>
      <c r="O42" s="279"/>
      <c r="P42" s="279"/>
      <c r="Q42" s="279"/>
      <c r="R42" s="279"/>
      <c r="S42" s="279"/>
      <c r="T42" s="279"/>
      <c r="U42" s="279"/>
      <c r="V42" s="279"/>
      <c r="W42" s="254"/>
    </row>
    <row r="43" spans="1:25" ht="16.5">
      <c r="A43" s="278">
        <v>3</v>
      </c>
      <c r="B43" s="255" t="s">
        <v>2941</v>
      </c>
      <c r="C43" s="279"/>
      <c r="D43" s="279"/>
      <c r="E43" s="279"/>
      <c r="F43" s="279"/>
      <c r="G43" s="279"/>
      <c r="H43" s="279"/>
      <c r="I43" s="279"/>
      <c r="J43" s="279"/>
      <c r="K43" s="279"/>
      <c r="L43" s="279"/>
      <c r="M43" s="279"/>
      <c r="N43" s="279"/>
      <c r="O43" s="279"/>
      <c r="P43" s="279"/>
      <c r="Q43" s="279"/>
      <c r="R43" s="279"/>
      <c r="S43" s="279"/>
      <c r="T43" s="279"/>
      <c r="U43" s="279"/>
      <c r="V43" s="279"/>
      <c r="W43" s="254"/>
    </row>
    <row r="44" spans="1:25" ht="16.5">
      <c r="A44" s="278">
        <v>4</v>
      </c>
      <c r="B44" s="280" t="s">
        <v>2942</v>
      </c>
      <c r="C44" s="279"/>
      <c r="D44" s="279"/>
      <c r="E44" s="279"/>
      <c r="F44" s="279"/>
      <c r="G44" s="279"/>
      <c r="H44" s="279"/>
      <c r="I44" s="279"/>
      <c r="J44" s="279"/>
      <c r="K44" s="279"/>
      <c r="L44" s="279"/>
      <c r="M44" s="279"/>
      <c r="N44" s="279"/>
      <c r="O44" s="279"/>
      <c r="P44" s="279"/>
      <c r="Q44" s="279"/>
      <c r="R44" s="279"/>
      <c r="S44" s="279"/>
      <c r="T44" s="279"/>
      <c r="U44" s="279"/>
      <c r="V44" s="279"/>
      <c r="W44" s="254"/>
    </row>
    <row r="45" spans="1:25" ht="16.5">
      <c r="A45" s="278">
        <v>5</v>
      </c>
      <c r="B45" s="280" t="s">
        <v>2943</v>
      </c>
      <c r="C45" s="279"/>
      <c r="D45" s="279"/>
      <c r="E45" s="279"/>
      <c r="F45" s="279"/>
      <c r="G45" s="279"/>
      <c r="H45" s="279"/>
      <c r="I45" s="279"/>
      <c r="J45" s="279"/>
      <c r="K45" s="279"/>
      <c r="L45" s="279"/>
      <c r="M45" s="279"/>
      <c r="N45" s="279"/>
      <c r="O45" s="279"/>
      <c r="P45" s="279"/>
      <c r="Q45" s="279"/>
      <c r="R45" s="279"/>
      <c r="S45" s="279"/>
      <c r="T45" s="279"/>
      <c r="U45" s="279"/>
      <c r="V45" s="279"/>
      <c r="W45" s="254"/>
    </row>
    <row r="46" spans="1:25" ht="16.5">
      <c r="A46" s="278">
        <v>6</v>
      </c>
      <c r="B46" s="280" t="s">
        <v>2944</v>
      </c>
      <c r="C46" s="279"/>
      <c r="D46" s="279"/>
      <c r="E46" s="279"/>
      <c r="F46" s="279"/>
      <c r="G46" s="279"/>
      <c r="H46" s="279"/>
      <c r="I46" s="279"/>
      <c r="J46" s="279"/>
      <c r="K46" s="279"/>
      <c r="L46" s="279"/>
      <c r="M46" s="279"/>
      <c r="N46" s="279"/>
      <c r="O46" s="279"/>
      <c r="P46" s="279"/>
      <c r="Q46" s="279"/>
      <c r="R46" s="279"/>
      <c r="S46" s="279"/>
      <c r="T46" s="279"/>
      <c r="U46" s="279"/>
      <c r="V46" s="279"/>
      <c r="W46" s="254"/>
    </row>
    <row r="47" spans="1:25" s="283" customFormat="1" ht="16.5">
      <c r="A47" s="281">
        <v>7</v>
      </c>
      <c r="B47" s="873" t="s">
        <v>3502</v>
      </c>
      <c r="C47" s="253"/>
      <c r="D47" s="253"/>
      <c r="E47" s="253"/>
      <c r="F47" s="253"/>
      <c r="G47" s="253"/>
      <c r="H47" s="253"/>
      <c r="I47" s="253"/>
      <c r="J47" s="253"/>
      <c r="K47" s="253"/>
      <c r="L47" s="253"/>
      <c r="M47" s="253"/>
      <c r="N47" s="253"/>
      <c r="O47" s="253"/>
      <c r="P47" s="253"/>
      <c r="Q47" s="253"/>
      <c r="R47" s="253"/>
      <c r="S47" s="253"/>
      <c r="T47" s="253"/>
      <c r="U47" s="253"/>
    </row>
    <row r="48" spans="1:25" ht="16.5">
      <c r="A48" s="263"/>
      <c r="B48" s="282" t="s">
        <v>2945</v>
      </c>
    </row>
    <row r="49" spans="1:23" ht="16.5">
      <c r="A49" s="263">
        <v>8</v>
      </c>
      <c r="B49" s="282" t="s">
        <v>2946</v>
      </c>
    </row>
    <row r="50" spans="1:23" ht="16.5">
      <c r="A50" s="263">
        <v>9</v>
      </c>
      <c r="B50" s="280" t="s">
        <v>2947</v>
      </c>
      <c r="C50" s="279"/>
      <c r="D50" s="279"/>
      <c r="E50" s="279"/>
      <c r="F50" s="279"/>
      <c r="G50" s="279"/>
      <c r="H50" s="279"/>
      <c r="I50" s="279"/>
      <c r="J50" s="279"/>
      <c r="K50" s="279"/>
      <c r="L50" s="279"/>
      <c r="M50" s="279"/>
      <c r="N50" s="279"/>
      <c r="O50" s="279"/>
      <c r="P50" s="279"/>
      <c r="Q50" s="279"/>
      <c r="R50" s="279"/>
      <c r="S50" s="279"/>
      <c r="T50" s="279"/>
      <c r="U50" s="279"/>
      <c r="V50" s="279"/>
      <c r="W50" s="254"/>
    </row>
    <row r="51" spans="1:23" ht="16.5">
      <c r="A51" s="263">
        <v>10</v>
      </c>
      <c r="B51" s="280" t="s">
        <v>2948</v>
      </c>
      <c r="C51" s="279"/>
      <c r="D51" s="279"/>
      <c r="E51" s="279"/>
      <c r="F51" s="279"/>
      <c r="G51" s="279"/>
      <c r="H51" s="279"/>
      <c r="I51" s="279"/>
      <c r="J51" s="279"/>
      <c r="K51" s="279"/>
      <c r="L51" s="279"/>
      <c r="M51" s="279"/>
      <c r="N51" s="279"/>
      <c r="O51" s="279"/>
      <c r="P51" s="279"/>
      <c r="Q51" s="279"/>
      <c r="R51" s="279"/>
      <c r="S51" s="279"/>
      <c r="T51" s="279"/>
      <c r="U51" s="279"/>
      <c r="V51" s="279"/>
      <c r="W51" s="254"/>
    </row>
    <row r="52" spans="1:23" ht="16.5">
      <c r="A52" s="263">
        <v>11</v>
      </c>
      <c r="B52" s="280" t="s">
        <v>2949</v>
      </c>
      <c r="C52" s="279"/>
      <c r="D52" s="279"/>
      <c r="E52" s="279"/>
      <c r="F52" s="279"/>
      <c r="G52" s="279"/>
      <c r="H52" s="279"/>
      <c r="I52" s="279"/>
      <c r="J52" s="279"/>
      <c r="K52" s="279"/>
      <c r="L52" s="279"/>
      <c r="M52" s="279"/>
      <c r="N52" s="279"/>
      <c r="O52" s="279"/>
      <c r="P52" s="279"/>
      <c r="Q52" s="279"/>
      <c r="R52" s="279"/>
      <c r="S52" s="279"/>
      <c r="T52" s="279"/>
      <c r="U52" s="279"/>
      <c r="V52" s="279"/>
      <c r="W52" s="254"/>
    </row>
    <row r="53" spans="1:23" ht="16.5">
      <c r="A53" s="263">
        <v>12</v>
      </c>
      <c r="B53" s="280" t="s">
        <v>2950</v>
      </c>
      <c r="C53" s="279"/>
      <c r="D53" s="279"/>
      <c r="E53" s="279"/>
      <c r="F53" s="279"/>
      <c r="G53" s="279"/>
      <c r="H53" s="279"/>
      <c r="I53" s="279"/>
      <c r="J53" s="279"/>
      <c r="K53" s="279"/>
      <c r="L53" s="279"/>
      <c r="M53" s="279"/>
      <c r="N53" s="279"/>
      <c r="O53" s="279"/>
      <c r="P53" s="279"/>
      <c r="Q53" s="279"/>
      <c r="R53" s="279"/>
      <c r="S53" s="279"/>
      <c r="T53" s="279"/>
      <c r="U53" s="279"/>
      <c r="V53" s="279"/>
      <c r="W53" s="254"/>
    </row>
    <row r="54" spans="1:23" ht="16.5">
      <c r="A54" s="263">
        <v>13</v>
      </c>
      <c r="B54" s="255" t="s">
        <v>2951</v>
      </c>
      <c r="C54" s="253"/>
      <c r="D54" s="253"/>
      <c r="E54" s="253"/>
      <c r="F54" s="253"/>
      <c r="G54" s="253"/>
      <c r="H54" s="253"/>
      <c r="I54" s="253"/>
      <c r="J54" s="253"/>
      <c r="K54" s="253"/>
      <c r="L54" s="253"/>
      <c r="M54" s="253"/>
      <c r="N54" s="253"/>
      <c r="O54" s="253"/>
      <c r="P54" s="253"/>
      <c r="Q54" s="253"/>
      <c r="R54" s="253"/>
      <c r="S54" s="253"/>
      <c r="T54" s="253"/>
      <c r="U54" s="253"/>
      <c r="V54" s="253"/>
      <c r="W54" s="254"/>
    </row>
  </sheetData>
  <mergeCells count="31">
    <mergeCell ref="A4:A6"/>
    <mergeCell ref="B4:C4"/>
    <mergeCell ref="D4:G4"/>
    <mergeCell ref="H4:H5"/>
    <mergeCell ref="I4:I5"/>
    <mergeCell ref="W4:W5"/>
    <mergeCell ref="U4:U5"/>
    <mergeCell ref="A19:A21"/>
    <mergeCell ref="B19:B20"/>
    <mergeCell ref="C19:E19"/>
    <mergeCell ref="F19:H19"/>
    <mergeCell ref="J19:J21"/>
    <mergeCell ref="K19:L20"/>
    <mergeCell ref="M19:M20"/>
    <mergeCell ref="K21:L21"/>
    <mergeCell ref="V4:V5"/>
    <mergeCell ref="S4:S5"/>
    <mergeCell ref="J4:J5"/>
    <mergeCell ref="K4:K5"/>
    <mergeCell ref="L4:L5"/>
    <mergeCell ref="M4:M5"/>
    <mergeCell ref="K22:K25"/>
    <mergeCell ref="K26:L26"/>
    <mergeCell ref="K27:L27"/>
    <mergeCell ref="K28:L28"/>
    <mergeCell ref="T4:T5"/>
    <mergeCell ref="O4:O5"/>
    <mergeCell ref="P4:P5"/>
    <mergeCell ref="Q4:Q5"/>
    <mergeCell ref="R4:R5"/>
    <mergeCell ref="N4:N5"/>
  </mergeCells>
  <phoneticPr fontId="9" type="noConversion"/>
  <pageMargins left="0.7" right="0.7" top="0.75" bottom="0.75" header="0.3" footer="0.3"/>
  <pageSetup paperSize="9" scale="51" fitToWidth="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工作表43">
    <pageSetUpPr fitToPage="1"/>
  </sheetPr>
  <dimension ref="A1:G16"/>
  <sheetViews>
    <sheetView workbookViewId="0">
      <selection activeCell="A2" sqref="A2"/>
    </sheetView>
  </sheetViews>
  <sheetFormatPr defaultRowHeight="16.5"/>
  <cols>
    <col min="1" max="1" width="5.375" style="3061" customWidth="1"/>
    <col min="2" max="2" width="24.5" style="3061" customWidth="1"/>
    <col min="3" max="3" width="23.625" style="3061" customWidth="1"/>
    <col min="4" max="4" width="25" style="3061" bestFit="1" customWidth="1"/>
    <col min="5" max="5" width="19" style="3061" customWidth="1"/>
    <col min="6" max="6" width="22.625" style="3061" customWidth="1"/>
    <col min="7" max="7" width="25.625" style="3061" customWidth="1"/>
    <col min="8" max="16384" width="9" style="3061"/>
  </cols>
  <sheetData>
    <row r="1" spans="1:7">
      <c r="A1" s="11" t="s">
        <v>1877</v>
      </c>
    </row>
    <row r="2" spans="1:7">
      <c r="A2" s="3062" t="s">
        <v>1892</v>
      </c>
      <c r="C2" s="3063"/>
      <c r="D2" s="3063"/>
      <c r="E2" s="3063"/>
    </row>
    <row r="3" spans="1:7">
      <c r="B3" s="3062"/>
      <c r="C3" s="3063"/>
      <c r="D3" s="3063"/>
      <c r="E3" s="3063"/>
    </row>
    <row r="4" spans="1:7">
      <c r="B4" s="3064" t="s">
        <v>6603</v>
      </c>
    </row>
    <row r="5" spans="1:7" ht="33">
      <c r="A5" s="3941" t="s">
        <v>6604</v>
      </c>
      <c r="B5" s="3065" t="s">
        <v>1893</v>
      </c>
      <c r="C5" s="3065" t="s">
        <v>1882</v>
      </c>
      <c r="D5" s="3065" t="s">
        <v>1883</v>
      </c>
    </row>
    <row r="6" spans="1:7">
      <c r="A6" s="3941"/>
      <c r="B6" s="3066" t="s">
        <v>1886</v>
      </c>
      <c r="C6" s="3066" t="s">
        <v>423</v>
      </c>
      <c r="D6" s="3066" t="s">
        <v>1885</v>
      </c>
    </row>
    <row r="7" spans="1:7">
      <c r="A7" s="3067">
        <v>1</v>
      </c>
      <c r="B7" s="3068">
        <f>'表25-1'!S47</f>
        <v>0</v>
      </c>
      <c r="C7" s="3068">
        <f>'表25-1'!R47</f>
        <v>0</v>
      </c>
      <c r="D7" s="3068">
        <f>SUM(B7:C7)</f>
        <v>0</v>
      </c>
    </row>
    <row r="8" spans="1:7">
      <c r="A8" s="3069"/>
    </row>
    <row r="9" spans="1:7">
      <c r="A9" s="3069"/>
      <c r="B9" s="3070"/>
      <c r="C9" s="3071"/>
    </row>
    <row r="10" spans="1:7">
      <c r="A10" s="3069"/>
      <c r="B10" s="3061" t="s">
        <v>1890</v>
      </c>
    </row>
    <row r="11" spans="1:7" ht="33">
      <c r="A11" s="3941" t="s">
        <v>6604</v>
      </c>
      <c r="B11" s="3065" t="s">
        <v>1881</v>
      </c>
      <c r="C11" s="3072" t="s">
        <v>6605</v>
      </c>
      <c r="D11" s="3072" t="s">
        <v>6606</v>
      </c>
      <c r="E11" s="3065" t="s">
        <v>1884</v>
      </c>
      <c r="F11" s="3065" t="s">
        <v>1891</v>
      </c>
      <c r="G11" s="3065" t="s">
        <v>1895</v>
      </c>
    </row>
    <row r="12" spans="1:7">
      <c r="A12" s="3941"/>
      <c r="B12" s="3066" t="s">
        <v>31</v>
      </c>
      <c r="C12" s="3066" t="s">
        <v>1887</v>
      </c>
      <c r="D12" s="3066" t="s">
        <v>1896</v>
      </c>
      <c r="E12" s="3066" t="s">
        <v>175</v>
      </c>
      <c r="F12" s="3066" t="s">
        <v>1888</v>
      </c>
      <c r="G12" s="3066" t="s">
        <v>1889</v>
      </c>
    </row>
    <row r="13" spans="1:7">
      <c r="A13" s="3067">
        <v>2</v>
      </c>
      <c r="B13" s="3073" t="e">
        <f ca="1">'表30-1'!B27</f>
        <v>#DIV/0!</v>
      </c>
      <c r="C13" s="3073" t="e">
        <f ca="1">0.5*('表30-1'!B13+'表30-1'!B25+(('表30-1'!B16+'表30-1'!B24)^2+('表30-1'!B14+'表30-1'!B17)^2+'表30-1'!B18^2+('表30-1'!B19-'表30-4'!F13)^2+'表30-1'!B20^2+'表30-1'!B21^2+'表30-1'!B22^2)^0.5)</f>
        <v>#DIV/0!</v>
      </c>
      <c r="D13" s="3074">
        <f ca="1">IFERROR(B13/C13-1,0)</f>
        <v>0</v>
      </c>
      <c r="E13" s="3073" t="e">
        <f>SUM('表30-8'!G11:G12,'表30-8'!G16,'表30-8'!G41,'表30-8'!G57)-SUM('表30-8'!G17:G31)</f>
        <v>#DIV/0!</v>
      </c>
      <c r="F13" s="3073" t="e">
        <f ca="1">D13*E13</f>
        <v>#DIV/0!</v>
      </c>
      <c r="G13" s="3073" t="e">
        <f ca="1">MIN(F13,D7)</f>
        <v>#DIV/0!</v>
      </c>
    </row>
    <row r="15" spans="1:7">
      <c r="A15" s="3061" t="s">
        <v>6069</v>
      </c>
    </row>
    <row r="16" spans="1:7">
      <c r="A16" s="3061" t="s">
        <v>6607</v>
      </c>
    </row>
  </sheetData>
  <mergeCells count="2">
    <mergeCell ref="A5:A6"/>
    <mergeCell ref="A11:A12"/>
  </mergeCells>
  <phoneticPr fontId="9" type="noConversion"/>
  <pageMargins left="0.7" right="0.7" top="0.75" bottom="0.75" header="0.3" footer="0.3"/>
  <pageSetup paperSize="9" scale="6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6">
    <pageSetUpPr fitToPage="1"/>
  </sheetPr>
  <dimension ref="A1:G36"/>
  <sheetViews>
    <sheetView showGridLines="0" zoomScaleNormal="100" workbookViewId="0"/>
  </sheetViews>
  <sheetFormatPr defaultRowHeight="15.75"/>
  <cols>
    <col min="1" max="1" width="37.125" style="209" customWidth="1"/>
    <col min="2" max="2" width="11.5" style="209" customWidth="1"/>
    <col min="3" max="3" width="25.625" style="209" customWidth="1"/>
    <col min="4" max="4" width="17.875" style="209" customWidth="1"/>
    <col min="5" max="5" width="18.75" style="209" customWidth="1"/>
    <col min="6" max="6" width="25.625" style="209" customWidth="1"/>
    <col min="7" max="16384" width="9" style="209"/>
  </cols>
  <sheetData>
    <row r="1" spans="1:7" ht="16.5">
      <c r="A1" s="11" t="str">
        <f>+封面!A3&amp;" "&amp;封面!A2</f>
        <v xml:space="preserve">        保險股份有限公司(○○分公司) 年度(月、季、半年)報表</v>
      </c>
      <c r="B1" s="205"/>
      <c r="C1" s="206"/>
      <c r="D1" s="207"/>
      <c r="E1" s="207"/>
      <c r="F1" s="208"/>
      <c r="G1" s="119"/>
    </row>
    <row r="2" spans="1:7" ht="16.5" thickBot="1">
      <c r="A2" s="119" t="s">
        <v>2873</v>
      </c>
      <c r="B2" s="205"/>
      <c r="C2" s="206"/>
      <c r="D2" s="207"/>
      <c r="E2" s="207"/>
      <c r="F2" s="208" t="s">
        <v>2874</v>
      </c>
      <c r="G2" s="119"/>
    </row>
    <row r="3" spans="1:7">
      <c r="A3" s="210" t="s">
        <v>2850</v>
      </c>
      <c r="B3" s="211" t="s">
        <v>2875</v>
      </c>
      <c r="C3" s="212" t="s">
        <v>2811</v>
      </c>
      <c r="D3" s="213" t="s">
        <v>2835</v>
      </c>
      <c r="E3" s="213" t="s">
        <v>2876</v>
      </c>
      <c r="F3" s="214" t="s">
        <v>2877</v>
      </c>
      <c r="G3" s="119"/>
    </row>
    <row r="4" spans="1:7">
      <c r="A4" s="21" t="s">
        <v>1865</v>
      </c>
      <c r="B4" s="215"/>
      <c r="C4" s="216"/>
      <c r="D4" s="217"/>
      <c r="E4" s="217"/>
      <c r="F4" s="218"/>
      <c r="G4" s="119"/>
    </row>
    <row r="5" spans="1:7">
      <c r="A5" s="219" t="s">
        <v>2878</v>
      </c>
      <c r="B5" s="220" t="s">
        <v>275</v>
      </c>
      <c r="C5" s="221">
        <f>'表30-13'!F8</f>
        <v>0</v>
      </c>
      <c r="D5" s="222">
        <v>1.1000000000000001E-2</v>
      </c>
      <c r="E5" s="222">
        <f>ROUND(D5*0.85,4)</f>
        <v>9.4000000000000004E-3</v>
      </c>
      <c r="F5" s="223">
        <f t="shared" ref="F5:F22" si="0">ROUND(C5*(D5-E5),0)</f>
        <v>0</v>
      </c>
      <c r="G5" s="119"/>
    </row>
    <row r="6" spans="1:7">
      <c r="A6" s="224"/>
      <c r="B6" s="225" t="s">
        <v>276</v>
      </c>
      <c r="C6" s="226">
        <f>'表30-13'!F12</f>
        <v>0</v>
      </c>
      <c r="D6" s="227">
        <v>1.1000000000000001E-2</v>
      </c>
      <c r="E6" s="227">
        <f>ROUND(D6*0.9,4)</f>
        <v>9.9000000000000008E-3</v>
      </c>
      <c r="F6" s="228">
        <f t="shared" si="0"/>
        <v>0</v>
      </c>
      <c r="G6" s="119"/>
    </row>
    <row r="7" spans="1:7">
      <c r="A7" s="229"/>
      <c r="B7" s="230" t="s">
        <v>277</v>
      </c>
      <c r="C7" s="231">
        <f>'表30-13'!F16</f>
        <v>0</v>
      </c>
      <c r="D7" s="232">
        <v>1.1000000000000001E-2</v>
      </c>
      <c r="E7" s="232">
        <f>ROUND(D7*0.95,4)</f>
        <v>1.0500000000000001E-2</v>
      </c>
      <c r="F7" s="233">
        <f t="shared" si="0"/>
        <v>0</v>
      </c>
      <c r="G7" s="119"/>
    </row>
    <row r="8" spans="1:7">
      <c r="A8" s="3792" t="s">
        <v>2879</v>
      </c>
      <c r="B8" s="220" t="s">
        <v>275</v>
      </c>
      <c r="C8" s="221">
        <f>'表30-13'!F21</f>
        <v>0</v>
      </c>
      <c r="D8" s="222">
        <v>8.1000000000000003E-2</v>
      </c>
      <c r="E8" s="227">
        <v>6.8900000000000003E-2</v>
      </c>
      <c r="F8" s="223">
        <f t="shared" si="0"/>
        <v>0</v>
      </c>
      <c r="G8" s="119"/>
    </row>
    <row r="9" spans="1:7">
      <c r="A9" s="3792"/>
      <c r="B9" s="225" t="s">
        <v>276</v>
      </c>
      <c r="C9" s="226">
        <f>'表30-13'!F25</f>
        <v>0</v>
      </c>
      <c r="D9" s="227">
        <v>8.1000000000000003E-2</v>
      </c>
      <c r="E9" s="227">
        <v>7.2900000000000006E-2</v>
      </c>
      <c r="F9" s="228">
        <f t="shared" si="0"/>
        <v>0</v>
      </c>
      <c r="G9" s="119"/>
    </row>
    <row r="10" spans="1:7" ht="15" customHeight="1">
      <c r="A10" s="229"/>
      <c r="B10" s="230" t="s">
        <v>277</v>
      </c>
      <c r="C10" s="231">
        <f>'表30-13'!F29</f>
        <v>0</v>
      </c>
      <c r="D10" s="232">
        <v>8.1000000000000003E-2</v>
      </c>
      <c r="E10" s="232">
        <v>7.6999999999999999E-2</v>
      </c>
      <c r="F10" s="233">
        <f t="shared" si="0"/>
        <v>0</v>
      </c>
      <c r="G10" s="119"/>
    </row>
    <row r="11" spans="1:7" ht="15" customHeight="1">
      <c r="A11" s="3792" t="s">
        <v>2880</v>
      </c>
      <c r="B11" s="220" t="s">
        <v>275</v>
      </c>
      <c r="C11" s="221">
        <f>'表30-13'!F34</f>
        <v>0</v>
      </c>
      <c r="D11" s="222">
        <v>1.4E-2</v>
      </c>
      <c r="E11" s="227">
        <f>ROUND(D11*0.85,4)</f>
        <v>1.1900000000000001E-2</v>
      </c>
      <c r="F11" s="223">
        <f t="shared" si="0"/>
        <v>0</v>
      </c>
      <c r="G11" s="119"/>
    </row>
    <row r="12" spans="1:7" ht="15" customHeight="1">
      <c r="A12" s="3792"/>
      <c r="B12" s="225" t="s">
        <v>276</v>
      </c>
      <c r="C12" s="226">
        <f>'表30-13'!F38</f>
        <v>0</v>
      </c>
      <c r="D12" s="227">
        <v>1.4E-2</v>
      </c>
      <c r="E12" s="227">
        <f>ROUND(D12*0.9,4)</f>
        <v>1.26E-2</v>
      </c>
      <c r="F12" s="228">
        <f t="shared" si="0"/>
        <v>0</v>
      </c>
      <c r="G12" s="119"/>
    </row>
    <row r="13" spans="1:7" ht="15" customHeight="1">
      <c r="A13" s="229"/>
      <c r="B13" s="230" t="s">
        <v>277</v>
      </c>
      <c r="C13" s="231">
        <f>'表30-13'!F42</f>
        <v>0</v>
      </c>
      <c r="D13" s="232">
        <v>1.4E-2</v>
      </c>
      <c r="E13" s="232">
        <f>ROUND(D13*0.95,4)</f>
        <v>1.3299999999999999E-2</v>
      </c>
      <c r="F13" s="233">
        <f t="shared" si="0"/>
        <v>0</v>
      </c>
      <c r="G13" s="119"/>
    </row>
    <row r="14" spans="1:7">
      <c r="A14" s="3792" t="s">
        <v>2881</v>
      </c>
      <c r="B14" s="220" t="s">
        <v>275</v>
      </c>
      <c r="C14" s="221">
        <f>'表30-13'!F47</f>
        <v>0</v>
      </c>
      <c r="D14" s="222">
        <v>0.01</v>
      </c>
      <c r="E14" s="227">
        <f>ROUND(D14*0.85,4)</f>
        <v>8.5000000000000006E-3</v>
      </c>
      <c r="F14" s="223">
        <f t="shared" si="0"/>
        <v>0</v>
      </c>
      <c r="G14" s="119"/>
    </row>
    <row r="15" spans="1:7">
      <c r="A15" s="3792"/>
      <c r="B15" s="225" t="s">
        <v>276</v>
      </c>
      <c r="C15" s="226">
        <f>'表30-13'!F51</f>
        <v>0</v>
      </c>
      <c r="D15" s="227">
        <v>0.01</v>
      </c>
      <c r="E15" s="227">
        <f>ROUND(D15*0.9,4)</f>
        <v>8.9999999999999993E-3</v>
      </c>
      <c r="F15" s="228">
        <f t="shared" si="0"/>
        <v>0</v>
      </c>
      <c r="G15" s="119"/>
    </row>
    <row r="16" spans="1:7">
      <c r="A16" s="229"/>
      <c r="B16" s="230" t="s">
        <v>277</v>
      </c>
      <c r="C16" s="231">
        <f>'表30-13'!F55</f>
        <v>0</v>
      </c>
      <c r="D16" s="227">
        <v>0.01</v>
      </c>
      <c r="E16" s="232">
        <f>ROUND(D16*0.95,4)</f>
        <v>9.4999999999999998E-3</v>
      </c>
      <c r="F16" s="233">
        <f t="shared" si="0"/>
        <v>0</v>
      </c>
      <c r="G16" s="119"/>
    </row>
    <row r="17" spans="1:7">
      <c r="A17" s="3792" t="s">
        <v>2882</v>
      </c>
      <c r="B17" s="220" t="s">
        <v>275</v>
      </c>
      <c r="C17" s="234">
        <f>'表30-13'!F60</f>
        <v>0</v>
      </c>
      <c r="D17" s="222">
        <v>8.1000000000000003E-2</v>
      </c>
      <c r="E17" s="235">
        <v>6.8900000000000003E-2</v>
      </c>
      <c r="F17" s="223">
        <f t="shared" si="0"/>
        <v>0</v>
      </c>
      <c r="G17" s="119"/>
    </row>
    <row r="18" spans="1:7">
      <c r="A18" s="3792"/>
      <c r="B18" s="225" t="s">
        <v>276</v>
      </c>
      <c r="C18" s="236">
        <f>'表30-13'!F64</f>
        <v>0</v>
      </c>
      <c r="D18" s="227">
        <v>8.1000000000000003E-2</v>
      </c>
      <c r="E18" s="235">
        <v>7.2900000000000006E-2</v>
      </c>
      <c r="F18" s="228">
        <f t="shared" si="0"/>
        <v>0</v>
      </c>
      <c r="G18" s="119"/>
    </row>
    <row r="19" spans="1:7">
      <c r="A19" s="237"/>
      <c r="B19" s="230" t="s">
        <v>277</v>
      </c>
      <c r="C19" s="236">
        <f>'表30-13'!F68</f>
        <v>0</v>
      </c>
      <c r="D19" s="227">
        <v>8.1000000000000003E-2</v>
      </c>
      <c r="E19" s="238">
        <v>7.6999999999999999E-2</v>
      </c>
      <c r="F19" s="228">
        <f t="shared" si="0"/>
        <v>0</v>
      </c>
      <c r="G19" s="119"/>
    </row>
    <row r="20" spans="1:7">
      <c r="A20" s="239" t="s">
        <v>2883</v>
      </c>
      <c r="B20" s="220" t="s">
        <v>275</v>
      </c>
      <c r="C20" s="234">
        <f>'表30-13'!F73</f>
        <v>0</v>
      </c>
      <c r="D20" s="222">
        <v>1.4E-2</v>
      </c>
      <c r="E20" s="235">
        <f>ROUND(D20*0.85,4)</f>
        <v>1.1900000000000001E-2</v>
      </c>
      <c r="F20" s="223">
        <f t="shared" si="0"/>
        <v>0</v>
      </c>
      <c r="G20" s="119"/>
    </row>
    <row r="21" spans="1:7">
      <c r="A21" s="237"/>
      <c r="B21" s="225" t="s">
        <v>276</v>
      </c>
      <c r="C21" s="236">
        <f>'表30-13'!F77</f>
        <v>0</v>
      </c>
      <c r="D21" s="227">
        <v>1.4E-2</v>
      </c>
      <c r="E21" s="235">
        <f>ROUND(D21*0.9,4)</f>
        <v>1.26E-2</v>
      </c>
      <c r="F21" s="228">
        <f t="shared" si="0"/>
        <v>0</v>
      </c>
      <c r="G21" s="119"/>
    </row>
    <row r="22" spans="1:7">
      <c r="A22" s="237"/>
      <c r="B22" s="225" t="s">
        <v>277</v>
      </c>
      <c r="C22" s="236">
        <f>'表30-13'!F81</f>
        <v>0</v>
      </c>
      <c r="D22" s="227">
        <v>1.4E-2</v>
      </c>
      <c r="E22" s="235">
        <f>ROUND(D22*0.95,4)</f>
        <v>1.3299999999999999E-2</v>
      </c>
      <c r="F22" s="228">
        <f t="shared" si="0"/>
        <v>0</v>
      </c>
      <c r="G22" s="119"/>
    </row>
    <row r="23" spans="1:7">
      <c r="A23" s="240" t="s">
        <v>2884</v>
      </c>
      <c r="B23" s="241"/>
      <c r="C23" s="242">
        <f>SUM(C5:C22)</f>
        <v>0</v>
      </c>
      <c r="D23" s="243"/>
      <c r="E23" s="243"/>
      <c r="F23" s="244">
        <f>SUM(F5:F22)</f>
        <v>0</v>
      </c>
      <c r="G23" s="119"/>
    </row>
    <row r="24" spans="1:7">
      <c r="A24" s="21" t="s">
        <v>2885</v>
      </c>
      <c r="B24" s="215"/>
      <c r="C24" s="245"/>
      <c r="D24" s="217"/>
      <c r="E24" s="217"/>
      <c r="F24" s="246"/>
      <c r="G24" s="119"/>
    </row>
    <row r="25" spans="1:7">
      <c r="A25" s="21" t="s">
        <v>2886</v>
      </c>
      <c r="B25" s="215"/>
      <c r="C25" s="245">
        <f>SUM(C26:C31)</f>
        <v>0</v>
      </c>
      <c r="D25" s="217"/>
      <c r="E25" s="217"/>
      <c r="F25" s="246"/>
      <c r="G25" s="119"/>
    </row>
    <row r="26" spans="1:7">
      <c r="A26" s="219" t="s">
        <v>2887</v>
      </c>
      <c r="B26" s="220" t="s">
        <v>275</v>
      </c>
      <c r="C26" s="221">
        <f>'表30-13'!F87</f>
        <v>0</v>
      </c>
      <c r="D26" s="222">
        <v>8.1000000000000003E-2</v>
      </c>
      <c r="E26" s="227">
        <f>ROUND(D26*0.85,4)</f>
        <v>6.8900000000000003E-2</v>
      </c>
      <c r="F26" s="223">
        <f t="shared" ref="F26:F31" si="1">ROUND(C26*(D26-E26),0)</f>
        <v>0</v>
      </c>
      <c r="G26" s="119"/>
    </row>
    <row r="27" spans="1:7">
      <c r="A27" s="224"/>
      <c r="B27" s="225" t="s">
        <v>276</v>
      </c>
      <c r="C27" s="226">
        <f>'表30-13'!F91</f>
        <v>0</v>
      </c>
      <c r="D27" s="227">
        <v>8.1000000000000003E-2</v>
      </c>
      <c r="E27" s="227">
        <f>ROUND(D27*0.9,4)</f>
        <v>7.2900000000000006E-2</v>
      </c>
      <c r="F27" s="228">
        <f t="shared" si="1"/>
        <v>0</v>
      </c>
      <c r="G27" s="119"/>
    </row>
    <row r="28" spans="1:7">
      <c r="A28" s="229"/>
      <c r="B28" s="230" t="s">
        <v>277</v>
      </c>
      <c r="C28" s="231">
        <f>'表30-13'!F95</f>
        <v>0</v>
      </c>
      <c r="D28" s="232">
        <v>8.1000000000000003E-2</v>
      </c>
      <c r="E28" s="232">
        <f>ROUND(D28*0.95,4)</f>
        <v>7.6999999999999999E-2</v>
      </c>
      <c r="F28" s="228">
        <f t="shared" si="1"/>
        <v>0</v>
      </c>
      <c r="G28" s="119"/>
    </row>
    <row r="29" spans="1:7">
      <c r="A29" s="239" t="s">
        <v>2888</v>
      </c>
      <c r="B29" s="220" t="s">
        <v>275</v>
      </c>
      <c r="C29" s="234">
        <f>'表30-13'!F100</f>
        <v>0</v>
      </c>
      <c r="D29" s="222">
        <v>1.4E-2</v>
      </c>
      <c r="E29" s="235">
        <f>ROUND(D29*0.85,4)</f>
        <v>1.1900000000000001E-2</v>
      </c>
      <c r="F29" s="223">
        <f t="shared" si="1"/>
        <v>0</v>
      </c>
      <c r="G29" s="119"/>
    </row>
    <row r="30" spans="1:7">
      <c r="A30" s="237"/>
      <c r="B30" s="225" t="s">
        <v>276</v>
      </c>
      <c r="C30" s="236">
        <f>'表30-13'!F104</f>
        <v>0</v>
      </c>
      <c r="D30" s="227">
        <v>1.4E-2</v>
      </c>
      <c r="E30" s="235">
        <f>ROUND(D30*0.9,4)</f>
        <v>1.26E-2</v>
      </c>
      <c r="F30" s="228">
        <f t="shared" si="1"/>
        <v>0</v>
      </c>
      <c r="G30" s="119"/>
    </row>
    <row r="31" spans="1:7">
      <c r="A31" s="237"/>
      <c r="B31" s="230" t="s">
        <v>277</v>
      </c>
      <c r="C31" s="236">
        <f>'表30-13'!F108</f>
        <v>0</v>
      </c>
      <c r="D31" s="227">
        <v>1.4E-2</v>
      </c>
      <c r="E31" s="238">
        <f>ROUND(D31*0.95,4)</f>
        <v>1.3299999999999999E-2</v>
      </c>
      <c r="F31" s="228">
        <f t="shared" si="1"/>
        <v>0</v>
      </c>
      <c r="G31" s="119"/>
    </row>
    <row r="32" spans="1:7" ht="16.5" thickBot="1">
      <c r="A32" s="247" t="s">
        <v>2889</v>
      </c>
      <c r="B32" s="248"/>
      <c r="C32" s="249">
        <f>SUM(C26:C31)</f>
        <v>0</v>
      </c>
      <c r="D32" s="250"/>
      <c r="E32" s="250"/>
      <c r="F32" s="251">
        <f>SUM(F26:F31)</f>
        <v>0</v>
      </c>
      <c r="G32" s="119"/>
    </row>
    <row r="33" spans="1:7">
      <c r="A33" s="119"/>
      <c r="B33" s="205"/>
      <c r="C33" s="206"/>
      <c r="D33" s="207"/>
      <c r="E33" s="207"/>
      <c r="F33" s="208"/>
      <c r="G33" s="119"/>
    </row>
    <row r="34" spans="1:7">
      <c r="A34" s="252"/>
      <c r="B34" s="252"/>
      <c r="C34" s="252"/>
      <c r="D34" s="252"/>
    </row>
    <row r="35" spans="1:7">
      <c r="A35" s="252" t="s">
        <v>2890</v>
      </c>
      <c r="B35" s="252"/>
      <c r="C35" s="252"/>
      <c r="D35" s="252"/>
    </row>
    <row r="36" spans="1:7">
      <c r="A36" s="252"/>
      <c r="B36" s="252"/>
      <c r="C36" s="252"/>
      <c r="D36" s="252"/>
    </row>
  </sheetData>
  <mergeCells count="4">
    <mergeCell ref="A8:A9"/>
    <mergeCell ref="A11:A12"/>
    <mergeCell ref="A14:A15"/>
    <mergeCell ref="A17:A18"/>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7">
    <pageSetUpPr fitToPage="1"/>
  </sheetPr>
  <dimension ref="A1:F120"/>
  <sheetViews>
    <sheetView workbookViewId="0"/>
  </sheetViews>
  <sheetFormatPr defaultColWidth="15.625" defaultRowHeight="15.75"/>
  <cols>
    <col min="1" max="1" width="40.625" style="9" customWidth="1"/>
    <col min="2" max="4" width="20.625" style="9" customWidth="1"/>
    <col min="5" max="16384" width="15.625" style="9"/>
  </cols>
  <sheetData>
    <row r="1" spans="1:6" ht="16.5">
      <c r="A1" s="13" t="str">
        <f>+封面!A3&amp;" "&amp;封面!A2</f>
        <v xml:space="preserve">        保險股份有限公司(○○分公司) 年度(月、季、半年)報表</v>
      </c>
      <c r="B1" s="28"/>
      <c r="C1" s="28"/>
      <c r="D1" s="29"/>
      <c r="E1" s="29"/>
    </row>
    <row r="2" spans="1:6" ht="16.5">
      <c r="A2" s="179" t="s">
        <v>2851</v>
      </c>
      <c r="B2" s="29"/>
      <c r="C2" s="29"/>
      <c r="D2" s="180" t="s">
        <v>2852</v>
      </c>
    </row>
    <row r="3" spans="1:6" ht="20.25">
      <c r="A3" s="181" t="s">
        <v>2853</v>
      </c>
      <c r="B3" s="181" t="s">
        <v>2854</v>
      </c>
      <c r="C3" s="181" t="s">
        <v>2855</v>
      </c>
      <c r="D3" s="182" t="s">
        <v>2856</v>
      </c>
    </row>
    <row r="4" spans="1:6" ht="33">
      <c r="A4" s="20" t="s">
        <v>1864</v>
      </c>
      <c r="B4" s="183">
        <f>'表30-3'!D10+'表30-3'!D16+'表30-3'!D17+'表30-3'!D22</f>
        <v>0</v>
      </c>
      <c r="C4" s="184">
        <f>IF(B11=0,0,B4/$B$11)</f>
        <v>0</v>
      </c>
      <c r="D4" s="185">
        <f t="shared" ref="D4:D10" si="0">C4^2</f>
        <v>0</v>
      </c>
    </row>
    <row r="5" spans="1:6" ht="16.5">
      <c r="A5" s="186" t="s">
        <v>2857</v>
      </c>
      <c r="B5" s="187">
        <f>'表30-3'!D91+'表30-3'!D134</f>
        <v>0</v>
      </c>
      <c r="C5" s="188">
        <f>IF(B11=0,0,B5/$B$11)</f>
        <v>0</v>
      </c>
      <c r="D5" s="189">
        <f t="shared" si="0"/>
        <v>0</v>
      </c>
    </row>
    <row r="6" spans="1:6" ht="33">
      <c r="A6" s="186" t="s">
        <v>2858</v>
      </c>
      <c r="B6" s="187">
        <f>'表30-3'!D92+'表30-3'!D135+'表30-3'!D94+'表30-3'!D137</f>
        <v>0</v>
      </c>
      <c r="C6" s="188">
        <f>IF(B11=0,0,B6/$B$11)</f>
        <v>0</v>
      </c>
      <c r="D6" s="189">
        <f t="shared" si="0"/>
        <v>0</v>
      </c>
    </row>
    <row r="7" spans="1:6" ht="16.5">
      <c r="A7" s="186" t="s">
        <v>2859</v>
      </c>
      <c r="B7" s="187">
        <f>'表30-3'!D27+'表30-3'!D40+'表30-3'!D46+'表30-3'!D50</f>
        <v>0</v>
      </c>
      <c r="C7" s="188">
        <f>IF(B11=0,0,B7/$B$11)</f>
        <v>0</v>
      </c>
      <c r="D7" s="189">
        <f t="shared" si="0"/>
        <v>0</v>
      </c>
    </row>
    <row r="8" spans="1:6" ht="33">
      <c r="A8" s="186" t="s">
        <v>2860</v>
      </c>
      <c r="B8" s="187">
        <f>SUM('表30-3'!D140,'表30-3'!D97,'表30-3'!D102,'表30-3'!D145,'表30-3'!D118:D121,'表30-3'!D160:D163,'表30-3'!D93,'表30-3'!D136)</f>
        <v>0</v>
      </c>
      <c r="C8" s="188">
        <f>IF(B11=0,0,B8/$B$11)</f>
        <v>0</v>
      </c>
      <c r="D8" s="189">
        <f t="shared" si="0"/>
        <v>0</v>
      </c>
    </row>
    <row r="9" spans="1:6" ht="16.5">
      <c r="A9" s="186" t="s">
        <v>2861</v>
      </c>
      <c r="B9" s="187">
        <f>SUM('表30-3'!D51,'表30-3'!D114,'表30-3'!D156)</f>
        <v>0</v>
      </c>
      <c r="C9" s="188">
        <f>IF(B11=0,0,B9/$B$11)</f>
        <v>0</v>
      </c>
      <c r="D9" s="189">
        <f t="shared" si="0"/>
        <v>0</v>
      </c>
    </row>
    <row r="10" spans="1:6" ht="16.5">
      <c r="A10" s="186" t="s">
        <v>2862</v>
      </c>
      <c r="B10" s="187">
        <f>SUM('表30-3'!D64,'表30-3'!D111,'表30-3'!D153)</f>
        <v>0</v>
      </c>
      <c r="C10" s="188">
        <f>IF(B11=0,0,B10/$B$11)</f>
        <v>0</v>
      </c>
      <c r="D10" s="189">
        <f t="shared" si="0"/>
        <v>0</v>
      </c>
    </row>
    <row r="11" spans="1:6" ht="17.25" thickBot="1">
      <c r="A11" s="190" t="s">
        <v>2863</v>
      </c>
      <c r="B11" s="191">
        <f>SUM(B4:B10)</f>
        <v>0</v>
      </c>
      <c r="C11" s="192"/>
      <c r="D11" s="193">
        <f>SUM(D4:D10)</f>
        <v>0</v>
      </c>
    </row>
    <row r="12" spans="1:6" ht="16.5" thickTop="1">
      <c r="A12" s="194" t="s">
        <v>451</v>
      </c>
      <c r="B12" s="195"/>
      <c r="C12" s="196"/>
      <c r="D12" s="197">
        <f>VLOOKUP($D$11,C16:D21,2)</f>
        <v>1</v>
      </c>
      <c r="E12" s="198"/>
    </row>
    <row r="13" spans="1:6">
      <c r="A13" s="199"/>
      <c r="B13" s="29"/>
      <c r="C13" s="29"/>
      <c r="D13" s="29"/>
      <c r="E13" s="29"/>
    </row>
    <row r="14" spans="1:6">
      <c r="A14" s="199"/>
      <c r="B14" s="3942" t="s">
        <v>2864</v>
      </c>
      <c r="C14" s="3942"/>
      <c r="D14" s="3942"/>
      <c r="E14" s="29"/>
    </row>
    <row r="15" spans="1:6" ht="16.5">
      <c r="A15" s="199"/>
      <c r="B15" s="2785" t="s">
        <v>451</v>
      </c>
      <c r="C15" s="2786" t="s">
        <v>2865</v>
      </c>
      <c r="D15" s="2787" t="s">
        <v>2866</v>
      </c>
      <c r="E15" s="29"/>
    </row>
    <row r="16" spans="1:6" ht="33">
      <c r="A16" s="199"/>
      <c r="B16" s="2788" t="s">
        <v>2867</v>
      </c>
      <c r="C16" s="185">
        <v>0</v>
      </c>
      <c r="D16" s="185">
        <v>1</v>
      </c>
      <c r="E16" s="200"/>
      <c r="F16" s="201"/>
    </row>
    <row r="17" spans="1:6" ht="16.5">
      <c r="A17" s="199"/>
      <c r="B17" s="2789" t="s">
        <v>2868</v>
      </c>
      <c r="C17" s="202">
        <f>1/6</f>
        <v>0.16666666666666666</v>
      </c>
      <c r="D17" s="202">
        <v>1.0149999999999999</v>
      </c>
      <c r="E17" s="201"/>
      <c r="F17" s="201"/>
    </row>
    <row r="18" spans="1:6" ht="16.5">
      <c r="A18" s="199"/>
      <c r="B18" s="2789" t="s">
        <v>2869</v>
      </c>
      <c r="C18" s="202">
        <f>1/5</f>
        <v>0.2</v>
      </c>
      <c r="D18" s="202">
        <v>1.02</v>
      </c>
      <c r="E18" s="201"/>
      <c r="F18" s="201"/>
    </row>
    <row r="19" spans="1:6" ht="16.5">
      <c r="A19" s="199"/>
      <c r="B19" s="2790" t="s">
        <v>2870</v>
      </c>
      <c r="C19" s="189">
        <f>1/4</f>
        <v>0.25</v>
      </c>
      <c r="D19" s="189">
        <v>1.04</v>
      </c>
      <c r="E19" s="201"/>
      <c r="F19" s="201"/>
    </row>
    <row r="20" spans="1:6" ht="16.5">
      <c r="A20" s="199"/>
      <c r="B20" s="2790" t="s">
        <v>2871</v>
      </c>
      <c r="C20" s="189">
        <f>1/3</f>
        <v>0.33333333333333331</v>
      </c>
      <c r="D20" s="189">
        <v>1.08</v>
      </c>
      <c r="E20" s="201"/>
      <c r="F20" s="201"/>
    </row>
    <row r="21" spans="1:6" ht="16.5">
      <c r="A21" s="199"/>
      <c r="B21" s="2791" t="s">
        <v>2872</v>
      </c>
      <c r="C21" s="203">
        <f>1/2</f>
        <v>0.5</v>
      </c>
      <c r="D21" s="203">
        <v>1.1599999999999999</v>
      </c>
      <c r="E21" s="201"/>
      <c r="F21" s="201"/>
    </row>
    <row r="22" spans="1:6">
      <c r="A22" s="199"/>
      <c r="B22" s="29"/>
      <c r="C22" s="29"/>
      <c r="D22" s="29"/>
      <c r="E22" s="29"/>
    </row>
    <row r="120" spans="6:6">
      <c r="F120" s="204"/>
    </row>
  </sheetData>
  <mergeCells count="1">
    <mergeCell ref="B14:D14"/>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7">
    <tabColor rgb="FFEE0000"/>
  </sheetPr>
  <dimension ref="A1:AD41"/>
  <sheetViews>
    <sheetView view="pageBreakPreview" zoomScaleNormal="100" zoomScaleSheetLayoutView="100" workbookViewId="0">
      <selection activeCell="E26" sqref="E26"/>
    </sheetView>
  </sheetViews>
  <sheetFormatPr defaultColWidth="15.625" defaultRowHeight="15.75"/>
  <cols>
    <col min="1" max="1" width="5.625" style="1239" customWidth="1"/>
    <col min="2" max="30" width="15.625" style="1239" customWidth="1"/>
    <col min="31" max="16384" width="15.625" style="1233"/>
  </cols>
  <sheetData>
    <row r="1" spans="1:30" ht="16.5">
      <c r="A1" s="1199" t="str">
        <f>+封面!A3&amp;" "&amp;封面!A2</f>
        <v xml:space="preserve">        保險股份有限公司(○○分公司) 年度(月、季、半年)報表</v>
      </c>
      <c r="B1" s="1233"/>
      <c r="C1" s="1233"/>
      <c r="D1" s="1233"/>
      <c r="E1" s="1233"/>
      <c r="T1" s="1375" t="s">
        <v>296</v>
      </c>
      <c r="U1" s="1375"/>
      <c r="V1" s="1375"/>
      <c r="W1" s="1375"/>
      <c r="X1" s="1375"/>
    </row>
    <row r="2" spans="1:30" ht="16.5">
      <c r="A2" s="1240" t="s">
        <v>4063</v>
      </c>
      <c r="B2" s="1241"/>
      <c r="C2" s="1241"/>
      <c r="D2" s="1241"/>
      <c r="E2" s="1241"/>
      <c r="T2" s="1375"/>
      <c r="U2" s="1375"/>
      <c r="V2" s="1375"/>
      <c r="W2" s="1375"/>
      <c r="X2" s="1375"/>
      <c r="Y2" s="1233"/>
      <c r="AC2" s="1984" t="s">
        <v>5351</v>
      </c>
    </row>
    <row r="3" spans="1:30">
      <c r="A3" s="3211" t="s">
        <v>4064</v>
      </c>
      <c r="B3" s="3210" t="s">
        <v>4065</v>
      </c>
      <c r="C3" s="3210"/>
      <c r="D3" s="3210"/>
      <c r="E3" s="3210"/>
      <c r="F3" s="3210"/>
      <c r="G3" s="3210" t="s">
        <v>4066</v>
      </c>
      <c r="H3" s="3210" t="s">
        <v>4067</v>
      </c>
      <c r="I3" s="3210" t="s">
        <v>4068</v>
      </c>
      <c r="J3" s="3210" t="s">
        <v>4069</v>
      </c>
      <c r="K3" s="3210" t="s">
        <v>4070</v>
      </c>
      <c r="L3" s="3210" t="s">
        <v>5352</v>
      </c>
      <c r="M3" s="3210" t="s">
        <v>5276</v>
      </c>
      <c r="N3" s="3210" t="s">
        <v>5278</v>
      </c>
      <c r="O3" s="3210" t="s">
        <v>5252</v>
      </c>
      <c r="P3" s="3210" t="s">
        <v>5353</v>
      </c>
      <c r="Q3" s="3210" t="s">
        <v>5354</v>
      </c>
      <c r="R3" s="3210" t="s">
        <v>5355</v>
      </c>
      <c r="S3" s="3210" t="s">
        <v>3872</v>
      </c>
      <c r="T3" s="3210"/>
      <c r="U3" s="3210"/>
      <c r="V3" s="3210" t="s">
        <v>5356</v>
      </c>
      <c r="W3" s="3210" t="s">
        <v>5259</v>
      </c>
      <c r="X3" s="3210"/>
      <c r="Y3" s="3210" t="s">
        <v>5357</v>
      </c>
      <c r="Z3" s="3210" t="s">
        <v>5261</v>
      </c>
      <c r="AA3" s="3210" t="s">
        <v>5262</v>
      </c>
      <c r="AB3" s="3210" t="s">
        <v>5358</v>
      </c>
      <c r="AC3" s="3210" t="s">
        <v>5197</v>
      </c>
    </row>
    <row r="4" spans="1:30" ht="33">
      <c r="A4" s="3211"/>
      <c r="B4" s="1886" t="s">
        <v>4071</v>
      </c>
      <c r="C4" s="1886" t="s">
        <v>4072</v>
      </c>
      <c r="D4" s="1886" t="s">
        <v>4073</v>
      </c>
      <c r="E4" s="1886" t="s">
        <v>4074</v>
      </c>
      <c r="F4" s="1242" t="s">
        <v>4075</v>
      </c>
      <c r="G4" s="3210"/>
      <c r="H4" s="3210"/>
      <c r="I4" s="3210"/>
      <c r="J4" s="3210"/>
      <c r="K4" s="3210"/>
      <c r="L4" s="3210"/>
      <c r="M4" s="3210"/>
      <c r="N4" s="3210"/>
      <c r="O4" s="3210"/>
      <c r="P4" s="3224"/>
      <c r="Q4" s="3210"/>
      <c r="R4" s="3210"/>
      <c r="S4" s="1886" t="s">
        <v>5359</v>
      </c>
      <c r="T4" s="1886" t="s">
        <v>5360</v>
      </c>
      <c r="U4" s="1886" t="s">
        <v>5361</v>
      </c>
      <c r="V4" s="3210"/>
      <c r="W4" s="1886" t="s">
        <v>5264</v>
      </c>
      <c r="X4" s="1886" t="s">
        <v>5265</v>
      </c>
      <c r="Y4" s="3224"/>
      <c r="Z4" s="3210"/>
      <c r="AA4" s="3210"/>
      <c r="AB4" s="3210"/>
      <c r="AC4" s="3210"/>
    </row>
    <row r="5" spans="1:30">
      <c r="A5" s="3211"/>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654</v>
      </c>
      <c r="X5" s="1243" t="s">
        <v>143</v>
      </c>
      <c r="Y5" s="1243" t="s">
        <v>144</v>
      </c>
      <c r="Z5" s="1243" t="s">
        <v>300</v>
      </c>
      <c r="AA5" s="1243" t="s">
        <v>301</v>
      </c>
      <c r="AB5" s="1243" t="s">
        <v>302</v>
      </c>
      <c r="AC5" s="1243" t="s">
        <v>303</v>
      </c>
    </row>
    <row r="6" spans="1:30">
      <c r="A6" s="1244">
        <v>1</v>
      </c>
      <c r="B6" s="1245"/>
      <c r="C6" s="1246"/>
      <c r="D6" s="1246"/>
      <c r="E6" s="1246"/>
      <c r="F6" s="1246"/>
      <c r="G6" s="1246"/>
      <c r="H6" s="1246"/>
      <c r="I6" s="1246"/>
      <c r="J6" s="1246"/>
      <c r="K6" s="1246"/>
      <c r="L6" s="1246"/>
      <c r="M6" s="1246"/>
      <c r="N6" s="1246"/>
      <c r="O6" s="1246"/>
      <c r="P6" s="2021"/>
      <c r="Q6" s="1986"/>
      <c r="R6" s="2021"/>
      <c r="S6" s="2067"/>
      <c r="T6" s="2067"/>
      <c r="U6" s="2067"/>
      <c r="V6" s="2067"/>
      <c r="W6" s="1360">
        <f>+V6-U6</f>
        <v>0</v>
      </c>
      <c r="X6" s="1360">
        <f>+U6-AA6</f>
        <v>0</v>
      </c>
      <c r="Y6" s="2021"/>
      <c r="Z6" s="1246"/>
      <c r="AA6" s="1246"/>
      <c r="AB6" s="1246"/>
      <c r="AC6" s="1246"/>
    </row>
    <row r="7" spans="1:30">
      <c r="A7" s="1244">
        <v>2</v>
      </c>
      <c r="B7" s="1245"/>
      <c r="C7" s="1246"/>
      <c r="D7" s="1246"/>
      <c r="E7" s="1246"/>
      <c r="F7" s="1246"/>
      <c r="G7" s="1246"/>
      <c r="H7" s="1246"/>
      <c r="I7" s="1246"/>
      <c r="J7" s="1246"/>
      <c r="K7" s="1246"/>
      <c r="L7" s="1246"/>
      <c r="M7" s="1246"/>
      <c r="N7" s="1246"/>
      <c r="O7" s="1246"/>
      <c r="P7" s="2021"/>
      <c r="Q7" s="1986"/>
      <c r="R7" s="2021"/>
      <c r="S7" s="2067"/>
      <c r="T7" s="2067"/>
      <c r="U7" s="2067"/>
      <c r="V7" s="2067"/>
      <c r="W7" s="1360">
        <f t="shared" ref="W7:W15" si="0">+V7-U7</f>
        <v>0</v>
      </c>
      <c r="X7" s="1360">
        <f t="shared" ref="X7:X14" si="1">+U7-AA7</f>
        <v>0</v>
      </c>
      <c r="Y7" s="2021"/>
      <c r="Z7" s="1246"/>
      <c r="AA7" s="1246"/>
      <c r="AB7" s="1246"/>
      <c r="AC7" s="1246"/>
    </row>
    <row r="8" spans="1:30">
      <c r="A8" s="1244">
        <v>3</v>
      </c>
      <c r="B8" s="1245"/>
      <c r="C8" s="1246"/>
      <c r="D8" s="1246"/>
      <c r="E8" s="1246"/>
      <c r="F8" s="1246"/>
      <c r="G8" s="1246"/>
      <c r="H8" s="1246"/>
      <c r="I8" s="1246"/>
      <c r="J8" s="1246"/>
      <c r="K8" s="1246"/>
      <c r="L8" s="1246"/>
      <c r="M8" s="1246"/>
      <c r="N8" s="1246"/>
      <c r="O8" s="1246"/>
      <c r="P8" s="2021"/>
      <c r="Q8" s="1986"/>
      <c r="R8" s="2021"/>
      <c r="S8" s="2067"/>
      <c r="T8" s="2067"/>
      <c r="U8" s="2067"/>
      <c r="V8" s="2067"/>
      <c r="W8" s="1360">
        <f t="shared" si="0"/>
        <v>0</v>
      </c>
      <c r="X8" s="1360">
        <f t="shared" si="1"/>
        <v>0</v>
      </c>
      <c r="Y8" s="2021"/>
      <c r="Z8" s="1246"/>
      <c r="AA8" s="1246"/>
      <c r="AB8" s="1246"/>
      <c r="AC8" s="1246"/>
    </row>
    <row r="9" spans="1:30">
      <c r="A9" s="1244">
        <v>4</v>
      </c>
      <c r="B9" s="1245"/>
      <c r="C9" s="1246"/>
      <c r="D9" s="1246"/>
      <c r="E9" s="1246"/>
      <c r="F9" s="1246"/>
      <c r="G9" s="1246"/>
      <c r="H9" s="1246"/>
      <c r="I9" s="1246"/>
      <c r="J9" s="1246"/>
      <c r="K9" s="1246"/>
      <c r="L9" s="1246"/>
      <c r="M9" s="1246"/>
      <c r="N9" s="1246"/>
      <c r="O9" s="1246"/>
      <c r="P9" s="2021"/>
      <c r="Q9" s="1986"/>
      <c r="R9" s="2021"/>
      <c r="S9" s="2067"/>
      <c r="T9" s="2067"/>
      <c r="U9" s="2067"/>
      <c r="V9" s="2067"/>
      <c r="W9" s="1360">
        <f t="shared" si="0"/>
        <v>0</v>
      </c>
      <c r="X9" s="1360">
        <f t="shared" si="1"/>
        <v>0</v>
      </c>
      <c r="Y9" s="2021"/>
      <c r="Z9" s="1246"/>
      <c r="AA9" s="1246"/>
      <c r="AB9" s="1246"/>
      <c r="AC9" s="1246"/>
    </row>
    <row r="10" spans="1:30">
      <c r="A10" s="1244">
        <v>5</v>
      </c>
      <c r="B10" s="1245"/>
      <c r="C10" s="1246"/>
      <c r="D10" s="1246"/>
      <c r="E10" s="1246"/>
      <c r="F10" s="1246"/>
      <c r="G10" s="1246"/>
      <c r="H10" s="1246"/>
      <c r="I10" s="1246"/>
      <c r="J10" s="1246"/>
      <c r="K10" s="1246"/>
      <c r="L10" s="1246"/>
      <c r="M10" s="1246"/>
      <c r="N10" s="1246"/>
      <c r="O10" s="1246"/>
      <c r="P10" s="2021"/>
      <c r="Q10" s="1986"/>
      <c r="R10" s="2021"/>
      <c r="S10" s="2067"/>
      <c r="T10" s="2067"/>
      <c r="U10" s="2067"/>
      <c r="V10" s="2067"/>
      <c r="W10" s="1360">
        <f t="shared" si="0"/>
        <v>0</v>
      </c>
      <c r="X10" s="1360">
        <f t="shared" si="1"/>
        <v>0</v>
      </c>
      <c r="Y10" s="2021"/>
      <c r="Z10" s="1246"/>
      <c r="AA10" s="1246"/>
      <c r="AB10" s="1246"/>
      <c r="AC10" s="1246"/>
    </row>
    <row r="11" spans="1:30">
      <c r="A11" s="1244">
        <v>6</v>
      </c>
      <c r="B11" s="1245"/>
      <c r="C11" s="1246"/>
      <c r="D11" s="1246"/>
      <c r="E11" s="1246"/>
      <c r="F11" s="1246"/>
      <c r="G11" s="1246"/>
      <c r="H11" s="1246"/>
      <c r="I11" s="1246"/>
      <c r="J11" s="1246"/>
      <c r="K11" s="1246"/>
      <c r="L11" s="1246"/>
      <c r="M11" s="1246"/>
      <c r="N11" s="1246"/>
      <c r="O11" s="1246"/>
      <c r="P11" s="2021"/>
      <c r="Q11" s="1986"/>
      <c r="R11" s="2021"/>
      <c r="S11" s="2067"/>
      <c r="T11" s="2067"/>
      <c r="U11" s="2067"/>
      <c r="V11" s="2067"/>
      <c r="W11" s="1360">
        <f t="shared" si="0"/>
        <v>0</v>
      </c>
      <c r="X11" s="1360">
        <f t="shared" si="1"/>
        <v>0</v>
      </c>
      <c r="Y11" s="2021"/>
      <c r="Z11" s="1246"/>
      <c r="AA11" s="1246"/>
      <c r="AB11" s="1246"/>
      <c r="AC11" s="1246"/>
    </row>
    <row r="12" spans="1:30">
      <c r="A12" s="1244">
        <v>7</v>
      </c>
      <c r="B12" s="1245"/>
      <c r="C12" s="1246"/>
      <c r="D12" s="1246"/>
      <c r="E12" s="1246"/>
      <c r="F12" s="1246"/>
      <c r="G12" s="1246"/>
      <c r="H12" s="1246"/>
      <c r="I12" s="1246"/>
      <c r="J12" s="1246"/>
      <c r="K12" s="1246"/>
      <c r="L12" s="1246"/>
      <c r="M12" s="1246"/>
      <c r="N12" s="1246"/>
      <c r="O12" s="1246"/>
      <c r="P12" s="2021"/>
      <c r="Q12" s="1986"/>
      <c r="R12" s="2021"/>
      <c r="S12" s="2067"/>
      <c r="T12" s="2067"/>
      <c r="U12" s="2067"/>
      <c r="V12" s="2067"/>
      <c r="W12" s="1360">
        <f t="shared" si="0"/>
        <v>0</v>
      </c>
      <c r="X12" s="1360">
        <f t="shared" si="1"/>
        <v>0</v>
      </c>
      <c r="Y12" s="2021"/>
      <c r="Z12" s="1246"/>
      <c r="AA12" s="1246"/>
      <c r="AB12" s="1246"/>
      <c r="AC12" s="1246"/>
      <c r="AD12" s="2068"/>
    </row>
    <row r="13" spans="1:30">
      <c r="A13" s="1244">
        <v>8</v>
      </c>
      <c r="B13" s="1245"/>
      <c r="C13" s="1247"/>
      <c r="D13" s="1247"/>
      <c r="E13" s="1247"/>
      <c r="F13" s="1247"/>
      <c r="G13" s="1247"/>
      <c r="H13" s="1247"/>
      <c r="I13" s="1247"/>
      <c r="J13" s="1246"/>
      <c r="K13" s="1246"/>
      <c r="L13" s="1246"/>
      <c r="M13" s="1246"/>
      <c r="N13" s="1246"/>
      <c r="O13" s="1246"/>
      <c r="P13" s="2021"/>
      <c r="Q13" s="1986"/>
      <c r="R13" s="2021"/>
      <c r="S13" s="1986"/>
      <c r="T13" s="1986"/>
      <c r="U13" s="1986"/>
      <c r="V13" s="2069"/>
      <c r="W13" s="1360">
        <f t="shared" si="0"/>
        <v>0</v>
      </c>
      <c r="X13" s="1360">
        <f t="shared" si="1"/>
        <v>0</v>
      </c>
      <c r="Y13" s="2021"/>
      <c r="Z13" s="1246"/>
      <c r="AA13" s="1246"/>
      <c r="AB13" s="1246"/>
      <c r="AC13" s="1246"/>
      <c r="AD13" s="2068"/>
    </row>
    <row r="14" spans="1:30">
      <c r="A14" s="1244">
        <v>9</v>
      </c>
      <c r="B14" s="1245"/>
      <c r="C14" s="1247"/>
      <c r="D14" s="1247"/>
      <c r="E14" s="1247"/>
      <c r="F14" s="1247"/>
      <c r="G14" s="1247"/>
      <c r="H14" s="1247"/>
      <c r="I14" s="1247"/>
      <c r="J14" s="1246"/>
      <c r="K14" s="1246"/>
      <c r="L14" s="1246"/>
      <c r="M14" s="1246"/>
      <c r="N14" s="1246"/>
      <c r="O14" s="1246"/>
      <c r="P14" s="2021"/>
      <c r="Q14" s="1986"/>
      <c r="R14" s="2021"/>
      <c r="S14" s="1986"/>
      <c r="T14" s="1986"/>
      <c r="U14" s="1986"/>
      <c r="V14" s="2069"/>
      <c r="W14" s="1360">
        <f t="shared" si="0"/>
        <v>0</v>
      </c>
      <c r="X14" s="1360">
        <f t="shared" si="1"/>
        <v>0</v>
      </c>
      <c r="Y14" s="2021"/>
      <c r="Z14" s="1246"/>
      <c r="AA14" s="1246"/>
      <c r="AB14" s="1246"/>
      <c r="AC14" s="1246"/>
      <c r="AD14" s="2068"/>
    </row>
    <row r="15" spans="1:30">
      <c r="A15" s="1244">
        <v>10</v>
      </c>
      <c r="B15" s="1248"/>
      <c r="C15" s="1247"/>
      <c r="D15" s="1247"/>
      <c r="E15" s="1247"/>
      <c r="F15" s="1247"/>
      <c r="G15" s="1247"/>
      <c r="H15" s="1247"/>
      <c r="I15" s="1247"/>
      <c r="J15" s="1246"/>
      <c r="K15" s="1246"/>
      <c r="L15" s="1246"/>
      <c r="M15" s="1246"/>
      <c r="N15" s="1246"/>
      <c r="O15" s="1246"/>
      <c r="P15" s="2021"/>
      <c r="Q15" s="1986"/>
      <c r="R15" s="2021"/>
      <c r="S15" s="1986"/>
      <c r="T15" s="1986"/>
      <c r="U15" s="1986"/>
      <c r="V15" s="2069"/>
      <c r="W15" s="1360">
        <f t="shared" si="0"/>
        <v>0</v>
      </c>
      <c r="X15" s="1360">
        <f>+U15-AA15</f>
        <v>0</v>
      </c>
      <c r="Y15" s="2021"/>
      <c r="Z15" s="1246"/>
      <c r="AA15" s="1246"/>
      <c r="AB15" s="1246"/>
      <c r="AC15" s="1246"/>
      <c r="AD15" s="2068"/>
    </row>
    <row r="16" spans="1:30">
      <c r="A16" s="1249"/>
      <c r="B16" s="1250"/>
      <c r="C16" s="1251"/>
      <c r="D16" s="1251"/>
      <c r="E16" s="1251"/>
      <c r="F16" s="1251"/>
      <c r="G16" s="1251"/>
      <c r="H16" s="1251"/>
      <c r="I16" s="1251"/>
      <c r="J16" s="1252"/>
      <c r="K16" s="1252"/>
      <c r="L16" s="1252"/>
      <c r="M16" s="1252"/>
      <c r="N16" s="1252"/>
      <c r="O16" s="1252"/>
      <c r="P16" s="2024"/>
      <c r="Q16" s="2025"/>
      <c r="R16" s="2024"/>
      <c r="S16" s="2025"/>
      <c r="T16" s="2025"/>
      <c r="U16" s="2025"/>
      <c r="V16" s="2070"/>
      <c r="W16" s="2025"/>
      <c r="X16" s="2025"/>
      <c r="Y16" s="2024"/>
      <c r="Z16" s="1252"/>
      <c r="AA16" s="1252"/>
      <c r="AB16" s="1252"/>
      <c r="AC16" s="1252"/>
    </row>
    <row r="17" spans="1:30" ht="16.5">
      <c r="A17" s="1253" t="s">
        <v>4076</v>
      </c>
      <c r="B17" s="1231"/>
      <c r="C17" s="1231"/>
      <c r="D17" s="1231"/>
      <c r="E17" s="1231"/>
      <c r="F17" s="1231"/>
      <c r="G17" s="1231"/>
      <c r="H17" s="1231"/>
      <c r="I17" s="1231"/>
      <c r="J17" s="1231"/>
      <c r="K17" s="1231"/>
      <c r="L17" s="1231"/>
      <c r="M17" s="1231"/>
      <c r="N17" s="1231"/>
      <c r="O17" s="1231"/>
      <c r="P17" s="1231"/>
      <c r="Q17" s="1231"/>
      <c r="R17" s="1231"/>
      <c r="S17" s="1231"/>
      <c r="T17" s="1231"/>
      <c r="U17" s="1231"/>
      <c r="V17" s="1231"/>
    </row>
    <row r="18" spans="1:30" ht="16.5">
      <c r="A18" s="1249">
        <v>1</v>
      </c>
      <c r="B18" s="1231" t="s">
        <v>4077</v>
      </c>
      <c r="C18" s="1231"/>
      <c r="D18" s="1231"/>
      <c r="E18" s="1231"/>
      <c r="F18" s="1231"/>
      <c r="G18" s="1231"/>
      <c r="H18" s="1231"/>
      <c r="I18" s="1231"/>
      <c r="J18" s="1231"/>
      <c r="K18" s="1231"/>
      <c r="L18" s="1231"/>
      <c r="M18" s="1231"/>
      <c r="N18" s="1231"/>
      <c r="O18" s="1231"/>
      <c r="P18" s="1231"/>
      <c r="Q18" s="1231"/>
      <c r="R18" s="1231"/>
      <c r="S18" s="1231"/>
      <c r="T18" s="1231"/>
      <c r="U18" s="1231"/>
      <c r="V18" s="1231"/>
    </row>
    <row r="19" spans="1:30" ht="16.5">
      <c r="A19" s="1249">
        <v>2</v>
      </c>
      <c r="B19" s="1231" t="s">
        <v>4078</v>
      </c>
      <c r="C19" s="1231"/>
      <c r="D19" s="1231"/>
      <c r="E19" s="1231"/>
      <c r="F19" s="1231"/>
      <c r="G19" s="1231"/>
      <c r="H19" s="1231"/>
      <c r="I19" s="1231"/>
      <c r="J19" s="1231"/>
      <c r="K19" s="1231"/>
      <c r="L19" s="1231"/>
      <c r="M19" s="1231"/>
      <c r="N19" s="1231"/>
      <c r="O19" s="1231"/>
      <c r="P19" s="1231"/>
      <c r="Q19" s="1231"/>
      <c r="R19" s="1231"/>
      <c r="S19" s="1231"/>
      <c r="T19" s="1231"/>
      <c r="U19" s="1231"/>
      <c r="V19" s="1231"/>
    </row>
    <row r="20" spans="1:30" s="1990" customFormat="1" ht="16.5">
      <c r="A20" s="1249"/>
      <c r="B20" s="1231" t="s">
        <v>4079</v>
      </c>
      <c r="C20" s="1231"/>
      <c r="D20" s="1231"/>
      <c r="E20" s="1231"/>
      <c r="F20" s="1231"/>
      <c r="G20" s="1231"/>
      <c r="H20" s="1231"/>
      <c r="I20" s="1231"/>
      <c r="J20" s="1231"/>
      <c r="K20" s="1231"/>
      <c r="L20" s="1231"/>
      <c r="M20" s="1231"/>
      <c r="N20" s="1231"/>
      <c r="O20" s="1231"/>
      <c r="P20" s="1231"/>
      <c r="Q20" s="1231"/>
      <c r="R20" s="1231"/>
      <c r="S20" s="1231"/>
      <c r="T20" s="1231"/>
      <c r="U20" s="1231"/>
      <c r="V20" s="1231"/>
      <c r="W20" s="1239"/>
      <c r="X20" s="1239"/>
      <c r="Y20" s="1239"/>
      <c r="Z20" s="1239"/>
      <c r="AA20" s="1239"/>
      <c r="AB20" s="1239"/>
      <c r="AC20" s="1239"/>
      <c r="AD20" s="1239"/>
    </row>
    <row r="21" spans="1:30" ht="16.5">
      <c r="A21" s="1249">
        <v>3</v>
      </c>
      <c r="B21" s="1231" t="s">
        <v>4080</v>
      </c>
      <c r="C21" s="1231"/>
      <c r="D21" s="1231"/>
      <c r="E21" s="1231"/>
      <c r="F21" s="1231"/>
      <c r="G21" s="1231"/>
      <c r="H21" s="1231"/>
      <c r="I21" s="1231"/>
      <c r="J21" s="1231"/>
      <c r="K21" s="1231"/>
      <c r="L21" s="1231"/>
      <c r="M21" s="1231"/>
      <c r="N21" s="1231"/>
      <c r="O21" s="1231"/>
      <c r="P21" s="1231"/>
      <c r="Q21" s="1231"/>
      <c r="R21" s="1231"/>
      <c r="S21" s="1231"/>
      <c r="T21" s="1231"/>
      <c r="U21" s="1231"/>
      <c r="V21" s="1231"/>
    </row>
    <row r="22" spans="1:30" ht="16.5">
      <c r="A22" s="1249">
        <v>4</v>
      </c>
      <c r="B22" s="1231" t="s">
        <v>4081</v>
      </c>
      <c r="C22" s="1231"/>
      <c r="D22" s="1231"/>
      <c r="E22" s="1231"/>
      <c r="F22" s="1231"/>
      <c r="G22" s="1231"/>
      <c r="H22" s="1231"/>
      <c r="I22" s="1231"/>
      <c r="J22" s="1231"/>
      <c r="K22" s="1231"/>
      <c r="L22" s="1231"/>
      <c r="M22" s="1231"/>
      <c r="N22" s="1231"/>
      <c r="O22" s="1231"/>
      <c r="P22" s="1231"/>
      <c r="Q22" s="1231"/>
      <c r="R22" s="1231"/>
      <c r="S22" s="1231"/>
      <c r="T22" s="1231"/>
      <c r="U22" s="1231"/>
      <c r="V22" s="1231"/>
    </row>
    <row r="23" spans="1:30" ht="16.5">
      <c r="A23" s="1249">
        <v>5</v>
      </c>
      <c r="B23" s="3171" t="s">
        <v>8849</v>
      </c>
      <c r="C23" s="1231"/>
      <c r="D23" s="1231"/>
      <c r="E23" s="1231"/>
      <c r="F23" s="1231"/>
      <c r="G23" s="1231"/>
      <c r="H23" s="1231"/>
      <c r="I23" s="1231"/>
      <c r="J23" s="1231"/>
      <c r="K23" s="1231"/>
      <c r="L23" s="1231"/>
      <c r="M23" s="1231"/>
      <c r="N23" s="1231"/>
      <c r="O23" s="1231"/>
      <c r="P23" s="1231"/>
      <c r="Q23" s="1231"/>
      <c r="R23" s="1231"/>
      <c r="S23" s="1231"/>
      <c r="T23" s="1231"/>
      <c r="U23" s="1231"/>
      <c r="V23" s="1231"/>
    </row>
    <row r="24" spans="1:30" ht="16.5">
      <c r="A24" s="1249">
        <v>6</v>
      </c>
      <c r="B24" s="1231" t="s">
        <v>4082</v>
      </c>
      <c r="C24" s="1231"/>
      <c r="D24" s="1231"/>
      <c r="E24" s="1231"/>
      <c r="F24" s="1231"/>
      <c r="G24" s="1231"/>
      <c r="H24" s="1231"/>
      <c r="I24" s="1231"/>
      <c r="J24" s="1231"/>
      <c r="K24" s="1231"/>
      <c r="L24" s="1231"/>
      <c r="M24" s="1231"/>
      <c r="N24" s="1231"/>
      <c r="O24" s="1231"/>
      <c r="P24" s="1231"/>
      <c r="Q24" s="1231"/>
      <c r="R24" s="1231"/>
      <c r="S24" s="1231"/>
      <c r="T24" s="1231"/>
      <c r="U24" s="1231"/>
      <c r="V24" s="1231"/>
    </row>
    <row r="25" spans="1:30" ht="16.5">
      <c r="A25" s="1249"/>
      <c r="B25" s="1231" t="s">
        <v>4083</v>
      </c>
      <c r="C25" s="1231"/>
      <c r="D25" s="1231"/>
      <c r="E25" s="1231"/>
      <c r="F25" s="1231"/>
      <c r="G25" s="1231"/>
      <c r="H25" s="1231"/>
      <c r="I25" s="1231"/>
      <c r="J25" s="1231"/>
      <c r="K25" s="1231"/>
      <c r="L25" s="1231"/>
      <c r="M25" s="1231"/>
      <c r="N25" s="1231"/>
      <c r="O25" s="1231"/>
      <c r="P25" s="1231"/>
      <c r="Q25" s="1231"/>
      <c r="R25" s="1231"/>
      <c r="S25" s="1231"/>
      <c r="T25" s="1231"/>
      <c r="U25" s="1231"/>
      <c r="V25" s="1231"/>
    </row>
    <row r="26" spans="1:30" ht="16.5">
      <c r="A26" s="1249">
        <v>7</v>
      </c>
      <c r="B26" s="1231" t="s">
        <v>4084</v>
      </c>
      <c r="C26" s="1231"/>
      <c r="D26" s="1231"/>
      <c r="E26" s="1231"/>
      <c r="F26" s="1231"/>
      <c r="G26" s="1231"/>
      <c r="H26" s="1231"/>
      <c r="I26" s="1231"/>
      <c r="J26" s="1231"/>
      <c r="K26" s="1231"/>
      <c r="L26" s="1231"/>
      <c r="M26" s="1231"/>
      <c r="N26" s="1231"/>
      <c r="O26" s="1231"/>
      <c r="P26" s="1231"/>
      <c r="Q26" s="1231"/>
      <c r="R26" s="1231"/>
      <c r="S26" s="1231"/>
      <c r="T26" s="1231"/>
      <c r="U26" s="1231"/>
      <c r="V26" s="1231"/>
    </row>
    <row r="27" spans="1:30" ht="16.5">
      <c r="A27" s="1249"/>
      <c r="B27" s="1231" t="s">
        <v>4085</v>
      </c>
      <c r="C27" s="1231"/>
      <c r="D27" s="1231"/>
      <c r="E27" s="1231"/>
      <c r="F27" s="1231"/>
      <c r="G27" s="1231"/>
      <c r="H27" s="1231"/>
      <c r="I27" s="1231"/>
      <c r="J27" s="1231"/>
      <c r="K27" s="1231"/>
      <c r="L27" s="1231"/>
      <c r="M27" s="1231"/>
      <c r="N27" s="1231"/>
      <c r="O27" s="1231"/>
      <c r="P27" s="1231"/>
      <c r="Q27" s="1231"/>
      <c r="R27" s="1231"/>
      <c r="S27" s="1231"/>
      <c r="T27" s="1231"/>
      <c r="U27" s="1231"/>
      <c r="V27" s="1231"/>
    </row>
    <row r="28" spans="1:30" ht="16.5">
      <c r="A28" s="1249">
        <v>8</v>
      </c>
      <c r="B28" s="1231" t="s">
        <v>4086</v>
      </c>
      <c r="C28" s="1231"/>
      <c r="D28" s="1231"/>
      <c r="E28" s="1231"/>
      <c r="F28" s="1231"/>
      <c r="G28" s="1231"/>
      <c r="H28" s="1231"/>
      <c r="I28" s="1231"/>
      <c r="J28" s="1231"/>
      <c r="K28" s="1231"/>
      <c r="L28" s="1231"/>
      <c r="M28" s="1231"/>
      <c r="N28" s="1231"/>
      <c r="O28" s="1231"/>
      <c r="P28" s="1231"/>
      <c r="Q28" s="1231"/>
      <c r="R28" s="1231"/>
      <c r="S28" s="1231"/>
      <c r="T28" s="1231"/>
      <c r="U28" s="1231"/>
      <c r="V28" s="1231"/>
    </row>
    <row r="29" spans="1:30" ht="16.5">
      <c r="A29" s="1249">
        <v>9</v>
      </c>
      <c r="B29" s="1231" t="s">
        <v>4087</v>
      </c>
      <c r="C29" s="1231"/>
      <c r="D29" s="1231"/>
      <c r="E29" s="1231"/>
      <c r="F29" s="1231"/>
      <c r="G29" s="1231"/>
      <c r="H29" s="1231"/>
      <c r="I29" s="1231"/>
      <c r="J29" s="1231"/>
      <c r="K29" s="1231"/>
      <c r="L29" s="1231"/>
      <c r="M29" s="1231"/>
      <c r="N29" s="1231"/>
      <c r="O29" s="1231"/>
      <c r="P29" s="1231"/>
      <c r="Q29" s="1231"/>
      <c r="R29" s="1231"/>
      <c r="S29" s="1231"/>
      <c r="T29" s="1231"/>
      <c r="U29" s="1231"/>
      <c r="V29" s="1231"/>
    </row>
    <row r="30" spans="1:30" ht="16.5">
      <c r="A30" s="1249">
        <v>10</v>
      </c>
      <c r="B30" s="1231" t="s">
        <v>4088</v>
      </c>
      <c r="C30" s="1231"/>
      <c r="D30" s="1231"/>
      <c r="E30" s="1231"/>
      <c r="F30" s="1231"/>
      <c r="G30" s="1231"/>
      <c r="H30" s="1231"/>
      <c r="I30" s="1231"/>
      <c r="J30" s="1231"/>
      <c r="K30" s="1231"/>
      <c r="L30" s="1231"/>
      <c r="M30" s="1231"/>
      <c r="N30" s="1231"/>
      <c r="O30" s="1231"/>
      <c r="P30" s="1231"/>
      <c r="Q30" s="1231"/>
      <c r="R30" s="1231"/>
      <c r="S30" s="1231"/>
      <c r="T30" s="1231"/>
      <c r="U30" s="1231"/>
      <c r="V30" s="1231"/>
    </row>
    <row r="31" spans="1:30" ht="16.5">
      <c r="A31" s="1249">
        <v>11</v>
      </c>
      <c r="B31" s="1231" t="s">
        <v>4089</v>
      </c>
      <c r="C31" s="1254"/>
      <c r="D31" s="1254"/>
      <c r="E31" s="1254"/>
      <c r="F31" s="1254"/>
      <c r="G31" s="1254"/>
      <c r="H31" s="1254"/>
      <c r="I31" s="1254"/>
      <c r="J31" s="1254"/>
      <c r="K31" s="1254"/>
      <c r="L31" s="1254"/>
      <c r="M31" s="1254"/>
      <c r="N31" s="1254"/>
      <c r="O31" s="1254"/>
      <c r="P31" s="1254"/>
      <c r="Q31" s="1254"/>
      <c r="R31" s="1254"/>
      <c r="S31" s="1254"/>
      <c r="T31" s="1254"/>
      <c r="U31" s="1254"/>
      <c r="V31" s="1254"/>
      <c r="W31" s="1368"/>
      <c r="X31" s="1368"/>
      <c r="Y31" s="1368"/>
      <c r="Z31" s="1368"/>
      <c r="AA31" s="1368"/>
      <c r="AB31" s="1368"/>
      <c r="AC31" s="1368"/>
    </row>
    <row r="32" spans="1:30" ht="16.5">
      <c r="A32" s="1249">
        <v>12</v>
      </c>
      <c r="B32" s="1255" t="s">
        <v>3242</v>
      </c>
      <c r="C32" s="1231"/>
      <c r="D32" s="1231"/>
      <c r="E32" s="1231"/>
      <c r="F32" s="1231"/>
      <c r="G32" s="1231"/>
      <c r="H32" s="1231"/>
      <c r="I32" s="1231"/>
      <c r="J32" s="1231"/>
      <c r="K32" s="1231"/>
      <c r="L32" s="1231"/>
      <c r="M32" s="1231"/>
      <c r="N32" s="1231"/>
      <c r="O32" s="1231"/>
      <c r="P32" s="1231"/>
      <c r="Q32" s="1231"/>
      <c r="R32" s="1231"/>
      <c r="S32" s="1231"/>
      <c r="T32" s="1231"/>
      <c r="U32" s="1231"/>
      <c r="V32" s="1231"/>
    </row>
    <row r="33" spans="1:30" ht="16.5">
      <c r="A33" s="1249">
        <v>13</v>
      </c>
      <c r="B33" s="1231" t="s">
        <v>4090</v>
      </c>
      <c r="C33" s="1256"/>
      <c r="D33" s="1256"/>
      <c r="E33" s="1256"/>
      <c r="F33" s="1256"/>
      <c r="G33" s="1256"/>
      <c r="H33" s="1256"/>
      <c r="I33" s="1256"/>
      <c r="J33" s="1256"/>
      <c r="K33" s="1256"/>
      <c r="L33" s="1256"/>
      <c r="M33" s="1231"/>
      <c r="N33" s="1231"/>
      <c r="O33" s="1231"/>
      <c r="P33" s="1231"/>
      <c r="Q33" s="1231"/>
      <c r="R33" s="1231"/>
      <c r="S33" s="1231"/>
      <c r="T33" s="1231"/>
      <c r="U33" s="1231"/>
      <c r="V33" s="1231"/>
    </row>
    <row r="34" spans="1:30" ht="16.5">
      <c r="A34" s="1249">
        <v>14</v>
      </c>
      <c r="B34" s="1254" t="s">
        <v>4091</v>
      </c>
      <c r="C34" s="1231"/>
      <c r="D34" s="1231"/>
      <c r="E34" s="1231"/>
      <c r="F34" s="1231"/>
      <c r="G34" s="1231"/>
      <c r="H34" s="1231"/>
      <c r="I34" s="1231"/>
      <c r="J34" s="1231"/>
      <c r="K34" s="1231"/>
      <c r="L34" s="1231"/>
      <c r="M34" s="1231"/>
      <c r="N34" s="1231"/>
      <c r="O34" s="1231"/>
      <c r="P34" s="1231"/>
      <c r="Q34" s="1231"/>
      <c r="R34" s="1231"/>
      <c r="S34" s="1231"/>
      <c r="T34" s="1231"/>
      <c r="U34" s="1231"/>
      <c r="V34" s="1231"/>
    </row>
    <row r="35" spans="1:30" ht="16.5">
      <c r="A35" s="1249">
        <v>15</v>
      </c>
      <c r="B35" s="1231" t="s">
        <v>4092</v>
      </c>
      <c r="C35" s="1231"/>
      <c r="D35" s="1231"/>
      <c r="E35" s="1231"/>
      <c r="F35" s="1231"/>
      <c r="G35" s="1231"/>
      <c r="H35" s="1231"/>
      <c r="I35" s="1231"/>
      <c r="J35" s="1231"/>
      <c r="K35" s="1231"/>
      <c r="L35" s="1231"/>
      <c r="M35" s="1231"/>
      <c r="N35" s="1231"/>
      <c r="O35" s="1231"/>
      <c r="P35" s="1231"/>
      <c r="Q35" s="1231"/>
      <c r="R35" s="1231"/>
      <c r="S35" s="1231"/>
      <c r="T35" s="1231"/>
      <c r="U35" s="1231"/>
      <c r="V35" s="1231"/>
    </row>
    <row r="36" spans="1:30" ht="16.5">
      <c r="A36" s="1249">
        <v>16</v>
      </c>
      <c r="B36" s="1257" t="s">
        <v>1902</v>
      </c>
      <c r="C36" s="1231"/>
      <c r="D36" s="1231"/>
      <c r="E36" s="1231"/>
      <c r="F36" s="1231"/>
      <c r="G36" s="1231"/>
      <c r="H36" s="1231"/>
      <c r="I36" s="1231"/>
      <c r="J36" s="1231"/>
      <c r="K36" s="1231"/>
      <c r="L36" s="1231"/>
      <c r="M36" s="1231"/>
      <c r="N36" s="1231"/>
      <c r="O36" s="1231"/>
      <c r="P36" s="1231"/>
      <c r="Q36" s="1231"/>
      <c r="R36" s="1231"/>
      <c r="S36" s="1231"/>
      <c r="T36" s="1231"/>
      <c r="U36" s="1231"/>
      <c r="V36" s="1231"/>
    </row>
    <row r="37" spans="1:30" s="1990" customFormat="1" ht="16.5">
      <c r="A37" s="1249">
        <v>17</v>
      </c>
      <c r="B37" s="1258" t="s">
        <v>4093</v>
      </c>
      <c r="C37" s="1231"/>
      <c r="D37" s="1231"/>
      <c r="E37" s="1231"/>
      <c r="F37" s="1231"/>
      <c r="G37" s="1231"/>
      <c r="H37" s="1231"/>
      <c r="I37" s="1231"/>
      <c r="J37" s="1231"/>
      <c r="K37" s="1231"/>
      <c r="L37" s="1231"/>
      <c r="M37" s="1231"/>
      <c r="N37" s="1231"/>
      <c r="O37" s="1231"/>
      <c r="P37" s="1231"/>
      <c r="Q37" s="1231"/>
      <c r="R37" s="1231"/>
      <c r="S37" s="1231"/>
      <c r="T37" s="1231"/>
      <c r="U37" s="1231"/>
      <c r="V37" s="1231"/>
      <c r="W37" s="1239"/>
      <c r="X37" s="1239"/>
      <c r="Y37" s="1239"/>
      <c r="Z37" s="1239"/>
      <c r="AA37" s="1239"/>
      <c r="AB37" s="1239"/>
      <c r="AC37" s="1239"/>
      <c r="AD37" s="1239"/>
    </row>
    <row r="38" spans="1:30" ht="16.5">
      <c r="A38" s="1249"/>
      <c r="B38" s="1258" t="s">
        <v>4094</v>
      </c>
    </row>
    <row r="39" spans="1:30" ht="16.5">
      <c r="A39" s="2071">
        <v>18</v>
      </c>
      <c r="B39" s="2072" t="s">
        <v>5362</v>
      </c>
    </row>
    <row r="40" spans="1:30" ht="16.5">
      <c r="A40" s="1249">
        <v>19</v>
      </c>
      <c r="B40" s="1231" t="s">
        <v>5363</v>
      </c>
    </row>
    <row r="41" spans="1:30" ht="16.5">
      <c r="A41" s="1253">
        <v>20</v>
      </c>
      <c r="B41" s="2000" t="s">
        <v>5266</v>
      </c>
    </row>
  </sheetData>
  <mergeCells count="22">
    <mergeCell ref="AC3:AC4"/>
    <mergeCell ref="R3:R4"/>
    <mergeCell ref="S3:U3"/>
    <mergeCell ref="V3:V4"/>
    <mergeCell ref="Z3:Z4"/>
    <mergeCell ref="Y3:Y4"/>
    <mergeCell ref="AA3:AA4"/>
    <mergeCell ref="AB3:AB4"/>
    <mergeCell ref="W3:X3"/>
    <mergeCell ref="G3:G4"/>
    <mergeCell ref="H3:H4"/>
    <mergeCell ref="N3:N4"/>
    <mergeCell ref="P3:P4"/>
    <mergeCell ref="A3:A5"/>
    <mergeCell ref="B3:F3"/>
    <mergeCell ref="I3:I4"/>
    <mergeCell ref="Q3:Q4"/>
    <mergeCell ref="J3:J4"/>
    <mergeCell ref="K3:K4"/>
    <mergeCell ref="M3:M4"/>
    <mergeCell ref="L3:L4"/>
    <mergeCell ref="O3:O4"/>
  </mergeCells>
  <phoneticPr fontId="7" type="noConversion"/>
  <dataValidations count="1">
    <dataValidation type="whole" allowBlank="1" showInputMessage="1" showErrorMessage="1" errorTitle="錯誤" error="輸入資料格式錯誤!!" sqref="W6:W15" xr:uid="{00000000-0002-0000-07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58" fitToWidth="0" orientation="landscape" r:id="rId1"/>
  <headerFooter alignWithMargins="0">
    <oddFooter>&amp;C&amp;P/&amp;N&amp;R&amp;A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8">
    <pageSetUpPr fitToPage="1"/>
  </sheetPr>
  <dimension ref="A1:AB85"/>
  <sheetViews>
    <sheetView showGridLines="0" zoomScaleNormal="100" workbookViewId="0">
      <selection sqref="A1:XFD1048576"/>
    </sheetView>
  </sheetViews>
  <sheetFormatPr defaultColWidth="8.875" defaultRowHeight="13.5"/>
  <cols>
    <col min="1" max="1" width="2.75" style="19" customWidth="1"/>
    <col min="2" max="2" width="36.25" style="3114" customWidth="1"/>
    <col min="3" max="4" width="28.875" style="123" customWidth="1"/>
    <col min="5" max="5" width="23.625" style="123" customWidth="1"/>
    <col min="6" max="6" width="23.625" style="19" customWidth="1"/>
    <col min="7" max="16384" width="8.875" style="19"/>
  </cols>
  <sheetData>
    <row r="1" spans="1:5" s="119" customFormat="1" ht="16.5">
      <c r="A1" s="11" t="str">
        <f>+封面!A3&amp;" "&amp;封面!A2</f>
        <v xml:space="preserve">        保險股份有限公司(○○分公司) 年度(月、季、半年)報表</v>
      </c>
      <c r="B1" s="118"/>
      <c r="C1" s="118"/>
      <c r="D1" s="118"/>
    </row>
    <row r="2" spans="1:5" s="119" customFormat="1" ht="14.25">
      <c r="A2" s="120" t="s">
        <v>6608</v>
      </c>
      <c r="B2" s="118"/>
      <c r="C2" s="118"/>
    </row>
    <row r="3" spans="1:5" ht="15" thickBot="1">
      <c r="B3" s="122" t="s">
        <v>6609</v>
      </c>
      <c r="C3" s="122"/>
      <c r="D3" s="122"/>
      <c r="E3" s="121" t="s">
        <v>2752</v>
      </c>
    </row>
    <row r="4" spans="1:5" ht="16.5">
      <c r="B4" s="3075" t="s">
        <v>2850</v>
      </c>
      <c r="C4" s="170" t="s">
        <v>6610</v>
      </c>
      <c r="D4" s="3076" t="s">
        <v>6611</v>
      </c>
      <c r="E4" s="3077" t="s">
        <v>6612</v>
      </c>
    </row>
    <row r="5" spans="1:5" ht="14.25">
      <c r="B5" s="3078" t="s">
        <v>6613</v>
      </c>
      <c r="C5" s="3079">
        <f>'表26-1'!S6</f>
        <v>0</v>
      </c>
      <c r="D5" s="3080">
        <f t="shared" ref="D5:D36" si="0">IF($C$37=0,0,C5/$C$37)</f>
        <v>0</v>
      </c>
      <c r="E5" s="3081">
        <f t="shared" ref="E5:E36" si="1">D5^2</f>
        <v>0</v>
      </c>
    </row>
    <row r="6" spans="1:5" ht="14.25">
      <c r="B6" s="3078" t="s">
        <v>6614</v>
      </c>
      <c r="C6" s="3082">
        <f>'表26-1'!S7</f>
        <v>0</v>
      </c>
      <c r="D6" s="3083">
        <f t="shared" si="0"/>
        <v>0</v>
      </c>
      <c r="E6" s="3084">
        <f t="shared" si="1"/>
        <v>0</v>
      </c>
    </row>
    <row r="7" spans="1:5" ht="14.25">
      <c r="B7" s="3078" t="s">
        <v>6615</v>
      </c>
      <c r="C7" s="3082">
        <f>'表26-1'!S8</f>
        <v>0</v>
      </c>
      <c r="D7" s="3083">
        <f t="shared" si="0"/>
        <v>0</v>
      </c>
      <c r="E7" s="3084">
        <f t="shared" si="1"/>
        <v>0</v>
      </c>
    </row>
    <row r="8" spans="1:5" ht="14.25">
      <c r="B8" s="3078" t="s">
        <v>6616</v>
      </c>
      <c r="C8" s="3082">
        <f>'表26-1'!S9</f>
        <v>0</v>
      </c>
      <c r="D8" s="3083">
        <f t="shared" si="0"/>
        <v>0</v>
      </c>
      <c r="E8" s="3084">
        <f t="shared" si="1"/>
        <v>0</v>
      </c>
    </row>
    <row r="9" spans="1:5" ht="14.25">
      <c r="B9" s="3078" t="s">
        <v>6617</v>
      </c>
      <c r="C9" s="3082">
        <f>'表26-1'!S10</f>
        <v>0</v>
      </c>
      <c r="D9" s="3083">
        <f t="shared" si="0"/>
        <v>0</v>
      </c>
      <c r="E9" s="3084">
        <f t="shared" si="1"/>
        <v>0</v>
      </c>
    </row>
    <row r="10" spans="1:5" ht="14.25">
      <c r="B10" s="3078" t="s">
        <v>6618</v>
      </c>
      <c r="C10" s="3082">
        <f>'表26-1'!S11</f>
        <v>0</v>
      </c>
      <c r="D10" s="3083">
        <f t="shared" si="0"/>
        <v>0</v>
      </c>
      <c r="E10" s="3084">
        <f t="shared" si="1"/>
        <v>0</v>
      </c>
    </row>
    <row r="11" spans="1:5" ht="14.25">
      <c r="B11" s="3078" t="s">
        <v>6619</v>
      </c>
      <c r="C11" s="3082">
        <f>'表26-1'!S12</f>
        <v>0</v>
      </c>
      <c r="D11" s="3083">
        <f t="shared" si="0"/>
        <v>0</v>
      </c>
      <c r="E11" s="3084">
        <f t="shared" si="1"/>
        <v>0</v>
      </c>
    </row>
    <row r="12" spans="1:5" ht="14.25">
      <c r="B12" s="3078" t="s">
        <v>6620</v>
      </c>
      <c r="C12" s="3082">
        <f>'表26-1'!S13</f>
        <v>0</v>
      </c>
      <c r="D12" s="3083">
        <f t="shared" si="0"/>
        <v>0</v>
      </c>
      <c r="E12" s="3084">
        <f t="shared" si="1"/>
        <v>0</v>
      </c>
    </row>
    <row r="13" spans="1:5" ht="14.25">
      <c r="B13" s="3078" t="s">
        <v>6621</v>
      </c>
      <c r="C13" s="3082">
        <f>'表26-1'!S14</f>
        <v>0</v>
      </c>
      <c r="D13" s="3083">
        <f t="shared" si="0"/>
        <v>0</v>
      </c>
      <c r="E13" s="3084">
        <f t="shared" si="1"/>
        <v>0</v>
      </c>
    </row>
    <row r="14" spans="1:5" ht="14.25">
      <c r="B14" s="3078" t="s">
        <v>6622</v>
      </c>
      <c r="C14" s="3082">
        <f>'表26-1'!S15</f>
        <v>0</v>
      </c>
      <c r="D14" s="3083">
        <f t="shared" si="0"/>
        <v>0</v>
      </c>
      <c r="E14" s="3084">
        <f t="shared" si="1"/>
        <v>0</v>
      </c>
    </row>
    <row r="15" spans="1:5" ht="14.25">
      <c r="B15" s="3078" t="s">
        <v>6623</v>
      </c>
      <c r="C15" s="3082">
        <f>'表26-1'!S16</f>
        <v>0</v>
      </c>
      <c r="D15" s="3083">
        <f t="shared" si="0"/>
        <v>0</v>
      </c>
      <c r="E15" s="3084">
        <f t="shared" si="1"/>
        <v>0</v>
      </c>
    </row>
    <row r="16" spans="1:5" ht="14.25">
      <c r="B16" s="3078" t="s">
        <v>6624</v>
      </c>
      <c r="C16" s="3082">
        <f>'表26-1'!S17</f>
        <v>0</v>
      </c>
      <c r="D16" s="3083">
        <f t="shared" si="0"/>
        <v>0</v>
      </c>
      <c r="E16" s="3084">
        <f t="shared" si="1"/>
        <v>0</v>
      </c>
    </row>
    <row r="17" spans="2:28" ht="14.25">
      <c r="B17" s="3078" t="s">
        <v>6625</v>
      </c>
      <c r="C17" s="3082">
        <f>'表26-1'!S18</f>
        <v>0</v>
      </c>
      <c r="D17" s="3083">
        <f t="shared" si="0"/>
        <v>0</v>
      </c>
      <c r="E17" s="3084">
        <f t="shared" si="1"/>
        <v>0</v>
      </c>
    </row>
    <row r="18" spans="2:28" ht="14.25">
      <c r="B18" s="3078" t="s">
        <v>6626</v>
      </c>
      <c r="C18" s="3082">
        <f>'表26-1'!S19</f>
        <v>0</v>
      </c>
      <c r="D18" s="3083">
        <f t="shared" si="0"/>
        <v>0</v>
      </c>
      <c r="E18" s="3084">
        <f t="shared" si="1"/>
        <v>0</v>
      </c>
    </row>
    <row r="19" spans="2:28" ht="14.25">
      <c r="B19" s="3078" t="s">
        <v>6627</v>
      </c>
      <c r="C19" s="3082">
        <f>'表26-1'!S20</f>
        <v>0</v>
      </c>
      <c r="D19" s="3083">
        <f t="shared" si="0"/>
        <v>0</v>
      </c>
      <c r="E19" s="3084">
        <f t="shared" si="1"/>
        <v>0</v>
      </c>
    </row>
    <row r="20" spans="2:28" ht="14.25">
      <c r="B20" s="3078" t="s">
        <v>6628</v>
      </c>
      <c r="C20" s="3082">
        <f>'表26-1'!S21</f>
        <v>0</v>
      </c>
      <c r="D20" s="3083">
        <f t="shared" si="0"/>
        <v>0</v>
      </c>
      <c r="E20" s="3084">
        <f t="shared" si="1"/>
        <v>0</v>
      </c>
    </row>
    <row r="21" spans="2:28" ht="14.25">
      <c r="B21" s="3078" t="s">
        <v>6629</v>
      </c>
      <c r="C21" s="3082">
        <f>'表26-1'!S22</f>
        <v>0</v>
      </c>
      <c r="D21" s="3083">
        <f t="shared" si="0"/>
        <v>0</v>
      </c>
      <c r="E21" s="3084">
        <f t="shared" si="1"/>
        <v>0</v>
      </c>
    </row>
    <row r="22" spans="2:28" ht="14.25">
      <c r="B22" s="3078" t="s">
        <v>6630</v>
      </c>
      <c r="C22" s="3082">
        <f>'表26-1'!S23</f>
        <v>0</v>
      </c>
      <c r="D22" s="3083">
        <f t="shared" si="0"/>
        <v>0</v>
      </c>
      <c r="E22" s="3084">
        <f t="shared" si="1"/>
        <v>0</v>
      </c>
    </row>
    <row r="23" spans="2:28" ht="14.25">
      <c r="B23" s="3078" t="s">
        <v>6631</v>
      </c>
      <c r="C23" s="3082">
        <f>'表26-1'!S24</f>
        <v>0</v>
      </c>
      <c r="D23" s="3083">
        <f t="shared" si="0"/>
        <v>0</v>
      </c>
      <c r="E23" s="3084">
        <f t="shared" si="1"/>
        <v>0</v>
      </c>
    </row>
    <row r="24" spans="2:28" ht="14.25">
      <c r="B24" s="3078" t="s">
        <v>6632</v>
      </c>
      <c r="C24" s="3082">
        <f>'表26-1'!S25</f>
        <v>0</v>
      </c>
      <c r="D24" s="3083">
        <f t="shared" si="0"/>
        <v>0</v>
      </c>
      <c r="E24" s="3084">
        <f t="shared" si="1"/>
        <v>0</v>
      </c>
    </row>
    <row r="25" spans="2:28" ht="14.25">
      <c r="B25" s="3078" t="s">
        <v>6633</v>
      </c>
      <c r="C25" s="3082">
        <f>'表26-1'!S26</f>
        <v>0</v>
      </c>
      <c r="D25" s="3083">
        <f t="shared" si="0"/>
        <v>0</v>
      </c>
      <c r="E25" s="3084">
        <f t="shared" si="1"/>
        <v>0</v>
      </c>
    </row>
    <row r="26" spans="2:28" ht="15.75">
      <c r="B26" s="3078" t="s">
        <v>6634</v>
      </c>
      <c r="C26" s="3082">
        <f>'表26-1'!S27</f>
        <v>0</v>
      </c>
      <c r="D26" s="3083">
        <f t="shared" si="0"/>
        <v>0</v>
      </c>
      <c r="E26" s="3084">
        <f t="shared" si="1"/>
        <v>0</v>
      </c>
      <c r="AB26" s="178"/>
    </row>
    <row r="27" spans="2:28" ht="14.25">
      <c r="B27" s="3078" t="s">
        <v>6635</v>
      </c>
      <c r="C27" s="3082">
        <f>'表26-1'!S28</f>
        <v>0</v>
      </c>
      <c r="D27" s="3083">
        <f t="shared" si="0"/>
        <v>0</v>
      </c>
      <c r="E27" s="3084">
        <f t="shared" si="1"/>
        <v>0</v>
      </c>
    </row>
    <row r="28" spans="2:28" ht="14.25">
      <c r="B28" s="3078" t="s">
        <v>6636</v>
      </c>
      <c r="C28" s="3082">
        <f>'表26-1'!S29</f>
        <v>0</v>
      </c>
      <c r="D28" s="3083">
        <f t="shared" si="0"/>
        <v>0</v>
      </c>
      <c r="E28" s="3084">
        <f t="shared" si="1"/>
        <v>0</v>
      </c>
    </row>
    <row r="29" spans="2:28" ht="14.25">
      <c r="B29" s="3078" t="s">
        <v>6637</v>
      </c>
      <c r="C29" s="3082">
        <f>'表26-1'!S30</f>
        <v>0</v>
      </c>
      <c r="D29" s="3083">
        <f t="shared" si="0"/>
        <v>0</v>
      </c>
      <c r="E29" s="3084">
        <f t="shared" si="1"/>
        <v>0</v>
      </c>
    </row>
    <row r="30" spans="2:28" ht="14.25">
      <c r="B30" s="3078" t="s">
        <v>6638</v>
      </c>
      <c r="C30" s="3082">
        <f>'表26-1'!S31</f>
        <v>0</v>
      </c>
      <c r="D30" s="3083">
        <f t="shared" si="0"/>
        <v>0</v>
      </c>
      <c r="E30" s="3084">
        <f t="shared" si="1"/>
        <v>0</v>
      </c>
    </row>
    <row r="31" spans="2:28" ht="14.25">
      <c r="B31" s="3078" t="s">
        <v>6639</v>
      </c>
      <c r="C31" s="3082">
        <f>'表26-1'!S32</f>
        <v>0</v>
      </c>
      <c r="D31" s="3083">
        <f t="shared" si="0"/>
        <v>0</v>
      </c>
      <c r="E31" s="3084">
        <f t="shared" si="1"/>
        <v>0</v>
      </c>
    </row>
    <row r="32" spans="2:28" ht="14.25">
      <c r="B32" s="3078" t="s">
        <v>6640</v>
      </c>
      <c r="C32" s="3082">
        <f>'表26-1'!S33</f>
        <v>0</v>
      </c>
      <c r="D32" s="3083">
        <f t="shared" si="0"/>
        <v>0</v>
      </c>
      <c r="E32" s="3084">
        <f t="shared" si="1"/>
        <v>0</v>
      </c>
    </row>
    <row r="33" spans="2:6" ht="14.25">
      <c r="B33" s="3078" t="s">
        <v>6641</v>
      </c>
      <c r="C33" s="3082">
        <f>'表26-1'!S34</f>
        <v>0</v>
      </c>
      <c r="D33" s="3083">
        <f t="shared" si="0"/>
        <v>0</v>
      </c>
      <c r="E33" s="3084">
        <f t="shared" si="1"/>
        <v>0</v>
      </c>
    </row>
    <row r="34" spans="2:6" ht="14.25">
      <c r="B34" s="3078" t="s">
        <v>6642</v>
      </c>
      <c r="C34" s="3082">
        <f>'表26-1'!S35</f>
        <v>0</v>
      </c>
      <c r="D34" s="3083">
        <f t="shared" si="0"/>
        <v>0</v>
      </c>
      <c r="E34" s="3084">
        <f>D34^2</f>
        <v>0</v>
      </c>
    </row>
    <row r="35" spans="2:6" ht="14.25">
      <c r="B35" s="3078" t="s">
        <v>6643</v>
      </c>
      <c r="C35" s="3082">
        <f>'表26-1'!S37</f>
        <v>0</v>
      </c>
      <c r="D35" s="3083">
        <f>IF($C$37=0,0,C35/$C$37)</f>
        <v>0</v>
      </c>
      <c r="E35" s="3084">
        <f>D35^2</f>
        <v>0</v>
      </c>
    </row>
    <row r="36" spans="2:6" ht="14.25">
      <c r="B36" s="3078" t="s">
        <v>6644</v>
      </c>
      <c r="C36" s="3082">
        <f>'表26-1'!S38</f>
        <v>0</v>
      </c>
      <c r="D36" s="3083">
        <f t="shared" si="0"/>
        <v>0</v>
      </c>
      <c r="E36" s="3084">
        <f t="shared" si="1"/>
        <v>0</v>
      </c>
    </row>
    <row r="37" spans="2:6" ht="15" thickBot="1">
      <c r="B37" s="3085" t="s">
        <v>6645</v>
      </c>
      <c r="C37" s="3086">
        <f>SUM(C5:C36)</f>
        <v>0</v>
      </c>
      <c r="D37" s="3087"/>
      <c r="E37" s="3088">
        <f>SUM(E5:E36)</f>
        <v>0</v>
      </c>
    </row>
    <row r="38" spans="2:6" ht="15" thickTop="1" thickBot="1">
      <c r="B38" s="3089" t="s">
        <v>451</v>
      </c>
      <c r="C38" s="3090"/>
      <c r="D38" s="166"/>
      <c r="E38" s="3091">
        <f>IF(AND(E37&gt;=1/30,E37&lt;1/25),0.75,IF(AND(E37&gt;=1/25,E37&lt;1/20),0.8,IF(AND(E37&gt;=1/20,E37&lt;1/15),0.85,IF(AND(E37&gt;=1/15,E37&lt;1/10),0.9,IF(AND(E37&gt;=1/10,E37&lt;1/5),0.95,1)))))</f>
        <v>1</v>
      </c>
    </row>
    <row r="39" spans="2:6">
      <c r="B39" s="122"/>
      <c r="C39" s="122"/>
      <c r="D39" s="122"/>
      <c r="E39" s="122"/>
    </row>
    <row r="40" spans="2:6" ht="15" thickBot="1">
      <c r="B40" s="122" t="s">
        <v>6646</v>
      </c>
      <c r="C40" s="122"/>
      <c r="D40" s="122"/>
      <c r="E40" s="3092"/>
      <c r="F40" s="3092" t="s">
        <v>3483</v>
      </c>
    </row>
    <row r="41" spans="2:6" ht="16.5">
      <c r="B41" s="3075" t="s">
        <v>2850</v>
      </c>
      <c r="C41" s="170" t="s">
        <v>6610</v>
      </c>
      <c r="D41" s="3093" t="s">
        <v>6647</v>
      </c>
      <c r="E41" s="3094" t="s">
        <v>6648</v>
      </c>
      <c r="F41" s="3077" t="s">
        <v>6612</v>
      </c>
    </row>
    <row r="42" spans="2:6" ht="14.25">
      <c r="B42" s="3078" t="s">
        <v>6649</v>
      </c>
      <c r="C42" s="3095">
        <f>'表21-4'!D6</f>
        <v>0</v>
      </c>
      <c r="D42" s="3096">
        <f>'表30-5'!D40</f>
        <v>0</v>
      </c>
      <c r="E42" s="3097">
        <f>IF(($C$74+$D$74)=0,0,($C42+$D42)/($C$74+$D$74))</f>
        <v>0</v>
      </c>
      <c r="F42" s="3081">
        <f t="shared" ref="F42:F73" si="2">E42^2</f>
        <v>0</v>
      </c>
    </row>
    <row r="43" spans="2:6" ht="14.25">
      <c r="B43" s="3078" t="s">
        <v>6650</v>
      </c>
      <c r="C43" s="3082">
        <f>'表21-4'!D7</f>
        <v>0</v>
      </c>
      <c r="D43" s="3098">
        <f>'表30-5'!D41</f>
        <v>0</v>
      </c>
      <c r="E43" s="3099">
        <f t="shared" ref="E43:E73" si="3">IF(($C$74+$D$74)=0,0,($C43+$D43)/($C$74+$D$74))</f>
        <v>0</v>
      </c>
      <c r="F43" s="3084">
        <f t="shared" si="2"/>
        <v>0</v>
      </c>
    </row>
    <row r="44" spans="2:6" ht="14.25">
      <c r="B44" s="3078" t="s">
        <v>6651</v>
      </c>
      <c r="C44" s="3082">
        <f>'表21-4'!D8</f>
        <v>0</v>
      </c>
      <c r="D44" s="3098">
        <f>'表30-5'!D42</f>
        <v>0</v>
      </c>
      <c r="E44" s="3099">
        <f t="shared" si="3"/>
        <v>0</v>
      </c>
      <c r="F44" s="3084">
        <f t="shared" si="2"/>
        <v>0</v>
      </c>
    </row>
    <row r="45" spans="2:6" ht="14.25">
      <c r="B45" s="3078" t="s">
        <v>6652</v>
      </c>
      <c r="C45" s="3082">
        <f>'表21-4'!D9</f>
        <v>0</v>
      </c>
      <c r="D45" s="3098">
        <f>'表30-5'!D43</f>
        <v>0</v>
      </c>
      <c r="E45" s="3099">
        <f t="shared" si="3"/>
        <v>0</v>
      </c>
      <c r="F45" s="3084">
        <f t="shared" si="2"/>
        <v>0</v>
      </c>
    </row>
    <row r="46" spans="2:6" ht="14.25">
      <c r="B46" s="3078" t="s">
        <v>6653</v>
      </c>
      <c r="C46" s="3082">
        <f>'表21-4'!D10</f>
        <v>0</v>
      </c>
      <c r="D46" s="3098">
        <f>'表30-5'!D44</f>
        <v>0</v>
      </c>
      <c r="E46" s="3099">
        <f t="shared" si="3"/>
        <v>0</v>
      </c>
      <c r="F46" s="3084">
        <f t="shared" si="2"/>
        <v>0</v>
      </c>
    </row>
    <row r="47" spans="2:6" ht="14.25">
      <c r="B47" s="3078" t="s">
        <v>6654</v>
      </c>
      <c r="C47" s="3082">
        <f>'表21-4'!D11</f>
        <v>0</v>
      </c>
      <c r="D47" s="3098">
        <f>'表30-5'!D45</f>
        <v>0</v>
      </c>
      <c r="E47" s="3099">
        <f t="shared" si="3"/>
        <v>0</v>
      </c>
      <c r="F47" s="3084">
        <f t="shared" si="2"/>
        <v>0</v>
      </c>
    </row>
    <row r="48" spans="2:6" ht="14.25">
      <c r="B48" s="3078" t="s">
        <v>6655</v>
      </c>
      <c r="C48" s="3082">
        <f>'表21-4'!D12</f>
        <v>0</v>
      </c>
      <c r="D48" s="3098">
        <f>'表30-5'!D46</f>
        <v>0</v>
      </c>
      <c r="E48" s="3099">
        <f t="shared" si="3"/>
        <v>0</v>
      </c>
      <c r="F48" s="3084">
        <f t="shared" si="2"/>
        <v>0</v>
      </c>
    </row>
    <row r="49" spans="2:6" ht="14.25">
      <c r="B49" s="3078" t="s">
        <v>6656</v>
      </c>
      <c r="C49" s="3082">
        <f>'表21-4'!D13</f>
        <v>0</v>
      </c>
      <c r="D49" s="3098">
        <f>'表30-5'!D47</f>
        <v>0</v>
      </c>
      <c r="E49" s="3099">
        <f t="shared" si="3"/>
        <v>0</v>
      </c>
      <c r="F49" s="3084">
        <f t="shared" si="2"/>
        <v>0</v>
      </c>
    </row>
    <row r="50" spans="2:6" ht="14.25">
      <c r="B50" s="3078" t="s">
        <v>6657</v>
      </c>
      <c r="C50" s="3082">
        <f>'表21-4'!D14</f>
        <v>0</v>
      </c>
      <c r="D50" s="3098">
        <f>'表30-5'!D48</f>
        <v>0</v>
      </c>
      <c r="E50" s="3099">
        <f t="shared" si="3"/>
        <v>0</v>
      </c>
      <c r="F50" s="3084">
        <f t="shared" si="2"/>
        <v>0</v>
      </c>
    </row>
    <row r="51" spans="2:6" ht="14.25">
      <c r="B51" s="3078" t="s">
        <v>6658</v>
      </c>
      <c r="C51" s="3082">
        <f>'表21-4'!D15</f>
        <v>0</v>
      </c>
      <c r="D51" s="3098">
        <f>'表30-5'!D49</f>
        <v>0</v>
      </c>
      <c r="E51" s="3099">
        <f t="shared" si="3"/>
        <v>0</v>
      </c>
      <c r="F51" s="3084">
        <f t="shared" si="2"/>
        <v>0</v>
      </c>
    </row>
    <row r="52" spans="2:6" ht="14.25">
      <c r="B52" s="3078" t="s">
        <v>6659</v>
      </c>
      <c r="C52" s="3082">
        <f>'表21-4'!D16</f>
        <v>0</v>
      </c>
      <c r="D52" s="3098">
        <f>'表30-5'!D50</f>
        <v>0</v>
      </c>
      <c r="E52" s="3099">
        <f t="shared" si="3"/>
        <v>0</v>
      </c>
      <c r="F52" s="3084">
        <f t="shared" si="2"/>
        <v>0</v>
      </c>
    </row>
    <row r="53" spans="2:6" ht="14.25">
      <c r="B53" s="3078" t="s">
        <v>6660</v>
      </c>
      <c r="C53" s="3082">
        <f>'表21-4'!D17</f>
        <v>0</v>
      </c>
      <c r="D53" s="3098">
        <f>'表30-5'!D51</f>
        <v>0</v>
      </c>
      <c r="E53" s="3099">
        <f t="shared" si="3"/>
        <v>0</v>
      </c>
      <c r="F53" s="3084">
        <f t="shared" si="2"/>
        <v>0</v>
      </c>
    </row>
    <row r="54" spans="2:6" ht="15" thickBot="1">
      <c r="B54" s="3078" t="s">
        <v>6661</v>
      </c>
      <c r="C54" s="3082">
        <f>'表21-4'!D18</f>
        <v>0</v>
      </c>
      <c r="D54" s="3100">
        <f>'表30-5'!D52</f>
        <v>0</v>
      </c>
      <c r="E54" s="3099">
        <f t="shared" si="3"/>
        <v>0</v>
      </c>
      <c r="F54" s="3084">
        <f t="shared" si="2"/>
        <v>0</v>
      </c>
    </row>
    <row r="55" spans="2:6" ht="14.25">
      <c r="B55" s="3078" t="s">
        <v>6662</v>
      </c>
      <c r="C55" s="3101">
        <f>'表21-4'!D19</f>
        <v>0</v>
      </c>
      <c r="D55" s="3102"/>
      <c r="E55" s="3083">
        <f t="shared" si="3"/>
        <v>0</v>
      </c>
      <c r="F55" s="3084">
        <f t="shared" si="2"/>
        <v>0</v>
      </c>
    </row>
    <row r="56" spans="2:6" ht="14.25">
      <c r="B56" s="3078" t="s">
        <v>6663</v>
      </c>
      <c r="C56" s="3101">
        <f>'表21-4'!D20</f>
        <v>0</v>
      </c>
      <c r="D56" s="3103"/>
      <c r="E56" s="3083">
        <f t="shared" si="3"/>
        <v>0</v>
      </c>
      <c r="F56" s="3084">
        <f t="shared" si="2"/>
        <v>0</v>
      </c>
    </row>
    <row r="57" spans="2:6" ht="15" thickBot="1">
      <c r="B57" s="3078" t="s">
        <v>6664</v>
      </c>
      <c r="C57" s="3101">
        <f>'表21-4'!D21</f>
        <v>0</v>
      </c>
      <c r="D57" s="3104"/>
      <c r="E57" s="3083">
        <f t="shared" si="3"/>
        <v>0</v>
      </c>
      <c r="F57" s="3084">
        <f t="shared" si="2"/>
        <v>0</v>
      </c>
    </row>
    <row r="58" spans="2:6" ht="14.25">
      <c r="B58" s="3078" t="s">
        <v>6665</v>
      </c>
      <c r="C58" s="3082">
        <f>'表21-4'!D22</f>
        <v>0</v>
      </c>
      <c r="D58" s="3105">
        <f>'表30-5'!D53</f>
        <v>0</v>
      </c>
      <c r="E58" s="3099">
        <f t="shared" si="3"/>
        <v>0</v>
      </c>
      <c r="F58" s="3084">
        <f t="shared" si="2"/>
        <v>0</v>
      </c>
    </row>
    <row r="59" spans="2:6" ht="14.25">
      <c r="B59" s="3078" t="s">
        <v>6666</v>
      </c>
      <c r="C59" s="3082">
        <f>'表21-4'!D23</f>
        <v>0</v>
      </c>
      <c r="D59" s="3098">
        <f>'表30-5'!D54</f>
        <v>0</v>
      </c>
      <c r="E59" s="3099">
        <f t="shared" si="3"/>
        <v>0</v>
      </c>
      <c r="F59" s="3084">
        <f t="shared" si="2"/>
        <v>0</v>
      </c>
    </row>
    <row r="60" spans="2:6" ht="14.25">
      <c r="B60" s="3078" t="s">
        <v>6667</v>
      </c>
      <c r="C60" s="3082">
        <f>'表21-4'!D24</f>
        <v>0</v>
      </c>
      <c r="D60" s="3098">
        <f>'表30-5'!D55</f>
        <v>0</v>
      </c>
      <c r="E60" s="3099">
        <f t="shared" si="3"/>
        <v>0</v>
      </c>
      <c r="F60" s="3084">
        <f t="shared" si="2"/>
        <v>0</v>
      </c>
    </row>
    <row r="61" spans="2:6" ht="14.25">
      <c r="B61" s="3078" t="s">
        <v>6668</v>
      </c>
      <c r="C61" s="3082">
        <f>'表21-4'!D25</f>
        <v>0</v>
      </c>
      <c r="D61" s="3098">
        <f>'表30-5'!D56</f>
        <v>0</v>
      </c>
      <c r="E61" s="3099">
        <f t="shared" si="3"/>
        <v>0</v>
      </c>
      <c r="F61" s="3084">
        <f t="shared" si="2"/>
        <v>0</v>
      </c>
    </row>
    <row r="62" spans="2:6" ht="14.25">
      <c r="B62" s="3078" t="s">
        <v>6669</v>
      </c>
      <c r="C62" s="3082">
        <f>'表21-4'!D26</f>
        <v>0</v>
      </c>
      <c r="D62" s="3098">
        <f>'表30-5'!D57</f>
        <v>0</v>
      </c>
      <c r="E62" s="3099">
        <f t="shared" si="3"/>
        <v>0</v>
      </c>
      <c r="F62" s="3084">
        <f t="shared" si="2"/>
        <v>0</v>
      </c>
    </row>
    <row r="63" spans="2:6" ht="14.25">
      <c r="B63" s="3078" t="s">
        <v>6670</v>
      </c>
      <c r="C63" s="3082">
        <f>'表21-4'!D27</f>
        <v>0</v>
      </c>
      <c r="D63" s="3098">
        <f>'表30-5'!D58</f>
        <v>0</v>
      </c>
      <c r="E63" s="3099">
        <f t="shared" si="3"/>
        <v>0</v>
      </c>
      <c r="F63" s="3084">
        <f t="shared" si="2"/>
        <v>0</v>
      </c>
    </row>
    <row r="64" spans="2:6" ht="14.25">
      <c r="B64" s="3078" t="s">
        <v>6671</v>
      </c>
      <c r="C64" s="3082">
        <f>'表21-4'!D28</f>
        <v>0</v>
      </c>
      <c r="D64" s="3098">
        <f>'表30-5'!D59</f>
        <v>0</v>
      </c>
      <c r="E64" s="3099">
        <f t="shared" si="3"/>
        <v>0</v>
      </c>
      <c r="F64" s="3084">
        <f t="shared" si="2"/>
        <v>0</v>
      </c>
    </row>
    <row r="65" spans="2:6" ht="14.25">
      <c r="B65" s="3078" t="s">
        <v>6672</v>
      </c>
      <c r="C65" s="3082">
        <f>'表21-4'!D29</f>
        <v>0</v>
      </c>
      <c r="D65" s="3098">
        <f>'表30-5'!D60</f>
        <v>0</v>
      </c>
      <c r="E65" s="3099">
        <f t="shared" si="3"/>
        <v>0</v>
      </c>
      <c r="F65" s="3084">
        <f t="shared" si="2"/>
        <v>0</v>
      </c>
    </row>
    <row r="66" spans="2:6" ht="14.25">
      <c r="B66" s="3078" t="s">
        <v>6673</v>
      </c>
      <c r="C66" s="3082">
        <f>'表21-4'!D30</f>
        <v>0</v>
      </c>
      <c r="D66" s="3098">
        <f>'表30-5'!D61</f>
        <v>0</v>
      </c>
      <c r="E66" s="3099">
        <f t="shared" si="3"/>
        <v>0</v>
      </c>
      <c r="F66" s="3084">
        <f t="shared" si="2"/>
        <v>0</v>
      </c>
    </row>
    <row r="67" spans="2:6" ht="14.25">
      <c r="B67" s="3078" t="s">
        <v>6674</v>
      </c>
      <c r="C67" s="3082">
        <f>'表21-4'!D31</f>
        <v>0</v>
      </c>
      <c r="D67" s="3098">
        <f>'表30-5'!D62</f>
        <v>0</v>
      </c>
      <c r="E67" s="3099">
        <f t="shared" si="3"/>
        <v>0</v>
      </c>
      <c r="F67" s="3084">
        <f t="shared" si="2"/>
        <v>0</v>
      </c>
    </row>
    <row r="68" spans="2:6" ht="14.25">
      <c r="B68" s="3078" t="s">
        <v>6675</v>
      </c>
      <c r="C68" s="3082">
        <f>'表21-4'!D32</f>
        <v>0</v>
      </c>
      <c r="D68" s="3098">
        <f>'表30-5'!D63</f>
        <v>0</v>
      </c>
      <c r="E68" s="3099">
        <f t="shared" si="3"/>
        <v>0</v>
      </c>
      <c r="F68" s="3084">
        <f t="shared" si="2"/>
        <v>0</v>
      </c>
    </row>
    <row r="69" spans="2:6" ht="14.25">
      <c r="B69" s="3078" t="s">
        <v>6676</v>
      </c>
      <c r="C69" s="3082">
        <f>'表21-4'!D33</f>
        <v>0</v>
      </c>
      <c r="D69" s="3098">
        <f>'表30-5'!D64</f>
        <v>0</v>
      </c>
      <c r="E69" s="3099">
        <f t="shared" si="3"/>
        <v>0</v>
      </c>
      <c r="F69" s="3084">
        <f t="shared" si="2"/>
        <v>0</v>
      </c>
    </row>
    <row r="70" spans="2:6" ht="14.25">
      <c r="B70" s="3078" t="s">
        <v>6677</v>
      </c>
      <c r="C70" s="3082">
        <f>'表21-4'!D34</f>
        <v>0</v>
      </c>
      <c r="D70" s="3098">
        <f>'表30-5'!D65</f>
        <v>0</v>
      </c>
      <c r="E70" s="3099">
        <f t="shared" si="3"/>
        <v>0</v>
      </c>
      <c r="F70" s="3084">
        <f t="shared" si="2"/>
        <v>0</v>
      </c>
    </row>
    <row r="71" spans="2:6" ht="15" thickBot="1">
      <c r="B71" s="3078" t="s">
        <v>6678</v>
      </c>
      <c r="C71" s="3082">
        <f>'表21-4'!D35</f>
        <v>0</v>
      </c>
      <c r="D71" s="3100">
        <f>'表30-5'!D66</f>
        <v>0</v>
      </c>
      <c r="E71" s="3099">
        <f t="shared" si="3"/>
        <v>0</v>
      </c>
      <c r="F71" s="3084">
        <f>E71^2</f>
        <v>0</v>
      </c>
    </row>
    <row r="72" spans="2:6" ht="15" thickBot="1">
      <c r="B72" s="3078" t="s">
        <v>6679</v>
      </c>
      <c r="C72" s="3101">
        <f>'表21-4'!D37</f>
        <v>0</v>
      </c>
      <c r="D72" s="3106"/>
      <c r="E72" s="3083">
        <f t="shared" si="3"/>
        <v>0</v>
      </c>
      <c r="F72" s="3084">
        <f>E72^2</f>
        <v>0</v>
      </c>
    </row>
    <row r="73" spans="2:6" ht="14.25">
      <c r="B73" s="3078" t="s">
        <v>6680</v>
      </c>
      <c r="C73" s="3082">
        <f>'表21-4'!D38</f>
        <v>0</v>
      </c>
      <c r="D73" s="3105">
        <f>'表30-5'!D67</f>
        <v>0</v>
      </c>
      <c r="E73" s="3099">
        <f t="shared" si="3"/>
        <v>0</v>
      </c>
      <c r="F73" s="3084">
        <f t="shared" si="2"/>
        <v>0</v>
      </c>
    </row>
    <row r="74" spans="2:6" ht="15" thickBot="1">
      <c r="B74" s="3085" t="s">
        <v>6681</v>
      </c>
      <c r="C74" s="3107">
        <f>SUM(C42:C73)</f>
        <v>0</v>
      </c>
      <c r="D74" s="3108">
        <f>SUM(D42:D73)</f>
        <v>0</v>
      </c>
      <c r="E74" s="3087"/>
      <c r="F74" s="3088">
        <f>SUM(F42:F73)</f>
        <v>0</v>
      </c>
    </row>
    <row r="75" spans="2:6" ht="15" thickTop="1" thickBot="1">
      <c r="B75" s="3109" t="s">
        <v>451</v>
      </c>
      <c r="C75" s="3110"/>
      <c r="D75" s="3111"/>
      <c r="E75" s="3112"/>
      <c r="F75" s="3113">
        <f>IF(AND(F74&gt;=1/30,F74&lt;1/25),0.75,IF(AND(F74&gt;=1/25,F74&lt;1/20),0.8,IF(AND(F74&gt;=1/20,F74&lt;1/15),0.85,IF(AND(F74&gt;=1/15,F74&lt;1/10),0.9,IF(AND(F74&gt;=1/10,F74&lt;1/5),0.95,1)))))</f>
        <v>1</v>
      </c>
    </row>
    <row r="76" spans="2:6" ht="14.25">
      <c r="B76" s="50" t="s">
        <v>6682</v>
      </c>
    </row>
    <row r="78" spans="2:6" ht="14.25">
      <c r="C78" s="3943" t="s">
        <v>6683</v>
      </c>
      <c r="D78" s="3943"/>
    </row>
    <row r="79" spans="2:6" ht="14.25">
      <c r="C79" s="3115" t="s">
        <v>232</v>
      </c>
      <c r="D79" s="3116" t="s">
        <v>6684</v>
      </c>
    </row>
    <row r="80" spans="2:6" ht="14.25">
      <c r="C80" s="3117" t="s">
        <v>6685</v>
      </c>
      <c r="D80" s="3118">
        <v>0.75</v>
      </c>
    </row>
    <row r="81" spans="3:4" ht="14.25">
      <c r="C81" s="3117" t="s">
        <v>6686</v>
      </c>
      <c r="D81" s="3118">
        <v>0.8</v>
      </c>
    </row>
    <row r="82" spans="3:4" ht="14.25">
      <c r="C82" s="3117" t="s">
        <v>6687</v>
      </c>
      <c r="D82" s="3118">
        <v>0.85</v>
      </c>
    </row>
    <row r="83" spans="3:4" ht="14.25">
      <c r="C83" s="3117" t="s">
        <v>6688</v>
      </c>
      <c r="D83" s="3118">
        <v>0.9</v>
      </c>
    </row>
    <row r="84" spans="3:4" ht="14.25">
      <c r="C84" s="3117" t="s">
        <v>6689</v>
      </c>
      <c r="D84" s="3118">
        <v>0.95</v>
      </c>
    </row>
    <row r="85" spans="3:4" ht="14.25">
      <c r="C85" s="3119" t="s">
        <v>6690</v>
      </c>
      <c r="D85" s="3120">
        <v>1</v>
      </c>
    </row>
  </sheetData>
  <mergeCells count="1">
    <mergeCell ref="C78:D78"/>
  </mergeCells>
  <phoneticPr fontId="9" type="noConversion"/>
  <pageMargins left="0.51181102362204722" right="0.35433070866141736" top="0.39370078740157483" bottom="0.27559055118110237" header="0.15748031496062992" footer="0.23622047244094491"/>
  <pageSetup paperSize="9" scale="65" orientation="portrait" r:id="rId1"/>
  <headerFooter alignWithMargins="0">
    <oddFooter>&amp;C&amp;P/&amp;N&amp;R&amp;A</oddFooter>
  </headerFooter>
  <rowBreaks count="1" manualBreakCount="1">
    <brk id="3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9">
    <pageSetUpPr fitToPage="1"/>
  </sheetPr>
  <dimension ref="A1:AB26"/>
  <sheetViews>
    <sheetView showGridLines="0" workbookViewId="0">
      <selection activeCell="B1" sqref="B1"/>
    </sheetView>
  </sheetViews>
  <sheetFormatPr defaultRowHeight="13.5"/>
  <cols>
    <col min="1" max="1" width="2.75" style="19" customWidth="1"/>
    <col min="2" max="2" width="48" style="122" customWidth="1"/>
    <col min="3" max="6" width="12.5" style="123" customWidth="1"/>
    <col min="7" max="7" width="25.75" style="123" customWidth="1"/>
    <col min="8" max="8" width="9.75" style="123" customWidth="1"/>
    <col min="9" max="16384" width="9" style="19"/>
  </cols>
  <sheetData>
    <row r="1" spans="1:8" s="119" customFormat="1" ht="16.5">
      <c r="A1" s="11" t="str">
        <f>+封面!A3&amp;" "&amp;封面!A2</f>
        <v xml:space="preserve">        保險股份有限公司(○○分公司) 年度(月、季、半年)報表</v>
      </c>
      <c r="B1" s="118"/>
      <c r="C1" s="118"/>
      <c r="D1" s="118"/>
    </row>
    <row r="2" spans="1:8" s="119" customFormat="1" ht="14.25">
      <c r="A2" s="120" t="s">
        <v>2828</v>
      </c>
      <c r="B2" s="118"/>
      <c r="C2" s="118"/>
      <c r="D2" s="121"/>
    </row>
    <row r="3" spans="1:8" ht="14.25">
      <c r="B3" s="122" t="s">
        <v>2829</v>
      </c>
    </row>
    <row r="4" spans="1:8" ht="15" thickBot="1">
      <c r="H4" s="124" t="s">
        <v>2752</v>
      </c>
    </row>
    <row r="5" spans="1:8" ht="14.25">
      <c r="B5" s="125"/>
      <c r="C5" s="126" t="s">
        <v>2830</v>
      </c>
      <c r="D5" s="127" t="s">
        <v>2831</v>
      </c>
      <c r="E5" s="127" t="s">
        <v>2832</v>
      </c>
      <c r="F5" s="128" t="s">
        <v>2833</v>
      </c>
      <c r="G5" s="128" t="s">
        <v>2834</v>
      </c>
      <c r="H5" s="129" t="s">
        <v>2835</v>
      </c>
    </row>
    <row r="6" spans="1:8" ht="14.25">
      <c r="B6" s="130"/>
      <c r="C6" s="131" t="s">
        <v>241</v>
      </c>
      <c r="D6" s="132" t="s">
        <v>242</v>
      </c>
      <c r="E6" s="132" t="s">
        <v>2836</v>
      </c>
      <c r="F6" s="133" t="s">
        <v>2837</v>
      </c>
      <c r="G6" s="133" t="s">
        <v>2838</v>
      </c>
      <c r="H6" s="134" t="s">
        <v>282</v>
      </c>
    </row>
    <row r="7" spans="1:8" ht="14.25">
      <c r="B7" s="135" t="s">
        <v>2839</v>
      </c>
      <c r="C7" s="136">
        <f>'表21-1'!J39</f>
        <v>0</v>
      </c>
      <c r="D7" s="137">
        <f>'表21-3'!I49</f>
        <v>0</v>
      </c>
      <c r="E7" s="138">
        <f>C7+D7</f>
        <v>0</v>
      </c>
      <c r="F7" s="139">
        <v>1</v>
      </c>
      <c r="G7" s="140" t="str">
        <f>IF(E8=0,"－",E7*F7/E8*F8-1)</f>
        <v>－</v>
      </c>
      <c r="H7" s="141"/>
    </row>
    <row r="8" spans="1:8" ht="14.25">
      <c r="B8" s="135" t="s">
        <v>2840</v>
      </c>
      <c r="C8" s="142"/>
      <c r="D8" s="143"/>
      <c r="E8" s="144">
        <f>C8+D8</f>
        <v>0</v>
      </c>
      <c r="F8" s="145">
        <v>1</v>
      </c>
      <c r="G8" s="146" t="str">
        <f>IF(E9=0,"－",E8*F8/E9*F9-1)</f>
        <v>－</v>
      </c>
      <c r="H8" s="147"/>
    </row>
    <row r="9" spans="1:8" ht="14.25">
      <c r="B9" s="135" t="s">
        <v>2841</v>
      </c>
      <c r="C9" s="142"/>
      <c r="D9" s="143"/>
      <c r="E9" s="144">
        <f>C9+D9</f>
        <v>0</v>
      </c>
      <c r="F9" s="145">
        <v>1</v>
      </c>
      <c r="G9" s="146" t="str">
        <f>IF(E10=0,"－",E9*F9/E10*F10-1)</f>
        <v>－</v>
      </c>
      <c r="H9" s="147"/>
    </row>
    <row r="10" spans="1:8" ht="14.25">
      <c r="B10" s="148" t="s">
        <v>2842</v>
      </c>
      <c r="C10" s="149"/>
      <c r="D10" s="150"/>
      <c r="E10" s="144">
        <f>C10+D10</f>
        <v>0</v>
      </c>
      <c r="F10" s="151">
        <v>1</v>
      </c>
      <c r="G10" s="152"/>
      <c r="H10" s="153"/>
    </row>
    <row r="11" spans="1:8" ht="14.25">
      <c r="B11" s="154" t="s">
        <v>2843</v>
      </c>
      <c r="C11" s="155"/>
      <c r="D11" s="156"/>
      <c r="E11" s="156"/>
      <c r="F11" s="157"/>
      <c r="G11" s="140">
        <f>IF(G7="－",0,AVERAGE(G7:G9))</f>
        <v>0</v>
      </c>
      <c r="H11" s="141"/>
    </row>
    <row r="12" spans="1:8" ht="15" thickBot="1">
      <c r="B12" s="158" t="s">
        <v>2844</v>
      </c>
      <c r="C12" s="159"/>
      <c r="D12" s="160"/>
      <c r="E12" s="160"/>
      <c r="F12" s="161"/>
      <c r="G12" s="162">
        <f>MIN(MAX(G11-0.1,0),0.3)</f>
        <v>0</v>
      </c>
      <c r="H12" s="163"/>
    </row>
    <row r="13" spans="1:8" ht="15.75" thickTop="1" thickBot="1">
      <c r="B13" s="164" t="s">
        <v>2845</v>
      </c>
      <c r="C13" s="165"/>
      <c r="D13" s="166"/>
      <c r="E13" s="166"/>
      <c r="F13" s="167"/>
      <c r="G13" s="167"/>
      <c r="H13" s="168">
        <f>G12*0.45</f>
        <v>0</v>
      </c>
    </row>
    <row r="16" spans="1:8" ht="14.25">
      <c r="B16" s="122" t="s">
        <v>2846</v>
      </c>
    </row>
    <row r="17" spans="2:28" ht="14.25" thickBot="1"/>
    <row r="18" spans="2:28" ht="14.25">
      <c r="B18" s="169"/>
      <c r="C18" s="170" t="s">
        <v>2834</v>
      </c>
      <c r="D18" s="171" t="s">
        <v>2835</v>
      </c>
    </row>
    <row r="19" spans="2:28" ht="14.25">
      <c r="B19" s="172" t="s">
        <v>2847</v>
      </c>
      <c r="C19" s="173">
        <f>G12</f>
        <v>0</v>
      </c>
      <c r="D19" s="174"/>
    </row>
    <row r="20" spans="2:28" ht="15" thickBot="1">
      <c r="B20" s="175" t="s">
        <v>2848</v>
      </c>
      <c r="C20" s="176"/>
      <c r="D20" s="177">
        <f>C19*0.225</f>
        <v>0</v>
      </c>
    </row>
    <row r="23" spans="2:28" ht="14.25">
      <c r="B23" s="122" t="s">
        <v>2849</v>
      </c>
    </row>
    <row r="24" spans="2:28">
      <c r="B24" s="50"/>
    </row>
    <row r="26" spans="2:28" ht="15.75">
      <c r="AB26" s="178"/>
    </row>
  </sheetData>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pageSetUpPr fitToPage="1"/>
  </sheetPr>
  <dimension ref="A1:AB115"/>
  <sheetViews>
    <sheetView showGridLines="0" zoomScaleNormal="100" workbookViewId="0">
      <selection activeCell="A2" sqref="A2"/>
    </sheetView>
  </sheetViews>
  <sheetFormatPr defaultRowHeight="13.5"/>
  <cols>
    <col min="1" max="1" width="3.75" style="90" customWidth="1"/>
    <col min="2" max="2" width="25.625" style="90" customWidth="1"/>
    <col min="3" max="3" width="15.25" style="90" customWidth="1"/>
    <col min="4" max="4" width="25.875" style="90" customWidth="1"/>
    <col min="5" max="5" width="17.625" style="90" customWidth="1"/>
    <col min="6" max="6" width="15.375" style="114" customWidth="1"/>
    <col min="7" max="16384" width="9" style="88"/>
  </cols>
  <sheetData>
    <row r="1" spans="1:6" ht="16.5">
      <c r="A1" s="11" t="str">
        <f>+封面!A3&amp;" "&amp;封面!A2</f>
        <v xml:space="preserve">        保險股份有限公司(○○分公司) 年度(月、季、半年)報表</v>
      </c>
      <c r="B1" s="87"/>
      <c r="C1" s="87"/>
      <c r="D1" s="87"/>
      <c r="E1" s="87"/>
      <c r="F1" s="87"/>
    </row>
    <row r="2" spans="1:6" ht="15" thickBot="1">
      <c r="A2" s="1166" t="s">
        <v>2805</v>
      </c>
      <c r="F2" s="32" t="s">
        <v>2752</v>
      </c>
    </row>
    <row r="3" spans="1:6" ht="14.25">
      <c r="A3" s="91" t="s">
        <v>2806</v>
      </c>
      <c r="B3" s="92" t="s">
        <v>2807</v>
      </c>
      <c r="C3" s="92" t="s">
        <v>2808</v>
      </c>
      <c r="D3" s="92" t="s">
        <v>2809</v>
      </c>
      <c r="E3" s="92" t="s">
        <v>2810</v>
      </c>
      <c r="F3" s="93" t="s">
        <v>2811</v>
      </c>
    </row>
    <row r="4" spans="1:6" ht="14.25">
      <c r="A4" s="18" t="s">
        <v>1863</v>
      </c>
      <c r="B4" s="94" t="s">
        <v>28</v>
      </c>
      <c r="C4" s="94" t="s">
        <v>402</v>
      </c>
      <c r="D4" s="94" t="s">
        <v>403</v>
      </c>
      <c r="E4" s="94" t="s">
        <v>404</v>
      </c>
      <c r="F4" s="95" t="s">
        <v>405</v>
      </c>
    </row>
    <row r="5" spans="1:6" ht="13.5" customHeight="1">
      <c r="A5" s="18">
        <v>1</v>
      </c>
      <c r="B5" s="3944" t="s">
        <v>2812</v>
      </c>
      <c r="C5" s="96" t="s">
        <v>406</v>
      </c>
      <c r="D5" s="97"/>
      <c r="E5" s="97"/>
      <c r="F5" s="98"/>
    </row>
    <row r="6" spans="1:6" ht="13.5" customHeight="1">
      <c r="A6" s="18">
        <v>2</v>
      </c>
      <c r="B6" s="3945"/>
      <c r="C6" s="99"/>
      <c r="D6" s="100"/>
      <c r="E6" s="100"/>
      <c r="F6" s="101"/>
    </row>
    <row r="7" spans="1:6" ht="13.5" customHeight="1">
      <c r="A7" s="18">
        <v>3</v>
      </c>
      <c r="B7" s="3945"/>
      <c r="C7" s="102"/>
      <c r="D7" s="103"/>
      <c r="E7" s="103"/>
      <c r="F7" s="104"/>
    </row>
    <row r="8" spans="1:6" ht="14.25" customHeight="1">
      <c r="A8" s="18">
        <v>4</v>
      </c>
      <c r="B8" s="3945"/>
      <c r="C8" s="105" t="s">
        <v>2813</v>
      </c>
      <c r="D8" s="105"/>
      <c r="E8" s="105"/>
      <c r="F8" s="106">
        <f>SUM(F5:F7)</f>
        <v>0</v>
      </c>
    </row>
    <row r="9" spans="1:6" ht="13.5" customHeight="1">
      <c r="A9" s="18">
        <v>5</v>
      </c>
      <c r="B9" s="3945"/>
      <c r="C9" s="96" t="s">
        <v>407</v>
      </c>
      <c r="D9" s="97"/>
      <c r="E9" s="97"/>
      <c r="F9" s="98"/>
    </row>
    <row r="10" spans="1:6" ht="13.5" customHeight="1">
      <c r="A10" s="18">
        <v>6</v>
      </c>
      <c r="B10" s="3945"/>
      <c r="C10" s="99"/>
      <c r="D10" s="100"/>
      <c r="E10" s="100"/>
      <c r="F10" s="101"/>
    </row>
    <row r="11" spans="1:6" ht="13.5" customHeight="1">
      <c r="A11" s="18">
        <v>7</v>
      </c>
      <c r="B11" s="3945"/>
      <c r="C11" s="102"/>
      <c r="D11" s="103"/>
      <c r="E11" s="103"/>
      <c r="F11" s="104"/>
    </row>
    <row r="12" spans="1:6" ht="14.25" customHeight="1">
      <c r="A12" s="18">
        <v>8</v>
      </c>
      <c r="B12" s="3945"/>
      <c r="C12" s="105" t="s">
        <v>2813</v>
      </c>
      <c r="D12" s="105"/>
      <c r="E12" s="105"/>
      <c r="F12" s="106">
        <f>SUM(F9:F11)</f>
        <v>0</v>
      </c>
    </row>
    <row r="13" spans="1:6" ht="13.5" customHeight="1">
      <c r="A13" s="18">
        <v>9</v>
      </c>
      <c r="B13" s="3945"/>
      <c r="C13" s="96" t="s">
        <v>408</v>
      </c>
      <c r="D13" s="97"/>
      <c r="E13" s="97"/>
      <c r="F13" s="98"/>
    </row>
    <row r="14" spans="1:6" ht="13.5" customHeight="1">
      <c r="A14" s="18">
        <v>10</v>
      </c>
      <c r="B14" s="3945"/>
      <c r="C14" s="99"/>
      <c r="D14" s="100"/>
      <c r="E14" s="100"/>
      <c r="F14" s="101"/>
    </row>
    <row r="15" spans="1:6" ht="13.5" customHeight="1">
      <c r="A15" s="18">
        <v>11</v>
      </c>
      <c r="B15" s="3945"/>
      <c r="C15" s="102"/>
      <c r="D15" s="103"/>
      <c r="E15" s="103"/>
      <c r="F15" s="104"/>
    </row>
    <row r="16" spans="1:6" ht="14.25" customHeight="1">
      <c r="A16" s="18">
        <v>12</v>
      </c>
      <c r="B16" s="3945"/>
      <c r="C16" s="105" t="s">
        <v>2813</v>
      </c>
      <c r="D16" s="105"/>
      <c r="E16" s="105"/>
      <c r="F16" s="106">
        <f>SUM(F13:F15)</f>
        <v>0</v>
      </c>
    </row>
    <row r="17" spans="1:28" ht="14.25" customHeight="1">
      <c r="A17" s="18">
        <v>13</v>
      </c>
      <c r="B17" s="3946"/>
      <c r="C17" s="105" t="s">
        <v>2814</v>
      </c>
      <c r="D17" s="105"/>
      <c r="E17" s="105"/>
      <c r="F17" s="106">
        <f>F16+F12+F8</f>
        <v>0</v>
      </c>
    </row>
    <row r="18" spans="1:28" ht="13.5" customHeight="1">
      <c r="A18" s="18">
        <v>14</v>
      </c>
      <c r="B18" s="3944" t="s">
        <v>2815</v>
      </c>
      <c r="C18" s="96" t="s">
        <v>406</v>
      </c>
      <c r="D18" s="97"/>
      <c r="E18" s="97"/>
      <c r="F18" s="98"/>
    </row>
    <row r="19" spans="1:28" ht="13.5" customHeight="1">
      <c r="A19" s="18">
        <v>15</v>
      </c>
      <c r="B19" s="3945"/>
      <c r="C19" s="99"/>
      <c r="D19" s="100"/>
      <c r="E19" s="100"/>
      <c r="F19" s="101"/>
    </row>
    <row r="20" spans="1:28" ht="13.5" customHeight="1">
      <c r="A20" s="18">
        <v>16</v>
      </c>
      <c r="B20" s="3945"/>
      <c r="C20" s="102"/>
      <c r="D20" s="103"/>
      <c r="E20" s="103"/>
      <c r="F20" s="104"/>
    </row>
    <row r="21" spans="1:28" ht="14.25" customHeight="1">
      <c r="A21" s="18">
        <v>17</v>
      </c>
      <c r="B21" s="3945"/>
      <c r="C21" s="105" t="s">
        <v>2813</v>
      </c>
      <c r="D21" s="105"/>
      <c r="E21" s="105"/>
      <c r="F21" s="106">
        <f>SUM(F18:F20)</f>
        <v>0</v>
      </c>
    </row>
    <row r="22" spans="1:28" ht="13.5" customHeight="1">
      <c r="A22" s="18">
        <v>18</v>
      </c>
      <c r="B22" s="3945"/>
      <c r="C22" s="96" t="s">
        <v>407</v>
      </c>
      <c r="D22" s="97"/>
      <c r="E22" s="97"/>
      <c r="F22" s="98"/>
    </row>
    <row r="23" spans="1:28" ht="13.5" customHeight="1">
      <c r="A23" s="18">
        <v>19</v>
      </c>
      <c r="B23" s="3945"/>
      <c r="C23" s="99"/>
      <c r="D23" s="100"/>
      <c r="E23" s="100"/>
      <c r="F23" s="101"/>
    </row>
    <row r="24" spans="1:28" ht="13.5" customHeight="1">
      <c r="A24" s="18">
        <v>20</v>
      </c>
      <c r="B24" s="3945"/>
      <c r="C24" s="102"/>
      <c r="D24" s="103"/>
      <c r="E24" s="103"/>
      <c r="F24" s="104"/>
    </row>
    <row r="25" spans="1:28" ht="14.25" customHeight="1">
      <c r="A25" s="18">
        <v>21</v>
      </c>
      <c r="B25" s="3945"/>
      <c r="C25" s="105" t="s">
        <v>2813</v>
      </c>
      <c r="D25" s="105"/>
      <c r="E25" s="105"/>
      <c r="F25" s="106">
        <f>SUM(F22:F24)</f>
        <v>0</v>
      </c>
    </row>
    <row r="26" spans="1:28" ht="15.75" customHeight="1">
      <c r="A26" s="18">
        <v>22</v>
      </c>
      <c r="B26" s="3945"/>
      <c r="C26" s="96" t="s">
        <v>408</v>
      </c>
      <c r="D26" s="97"/>
      <c r="E26" s="97"/>
      <c r="F26" s="98"/>
      <c r="AB26" s="107"/>
    </row>
    <row r="27" spans="1:28" ht="13.5" customHeight="1">
      <c r="A27" s="18">
        <v>23</v>
      </c>
      <c r="B27" s="3945"/>
      <c r="C27" s="99"/>
      <c r="D27" s="100"/>
      <c r="E27" s="100"/>
      <c r="F27" s="101"/>
    </row>
    <row r="28" spans="1:28" ht="13.5" customHeight="1">
      <c r="A28" s="18">
        <v>24</v>
      </c>
      <c r="B28" s="3945"/>
      <c r="C28" s="102"/>
      <c r="D28" s="103"/>
      <c r="E28" s="103"/>
      <c r="F28" s="104"/>
    </row>
    <row r="29" spans="1:28" ht="14.25" customHeight="1">
      <c r="A29" s="18">
        <v>25</v>
      </c>
      <c r="B29" s="3945"/>
      <c r="C29" s="105" t="s">
        <v>2813</v>
      </c>
      <c r="D29" s="105"/>
      <c r="E29" s="105"/>
      <c r="F29" s="106">
        <f>SUM(F26:F28)</f>
        <v>0</v>
      </c>
    </row>
    <row r="30" spans="1:28" ht="14.25" customHeight="1">
      <c r="A30" s="18">
        <v>26</v>
      </c>
      <c r="B30" s="3946"/>
      <c r="C30" s="105" t="s">
        <v>2814</v>
      </c>
      <c r="D30" s="105"/>
      <c r="E30" s="105"/>
      <c r="F30" s="106">
        <f>F29+F25+F21</f>
        <v>0</v>
      </c>
    </row>
    <row r="31" spans="1:28" ht="13.5" customHeight="1">
      <c r="A31" s="18">
        <v>27</v>
      </c>
      <c r="B31" s="3944" t="s">
        <v>2816</v>
      </c>
      <c r="C31" s="96" t="s">
        <v>406</v>
      </c>
      <c r="D31" s="97"/>
      <c r="E31" s="97"/>
      <c r="F31" s="98"/>
    </row>
    <row r="32" spans="1:28" ht="13.5" customHeight="1">
      <c r="A32" s="18">
        <v>28</v>
      </c>
      <c r="B32" s="3945"/>
      <c r="C32" s="99"/>
      <c r="D32" s="100"/>
      <c r="E32" s="100"/>
      <c r="F32" s="101"/>
    </row>
    <row r="33" spans="1:6" ht="13.5" customHeight="1">
      <c r="A33" s="18">
        <v>29</v>
      </c>
      <c r="B33" s="3945"/>
      <c r="C33" s="102"/>
      <c r="D33" s="103"/>
      <c r="E33" s="103"/>
      <c r="F33" s="104"/>
    </row>
    <row r="34" spans="1:6" ht="14.25" customHeight="1">
      <c r="A34" s="18">
        <v>30</v>
      </c>
      <c r="B34" s="3945"/>
      <c r="C34" s="105" t="s">
        <v>2813</v>
      </c>
      <c r="D34" s="105"/>
      <c r="E34" s="105"/>
      <c r="F34" s="106">
        <f>SUM(F31:F33)</f>
        <v>0</v>
      </c>
    </row>
    <row r="35" spans="1:6" ht="13.5" customHeight="1">
      <c r="A35" s="18">
        <v>31</v>
      </c>
      <c r="B35" s="3945"/>
      <c r="C35" s="96" t="s">
        <v>407</v>
      </c>
      <c r="D35" s="97"/>
      <c r="E35" s="97"/>
      <c r="F35" s="98"/>
    </row>
    <row r="36" spans="1:6" ht="13.5" customHeight="1">
      <c r="A36" s="18">
        <v>32</v>
      </c>
      <c r="B36" s="3945"/>
      <c r="C36" s="99"/>
      <c r="D36" s="100"/>
      <c r="E36" s="100"/>
      <c r="F36" s="101"/>
    </row>
    <row r="37" spans="1:6" ht="13.5" customHeight="1">
      <c r="A37" s="18">
        <v>33</v>
      </c>
      <c r="B37" s="3945"/>
      <c r="C37" s="102"/>
      <c r="D37" s="103"/>
      <c r="E37" s="103"/>
      <c r="F37" s="104"/>
    </row>
    <row r="38" spans="1:6" ht="14.25" customHeight="1">
      <c r="A38" s="18">
        <v>34</v>
      </c>
      <c r="B38" s="3945"/>
      <c r="C38" s="105" t="s">
        <v>2813</v>
      </c>
      <c r="D38" s="105"/>
      <c r="E38" s="105"/>
      <c r="F38" s="106">
        <f>SUM(F35:F37)</f>
        <v>0</v>
      </c>
    </row>
    <row r="39" spans="1:6" ht="13.5" customHeight="1">
      <c r="A39" s="18">
        <v>35</v>
      </c>
      <c r="B39" s="3945"/>
      <c r="C39" s="96" t="s">
        <v>408</v>
      </c>
      <c r="D39" s="97"/>
      <c r="E39" s="97"/>
      <c r="F39" s="98"/>
    </row>
    <row r="40" spans="1:6" ht="13.5" customHeight="1">
      <c r="A40" s="18">
        <v>36</v>
      </c>
      <c r="B40" s="3945"/>
      <c r="C40" s="99"/>
      <c r="D40" s="100"/>
      <c r="E40" s="100"/>
      <c r="F40" s="101"/>
    </row>
    <row r="41" spans="1:6" ht="13.5" customHeight="1">
      <c r="A41" s="18">
        <v>37</v>
      </c>
      <c r="B41" s="3945"/>
      <c r="C41" s="102"/>
      <c r="D41" s="100"/>
      <c r="E41" s="100"/>
      <c r="F41" s="101"/>
    </row>
    <row r="42" spans="1:6" ht="14.25" customHeight="1">
      <c r="A42" s="18">
        <v>38</v>
      </c>
      <c r="B42" s="3945"/>
      <c r="C42" s="105" t="s">
        <v>2813</v>
      </c>
      <c r="D42" s="105"/>
      <c r="E42" s="105"/>
      <c r="F42" s="106">
        <f>SUM(F39:F41)</f>
        <v>0</v>
      </c>
    </row>
    <row r="43" spans="1:6" ht="14.25" customHeight="1">
      <c r="A43" s="18">
        <v>39</v>
      </c>
      <c r="B43" s="3946"/>
      <c r="C43" s="105" t="s">
        <v>2814</v>
      </c>
      <c r="D43" s="105"/>
      <c r="E43" s="105"/>
      <c r="F43" s="106">
        <f>F42+F38+F34</f>
        <v>0</v>
      </c>
    </row>
    <row r="44" spans="1:6" ht="13.5" customHeight="1">
      <c r="A44" s="18">
        <v>40</v>
      </c>
      <c r="B44" s="3944" t="s">
        <v>2817</v>
      </c>
      <c r="C44" s="96" t="s">
        <v>406</v>
      </c>
      <c r="D44" s="97"/>
      <c r="E44" s="97"/>
      <c r="F44" s="98"/>
    </row>
    <row r="45" spans="1:6" ht="13.5" customHeight="1">
      <c r="A45" s="18">
        <v>41</v>
      </c>
      <c r="B45" s="3945"/>
      <c r="C45" s="99"/>
      <c r="D45" s="100"/>
      <c r="E45" s="100"/>
      <c r="F45" s="101"/>
    </row>
    <row r="46" spans="1:6" ht="13.5" customHeight="1">
      <c r="A46" s="18">
        <v>42</v>
      </c>
      <c r="B46" s="3945"/>
      <c r="C46" s="102"/>
      <c r="D46" s="103"/>
      <c r="E46" s="103"/>
      <c r="F46" s="104"/>
    </row>
    <row r="47" spans="1:6" ht="14.25" customHeight="1">
      <c r="A47" s="18">
        <v>43</v>
      </c>
      <c r="B47" s="3945"/>
      <c r="C47" s="105" t="s">
        <v>2813</v>
      </c>
      <c r="D47" s="105"/>
      <c r="E47" s="105"/>
      <c r="F47" s="106">
        <f>SUM(F44:F46)</f>
        <v>0</v>
      </c>
    </row>
    <row r="48" spans="1:6" ht="13.5" customHeight="1">
      <c r="A48" s="18">
        <v>44</v>
      </c>
      <c r="B48" s="3945"/>
      <c r="C48" s="96" t="s">
        <v>407</v>
      </c>
      <c r="D48" s="97"/>
      <c r="E48" s="97"/>
      <c r="F48" s="98"/>
    </row>
    <row r="49" spans="1:6" ht="13.5" customHeight="1">
      <c r="A49" s="18">
        <v>45</v>
      </c>
      <c r="B49" s="3945"/>
      <c r="C49" s="99"/>
      <c r="D49" s="100"/>
      <c r="E49" s="100"/>
      <c r="F49" s="101"/>
    </row>
    <row r="50" spans="1:6" ht="13.5" customHeight="1">
      <c r="A50" s="18">
        <v>46</v>
      </c>
      <c r="B50" s="3945"/>
      <c r="C50" s="102"/>
      <c r="D50" s="103"/>
      <c r="E50" s="103"/>
      <c r="F50" s="104"/>
    </row>
    <row r="51" spans="1:6" ht="14.25" customHeight="1">
      <c r="A51" s="18">
        <v>47</v>
      </c>
      <c r="B51" s="3945"/>
      <c r="C51" s="105" t="s">
        <v>2813</v>
      </c>
      <c r="D51" s="105"/>
      <c r="E51" s="105"/>
      <c r="F51" s="106">
        <f>SUM(F48:F50)</f>
        <v>0</v>
      </c>
    </row>
    <row r="52" spans="1:6" ht="13.5" customHeight="1">
      <c r="A52" s="18">
        <v>48</v>
      </c>
      <c r="B52" s="3945"/>
      <c r="C52" s="96" t="s">
        <v>408</v>
      </c>
      <c r="D52" s="97"/>
      <c r="E52" s="97"/>
      <c r="F52" s="98"/>
    </row>
    <row r="53" spans="1:6" ht="13.5" customHeight="1">
      <c r="A53" s="18">
        <v>49</v>
      </c>
      <c r="B53" s="3945"/>
      <c r="C53" s="99"/>
      <c r="D53" s="100"/>
      <c r="E53" s="100"/>
      <c r="F53" s="101"/>
    </row>
    <row r="54" spans="1:6" ht="13.5" customHeight="1">
      <c r="A54" s="18">
        <v>50</v>
      </c>
      <c r="B54" s="3945"/>
      <c r="C54" s="102"/>
      <c r="D54" s="103"/>
      <c r="E54" s="103"/>
      <c r="F54" s="101"/>
    </row>
    <row r="55" spans="1:6" ht="14.25" customHeight="1">
      <c r="A55" s="18">
        <v>51</v>
      </c>
      <c r="B55" s="3945"/>
      <c r="C55" s="105" t="s">
        <v>2813</v>
      </c>
      <c r="D55" s="105"/>
      <c r="E55" s="105"/>
      <c r="F55" s="106">
        <f>SUM(F52:F54)</f>
        <v>0</v>
      </c>
    </row>
    <row r="56" spans="1:6" ht="14.25" customHeight="1">
      <c r="A56" s="18">
        <v>52</v>
      </c>
      <c r="B56" s="3946"/>
      <c r="C56" s="105" t="s">
        <v>2814</v>
      </c>
      <c r="D56" s="105"/>
      <c r="E56" s="105"/>
      <c r="F56" s="106">
        <f>F55+F51+F47</f>
        <v>0</v>
      </c>
    </row>
    <row r="57" spans="1:6" ht="13.5" customHeight="1">
      <c r="A57" s="18">
        <v>53</v>
      </c>
      <c r="B57" s="3944" t="s">
        <v>2818</v>
      </c>
      <c r="C57" s="96" t="s">
        <v>406</v>
      </c>
      <c r="D57" s="97"/>
      <c r="E57" s="97"/>
      <c r="F57" s="98"/>
    </row>
    <row r="58" spans="1:6" ht="13.5" customHeight="1">
      <c r="A58" s="18">
        <v>54</v>
      </c>
      <c r="B58" s="3945"/>
      <c r="C58" s="99"/>
      <c r="D58" s="100"/>
      <c r="E58" s="100"/>
      <c r="F58" s="101"/>
    </row>
    <row r="59" spans="1:6" ht="13.5" customHeight="1">
      <c r="A59" s="18">
        <v>55</v>
      </c>
      <c r="B59" s="3945"/>
      <c r="C59" s="102"/>
      <c r="D59" s="103"/>
      <c r="E59" s="103"/>
      <c r="F59" s="104"/>
    </row>
    <row r="60" spans="1:6" ht="14.25" customHeight="1">
      <c r="A60" s="18">
        <v>56</v>
      </c>
      <c r="B60" s="3945"/>
      <c r="C60" s="105" t="s">
        <v>2813</v>
      </c>
      <c r="D60" s="105"/>
      <c r="E60" s="105"/>
      <c r="F60" s="106">
        <f>SUM(F57:F59)</f>
        <v>0</v>
      </c>
    </row>
    <row r="61" spans="1:6" ht="13.5" customHeight="1">
      <c r="A61" s="18">
        <v>57</v>
      </c>
      <c r="B61" s="3945"/>
      <c r="C61" s="96" t="s">
        <v>407</v>
      </c>
      <c r="D61" s="97"/>
      <c r="E61" s="97"/>
      <c r="F61" s="98"/>
    </row>
    <row r="62" spans="1:6" ht="13.5" customHeight="1">
      <c r="A62" s="18">
        <v>58</v>
      </c>
      <c r="B62" s="3945"/>
      <c r="C62" s="99"/>
      <c r="D62" s="100"/>
      <c r="E62" s="100"/>
      <c r="F62" s="101"/>
    </row>
    <row r="63" spans="1:6" ht="13.5" customHeight="1">
      <c r="A63" s="18">
        <v>59</v>
      </c>
      <c r="B63" s="3945"/>
      <c r="C63" s="102"/>
      <c r="D63" s="103"/>
      <c r="E63" s="103"/>
      <c r="F63" s="104"/>
    </row>
    <row r="64" spans="1:6" ht="14.25" customHeight="1">
      <c r="A64" s="18">
        <v>60</v>
      </c>
      <c r="B64" s="3945"/>
      <c r="C64" s="105" t="s">
        <v>2813</v>
      </c>
      <c r="D64" s="105"/>
      <c r="E64" s="105"/>
      <c r="F64" s="106">
        <f>SUM(F61:F63)</f>
        <v>0</v>
      </c>
    </row>
    <row r="65" spans="1:6" ht="13.5" customHeight="1">
      <c r="A65" s="18">
        <v>61</v>
      </c>
      <c r="B65" s="3945"/>
      <c r="C65" s="96" t="s">
        <v>408</v>
      </c>
      <c r="D65" s="97"/>
      <c r="E65" s="97"/>
      <c r="F65" s="98"/>
    </row>
    <row r="66" spans="1:6" ht="13.5" customHeight="1">
      <c r="A66" s="18">
        <v>62</v>
      </c>
      <c r="B66" s="3945"/>
      <c r="C66" s="99"/>
      <c r="D66" s="100"/>
      <c r="E66" s="100"/>
      <c r="F66" s="101"/>
    </row>
    <row r="67" spans="1:6" ht="13.5" customHeight="1">
      <c r="A67" s="18">
        <v>63</v>
      </c>
      <c r="B67" s="3945"/>
      <c r="C67" s="102"/>
      <c r="D67" s="103"/>
      <c r="E67" s="103"/>
      <c r="F67" s="101"/>
    </row>
    <row r="68" spans="1:6" ht="14.25" customHeight="1">
      <c r="A68" s="18">
        <v>64</v>
      </c>
      <c r="B68" s="3945"/>
      <c r="C68" s="105" t="s">
        <v>2813</v>
      </c>
      <c r="D68" s="105"/>
      <c r="E68" s="105"/>
      <c r="F68" s="106">
        <f>SUM(F65:F67)</f>
        <v>0</v>
      </c>
    </row>
    <row r="69" spans="1:6" ht="14.25" customHeight="1">
      <c r="A69" s="18">
        <v>65</v>
      </c>
      <c r="B69" s="3946"/>
      <c r="C69" s="105" t="s">
        <v>2814</v>
      </c>
      <c r="D69" s="105"/>
      <c r="E69" s="105"/>
      <c r="F69" s="106">
        <f>F68+F64+F60</f>
        <v>0</v>
      </c>
    </row>
    <row r="70" spans="1:6" ht="13.5" customHeight="1">
      <c r="A70" s="18">
        <v>66</v>
      </c>
      <c r="B70" s="3944" t="s">
        <v>2819</v>
      </c>
      <c r="C70" s="96" t="s">
        <v>406</v>
      </c>
      <c r="D70" s="97"/>
      <c r="E70" s="97"/>
      <c r="F70" s="98"/>
    </row>
    <row r="71" spans="1:6" ht="13.5" customHeight="1">
      <c r="A71" s="18">
        <v>67</v>
      </c>
      <c r="B71" s="3945"/>
      <c r="C71" s="99"/>
      <c r="D71" s="100"/>
      <c r="E71" s="100"/>
      <c r="F71" s="101"/>
    </row>
    <row r="72" spans="1:6" ht="13.5" customHeight="1">
      <c r="A72" s="18">
        <v>68</v>
      </c>
      <c r="B72" s="3945"/>
      <c r="C72" s="102"/>
      <c r="D72" s="103"/>
      <c r="E72" s="103"/>
      <c r="F72" s="104"/>
    </row>
    <row r="73" spans="1:6" ht="14.25" customHeight="1">
      <c r="A73" s="18">
        <v>69</v>
      </c>
      <c r="B73" s="3945"/>
      <c r="C73" s="105" t="s">
        <v>2813</v>
      </c>
      <c r="D73" s="105"/>
      <c r="E73" s="105"/>
      <c r="F73" s="106">
        <f>SUM(F70:F72)</f>
        <v>0</v>
      </c>
    </row>
    <row r="74" spans="1:6" ht="13.5" customHeight="1">
      <c r="A74" s="18">
        <v>70</v>
      </c>
      <c r="B74" s="3945"/>
      <c r="C74" s="96" t="s">
        <v>407</v>
      </c>
      <c r="D74" s="97"/>
      <c r="E74" s="97"/>
      <c r="F74" s="98"/>
    </row>
    <row r="75" spans="1:6" ht="13.5" customHeight="1">
      <c r="A75" s="18">
        <v>71</v>
      </c>
      <c r="B75" s="3945"/>
      <c r="C75" s="99"/>
      <c r="D75" s="100"/>
      <c r="E75" s="100"/>
      <c r="F75" s="101"/>
    </row>
    <row r="76" spans="1:6" ht="13.5" customHeight="1">
      <c r="A76" s="18">
        <v>72</v>
      </c>
      <c r="B76" s="3945"/>
      <c r="C76" s="102"/>
      <c r="D76" s="103"/>
      <c r="E76" s="103"/>
      <c r="F76" s="104"/>
    </row>
    <row r="77" spans="1:6" ht="14.25" customHeight="1">
      <c r="A77" s="18">
        <v>73</v>
      </c>
      <c r="B77" s="3945"/>
      <c r="C77" s="105" t="s">
        <v>2813</v>
      </c>
      <c r="D77" s="105"/>
      <c r="E77" s="105"/>
      <c r="F77" s="106">
        <f>SUM(F74:F76)</f>
        <v>0</v>
      </c>
    </row>
    <row r="78" spans="1:6" ht="13.5" customHeight="1">
      <c r="A78" s="18">
        <v>74</v>
      </c>
      <c r="B78" s="3945"/>
      <c r="C78" s="96" t="s">
        <v>408</v>
      </c>
      <c r="D78" s="97"/>
      <c r="E78" s="97"/>
      <c r="F78" s="98"/>
    </row>
    <row r="79" spans="1:6" ht="13.5" customHeight="1">
      <c r="A79" s="18">
        <v>75</v>
      </c>
      <c r="B79" s="3945"/>
      <c r="C79" s="99"/>
      <c r="D79" s="100"/>
      <c r="E79" s="100"/>
      <c r="F79" s="101"/>
    </row>
    <row r="80" spans="1:6" ht="13.5" customHeight="1">
      <c r="A80" s="18">
        <v>76</v>
      </c>
      <c r="B80" s="3945"/>
      <c r="C80" s="102"/>
      <c r="D80" s="103"/>
      <c r="E80" s="103"/>
      <c r="F80" s="104"/>
    </row>
    <row r="81" spans="1:6" ht="14.25" customHeight="1">
      <c r="A81" s="18">
        <v>77</v>
      </c>
      <c r="B81" s="3945"/>
      <c r="C81" s="105" t="s">
        <v>2813</v>
      </c>
      <c r="D81" s="105"/>
      <c r="E81" s="105"/>
      <c r="F81" s="106">
        <f>SUM(F78:F80)</f>
        <v>0</v>
      </c>
    </row>
    <row r="82" spans="1:6" ht="14.25" customHeight="1">
      <c r="A82" s="18">
        <v>78</v>
      </c>
      <c r="B82" s="3946"/>
      <c r="C82" s="105" t="s">
        <v>2814</v>
      </c>
      <c r="D82" s="105"/>
      <c r="E82" s="105"/>
      <c r="F82" s="106">
        <f>F81+F77+F73</f>
        <v>0</v>
      </c>
    </row>
    <row r="83" spans="1:6" ht="14.25">
      <c r="A83" s="18">
        <v>79</v>
      </c>
      <c r="B83" s="108" t="s">
        <v>2820</v>
      </c>
      <c r="C83" s="109"/>
      <c r="D83" s="105"/>
      <c r="E83" s="105"/>
      <c r="F83" s="106">
        <f>F17+F30+F43+F56+F69+F82</f>
        <v>0</v>
      </c>
    </row>
    <row r="84" spans="1:6" ht="13.5" customHeight="1">
      <c r="A84" s="18">
        <v>80</v>
      </c>
      <c r="B84" s="3948" t="s">
        <v>2821</v>
      </c>
      <c r="C84" s="96" t="s">
        <v>406</v>
      </c>
      <c r="D84" s="97"/>
      <c r="E84" s="97"/>
      <c r="F84" s="98"/>
    </row>
    <row r="85" spans="1:6" ht="13.5" customHeight="1">
      <c r="A85" s="18">
        <v>81</v>
      </c>
      <c r="B85" s="3949"/>
      <c r="C85" s="99"/>
      <c r="D85" s="100"/>
      <c r="E85" s="100"/>
      <c r="F85" s="101"/>
    </row>
    <row r="86" spans="1:6" ht="13.5" customHeight="1">
      <c r="A86" s="18">
        <v>82</v>
      </c>
      <c r="B86" s="3949"/>
      <c r="C86" s="102"/>
      <c r="D86" s="103"/>
      <c r="E86" s="103"/>
      <c r="F86" s="104"/>
    </row>
    <row r="87" spans="1:6" ht="14.25" customHeight="1">
      <c r="A87" s="18">
        <v>83</v>
      </c>
      <c r="B87" s="3949"/>
      <c r="C87" s="105" t="s">
        <v>2813</v>
      </c>
      <c r="D87" s="105"/>
      <c r="E87" s="105"/>
      <c r="F87" s="106">
        <f>SUM(F84:F86)</f>
        <v>0</v>
      </c>
    </row>
    <row r="88" spans="1:6" ht="13.5" customHeight="1">
      <c r="A88" s="18">
        <v>84</v>
      </c>
      <c r="B88" s="3949"/>
      <c r="C88" s="96" t="s">
        <v>407</v>
      </c>
      <c r="D88" s="97"/>
      <c r="E88" s="97"/>
      <c r="F88" s="98"/>
    </row>
    <row r="89" spans="1:6" ht="13.5" customHeight="1">
      <c r="A89" s="18">
        <v>85</v>
      </c>
      <c r="B89" s="3949"/>
      <c r="C89" s="99"/>
      <c r="D89" s="100"/>
      <c r="E89" s="100"/>
      <c r="F89" s="101"/>
    </row>
    <row r="90" spans="1:6" ht="13.5" customHeight="1">
      <c r="A90" s="18">
        <v>86</v>
      </c>
      <c r="B90" s="3949"/>
      <c r="C90" s="102"/>
      <c r="D90" s="103"/>
      <c r="E90" s="103"/>
      <c r="F90" s="104"/>
    </row>
    <row r="91" spans="1:6" ht="14.25" customHeight="1">
      <c r="A91" s="18">
        <v>87</v>
      </c>
      <c r="B91" s="3949"/>
      <c r="C91" s="105" t="s">
        <v>2813</v>
      </c>
      <c r="D91" s="105"/>
      <c r="E91" s="105"/>
      <c r="F91" s="106">
        <f>SUM(F88:F90)</f>
        <v>0</v>
      </c>
    </row>
    <row r="92" spans="1:6" ht="13.5" customHeight="1">
      <c r="A92" s="18">
        <v>88</v>
      </c>
      <c r="B92" s="3949"/>
      <c r="C92" s="96" t="s">
        <v>408</v>
      </c>
      <c r="D92" s="97"/>
      <c r="E92" s="97"/>
      <c r="F92" s="98"/>
    </row>
    <row r="93" spans="1:6" ht="13.5" customHeight="1">
      <c r="A93" s="18">
        <v>89</v>
      </c>
      <c r="B93" s="3949"/>
      <c r="C93" s="99"/>
      <c r="D93" s="100"/>
      <c r="E93" s="100"/>
      <c r="F93" s="101"/>
    </row>
    <row r="94" spans="1:6" ht="13.5" customHeight="1">
      <c r="A94" s="18">
        <v>90</v>
      </c>
      <c r="B94" s="3949"/>
      <c r="C94" s="102"/>
      <c r="D94" s="103"/>
      <c r="E94" s="103"/>
      <c r="F94" s="104"/>
    </row>
    <row r="95" spans="1:6" ht="14.25" customHeight="1">
      <c r="A95" s="18">
        <v>91</v>
      </c>
      <c r="B95" s="3949"/>
      <c r="C95" s="105" t="s">
        <v>2813</v>
      </c>
      <c r="D95" s="105"/>
      <c r="E95" s="105"/>
      <c r="F95" s="106">
        <f>SUM(F92:F94)</f>
        <v>0</v>
      </c>
    </row>
    <row r="96" spans="1:6" ht="14.25" customHeight="1">
      <c r="A96" s="18">
        <v>92</v>
      </c>
      <c r="B96" s="3950"/>
      <c r="C96" s="105" t="s">
        <v>2814</v>
      </c>
      <c r="D96" s="105"/>
      <c r="E96" s="105"/>
      <c r="F96" s="106">
        <f>F87+F91+F95</f>
        <v>0</v>
      </c>
    </row>
    <row r="97" spans="1:7" ht="13.5" customHeight="1">
      <c r="A97" s="18">
        <v>93</v>
      </c>
      <c r="B97" s="3948" t="s">
        <v>2822</v>
      </c>
      <c r="C97" s="96" t="s">
        <v>406</v>
      </c>
      <c r="D97" s="97"/>
      <c r="E97" s="97"/>
      <c r="F97" s="98"/>
    </row>
    <row r="98" spans="1:7" ht="13.5" customHeight="1">
      <c r="A98" s="18">
        <v>94</v>
      </c>
      <c r="B98" s="3949"/>
      <c r="C98" s="99"/>
      <c r="D98" s="100"/>
      <c r="E98" s="100"/>
      <c r="F98" s="101"/>
    </row>
    <row r="99" spans="1:7" ht="13.5" customHeight="1">
      <c r="A99" s="18">
        <v>95</v>
      </c>
      <c r="B99" s="3949"/>
      <c r="C99" s="102"/>
      <c r="D99" s="103"/>
      <c r="E99" s="103"/>
      <c r="F99" s="104"/>
    </row>
    <row r="100" spans="1:7" ht="14.25" customHeight="1">
      <c r="A100" s="18">
        <v>96</v>
      </c>
      <c r="B100" s="3949"/>
      <c r="C100" s="105" t="s">
        <v>2813</v>
      </c>
      <c r="D100" s="105"/>
      <c r="E100" s="105"/>
      <c r="F100" s="106">
        <f>SUM(F97:F99)</f>
        <v>0</v>
      </c>
    </row>
    <row r="101" spans="1:7" ht="13.5" customHeight="1">
      <c r="A101" s="18">
        <v>97</v>
      </c>
      <c r="B101" s="3949"/>
      <c r="C101" s="96" t="s">
        <v>407</v>
      </c>
      <c r="D101" s="97"/>
      <c r="E101" s="97"/>
      <c r="F101" s="98"/>
    </row>
    <row r="102" spans="1:7" ht="13.5" customHeight="1">
      <c r="A102" s="18">
        <v>98</v>
      </c>
      <c r="B102" s="3949"/>
      <c r="C102" s="99"/>
      <c r="D102" s="100"/>
      <c r="E102" s="100"/>
      <c r="F102" s="101"/>
    </row>
    <row r="103" spans="1:7" ht="13.5" customHeight="1">
      <c r="A103" s="18">
        <v>99</v>
      </c>
      <c r="B103" s="3949"/>
      <c r="C103" s="102"/>
      <c r="D103" s="103"/>
      <c r="E103" s="103"/>
      <c r="F103" s="104"/>
    </row>
    <row r="104" spans="1:7" ht="14.25" customHeight="1">
      <c r="A104" s="18">
        <v>100</v>
      </c>
      <c r="B104" s="3949"/>
      <c r="C104" s="105" t="s">
        <v>2813</v>
      </c>
      <c r="D104" s="105"/>
      <c r="E104" s="105"/>
      <c r="F104" s="106">
        <f>SUM(F101:F103)</f>
        <v>0</v>
      </c>
    </row>
    <row r="105" spans="1:7" ht="13.5" customHeight="1">
      <c r="A105" s="18">
        <v>101</v>
      </c>
      <c r="B105" s="3949"/>
      <c r="C105" s="96" t="s">
        <v>408</v>
      </c>
      <c r="D105" s="97"/>
      <c r="E105" s="97"/>
      <c r="F105" s="98"/>
    </row>
    <row r="106" spans="1:7" ht="13.5" customHeight="1">
      <c r="A106" s="18">
        <v>102</v>
      </c>
      <c r="B106" s="3949"/>
      <c r="C106" s="99"/>
      <c r="D106" s="100"/>
      <c r="E106" s="100"/>
      <c r="F106" s="101"/>
    </row>
    <row r="107" spans="1:7" ht="13.5" customHeight="1">
      <c r="A107" s="18">
        <v>103</v>
      </c>
      <c r="B107" s="3949"/>
      <c r="C107" s="102"/>
      <c r="D107" s="103"/>
      <c r="E107" s="103"/>
      <c r="F107" s="104"/>
    </row>
    <row r="108" spans="1:7" ht="14.25" customHeight="1">
      <c r="A108" s="18">
        <v>104</v>
      </c>
      <c r="B108" s="3949"/>
      <c r="C108" s="105" t="s">
        <v>2813</v>
      </c>
      <c r="D108" s="105"/>
      <c r="E108" s="105"/>
      <c r="F108" s="106">
        <f>SUM(F105:F107)</f>
        <v>0</v>
      </c>
    </row>
    <row r="109" spans="1:7" ht="14.25" customHeight="1">
      <c r="A109" s="18">
        <v>105</v>
      </c>
      <c r="B109" s="3950"/>
      <c r="C109" s="105" t="s">
        <v>2814</v>
      </c>
      <c r="D109" s="105"/>
      <c r="E109" s="105"/>
      <c r="F109" s="106">
        <f>F100+F104+F108</f>
        <v>0</v>
      </c>
    </row>
    <row r="110" spans="1:7" ht="15" thickBot="1">
      <c r="A110" s="110">
        <v>106</v>
      </c>
      <c r="B110" s="111" t="s">
        <v>2823</v>
      </c>
      <c r="C110" s="111"/>
      <c r="D110" s="112"/>
      <c r="E110" s="112"/>
      <c r="F110" s="113">
        <f>F96+F109</f>
        <v>0</v>
      </c>
    </row>
    <row r="111" spans="1:7" ht="14.25">
      <c r="A111" s="90" t="s">
        <v>2824</v>
      </c>
    </row>
    <row r="112" spans="1:7" ht="27.75" customHeight="1">
      <c r="A112" s="115">
        <v>1</v>
      </c>
      <c r="B112" s="3951" t="s">
        <v>2825</v>
      </c>
      <c r="C112" s="3951"/>
      <c r="D112" s="3951"/>
      <c r="E112" s="3951"/>
      <c r="F112" s="3951"/>
      <c r="G112" s="116"/>
    </row>
    <row r="113" spans="1:7" s="117" customFormat="1" ht="27.75" customHeight="1">
      <c r="A113" s="115">
        <v>2</v>
      </c>
      <c r="B113" s="3951" t="s">
        <v>2826</v>
      </c>
      <c r="C113" s="3951"/>
      <c r="D113" s="3951"/>
      <c r="E113" s="3951"/>
      <c r="F113" s="3951"/>
      <c r="G113" s="116"/>
    </row>
    <row r="114" spans="1:7" s="117" customFormat="1" ht="28.5" customHeight="1">
      <c r="A114" s="115">
        <v>3</v>
      </c>
      <c r="B114" s="3947" t="s">
        <v>3481</v>
      </c>
      <c r="C114" s="3947"/>
      <c r="D114" s="3947"/>
      <c r="E114" s="3947"/>
      <c r="F114" s="3947"/>
      <c r="G114" s="116"/>
    </row>
    <row r="115" spans="1:7" ht="14.25">
      <c r="A115" s="90">
        <v>4</v>
      </c>
      <c r="B115" s="89" t="s">
        <v>2827</v>
      </c>
    </row>
  </sheetData>
  <mergeCells count="11">
    <mergeCell ref="B5:B17"/>
    <mergeCell ref="B18:B30"/>
    <mergeCell ref="B31:B43"/>
    <mergeCell ref="B44:B56"/>
    <mergeCell ref="B114:F114"/>
    <mergeCell ref="B57:B69"/>
    <mergeCell ref="B70:B82"/>
    <mergeCell ref="B84:B96"/>
    <mergeCell ref="B97:B109"/>
    <mergeCell ref="B112:F112"/>
    <mergeCell ref="B113:F113"/>
  </mergeCells>
  <phoneticPr fontId="9" type="noConversion"/>
  <pageMargins left="0.51181102362204722" right="0.35433070866141736" top="0.39370078740157483" bottom="0.27559055118110237" header="0.15748031496062992" footer="0.23622047244094491"/>
  <pageSetup paperSize="9" scale="91" fitToHeight="2" orientation="portrait" r:id="rId1"/>
  <headerFooter alignWithMargins="0">
    <oddFooter>&amp;C&amp;P/&amp;N&amp;R&amp;A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1">
    <pageSetUpPr fitToPage="1"/>
  </sheetPr>
  <dimension ref="A1:J26"/>
  <sheetViews>
    <sheetView workbookViewId="0">
      <selection activeCell="G28" sqref="G28"/>
    </sheetView>
  </sheetViews>
  <sheetFormatPr defaultColWidth="17.625" defaultRowHeight="15.75"/>
  <cols>
    <col min="1" max="1" width="17.625" style="15" customWidth="1"/>
    <col min="2" max="2" width="38.625" style="15" customWidth="1"/>
    <col min="3" max="16384" width="17.625" style="15"/>
  </cols>
  <sheetData>
    <row r="1" spans="1:10" ht="16.5">
      <c r="A1" s="12" t="str">
        <f>+封面!A3&amp;" "&amp;封面!A2</f>
        <v xml:space="preserve">        保險股份有限公司(○○分公司) 年度(月、季、半年)報表</v>
      </c>
      <c r="B1" s="28"/>
    </row>
    <row r="2" spans="1:10" ht="17.25" thickBot="1">
      <c r="A2" s="62" t="s">
        <v>2781</v>
      </c>
      <c r="B2" s="63"/>
      <c r="C2" s="64"/>
      <c r="D2" s="64"/>
      <c r="E2" s="64"/>
      <c r="F2" s="64"/>
      <c r="G2" s="64"/>
      <c r="H2" s="64"/>
      <c r="I2" s="64"/>
      <c r="J2" s="64"/>
    </row>
    <row r="3" spans="1:10" ht="33">
      <c r="A3" s="3792" t="s">
        <v>2782</v>
      </c>
      <c r="B3" s="66" t="s">
        <v>2783</v>
      </c>
      <c r="C3" s="66" t="s">
        <v>2784</v>
      </c>
      <c r="D3" s="66" t="s">
        <v>2785</v>
      </c>
      <c r="E3" s="66" t="s">
        <v>2786</v>
      </c>
      <c r="F3" s="66" t="s">
        <v>2787</v>
      </c>
      <c r="G3" s="66" t="s">
        <v>2788</v>
      </c>
      <c r="H3" s="66" t="s">
        <v>2789</v>
      </c>
      <c r="I3" s="66" t="s">
        <v>2790</v>
      </c>
      <c r="J3" s="67" t="s">
        <v>2791</v>
      </c>
    </row>
    <row r="4" spans="1:10" ht="31.5">
      <c r="A4" s="3792"/>
      <c r="B4" s="68" t="s">
        <v>209</v>
      </c>
      <c r="C4" s="68" t="s">
        <v>210</v>
      </c>
      <c r="D4" s="68" t="s">
        <v>171</v>
      </c>
      <c r="E4" s="68" t="s">
        <v>714</v>
      </c>
      <c r="F4" s="68" t="s">
        <v>173</v>
      </c>
      <c r="G4" s="68" t="s">
        <v>722</v>
      </c>
      <c r="H4" s="68" t="s">
        <v>723</v>
      </c>
      <c r="I4" s="68" t="s">
        <v>724</v>
      </c>
      <c r="J4" s="69" t="s">
        <v>715</v>
      </c>
    </row>
    <row r="5" spans="1:10" ht="16.5">
      <c r="A5" s="26">
        <v>1</v>
      </c>
      <c r="B5" s="70" t="s">
        <v>2792</v>
      </c>
      <c r="C5" s="71"/>
      <c r="D5" s="71"/>
      <c r="E5" s="71"/>
      <c r="F5" s="72"/>
      <c r="G5" s="71"/>
      <c r="H5" s="71"/>
      <c r="I5" s="71"/>
      <c r="J5" s="73"/>
    </row>
    <row r="6" spans="1:10" ht="16.5">
      <c r="A6" s="26">
        <v>2</v>
      </c>
      <c r="B6" s="74" t="s">
        <v>2793</v>
      </c>
      <c r="C6" s="71"/>
      <c r="D6" s="71"/>
      <c r="E6" s="71"/>
      <c r="F6" s="72"/>
      <c r="G6" s="71"/>
      <c r="H6" s="71"/>
      <c r="I6" s="71"/>
      <c r="J6" s="73"/>
    </row>
    <row r="7" spans="1:10" ht="16.5">
      <c r="A7" s="26">
        <v>3</v>
      </c>
      <c r="B7" s="75" t="s">
        <v>2794</v>
      </c>
      <c r="C7" s="76">
        <v>0.25979999999999998</v>
      </c>
      <c r="D7" s="76">
        <f ca="1">'表30-14-3'!H6</f>
        <v>8.5000000000000006E-2</v>
      </c>
      <c r="E7" s="76">
        <f ca="1">C7+D7</f>
        <v>0.3448</v>
      </c>
      <c r="F7" s="77">
        <f>IFERROR('表30-14-1'!K5,1)</f>
        <v>0</v>
      </c>
      <c r="G7" s="76">
        <f ca="1">E7*F7</f>
        <v>0</v>
      </c>
      <c r="H7" s="76">
        <f ca="1">E7*1.5</f>
        <v>0.51719999999999999</v>
      </c>
      <c r="I7" s="76">
        <f ca="1">E7*0.75</f>
        <v>0.2586</v>
      </c>
      <c r="J7" s="78">
        <f ca="1">ROUND(IF(G7&lt;I7,I7,IF(G7&gt;H7,H7,G7)),4)</f>
        <v>0.2586</v>
      </c>
    </row>
    <row r="8" spans="1:10" ht="16.5">
      <c r="A8" s="26">
        <v>4</v>
      </c>
      <c r="B8" s="75" t="s">
        <v>2795</v>
      </c>
      <c r="C8" s="76">
        <v>0.2165</v>
      </c>
      <c r="D8" s="76">
        <f ca="1">'表30-14-3'!H6</f>
        <v>8.5000000000000006E-2</v>
      </c>
      <c r="E8" s="76">
        <f ca="1">C8+D8</f>
        <v>0.30149999999999999</v>
      </c>
      <c r="F8" s="77">
        <f>IFERROR('表30-14-1'!K5,1)</f>
        <v>0</v>
      </c>
      <c r="G8" s="76">
        <f ca="1">E8*F8</f>
        <v>0</v>
      </c>
      <c r="H8" s="76">
        <f ca="1">E8*1.5</f>
        <v>0.45224999999999999</v>
      </c>
      <c r="I8" s="76">
        <f ca="1">E8*0.75</f>
        <v>0.22612499999999999</v>
      </c>
      <c r="J8" s="78">
        <f ca="1">ROUND(IF(G8&lt;I8,I8,IF(G8&gt;H8,H8,G8)),4)</f>
        <v>0.2261</v>
      </c>
    </row>
    <row r="9" spans="1:10" ht="16.5">
      <c r="A9" s="26">
        <v>5</v>
      </c>
      <c r="B9" s="74" t="s">
        <v>2796</v>
      </c>
      <c r="C9" s="71"/>
      <c r="D9" s="71"/>
      <c r="E9" s="71"/>
      <c r="F9" s="72"/>
      <c r="G9" s="71"/>
      <c r="H9" s="71"/>
      <c r="I9" s="71"/>
      <c r="J9" s="73"/>
    </row>
    <row r="10" spans="1:10" ht="16.5">
      <c r="A10" s="26">
        <v>6</v>
      </c>
      <c r="B10" s="75" t="s">
        <v>2794</v>
      </c>
      <c r="C10" s="76">
        <v>0.36</v>
      </c>
      <c r="D10" s="76">
        <f ca="1">'表30-14-3'!I6</f>
        <v>5.0900000000000001E-2</v>
      </c>
      <c r="E10" s="76">
        <f ca="1">C10+D10</f>
        <v>0.41089999999999999</v>
      </c>
      <c r="F10" s="77">
        <f>IFERROR('表30-14-2'!K5,1)</f>
        <v>0</v>
      </c>
      <c r="G10" s="76">
        <f ca="1">E10*F10</f>
        <v>0</v>
      </c>
      <c r="H10" s="76">
        <f ca="1">E10*1.5</f>
        <v>0.61634999999999995</v>
      </c>
      <c r="I10" s="76">
        <f ca="1">E10*0.75</f>
        <v>0.30817499999999998</v>
      </c>
      <c r="J10" s="78">
        <f ca="1">ROUND(IF(G10&lt;I10,I10,IF(G10&gt;H10,H10,G10)),4)</f>
        <v>0.30819999999999997</v>
      </c>
    </row>
    <row r="11" spans="1:10" ht="16.5">
      <c r="A11" s="26">
        <v>7</v>
      </c>
      <c r="B11" s="75" t="s">
        <v>2795</v>
      </c>
      <c r="C11" s="76">
        <v>0.3</v>
      </c>
      <c r="D11" s="76">
        <f ca="1">'表30-14-3'!I6</f>
        <v>5.0900000000000001E-2</v>
      </c>
      <c r="E11" s="76">
        <f ca="1">C11+D11</f>
        <v>0.35089999999999999</v>
      </c>
      <c r="F11" s="77">
        <f>IFERROR('表30-14-2'!K5,1)</f>
        <v>0</v>
      </c>
      <c r="G11" s="76">
        <f ca="1">E11*F11</f>
        <v>0</v>
      </c>
      <c r="H11" s="76">
        <f ca="1">E11*1.5</f>
        <v>0.52634999999999998</v>
      </c>
      <c r="I11" s="76">
        <f ca="1">E11*0.75</f>
        <v>0.26317499999999999</v>
      </c>
      <c r="J11" s="78">
        <f ca="1">ROUND(IF(G11&lt;I11,I11,IF(G11&gt;H11,H11,G11)),4)</f>
        <v>0.26319999999999999</v>
      </c>
    </row>
    <row r="12" spans="1:10" ht="16.5">
      <c r="A12" s="26">
        <v>8</v>
      </c>
      <c r="B12" s="70" t="s">
        <v>2797</v>
      </c>
      <c r="C12" s="71"/>
      <c r="D12" s="71"/>
      <c r="E12" s="71"/>
      <c r="F12" s="72"/>
      <c r="G12" s="71"/>
      <c r="H12" s="71"/>
      <c r="I12" s="71"/>
      <c r="J12" s="73"/>
    </row>
    <row r="13" spans="1:10" ht="16.5">
      <c r="A13" s="26">
        <v>9</v>
      </c>
      <c r="B13" s="74" t="s">
        <v>2798</v>
      </c>
      <c r="C13" s="76">
        <v>0.2165</v>
      </c>
      <c r="D13" s="76">
        <f ca="1">'表30-14-3'!H6</f>
        <v>8.5000000000000006E-2</v>
      </c>
      <c r="E13" s="76">
        <f ca="1">C13+D13</f>
        <v>0.30149999999999999</v>
      </c>
      <c r="F13" s="77">
        <f>IFERROR('表30-14-1'!K5,1)</f>
        <v>0</v>
      </c>
      <c r="G13" s="76">
        <f ca="1">E13*F13</f>
        <v>0</v>
      </c>
      <c r="H13" s="76">
        <f ca="1">E13*1.5</f>
        <v>0.45224999999999999</v>
      </c>
      <c r="I13" s="76">
        <f ca="1">E13*0.75</f>
        <v>0.22612499999999999</v>
      </c>
      <c r="J13" s="78">
        <f ca="1">ROUND(IF(G13&lt;I13,I13,IF(G13&gt;H13,H13,G13)),4)</f>
        <v>0.2261</v>
      </c>
    </row>
    <row r="14" spans="1:10" ht="17.25" thickBot="1">
      <c r="A14" s="79">
        <v>10</v>
      </c>
      <c r="B14" s="80" t="s">
        <v>1871</v>
      </c>
      <c r="C14" s="81">
        <v>0.2165</v>
      </c>
      <c r="D14" s="81">
        <f ca="1">'表30-14-3'!H6</f>
        <v>8.5000000000000006E-2</v>
      </c>
      <c r="E14" s="81">
        <f ca="1">C14+D14</f>
        <v>0.30149999999999999</v>
      </c>
      <c r="F14" s="82">
        <f>IFERROR('表30-14-1'!K5,1)</f>
        <v>0</v>
      </c>
      <c r="G14" s="81">
        <f ca="1">E14*F14</f>
        <v>0</v>
      </c>
      <c r="H14" s="81">
        <f ca="1">E14*1.5</f>
        <v>0.45224999999999999</v>
      </c>
      <c r="I14" s="81">
        <f ca="1">E14*0.75</f>
        <v>0.22612499999999999</v>
      </c>
      <c r="J14" s="83">
        <f ca="1">ROUND(IF(G14&lt;I14,I14,IF(G14&gt;H14,H14,G14)),4)</f>
        <v>0.2261</v>
      </c>
    </row>
    <row r="15" spans="1:10" ht="16.5">
      <c r="A15" s="65">
        <v>11</v>
      </c>
      <c r="B15" s="84" t="s">
        <v>2799</v>
      </c>
      <c r="C15" s="85"/>
      <c r="D15" s="85"/>
      <c r="E15" s="86"/>
    </row>
    <row r="16" spans="1:10" ht="16.5">
      <c r="A16" s="26">
        <v>12</v>
      </c>
      <c r="B16" s="74" t="s">
        <v>2800</v>
      </c>
      <c r="C16" s="76">
        <v>0.2009</v>
      </c>
      <c r="D16" s="76">
        <f ca="1">'表30-14-3'!J6</f>
        <v>7.2599999999999998E-2</v>
      </c>
      <c r="E16" s="78">
        <f ca="1">C16+D16</f>
        <v>0.27349999999999997</v>
      </c>
    </row>
    <row r="17" spans="1:5" ht="16.5">
      <c r="A17" s="26">
        <v>13</v>
      </c>
      <c r="B17" s="74" t="s">
        <v>2801</v>
      </c>
      <c r="C17" s="76">
        <v>0.2009</v>
      </c>
      <c r="D17" s="76">
        <f ca="1">'表30-14-3'!J6</f>
        <v>7.2599999999999998E-2</v>
      </c>
      <c r="E17" s="78">
        <f ca="1">C17+D17</f>
        <v>0.27349999999999997</v>
      </c>
    </row>
    <row r="18" spans="1:5" ht="16.5">
      <c r="A18" s="26">
        <v>14</v>
      </c>
      <c r="B18" s="70" t="s">
        <v>2802</v>
      </c>
      <c r="C18" s="71"/>
      <c r="D18" s="71"/>
      <c r="E18" s="73"/>
    </row>
    <row r="19" spans="1:5" ht="16.5">
      <c r="A19" s="26">
        <v>15</v>
      </c>
      <c r="B19" s="74" t="s">
        <v>2798</v>
      </c>
      <c r="C19" s="76">
        <v>0.2009</v>
      </c>
      <c r="D19" s="76">
        <f ca="1">'表30-14-3'!J6</f>
        <v>7.2599999999999998E-2</v>
      </c>
      <c r="E19" s="78">
        <f ca="1">C19+D19</f>
        <v>0.27349999999999997</v>
      </c>
    </row>
    <row r="20" spans="1:5" ht="17.25" thickBot="1">
      <c r="A20" s="79">
        <v>16</v>
      </c>
      <c r="B20" s="80" t="s">
        <v>1872</v>
      </c>
      <c r="C20" s="81">
        <v>0.2009</v>
      </c>
      <c r="D20" s="81">
        <f ca="1">'表30-14-3'!J6</f>
        <v>7.2599999999999998E-2</v>
      </c>
      <c r="E20" s="83">
        <f ca="1">C20+D20</f>
        <v>0.27349999999999997</v>
      </c>
    </row>
    <row r="21" spans="1:5" ht="16.5">
      <c r="A21" s="65">
        <v>17</v>
      </c>
      <c r="B21" s="84" t="s">
        <v>2803</v>
      </c>
      <c r="C21" s="85"/>
      <c r="D21" s="85"/>
      <c r="E21" s="86"/>
    </row>
    <row r="22" spans="1:5" ht="16.5">
      <c r="A22" s="26">
        <v>18</v>
      </c>
      <c r="B22" s="74" t="s">
        <v>2800</v>
      </c>
      <c r="C22" s="76">
        <v>0.28870000000000001</v>
      </c>
      <c r="D22" s="871">
        <f ca="1">'表30-14-3'!K6</f>
        <v>4.5999999999999999E-3</v>
      </c>
      <c r="E22" s="78">
        <f ca="1">C22+D22</f>
        <v>0.29330000000000001</v>
      </c>
    </row>
    <row r="23" spans="1:5" ht="16.5">
      <c r="A23" s="26">
        <v>19</v>
      </c>
      <c r="B23" s="74" t="s">
        <v>2801</v>
      </c>
      <c r="C23" s="76">
        <v>0.28870000000000001</v>
      </c>
      <c r="D23" s="871">
        <f ca="1">'表30-14-3'!K6</f>
        <v>4.5999999999999999E-3</v>
      </c>
      <c r="E23" s="78">
        <f ca="1">C23+D23</f>
        <v>0.29330000000000001</v>
      </c>
    </row>
    <row r="24" spans="1:5" ht="16.5">
      <c r="A24" s="26">
        <v>20</v>
      </c>
      <c r="B24" s="70" t="s">
        <v>2804</v>
      </c>
      <c r="C24" s="71"/>
      <c r="D24" s="71"/>
      <c r="E24" s="73"/>
    </row>
    <row r="25" spans="1:5" ht="16.5">
      <c r="A25" s="26">
        <v>21</v>
      </c>
      <c r="B25" s="74" t="s">
        <v>2798</v>
      </c>
      <c r="C25" s="76">
        <v>0.28870000000000001</v>
      </c>
      <c r="D25" s="871">
        <f ca="1">'表30-14-3'!K6</f>
        <v>4.5999999999999999E-3</v>
      </c>
      <c r="E25" s="78">
        <f ca="1">C25+D25</f>
        <v>0.29330000000000001</v>
      </c>
    </row>
    <row r="26" spans="1:5" ht="17.25" thickBot="1">
      <c r="A26" s="79">
        <v>22</v>
      </c>
      <c r="B26" s="80" t="s">
        <v>1872</v>
      </c>
      <c r="C26" s="81">
        <v>0.28870000000000001</v>
      </c>
      <c r="D26" s="872">
        <f ca="1">'表30-14-3'!K6</f>
        <v>4.5999999999999999E-3</v>
      </c>
      <c r="E26" s="83">
        <f ca="1">C26+D26</f>
        <v>0.29330000000000001</v>
      </c>
    </row>
  </sheetData>
  <mergeCells count="1">
    <mergeCell ref="A3:A4"/>
  </mergeCells>
  <phoneticPr fontId="7" type="noConversion"/>
  <pageMargins left="0.51181102362204722" right="0.35433070866141736" top="0.39370078740157483" bottom="0.27559055118110237" header="0.15748031496062992" footer="0.23622047244094491"/>
  <pageSetup paperSize="9" scale="69" fitToHeight="2" orientation="landscape" r:id="rId1"/>
  <headerFooter alignWithMargins="0">
    <oddFooter>&amp;C&amp;P/&amp;N&amp;R&amp;A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2">
    <pageSetUpPr fitToPage="1"/>
  </sheetPr>
  <dimension ref="A1:AB35"/>
  <sheetViews>
    <sheetView showGridLines="0" workbookViewId="0">
      <selection activeCell="G28" sqref="G28"/>
    </sheetView>
  </sheetViews>
  <sheetFormatPr defaultRowHeight="13.5"/>
  <cols>
    <col min="1" max="1" width="5.625" style="46" customWidth="1"/>
    <col min="2" max="2" width="15.625" style="46" customWidth="1"/>
    <col min="3" max="3" width="23.875" style="46" customWidth="1"/>
    <col min="4" max="4" width="19.5" style="46" customWidth="1"/>
    <col min="5" max="5" width="13.875" style="46" customWidth="1"/>
    <col min="6" max="6" width="17.25" style="46" customWidth="1"/>
    <col min="7" max="16384" width="9" style="46"/>
  </cols>
  <sheetData>
    <row r="1" spans="1:6" ht="16.5">
      <c r="A1" s="11" t="str">
        <f>+封面!A3&amp;" "&amp;封面!A2</f>
        <v xml:space="preserve">        保險股份有限公司(○○分公司) 年度(月、季、半年)報表</v>
      </c>
    </row>
    <row r="2" spans="1:6" ht="14.25">
      <c r="A2" s="47" t="s">
        <v>2766</v>
      </c>
    </row>
    <row r="3" spans="1:6" ht="15" thickBot="1">
      <c r="F3" s="32" t="s">
        <v>2752</v>
      </c>
    </row>
    <row r="4" spans="1:6" s="50" customFormat="1" ht="14.25" customHeight="1">
      <c r="A4" s="3433" t="s">
        <v>1862</v>
      </c>
      <c r="B4" s="2748" t="s">
        <v>2767</v>
      </c>
      <c r="C4" s="2748" t="s">
        <v>2768</v>
      </c>
      <c r="D4" s="2748" t="s">
        <v>2769</v>
      </c>
      <c r="E4" s="48" t="s">
        <v>2770</v>
      </c>
      <c r="F4" s="49" t="s">
        <v>2771</v>
      </c>
    </row>
    <row r="5" spans="1:6" s="50" customFormat="1" ht="13.5" customHeight="1">
      <c r="A5" s="3952"/>
      <c r="B5" s="34" t="s">
        <v>422</v>
      </c>
      <c r="C5" s="34" t="s">
        <v>423</v>
      </c>
      <c r="D5" s="34" t="s">
        <v>171</v>
      </c>
      <c r="E5" s="34" t="s">
        <v>172</v>
      </c>
      <c r="F5" s="35" t="s">
        <v>173</v>
      </c>
    </row>
    <row r="6" spans="1:6" s="50" customFormat="1">
      <c r="A6" s="51">
        <v>1</v>
      </c>
      <c r="B6" s="52"/>
      <c r="C6" s="37"/>
      <c r="D6" s="53"/>
      <c r="E6" s="53"/>
      <c r="F6" s="54">
        <f t="shared" ref="F6:F23" si="0">D6*E6</f>
        <v>0</v>
      </c>
    </row>
    <row r="7" spans="1:6" s="50" customFormat="1">
      <c r="A7" s="51">
        <v>2</v>
      </c>
      <c r="B7" s="52"/>
      <c r="C7" s="37"/>
      <c r="D7" s="53"/>
      <c r="E7" s="53"/>
      <c r="F7" s="54">
        <f t="shared" si="0"/>
        <v>0</v>
      </c>
    </row>
    <row r="8" spans="1:6" s="50" customFormat="1">
      <c r="A8" s="51">
        <v>3</v>
      </c>
      <c r="B8" s="52"/>
      <c r="C8" s="37"/>
      <c r="D8" s="53"/>
      <c r="E8" s="53"/>
      <c r="F8" s="54">
        <f t="shared" si="0"/>
        <v>0</v>
      </c>
    </row>
    <row r="9" spans="1:6" s="50" customFormat="1">
      <c r="A9" s="51">
        <v>4</v>
      </c>
      <c r="B9" s="52"/>
      <c r="C9" s="37"/>
      <c r="D9" s="53"/>
      <c r="E9" s="53"/>
      <c r="F9" s="54">
        <f t="shared" si="0"/>
        <v>0</v>
      </c>
    </row>
    <row r="10" spans="1:6" s="50" customFormat="1">
      <c r="A10" s="51">
        <v>5</v>
      </c>
      <c r="B10" s="52"/>
      <c r="C10" s="37"/>
      <c r="D10" s="53"/>
      <c r="E10" s="53"/>
      <c r="F10" s="54">
        <f t="shared" si="0"/>
        <v>0</v>
      </c>
    </row>
    <row r="11" spans="1:6" s="50" customFormat="1">
      <c r="A11" s="51">
        <v>6</v>
      </c>
      <c r="B11" s="52"/>
      <c r="C11" s="37"/>
      <c r="D11" s="53"/>
      <c r="E11" s="53"/>
      <c r="F11" s="54">
        <f t="shared" si="0"/>
        <v>0</v>
      </c>
    </row>
    <row r="12" spans="1:6" s="50" customFormat="1">
      <c r="A12" s="51">
        <v>7</v>
      </c>
      <c r="B12" s="52"/>
      <c r="C12" s="37"/>
      <c r="D12" s="53"/>
      <c r="E12" s="53"/>
      <c r="F12" s="54">
        <f t="shared" si="0"/>
        <v>0</v>
      </c>
    </row>
    <row r="13" spans="1:6" s="50" customFormat="1">
      <c r="A13" s="51">
        <v>8</v>
      </c>
      <c r="B13" s="52"/>
      <c r="C13" s="37"/>
      <c r="D13" s="53"/>
      <c r="E13" s="53"/>
      <c r="F13" s="54">
        <f t="shared" si="0"/>
        <v>0</v>
      </c>
    </row>
    <row r="14" spans="1:6" s="50" customFormat="1">
      <c r="A14" s="51">
        <v>9</v>
      </c>
      <c r="B14" s="52"/>
      <c r="C14" s="37"/>
      <c r="D14" s="53"/>
      <c r="E14" s="53"/>
      <c r="F14" s="54">
        <f t="shared" si="0"/>
        <v>0</v>
      </c>
    </row>
    <row r="15" spans="1:6" s="50" customFormat="1">
      <c r="A15" s="51">
        <v>10</v>
      </c>
      <c r="B15" s="52"/>
      <c r="C15" s="37"/>
      <c r="D15" s="53"/>
      <c r="E15" s="53"/>
      <c r="F15" s="54">
        <f t="shared" si="0"/>
        <v>0</v>
      </c>
    </row>
    <row r="16" spans="1:6" s="50" customFormat="1">
      <c r="A16" s="51">
        <v>11</v>
      </c>
      <c r="B16" s="52"/>
      <c r="C16" s="37"/>
      <c r="D16" s="53"/>
      <c r="E16" s="53"/>
      <c r="F16" s="54">
        <f t="shared" si="0"/>
        <v>0</v>
      </c>
    </row>
    <row r="17" spans="1:28" s="50" customFormat="1">
      <c r="A17" s="51">
        <v>12</v>
      </c>
      <c r="B17" s="52"/>
      <c r="C17" s="37"/>
      <c r="D17" s="53"/>
      <c r="E17" s="53"/>
      <c r="F17" s="54">
        <f t="shared" si="0"/>
        <v>0</v>
      </c>
    </row>
    <row r="18" spans="1:28" s="50" customFormat="1">
      <c r="A18" s="51">
        <v>13</v>
      </c>
      <c r="B18" s="52"/>
      <c r="C18" s="37"/>
      <c r="D18" s="53"/>
      <c r="E18" s="53"/>
      <c r="F18" s="54">
        <f t="shared" si="0"/>
        <v>0</v>
      </c>
    </row>
    <row r="19" spans="1:28" s="50" customFormat="1">
      <c r="A19" s="51">
        <v>14</v>
      </c>
      <c r="B19" s="52"/>
      <c r="C19" s="37"/>
      <c r="D19" s="53"/>
      <c r="E19" s="53"/>
      <c r="F19" s="54">
        <f t="shared" si="0"/>
        <v>0</v>
      </c>
    </row>
    <row r="20" spans="1:28" s="50" customFormat="1">
      <c r="A20" s="51">
        <v>15</v>
      </c>
      <c r="B20" s="52"/>
      <c r="C20" s="37"/>
      <c r="D20" s="53"/>
      <c r="E20" s="53"/>
      <c r="F20" s="54">
        <f t="shared" si="0"/>
        <v>0</v>
      </c>
    </row>
    <row r="21" spans="1:28" s="50" customFormat="1">
      <c r="A21" s="51">
        <v>16</v>
      </c>
      <c r="B21" s="52"/>
      <c r="C21" s="37"/>
      <c r="D21" s="53"/>
      <c r="E21" s="53"/>
      <c r="F21" s="54">
        <f t="shared" si="0"/>
        <v>0</v>
      </c>
    </row>
    <row r="22" spans="1:28" s="50" customFormat="1" ht="12.75" customHeight="1">
      <c r="A22" s="51">
        <v>17</v>
      </c>
      <c r="B22" s="52"/>
      <c r="C22" s="37"/>
      <c r="D22" s="53"/>
      <c r="E22" s="53"/>
      <c r="F22" s="54">
        <f t="shared" si="0"/>
        <v>0</v>
      </c>
    </row>
    <row r="23" spans="1:28" s="50" customFormat="1">
      <c r="A23" s="51">
        <v>18</v>
      </c>
      <c r="B23" s="52"/>
      <c r="C23" s="37"/>
      <c r="D23" s="53"/>
      <c r="E23" s="53"/>
      <c r="F23" s="54">
        <f t="shared" si="0"/>
        <v>0</v>
      </c>
    </row>
    <row r="24" spans="1:28" s="50" customFormat="1" ht="17.649999999999999" customHeight="1" thickBot="1">
      <c r="A24" s="55">
        <v>19</v>
      </c>
      <c r="B24" s="3953" t="s">
        <v>2772</v>
      </c>
      <c r="C24" s="3954"/>
      <c r="D24" s="56">
        <f>SUM(D6:D23)</f>
        <v>0</v>
      </c>
      <c r="E24" s="57"/>
      <c r="F24" s="58">
        <f>SUM(F6:F23)</f>
        <v>0</v>
      </c>
    </row>
    <row r="26" spans="1:28" ht="15.75">
      <c r="A26" s="50" t="s">
        <v>2773</v>
      </c>
      <c r="AB26" s="59"/>
    </row>
    <row r="27" spans="1:28" ht="14.25">
      <c r="A27" s="60">
        <v>1</v>
      </c>
      <c r="B27" s="50" t="s">
        <v>2774</v>
      </c>
    </row>
    <row r="28" spans="1:28" ht="14.25">
      <c r="A28" s="61">
        <v>2</v>
      </c>
      <c r="B28" s="50" t="s">
        <v>2775</v>
      </c>
    </row>
    <row r="29" spans="1:28" ht="14.25">
      <c r="A29" s="61">
        <v>3</v>
      </c>
      <c r="B29" s="50" t="s">
        <v>2776</v>
      </c>
    </row>
    <row r="32" spans="1:28" ht="14.25">
      <c r="B32" s="46" t="s">
        <v>2777</v>
      </c>
    </row>
    <row r="33" spans="2:2" ht="14.25">
      <c r="B33" s="46" t="s">
        <v>2778</v>
      </c>
    </row>
    <row r="34" spans="2:2" ht="14.25">
      <c r="B34" s="46" t="s">
        <v>2779</v>
      </c>
    </row>
    <row r="35" spans="2:2" ht="14.25">
      <c r="B35" s="46" t="s">
        <v>2780</v>
      </c>
    </row>
  </sheetData>
  <mergeCells count="2">
    <mergeCell ref="A4:A5"/>
    <mergeCell ref="B24:C24"/>
  </mergeCells>
  <phoneticPr fontId="7" type="noConversion"/>
  <pageMargins left="0.51181102362204722" right="0.35433070866141736" top="0.39370078740157483" bottom="0.27559055118110237" header="0.15748031496062992" footer="0.23622047244094491"/>
  <pageSetup paperSize="9" scale="92" fitToHeight="2" orientation="landscape" r:id="rId1"/>
  <headerFooter alignWithMargins="0">
    <oddFooter>&amp;C&amp;P/&amp;N&amp;R&amp;A</oddFooter>
  </headerFooter>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647700</xdr:colOff>
                <xdr:row>29</xdr:row>
                <xdr:rowOff>0</xdr:rowOff>
              </from>
              <to>
                <xdr:col>3</xdr:col>
                <xdr:colOff>381000</xdr:colOff>
                <xdr:row>31</xdr:row>
                <xdr:rowOff>66675</xdr:rowOff>
              </to>
            </anchor>
          </objectPr>
        </oleObject>
      </mc:Choice>
      <mc:Fallback>
        <oleObject progId="Equation.3" shapeId="6145"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3">
    <pageSetUpPr fitToPage="1"/>
  </sheetPr>
  <dimension ref="A1:AB27"/>
  <sheetViews>
    <sheetView showGridLines="0" zoomScaleNormal="100" workbookViewId="0">
      <selection activeCell="G28" sqref="G28"/>
    </sheetView>
  </sheetViews>
  <sheetFormatPr defaultRowHeight="13.5"/>
  <cols>
    <col min="1" max="1" width="6.625" style="30" customWidth="1"/>
    <col min="2" max="8" width="9" style="30"/>
    <col min="9" max="9" width="12.375" style="30" customWidth="1"/>
    <col min="10" max="11" width="11.875" style="30" customWidth="1"/>
    <col min="12" max="16384" width="9" style="30"/>
  </cols>
  <sheetData>
    <row r="1" spans="1:12" ht="16.5">
      <c r="A1" s="11" t="str">
        <f>+封面!A3&amp;" "&amp;封面!A2</f>
        <v xml:space="preserve">        保險股份有限公司(○○分公司) 年度(月、季、半年)報表</v>
      </c>
    </row>
    <row r="2" spans="1:12" ht="14.25">
      <c r="A2" s="31" t="s">
        <v>2751</v>
      </c>
    </row>
    <row r="3" spans="1:12" ht="15" thickBot="1">
      <c r="L3" s="32" t="s">
        <v>2752</v>
      </c>
    </row>
    <row r="4" spans="1:12" ht="13.5" customHeight="1">
      <c r="A4" s="3961" t="s">
        <v>1861</v>
      </c>
      <c r="B4" s="3426" t="s">
        <v>2753</v>
      </c>
      <c r="C4" s="3426"/>
      <c r="D4" s="3426"/>
      <c r="E4" s="3957" t="s">
        <v>2754</v>
      </c>
      <c r="F4" s="3957" t="s">
        <v>2755</v>
      </c>
      <c r="G4" s="3957" t="s">
        <v>2756</v>
      </c>
      <c r="H4" s="3957" t="s">
        <v>2757</v>
      </c>
      <c r="I4" s="3957" t="s">
        <v>2758</v>
      </c>
      <c r="J4" s="3957" t="s">
        <v>2759</v>
      </c>
      <c r="K4" s="3957" t="s">
        <v>2760</v>
      </c>
      <c r="L4" s="3955" t="s">
        <v>2761</v>
      </c>
    </row>
    <row r="5" spans="1:12" ht="28.5">
      <c r="A5" s="3962"/>
      <c r="B5" s="33" t="s">
        <v>2762</v>
      </c>
      <c r="C5" s="33" t="s">
        <v>2763</v>
      </c>
      <c r="D5" s="33" t="s">
        <v>2764</v>
      </c>
      <c r="E5" s="3958"/>
      <c r="F5" s="3958"/>
      <c r="G5" s="3958"/>
      <c r="H5" s="3958"/>
      <c r="I5" s="3958"/>
      <c r="J5" s="3958"/>
      <c r="K5" s="3958"/>
      <c r="L5" s="3956"/>
    </row>
    <row r="6" spans="1:12" ht="13.5" customHeight="1">
      <c r="A6" s="3962"/>
      <c r="B6" s="34" t="s">
        <v>28</v>
      </c>
      <c r="C6" s="34" t="s">
        <v>423</v>
      </c>
      <c r="D6" s="34" t="s">
        <v>171</v>
      </c>
      <c r="E6" s="34" t="s">
        <v>172</v>
      </c>
      <c r="F6" s="34" t="s">
        <v>173</v>
      </c>
      <c r="G6" s="34" t="s">
        <v>174</v>
      </c>
      <c r="H6" s="34" t="s">
        <v>175</v>
      </c>
      <c r="I6" s="34" t="s">
        <v>176</v>
      </c>
      <c r="J6" s="34" t="s">
        <v>177</v>
      </c>
      <c r="K6" s="34" t="s">
        <v>178</v>
      </c>
      <c r="L6" s="35" t="s">
        <v>179</v>
      </c>
    </row>
    <row r="7" spans="1:12">
      <c r="A7" s="36">
        <v>1</v>
      </c>
      <c r="B7" s="37"/>
      <c r="C7" s="37"/>
      <c r="D7" s="37"/>
      <c r="E7" s="38"/>
      <c r="F7" s="38"/>
      <c r="G7" s="38"/>
      <c r="H7" s="38"/>
      <c r="I7" s="38"/>
      <c r="J7" s="38"/>
      <c r="K7" s="38"/>
      <c r="L7" s="39"/>
    </row>
    <row r="8" spans="1:12">
      <c r="A8" s="36">
        <v>2</v>
      </c>
      <c r="B8" s="37"/>
      <c r="C8" s="37"/>
      <c r="D8" s="37"/>
      <c r="E8" s="38"/>
      <c r="F8" s="38"/>
      <c r="G8" s="38"/>
      <c r="H8" s="38"/>
      <c r="I8" s="38"/>
      <c r="J8" s="38"/>
      <c r="K8" s="38"/>
      <c r="L8" s="39"/>
    </row>
    <row r="9" spans="1:12">
      <c r="A9" s="36">
        <v>3</v>
      </c>
      <c r="B9" s="37"/>
      <c r="C9" s="37"/>
      <c r="D9" s="37"/>
      <c r="E9" s="38"/>
      <c r="F9" s="38"/>
      <c r="G9" s="38"/>
      <c r="H9" s="38"/>
      <c r="I9" s="38"/>
      <c r="J9" s="38"/>
      <c r="K9" s="38"/>
      <c r="L9" s="39"/>
    </row>
    <row r="10" spans="1:12">
      <c r="A10" s="36">
        <v>4</v>
      </c>
      <c r="B10" s="37"/>
      <c r="C10" s="37"/>
      <c r="D10" s="37"/>
      <c r="E10" s="38"/>
      <c r="F10" s="38"/>
      <c r="G10" s="38"/>
      <c r="H10" s="38"/>
      <c r="I10" s="38"/>
      <c r="J10" s="38"/>
      <c r="K10" s="38"/>
      <c r="L10" s="39"/>
    </row>
    <row r="11" spans="1:12">
      <c r="A11" s="36">
        <v>5</v>
      </c>
      <c r="B11" s="37"/>
      <c r="C11" s="37"/>
      <c r="D11" s="37"/>
      <c r="E11" s="38"/>
      <c r="F11" s="38"/>
      <c r="G11" s="38"/>
      <c r="H11" s="38"/>
      <c r="I11" s="38"/>
      <c r="J11" s="38"/>
      <c r="K11" s="38"/>
      <c r="L11" s="39"/>
    </row>
    <row r="12" spans="1:12">
      <c r="A12" s="36">
        <v>6</v>
      </c>
      <c r="B12" s="37"/>
      <c r="C12" s="37"/>
      <c r="D12" s="37"/>
      <c r="E12" s="38"/>
      <c r="F12" s="38"/>
      <c r="G12" s="38"/>
      <c r="H12" s="38"/>
      <c r="I12" s="38"/>
      <c r="J12" s="38"/>
      <c r="K12" s="38"/>
      <c r="L12" s="39"/>
    </row>
    <row r="13" spans="1:12">
      <c r="A13" s="36">
        <v>7</v>
      </c>
      <c r="B13" s="37"/>
      <c r="C13" s="37"/>
      <c r="D13" s="37"/>
      <c r="E13" s="38"/>
      <c r="F13" s="38"/>
      <c r="G13" s="38"/>
      <c r="H13" s="38"/>
      <c r="I13" s="38"/>
      <c r="J13" s="38"/>
      <c r="K13" s="38"/>
      <c r="L13" s="39"/>
    </row>
    <row r="14" spans="1:12">
      <c r="A14" s="36">
        <v>8</v>
      </c>
      <c r="B14" s="37"/>
      <c r="C14" s="37"/>
      <c r="D14" s="37"/>
      <c r="E14" s="38"/>
      <c r="F14" s="38"/>
      <c r="G14" s="38"/>
      <c r="H14" s="38"/>
      <c r="I14" s="38"/>
      <c r="J14" s="38"/>
      <c r="K14" s="38"/>
      <c r="L14" s="39"/>
    </row>
    <row r="15" spans="1:12">
      <c r="A15" s="36">
        <v>9</v>
      </c>
      <c r="B15" s="37"/>
      <c r="C15" s="37"/>
      <c r="D15" s="37"/>
      <c r="E15" s="38"/>
      <c r="F15" s="38"/>
      <c r="G15" s="38"/>
      <c r="H15" s="38"/>
      <c r="I15" s="38"/>
      <c r="J15" s="38"/>
      <c r="K15" s="38"/>
      <c r="L15" s="39"/>
    </row>
    <row r="16" spans="1:12" ht="17.649999999999999" customHeight="1" thickBot="1">
      <c r="A16" s="40">
        <v>10</v>
      </c>
      <c r="B16" s="3959" t="s">
        <v>2765</v>
      </c>
      <c r="C16" s="3960"/>
      <c r="D16" s="3960"/>
      <c r="E16" s="3960"/>
      <c r="F16" s="3960"/>
      <c r="G16" s="3960"/>
      <c r="H16" s="3960"/>
      <c r="I16" s="41">
        <f>SUM(I7:I15)</f>
        <v>0</v>
      </c>
      <c r="J16" s="41">
        <f>SUM(J7:J15)</f>
        <v>0</v>
      </c>
      <c r="K16" s="41">
        <f>SUM(K7:K15)</f>
        <v>0</v>
      </c>
      <c r="L16" s="42"/>
    </row>
    <row r="26" spans="1:28" ht="15.75">
      <c r="AB26" s="43"/>
    </row>
    <row r="27" spans="1:28" ht="18" customHeight="1">
      <c r="A27" s="44"/>
      <c r="B27" s="45"/>
      <c r="C27" s="45"/>
      <c r="D27" s="45"/>
      <c r="E27" s="45"/>
      <c r="F27" s="45"/>
      <c r="G27" s="45"/>
      <c r="H27" s="45"/>
      <c r="I27" s="45"/>
      <c r="J27" s="45"/>
      <c r="K27" s="45"/>
      <c r="L27" s="45"/>
      <c r="M27" s="45"/>
    </row>
  </sheetData>
  <mergeCells count="11">
    <mergeCell ref="B16:H16"/>
    <mergeCell ref="A4:A6"/>
    <mergeCell ref="E4:E5"/>
    <mergeCell ref="F4:F5"/>
    <mergeCell ref="G4:G5"/>
    <mergeCell ref="L4:L5"/>
    <mergeCell ref="B4:D4"/>
    <mergeCell ref="H4:H5"/>
    <mergeCell ref="I4:I5"/>
    <mergeCell ref="J4:J5"/>
    <mergeCell ref="K4:K5"/>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4"/>
  <dimension ref="A1:L1345"/>
  <sheetViews>
    <sheetView view="pageBreakPreview" zoomScaleNormal="100" zoomScaleSheetLayoutView="100" workbookViewId="0">
      <pane ySplit="3" topLeftCell="A4" activePane="bottomLeft" state="frozen"/>
      <selection activeCell="G28" sqref="G28"/>
      <selection pane="bottomLeft" sqref="A1:XFD1048576"/>
    </sheetView>
  </sheetViews>
  <sheetFormatPr defaultColWidth="15.625" defaultRowHeight="15.75"/>
  <cols>
    <col min="1" max="1" width="12.875" style="1868" customWidth="1"/>
    <col min="2" max="2" width="18.625" style="15" customWidth="1"/>
    <col min="3" max="3" width="26.75" style="15" customWidth="1"/>
    <col min="4" max="6" width="18.625" style="15" customWidth="1"/>
    <col min="7" max="7" width="20.75" style="15" customWidth="1"/>
    <col min="8" max="8" width="18.625" style="15" customWidth="1"/>
    <col min="9" max="9" width="28.25" style="15" customWidth="1"/>
    <col min="10" max="10" width="1.625" style="15" customWidth="1"/>
    <col min="11" max="11" width="62.625" style="15" customWidth="1"/>
    <col min="12" max="12" width="30.625" style="15" customWidth="1"/>
    <col min="13" max="16384" width="15.625" style="15"/>
  </cols>
  <sheetData>
    <row r="1" spans="1:12" ht="16.5">
      <c r="A1" s="1834" t="s">
        <v>5026</v>
      </c>
      <c r="B1" s="28"/>
    </row>
    <row r="2" spans="1:12" ht="17.25" thickBot="1">
      <c r="A2" s="2802" t="s">
        <v>6691</v>
      </c>
      <c r="B2" s="17"/>
      <c r="I2" s="1835" t="s">
        <v>2749</v>
      </c>
    </row>
    <row r="3" spans="1:12" ht="33.75" thickBot="1">
      <c r="A3" s="1836" t="s">
        <v>5027</v>
      </c>
      <c r="B3" s="1837" t="s">
        <v>5028</v>
      </c>
      <c r="C3" s="1837" t="s">
        <v>5029</v>
      </c>
      <c r="D3" s="1837" t="s">
        <v>5030</v>
      </c>
      <c r="E3" s="1837" t="s">
        <v>5031</v>
      </c>
      <c r="F3" s="1837" t="s">
        <v>5032</v>
      </c>
      <c r="G3" s="1837" t="s">
        <v>5033</v>
      </c>
      <c r="H3" s="1837" t="s">
        <v>5034</v>
      </c>
      <c r="I3" s="1838" t="s">
        <v>2750</v>
      </c>
      <c r="J3" s="1839"/>
    </row>
    <row r="4" spans="1:12" ht="16.5">
      <c r="A4" s="1840" t="s">
        <v>753</v>
      </c>
      <c r="B4" s="1841" t="s">
        <v>6692</v>
      </c>
      <c r="C4" s="1842" t="s">
        <v>696</v>
      </c>
      <c r="D4" s="1852"/>
      <c r="E4" s="1852"/>
      <c r="F4" s="1853">
        <f>D4*E4</f>
        <v>0</v>
      </c>
      <c r="G4" s="1843">
        <f t="shared" ref="G4:G67" si="0">IF($F$1334=0,0,F4/$F$1334)</f>
        <v>0</v>
      </c>
      <c r="H4" s="1173">
        <v>1.1664000000000001</v>
      </c>
      <c r="I4" s="3121" t="s">
        <v>0</v>
      </c>
      <c r="K4" s="1872" t="s">
        <v>5087</v>
      </c>
    </row>
    <row r="5" spans="1:12" ht="17.25" thickBot="1">
      <c r="A5" s="1840" t="s">
        <v>754</v>
      </c>
      <c r="B5" s="1841" t="s">
        <v>6693</v>
      </c>
      <c r="C5" s="1842" t="s">
        <v>696</v>
      </c>
      <c r="D5" s="1852"/>
      <c r="E5" s="1852"/>
      <c r="F5" s="1853">
        <f t="shared" ref="F5:F68" si="1">D5*E5</f>
        <v>0</v>
      </c>
      <c r="G5" s="1843">
        <f t="shared" si="0"/>
        <v>0</v>
      </c>
      <c r="H5" s="1173">
        <v>0.65229999999999999</v>
      </c>
      <c r="I5" s="3121" t="s">
        <v>0</v>
      </c>
      <c r="K5" s="2795">
        <f>SUMPRODUCT(G4:G1333,H4:H1333)</f>
        <v>0</v>
      </c>
    </row>
    <row r="6" spans="1:12" ht="17.25" thickBot="1">
      <c r="A6" s="1840" t="s">
        <v>755</v>
      </c>
      <c r="B6" s="1841" t="s">
        <v>6694</v>
      </c>
      <c r="C6" s="1842" t="s">
        <v>696</v>
      </c>
      <c r="D6" s="1852"/>
      <c r="E6" s="1852"/>
      <c r="F6" s="1853">
        <f t="shared" si="1"/>
        <v>0</v>
      </c>
      <c r="G6" s="1843">
        <f t="shared" si="0"/>
        <v>0</v>
      </c>
      <c r="H6" s="1173">
        <v>1.2790999999999999</v>
      </c>
      <c r="I6" s="3121" t="s">
        <v>0</v>
      </c>
      <c r="K6" s="15" t="s">
        <v>288</v>
      </c>
    </row>
    <row r="7" spans="1:12" ht="16.5">
      <c r="A7" s="1840" t="s">
        <v>756</v>
      </c>
      <c r="B7" s="1841" t="s">
        <v>6695</v>
      </c>
      <c r="C7" s="1842" t="s">
        <v>696</v>
      </c>
      <c r="D7" s="1852"/>
      <c r="E7" s="1852"/>
      <c r="F7" s="1853">
        <f t="shared" si="1"/>
        <v>0</v>
      </c>
      <c r="G7" s="1843">
        <f t="shared" si="0"/>
        <v>0</v>
      </c>
      <c r="H7" s="1173">
        <v>1.1627000000000001</v>
      </c>
      <c r="I7" s="3121" t="s">
        <v>0</v>
      </c>
      <c r="K7" s="3963" t="s">
        <v>6138</v>
      </c>
      <c r="L7" s="3964"/>
    </row>
    <row r="8" spans="1:12" ht="16.5">
      <c r="A8" s="1840" t="s">
        <v>757</v>
      </c>
      <c r="B8" s="1841" t="s">
        <v>6696</v>
      </c>
      <c r="C8" s="1842" t="s">
        <v>696</v>
      </c>
      <c r="D8" s="1852"/>
      <c r="E8" s="1852"/>
      <c r="F8" s="1853">
        <f t="shared" si="1"/>
        <v>0</v>
      </c>
      <c r="G8" s="1843">
        <f t="shared" si="0"/>
        <v>0</v>
      </c>
      <c r="H8" s="1173">
        <v>0.52149999999999996</v>
      </c>
      <c r="I8" s="3121" t="s">
        <v>0</v>
      </c>
      <c r="K8" s="1171" t="s">
        <v>5035</v>
      </c>
      <c r="L8" s="1844"/>
    </row>
    <row r="9" spans="1:12" ht="16.5">
      <c r="A9" s="1840" t="s">
        <v>758</v>
      </c>
      <c r="B9" s="1841" t="s">
        <v>6697</v>
      </c>
      <c r="C9" s="1842" t="s">
        <v>696</v>
      </c>
      <c r="D9" s="1852"/>
      <c r="E9" s="1852"/>
      <c r="F9" s="1853">
        <f t="shared" si="1"/>
        <v>0</v>
      </c>
      <c r="G9" s="1843">
        <f t="shared" si="0"/>
        <v>0</v>
      </c>
      <c r="H9" s="1173">
        <v>0.65400000000000003</v>
      </c>
      <c r="I9" s="3121" t="s">
        <v>0</v>
      </c>
      <c r="K9" s="1171" t="s">
        <v>5036</v>
      </c>
      <c r="L9" s="1844"/>
    </row>
    <row r="10" spans="1:12" ht="16.5">
      <c r="A10" s="1840" t="s">
        <v>759</v>
      </c>
      <c r="B10" s="1841" t="s">
        <v>6698</v>
      </c>
      <c r="C10" s="1842" t="s">
        <v>696</v>
      </c>
      <c r="D10" s="1852"/>
      <c r="E10" s="1852"/>
      <c r="F10" s="1853">
        <f t="shared" si="1"/>
        <v>0</v>
      </c>
      <c r="G10" s="1843">
        <f t="shared" si="0"/>
        <v>0</v>
      </c>
      <c r="H10" s="1173">
        <v>1.0907</v>
      </c>
      <c r="I10" s="3121" t="s">
        <v>0</v>
      </c>
      <c r="K10" s="1171" t="s">
        <v>5037</v>
      </c>
      <c r="L10" s="1844"/>
    </row>
    <row r="11" spans="1:12" ht="16.5">
      <c r="A11" s="1840" t="s">
        <v>760</v>
      </c>
      <c r="B11" s="1841" t="s">
        <v>6699</v>
      </c>
      <c r="C11" s="1842" t="s">
        <v>696</v>
      </c>
      <c r="D11" s="1852"/>
      <c r="E11" s="1852"/>
      <c r="F11" s="1853">
        <f t="shared" si="1"/>
        <v>0</v>
      </c>
      <c r="G11" s="1843">
        <f t="shared" si="0"/>
        <v>0</v>
      </c>
      <c r="H11" s="1173">
        <v>1.0439000000000001</v>
      </c>
      <c r="I11" s="3121" t="s">
        <v>0</v>
      </c>
      <c r="K11" s="1171" t="s">
        <v>5038</v>
      </c>
      <c r="L11" s="1844"/>
    </row>
    <row r="12" spans="1:12" ht="16.5">
      <c r="A12" s="1840" t="s">
        <v>761</v>
      </c>
      <c r="B12" s="1841" t="s">
        <v>6700</v>
      </c>
      <c r="C12" s="1842" t="s">
        <v>696</v>
      </c>
      <c r="D12" s="1852"/>
      <c r="E12" s="1852"/>
      <c r="F12" s="1853">
        <f t="shared" si="1"/>
        <v>0</v>
      </c>
      <c r="G12" s="1843">
        <f t="shared" si="0"/>
        <v>0</v>
      </c>
      <c r="H12" s="1173">
        <v>0.93620000000000003</v>
      </c>
      <c r="I12" s="3121" t="s">
        <v>0</v>
      </c>
      <c r="K12" s="1171" t="s">
        <v>5039</v>
      </c>
      <c r="L12" s="1844"/>
    </row>
    <row r="13" spans="1:12" ht="16.5">
      <c r="A13" s="1840" t="s">
        <v>762</v>
      </c>
      <c r="B13" s="1841" t="s">
        <v>6701</v>
      </c>
      <c r="C13" s="1842" t="s">
        <v>696</v>
      </c>
      <c r="D13" s="1852"/>
      <c r="E13" s="1852"/>
      <c r="F13" s="1853">
        <f t="shared" si="1"/>
        <v>0</v>
      </c>
      <c r="G13" s="1843">
        <f t="shared" si="0"/>
        <v>0</v>
      </c>
      <c r="H13" s="1173">
        <v>1.0979000000000001</v>
      </c>
      <c r="I13" s="3121" t="s">
        <v>0</v>
      </c>
      <c r="K13" s="1171" t="s">
        <v>5040</v>
      </c>
      <c r="L13" s="1844"/>
    </row>
    <row r="14" spans="1:12" ht="16.5">
      <c r="A14" s="1840" t="s">
        <v>763</v>
      </c>
      <c r="B14" s="1841" t="s">
        <v>6702</v>
      </c>
      <c r="C14" s="1842" t="s">
        <v>696</v>
      </c>
      <c r="D14" s="1852"/>
      <c r="E14" s="1852"/>
      <c r="F14" s="1853">
        <f t="shared" si="1"/>
        <v>0</v>
      </c>
      <c r="G14" s="1843">
        <f t="shared" si="0"/>
        <v>0</v>
      </c>
      <c r="H14" s="1173">
        <v>2.0848</v>
      </c>
      <c r="I14" s="3121" t="s">
        <v>0</v>
      </c>
      <c r="K14" s="1171" t="s">
        <v>5041</v>
      </c>
      <c r="L14" s="1844"/>
    </row>
    <row r="15" spans="1:12" ht="16.5">
      <c r="A15" s="1840" t="s">
        <v>764</v>
      </c>
      <c r="B15" s="1841" t="s">
        <v>6703</v>
      </c>
      <c r="C15" s="1842" t="s">
        <v>696</v>
      </c>
      <c r="D15" s="1852"/>
      <c r="E15" s="1852"/>
      <c r="F15" s="1853">
        <f t="shared" si="1"/>
        <v>0</v>
      </c>
      <c r="G15" s="1843">
        <f t="shared" si="0"/>
        <v>0</v>
      </c>
      <c r="H15" s="1173">
        <v>-1.0201</v>
      </c>
      <c r="I15" s="3121" t="s">
        <v>0</v>
      </c>
      <c r="K15" s="1171" t="s">
        <v>5042</v>
      </c>
      <c r="L15" s="1844"/>
    </row>
    <row r="16" spans="1:12" ht="16.5">
      <c r="A16" s="1840" t="s">
        <v>765</v>
      </c>
      <c r="B16" s="1841" t="s">
        <v>6704</v>
      </c>
      <c r="C16" s="1842" t="s">
        <v>696</v>
      </c>
      <c r="D16" s="1852"/>
      <c r="E16" s="1852"/>
      <c r="F16" s="1853">
        <f t="shared" si="1"/>
        <v>0</v>
      </c>
      <c r="G16" s="1843">
        <f t="shared" si="0"/>
        <v>0</v>
      </c>
      <c r="H16" s="1173">
        <v>2.0156999999999998</v>
      </c>
      <c r="I16" s="3121" t="s">
        <v>0</v>
      </c>
      <c r="K16" s="1171" t="s">
        <v>5043</v>
      </c>
      <c r="L16" s="1844"/>
    </row>
    <row r="17" spans="1:12" ht="16.5">
      <c r="A17" s="1840" t="s">
        <v>766</v>
      </c>
      <c r="B17" s="1841" t="s">
        <v>6705</v>
      </c>
      <c r="C17" s="1842" t="s">
        <v>696</v>
      </c>
      <c r="D17" s="1852"/>
      <c r="E17" s="1852"/>
      <c r="F17" s="1853">
        <f t="shared" si="1"/>
        <v>0</v>
      </c>
      <c r="G17" s="1843">
        <f t="shared" si="0"/>
        <v>0</v>
      </c>
      <c r="H17" s="1173">
        <v>-1.0184</v>
      </c>
      <c r="I17" s="3121" t="s">
        <v>0</v>
      </c>
      <c r="K17" s="1171" t="s">
        <v>5044</v>
      </c>
      <c r="L17" s="1844"/>
    </row>
    <row r="18" spans="1:12" ht="16.5">
      <c r="A18" s="1840" t="s">
        <v>767</v>
      </c>
      <c r="B18" s="1841" t="s">
        <v>6706</v>
      </c>
      <c r="C18" s="1842" t="s">
        <v>696</v>
      </c>
      <c r="D18" s="1852"/>
      <c r="E18" s="1852"/>
      <c r="F18" s="1853">
        <f t="shared" si="1"/>
        <v>0</v>
      </c>
      <c r="G18" s="1843">
        <f t="shared" si="0"/>
        <v>0</v>
      </c>
      <c r="H18" s="1173">
        <v>2.0257999999999998</v>
      </c>
      <c r="I18" s="3121" t="s">
        <v>0</v>
      </c>
      <c r="K18" s="1171" t="s">
        <v>5045</v>
      </c>
      <c r="L18" s="1844"/>
    </row>
    <row r="19" spans="1:12" ht="16.5">
      <c r="A19" s="1840" t="s">
        <v>768</v>
      </c>
      <c r="B19" s="1841" t="s">
        <v>6707</v>
      </c>
      <c r="C19" s="1842" t="s">
        <v>696</v>
      </c>
      <c r="D19" s="1852"/>
      <c r="E19" s="1852"/>
      <c r="F19" s="1853">
        <f t="shared" si="1"/>
        <v>0</v>
      </c>
      <c r="G19" s="1843">
        <f t="shared" si="0"/>
        <v>0</v>
      </c>
      <c r="H19" s="1173">
        <v>-0.97940000000000005</v>
      </c>
      <c r="I19" s="3121" t="s">
        <v>0</v>
      </c>
      <c r="K19" s="1171" t="s">
        <v>5046</v>
      </c>
      <c r="L19" s="1844"/>
    </row>
    <row r="20" spans="1:12" ht="16.5">
      <c r="A20" s="1840" t="s">
        <v>769</v>
      </c>
      <c r="B20" s="1841" t="s">
        <v>6708</v>
      </c>
      <c r="C20" s="1842" t="s">
        <v>696</v>
      </c>
      <c r="D20" s="1852"/>
      <c r="E20" s="1852"/>
      <c r="F20" s="1853">
        <f t="shared" si="1"/>
        <v>0</v>
      </c>
      <c r="G20" s="1843">
        <f t="shared" si="0"/>
        <v>0</v>
      </c>
      <c r="H20" s="1173">
        <v>2.0488</v>
      </c>
      <c r="I20" s="3121" t="s">
        <v>0</v>
      </c>
      <c r="K20" s="1171" t="s">
        <v>5047</v>
      </c>
      <c r="L20" s="1844"/>
    </row>
    <row r="21" spans="1:12" ht="16.5">
      <c r="A21" s="1840" t="s">
        <v>770</v>
      </c>
      <c r="B21" s="1841" t="s">
        <v>6709</v>
      </c>
      <c r="C21" s="1842" t="s">
        <v>696</v>
      </c>
      <c r="D21" s="1852"/>
      <c r="E21" s="1852"/>
      <c r="F21" s="1853">
        <f t="shared" si="1"/>
        <v>0</v>
      </c>
      <c r="G21" s="1843">
        <f t="shared" si="0"/>
        <v>0</v>
      </c>
      <c r="H21" s="1173">
        <v>-0.9617</v>
      </c>
      <c r="I21" s="3121" t="s">
        <v>0</v>
      </c>
      <c r="K21" s="1171" t="s">
        <v>5048</v>
      </c>
      <c r="L21" s="1844"/>
    </row>
    <row r="22" spans="1:12" ht="16.5">
      <c r="A22" s="1840" t="s">
        <v>771</v>
      </c>
      <c r="B22" s="1841" t="s">
        <v>6710</v>
      </c>
      <c r="C22" s="1842" t="s">
        <v>696</v>
      </c>
      <c r="D22" s="1852"/>
      <c r="E22" s="1852"/>
      <c r="F22" s="1853">
        <f t="shared" si="1"/>
        <v>0</v>
      </c>
      <c r="G22" s="1843">
        <f t="shared" si="0"/>
        <v>0</v>
      </c>
      <c r="H22" s="1173">
        <v>0.93540000000000001</v>
      </c>
      <c r="I22" s="3121" t="s">
        <v>0</v>
      </c>
      <c r="K22" s="1845" t="s">
        <v>5049</v>
      </c>
      <c r="L22" s="1846"/>
    </row>
    <row r="23" spans="1:12" ht="16.5">
      <c r="A23" s="1840" t="s">
        <v>772</v>
      </c>
      <c r="B23" s="1841" t="s">
        <v>6711</v>
      </c>
      <c r="C23" s="1842" t="s">
        <v>696</v>
      </c>
      <c r="D23" s="1852"/>
      <c r="E23" s="1852"/>
      <c r="F23" s="1853">
        <f t="shared" si="1"/>
        <v>0</v>
      </c>
      <c r="G23" s="1843">
        <f t="shared" si="0"/>
        <v>0</v>
      </c>
      <c r="H23" s="1173">
        <v>1.028</v>
      </c>
      <c r="I23" s="3121" t="s">
        <v>0</v>
      </c>
      <c r="K23" s="1172" t="s">
        <v>5050</v>
      </c>
      <c r="L23" s="1847"/>
    </row>
    <row r="24" spans="1:12" ht="16.5">
      <c r="A24" s="1840" t="s">
        <v>773</v>
      </c>
      <c r="B24" s="1841" t="s">
        <v>6712</v>
      </c>
      <c r="C24" s="1842" t="s">
        <v>696</v>
      </c>
      <c r="D24" s="1852"/>
      <c r="E24" s="1852"/>
      <c r="F24" s="1853">
        <f t="shared" si="1"/>
        <v>0</v>
      </c>
      <c r="G24" s="1843">
        <f t="shared" si="0"/>
        <v>0</v>
      </c>
      <c r="H24" s="1173">
        <v>0.43149999999999999</v>
      </c>
      <c r="I24" s="3121" t="s">
        <v>0</v>
      </c>
      <c r="K24" s="1171" t="s">
        <v>5051</v>
      </c>
      <c r="L24" s="2792">
        <f>SUM(L25:L26)</f>
        <v>0</v>
      </c>
    </row>
    <row r="25" spans="1:12" ht="16.5">
      <c r="A25" s="1840" t="s">
        <v>774</v>
      </c>
      <c r="B25" s="1841" t="s">
        <v>6713</v>
      </c>
      <c r="C25" s="1842" t="s">
        <v>696</v>
      </c>
      <c r="D25" s="1852"/>
      <c r="E25" s="1852"/>
      <c r="F25" s="1853">
        <f t="shared" si="1"/>
        <v>0</v>
      </c>
      <c r="G25" s="1843">
        <f t="shared" si="0"/>
        <v>0</v>
      </c>
      <c r="H25" s="1173">
        <v>0.40500000000000003</v>
      </c>
      <c r="I25" s="3121" t="s">
        <v>0</v>
      </c>
      <c r="K25" s="1848" t="s">
        <v>5052</v>
      </c>
      <c r="L25" s="1847"/>
    </row>
    <row r="26" spans="1:12" ht="16.5">
      <c r="A26" s="1840" t="s">
        <v>775</v>
      </c>
      <c r="B26" s="1841" t="s">
        <v>6714</v>
      </c>
      <c r="C26" s="1842" t="s">
        <v>696</v>
      </c>
      <c r="D26" s="1852"/>
      <c r="E26" s="1852"/>
      <c r="F26" s="1853">
        <f t="shared" si="1"/>
        <v>0</v>
      </c>
      <c r="G26" s="1843">
        <f t="shared" si="0"/>
        <v>0</v>
      </c>
      <c r="H26" s="1173">
        <v>0.96809999999999996</v>
      </c>
      <c r="I26" s="3121" t="s">
        <v>0</v>
      </c>
      <c r="K26" s="1172" t="s">
        <v>5053</v>
      </c>
      <c r="L26" s="1847"/>
    </row>
    <row r="27" spans="1:12" ht="16.5">
      <c r="A27" s="1840" t="s">
        <v>776</v>
      </c>
      <c r="B27" s="1841" t="s">
        <v>6715</v>
      </c>
      <c r="C27" s="1842" t="s">
        <v>696</v>
      </c>
      <c r="D27" s="1852"/>
      <c r="E27" s="1852"/>
      <c r="F27" s="1853">
        <f t="shared" si="1"/>
        <v>0</v>
      </c>
      <c r="G27" s="1843">
        <f t="shared" si="0"/>
        <v>0</v>
      </c>
      <c r="H27" s="1173">
        <v>0.63590000000000002</v>
      </c>
      <c r="I27" s="3121" t="s">
        <v>0</v>
      </c>
      <c r="K27" s="1172" t="s">
        <v>5054</v>
      </c>
      <c r="L27" s="2793">
        <f>SUM(L28:L29)</f>
        <v>0</v>
      </c>
    </row>
    <row r="28" spans="1:12" ht="16.5">
      <c r="A28" s="1840" t="s">
        <v>777</v>
      </c>
      <c r="B28" s="1841" t="s">
        <v>6716</v>
      </c>
      <c r="C28" s="1842" t="s">
        <v>696</v>
      </c>
      <c r="D28" s="1852"/>
      <c r="E28" s="1852"/>
      <c r="F28" s="1853">
        <f t="shared" si="1"/>
        <v>0</v>
      </c>
      <c r="G28" s="1843">
        <f t="shared" si="0"/>
        <v>0</v>
      </c>
      <c r="H28" s="1173">
        <v>0.63839999999999997</v>
      </c>
      <c r="I28" s="3121" t="s">
        <v>0</v>
      </c>
      <c r="K28" s="1172" t="s">
        <v>5055</v>
      </c>
      <c r="L28" s="1847"/>
    </row>
    <row r="29" spans="1:12" ht="17.25" thickBot="1">
      <c r="A29" s="1840" t="s">
        <v>778</v>
      </c>
      <c r="B29" s="1841" t="s">
        <v>6717</v>
      </c>
      <c r="C29" s="1842" t="s">
        <v>696</v>
      </c>
      <c r="D29" s="1852"/>
      <c r="E29" s="1852"/>
      <c r="F29" s="1853">
        <f t="shared" si="1"/>
        <v>0</v>
      </c>
      <c r="G29" s="1843">
        <f t="shared" si="0"/>
        <v>0</v>
      </c>
      <c r="H29" s="1173">
        <v>0.79010000000000002</v>
      </c>
      <c r="I29" s="3121" t="s">
        <v>0</v>
      </c>
      <c r="K29" s="1849" t="s">
        <v>5056</v>
      </c>
      <c r="L29" s="1850"/>
    </row>
    <row r="30" spans="1:12" ht="17.25" thickBot="1">
      <c r="A30" s="1840" t="s">
        <v>779</v>
      </c>
      <c r="B30" s="1841" t="s">
        <v>6718</v>
      </c>
      <c r="C30" s="1842" t="s">
        <v>696</v>
      </c>
      <c r="D30" s="1852"/>
      <c r="E30" s="1852"/>
      <c r="F30" s="1853">
        <f t="shared" si="1"/>
        <v>0</v>
      </c>
      <c r="G30" s="1843">
        <f t="shared" si="0"/>
        <v>0</v>
      </c>
      <c r="H30" s="1173">
        <v>0.9657</v>
      </c>
      <c r="I30" s="3121" t="s">
        <v>0</v>
      </c>
    </row>
    <row r="31" spans="1:12" ht="16.5">
      <c r="A31" s="1840" t="s">
        <v>1958</v>
      </c>
      <c r="B31" s="1841" t="s">
        <v>6719</v>
      </c>
      <c r="C31" s="1842" t="s">
        <v>696</v>
      </c>
      <c r="D31" s="1852"/>
      <c r="E31" s="1852"/>
      <c r="F31" s="1853">
        <f t="shared" si="1"/>
        <v>0</v>
      </c>
      <c r="G31" s="1843">
        <f t="shared" si="0"/>
        <v>0</v>
      </c>
      <c r="H31" s="1173">
        <v>0.6038</v>
      </c>
      <c r="I31" s="3121" t="s">
        <v>0</v>
      </c>
      <c r="K31" s="3963" t="s">
        <v>6139</v>
      </c>
      <c r="L31" s="3964"/>
    </row>
    <row r="32" spans="1:12" ht="16.5">
      <c r="A32" s="1840" t="s">
        <v>1959</v>
      </c>
      <c r="B32" s="1841" t="s">
        <v>6720</v>
      </c>
      <c r="C32" s="1842" t="s">
        <v>696</v>
      </c>
      <c r="D32" s="1852"/>
      <c r="E32" s="1852"/>
      <c r="F32" s="1853">
        <f t="shared" si="1"/>
        <v>0</v>
      </c>
      <c r="G32" s="1843">
        <f t="shared" si="0"/>
        <v>0</v>
      </c>
      <c r="H32" s="1173">
        <v>1.1376999999999999</v>
      </c>
      <c r="I32" s="3121" t="s">
        <v>0</v>
      </c>
      <c r="K32" s="1171" t="s">
        <v>5057</v>
      </c>
      <c r="L32" s="1844"/>
    </row>
    <row r="33" spans="1:12" ht="16.5">
      <c r="A33" s="1840" t="s">
        <v>3189</v>
      </c>
      <c r="B33" s="1841" t="s">
        <v>6721</v>
      </c>
      <c r="C33" s="1842" t="s">
        <v>696</v>
      </c>
      <c r="D33" s="1852"/>
      <c r="E33" s="1852"/>
      <c r="F33" s="1853">
        <f t="shared" si="1"/>
        <v>0</v>
      </c>
      <c r="G33" s="1843">
        <f t="shared" si="0"/>
        <v>0</v>
      </c>
      <c r="H33" s="1173">
        <v>1.0628</v>
      </c>
      <c r="I33" s="3121" t="s">
        <v>0</v>
      </c>
      <c r="K33" s="1171" t="s">
        <v>5058</v>
      </c>
      <c r="L33" s="1844"/>
    </row>
    <row r="34" spans="1:12" ht="16.5">
      <c r="A34" s="1840" t="s">
        <v>3190</v>
      </c>
      <c r="B34" s="1841" t="s">
        <v>6722</v>
      </c>
      <c r="C34" s="1842" t="s">
        <v>696</v>
      </c>
      <c r="D34" s="1852"/>
      <c r="E34" s="1852"/>
      <c r="F34" s="1853">
        <f t="shared" si="1"/>
        <v>0</v>
      </c>
      <c r="G34" s="1843">
        <f t="shared" si="0"/>
        <v>0</v>
      </c>
      <c r="H34" s="1173">
        <v>1.0959000000000001</v>
      </c>
      <c r="I34" s="3121" t="s">
        <v>0</v>
      </c>
      <c r="K34" s="1171" t="s">
        <v>5059</v>
      </c>
      <c r="L34" s="1844"/>
    </row>
    <row r="35" spans="1:12" ht="16.5">
      <c r="A35" s="1840" t="s">
        <v>3191</v>
      </c>
      <c r="B35" s="1841" t="s">
        <v>6723</v>
      </c>
      <c r="C35" s="1842" t="s">
        <v>696</v>
      </c>
      <c r="D35" s="1852"/>
      <c r="E35" s="1852"/>
      <c r="F35" s="1853">
        <f t="shared" si="1"/>
        <v>0</v>
      </c>
      <c r="G35" s="1843">
        <f t="shared" si="0"/>
        <v>0</v>
      </c>
      <c r="H35" s="1173">
        <v>1.1297999999999999</v>
      </c>
      <c r="I35" s="3122" t="s">
        <v>0</v>
      </c>
      <c r="K35" s="1171" t="s">
        <v>5060</v>
      </c>
      <c r="L35" s="1844"/>
    </row>
    <row r="36" spans="1:12" ht="16.5">
      <c r="A36" s="1840" t="s">
        <v>3192</v>
      </c>
      <c r="B36" s="1841" t="s">
        <v>6724</v>
      </c>
      <c r="C36" s="1842" t="s">
        <v>696</v>
      </c>
      <c r="D36" s="1852"/>
      <c r="E36" s="1852"/>
      <c r="F36" s="1853">
        <f t="shared" si="1"/>
        <v>0</v>
      </c>
      <c r="G36" s="1843">
        <f t="shared" si="0"/>
        <v>0</v>
      </c>
      <c r="H36" s="1173">
        <v>0.85160000000000002</v>
      </c>
      <c r="I36" s="3122" t="s">
        <v>0</v>
      </c>
      <c r="K36" s="1171" t="s">
        <v>5061</v>
      </c>
      <c r="L36" s="1844"/>
    </row>
    <row r="37" spans="1:12" ht="16.5">
      <c r="A37" s="1840" t="s">
        <v>3193</v>
      </c>
      <c r="B37" s="1841" t="s">
        <v>6725</v>
      </c>
      <c r="C37" s="1842" t="s">
        <v>696</v>
      </c>
      <c r="D37" s="1852"/>
      <c r="E37" s="1852"/>
      <c r="F37" s="1853">
        <f t="shared" si="1"/>
        <v>0</v>
      </c>
      <c r="G37" s="1843">
        <f t="shared" si="0"/>
        <v>0</v>
      </c>
      <c r="H37" s="1173">
        <v>0.52810000000000001</v>
      </c>
      <c r="I37" s="3122" t="s">
        <v>0</v>
      </c>
      <c r="K37" s="1171" t="s">
        <v>5062</v>
      </c>
      <c r="L37" s="1844"/>
    </row>
    <row r="38" spans="1:12" ht="16.5">
      <c r="A38" s="1840" t="s">
        <v>3194</v>
      </c>
      <c r="B38" s="1841" t="s">
        <v>6726</v>
      </c>
      <c r="C38" s="1842" t="s">
        <v>696</v>
      </c>
      <c r="D38" s="1852"/>
      <c r="E38" s="1852"/>
      <c r="F38" s="1853">
        <f t="shared" si="1"/>
        <v>0</v>
      </c>
      <c r="G38" s="1843">
        <f t="shared" si="0"/>
        <v>0</v>
      </c>
      <c r="H38" s="1173">
        <v>1.1402000000000001</v>
      </c>
      <c r="I38" s="3122" t="s">
        <v>0</v>
      </c>
      <c r="K38" s="1171" t="s">
        <v>5063</v>
      </c>
      <c r="L38" s="1844"/>
    </row>
    <row r="39" spans="1:12" ht="16.5">
      <c r="A39" s="1840" t="s">
        <v>3272</v>
      </c>
      <c r="B39" s="1841" t="s">
        <v>6727</v>
      </c>
      <c r="C39" s="1842" t="s">
        <v>696</v>
      </c>
      <c r="D39" s="1852"/>
      <c r="E39" s="1852"/>
      <c r="F39" s="1853">
        <f t="shared" si="1"/>
        <v>0</v>
      </c>
      <c r="G39" s="1843">
        <f t="shared" si="0"/>
        <v>0</v>
      </c>
      <c r="H39" s="1173">
        <v>1.0768</v>
      </c>
      <c r="I39" s="3122" t="s">
        <v>0</v>
      </c>
      <c r="K39" s="1171" t="s">
        <v>5064</v>
      </c>
      <c r="L39" s="1844"/>
    </row>
    <row r="40" spans="1:12" ht="16.5">
      <c r="A40" s="1840" t="s">
        <v>3273</v>
      </c>
      <c r="B40" s="1841" t="s">
        <v>6728</v>
      </c>
      <c r="C40" s="1842" t="s">
        <v>696</v>
      </c>
      <c r="D40" s="1852"/>
      <c r="E40" s="1852"/>
      <c r="F40" s="1853">
        <f t="shared" si="1"/>
        <v>0</v>
      </c>
      <c r="G40" s="1843">
        <f t="shared" si="0"/>
        <v>0</v>
      </c>
      <c r="H40" s="1173">
        <v>0.9597</v>
      </c>
      <c r="I40" s="3122" t="s">
        <v>0</v>
      </c>
      <c r="K40" s="1171" t="s">
        <v>5065</v>
      </c>
      <c r="L40" s="1844"/>
    </row>
    <row r="41" spans="1:12" ht="16.5">
      <c r="A41" s="1840" t="s">
        <v>3274</v>
      </c>
      <c r="B41" s="1841" t="s">
        <v>6729</v>
      </c>
      <c r="C41" s="1842" t="s">
        <v>696</v>
      </c>
      <c r="D41" s="1852"/>
      <c r="E41" s="1852"/>
      <c r="F41" s="1853">
        <f t="shared" si="1"/>
        <v>0</v>
      </c>
      <c r="G41" s="1843">
        <f t="shared" si="0"/>
        <v>0</v>
      </c>
      <c r="H41" s="1173">
        <v>0.49659999999999999</v>
      </c>
      <c r="I41" s="3121" t="s">
        <v>0</v>
      </c>
      <c r="K41" s="1171" t="s">
        <v>5066</v>
      </c>
      <c r="L41" s="1844"/>
    </row>
    <row r="42" spans="1:12" ht="16.5">
      <c r="A42" s="1840" t="s">
        <v>3275</v>
      </c>
      <c r="B42" s="1841" t="s">
        <v>6730</v>
      </c>
      <c r="C42" s="1842" t="s">
        <v>696</v>
      </c>
      <c r="D42" s="1852"/>
      <c r="E42" s="1852"/>
      <c r="F42" s="1853">
        <f t="shared" si="1"/>
        <v>0</v>
      </c>
      <c r="G42" s="1843">
        <f t="shared" si="0"/>
        <v>0</v>
      </c>
      <c r="H42" s="1173">
        <v>0.92589999999999995</v>
      </c>
      <c r="I42" s="3121" t="s">
        <v>0</v>
      </c>
      <c r="K42" s="1171" t="s">
        <v>5067</v>
      </c>
      <c r="L42" s="1844"/>
    </row>
    <row r="43" spans="1:12" ht="16.5">
      <c r="A43" s="1840" t="s">
        <v>3276</v>
      </c>
      <c r="B43" s="1841" t="s">
        <v>6731</v>
      </c>
      <c r="C43" s="1842" t="s">
        <v>696</v>
      </c>
      <c r="D43" s="1852"/>
      <c r="E43" s="1852"/>
      <c r="F43" s="1853">
        <f t="shared" si="1"/>
        <v>0</v>
      </c>
      <c r="G43" s="1843">
        <f t="shared" si="0"/>
        <v>0</v>
      </c>
      <c r="H43" s="1173">
        <v>1.0364</v>
      </c>
      <c r="I43" s="3121" t="s">
        <v>0</v>
      </c>
      <c r="K43" s="1171" t="s">
        <v>5068</v>
      </c>
      <c r="L43" s="1844"/>
    </row>
    <row r="44" spans="1:12" ht="16.5">
      <c r="A44" s="1840" t="s">
        <v>3277</v>
      </c>
      <c r="B44" s="1841" t="s">
        <v>6732</v>
      </c>
      <c r="C44" s="1842" t="s">
        <v>696</v>
      </c>
      <c r="D44" s="1852"/>
      <c r="E44" s="1852"/>
      <c r="F44" s="1853">
        <f t="shared" si="1"/>
        <v>0</v>
      </c>
      <c r="G44" s="1843">
        <f t="shared" si="0"/>
        <v>0</v>
      </c>
      <c r="H44" s="1173">
        <v>0.51819999999999999</v>
      </c>
      <c r="I44" s="3121" t="s">
        <v>0</v>
      </c>
      <c r="K44" s="1171" t="s">
        <v>5069</v>
      </c>
      <c r="L44" s="1844"/>
    </row>
    <row r="45" spans="1:12" ht="16.5">
      <c r="A45" s="1840" t="s">
        <v>3278</v>
      </c>
      <c r="B45" s="1841" t="s">
        <v>6733</v>
      </c>
      <c r="C45" s="1842" t="s">
        <v>696</v>
      </c>
      <c r="D45" s="1852"/>
      <c r="E45" s="1852"/>
      <c r="F45" s="1853">
        <f t="shared" si="1"/>
        <v>0</v>
      </c>
      <c r="G45" s="1843">
        <f t="shared" si="0"/>
        <v>0</v>
      </c>
      <c r="H45" s="1173">
        <v>0.60770000000000002</v>
      </c>
      <c r="I45" s="3121" t="s">
        <v>0</v>
      </c>
      <c r="K45" s="1171" t="s">
        <v>5070</v>
      </c>
      <c r="L45" s="1844"/>
    </row>
    <row r="46" spans="1:12" ht="16.5">
      <c r="A46" s="1840" t="s">
        <v>3279</v>
      </c>
      <c r="B46" s="1841" t="s">
        <v>6734</v>
      </c>
      <c r="C46" s="1842" t="s">
        <v>696</v>
      </c>
      <c r="D46" s="1852"/>
      <c r="E46" s="1852"/>
      <c r="F46" s="1853">
        <f t="shared" si="1"/>
        <v>0</v>
      </c>
      <c r="G46" s="1843">
        <f t="shared" si="0"/>
        <v>0</v>
      </c>
      <c r="H46" s="1173">
        <v>0.60250000000000004</v>
      </c>
      <c r="I46" s="3121" t="s">
        <v>0</v>
      </c>
      <c r="K46" s="1171" t="s">
        <v>5071</v>
      </c>
      <c r="L46" s="1846"/>
    </row>
    <row r="47" spans="1:12" ht="16.5">
      <c r="A47" s="1840" t="s">
        <v>3546</v>
      </c>
      <c r="B47" s="1841" t="s">
        <v>6735</v>
      </c>
      <c r="C47" s="1842" t="s">
        <v>696</v>
      </c>
      <c r="D47" s="1852"/>
      <c r="E47" s="1852"/>
      <c r="F47" s="1853">
        <f t="shared" si="1"/>
        <v>0</v>
      </c>
      <c r="G47" s="1843">
        <f t="shared" si="0"/>
        <v>0</v>
      </c>
      <c r="H47" s="1173">
        <v>0.56089999999999995</v>
      </c>
      <c r="I47" s="3121" t="s">
        <v>0</v>
      </c>
      <c r="K47" s="1172" t="s">
        <v>5072</v>
      </c>
      <c r="L47" s="1847"/>
    </row>
    <row r="48" spans="1:12" ht="16.5">
      <c r="A48" s="1840" t="s">
        <v>3547</v>
      </c>
      <c r="B48" s="1841" t="s">
        <v>6736</v>
      </c>
      <c r="C48" s="1842" t="s">
        <v>696</v>
      </c>
      <c r="D48" s="1852"/>
      <c r="E48" s="1852"/>
      <c r="F48" s="1853">
        <f t="shared" si="1"/>
        <v>0</v>
      </c>
      <c r="G48" s="1843">
        <f t="shared" si="0"/>
        <v>0</v>
      </c>
      <c r="H48" s="1173">
        <v>0.98599999999999999</v>
      </c>
      <c r="I48" s="3121" t="s">
        <v>0</v>
      </c>
      <c r="K48" s="1171" t="s">
        <v>5073</v>
      </c>
      <c r="L48" s="2792">
        <f>SUM(L49:L50)</f>
        <v>0</v>
      </c>
    </row>
    <row r="49" spans="1:12" ht="16.5">
      <c r="A49" s="1840" t="s">
        <v>3548</v>
      </c>
      <c r="B49" s="1841" t="s">
        <v>6737</v>
      </c>
      <c r="C49" s="1842" t="s">
        <v>696</v>
      </c>
      <c r="D49" s="1852"/>
      <c r="E49" s="1852"/>
      <c r="F49" s="1853">
        <f t="shared" si="1"/>
        <v>0</v>
      </c>
      <c r="G49" s="1843">
        <f t="shared" si="0"/>
        <v>0</v>
      </c>
      <c r="H49" s="1173">
        <v>0.99329999999999996</v>
      </c>
      <c r="I49" s="3121" t="s">
        <v>0</v>
      </c>
      <c r="K49" s="1172" t="s">
        <v>5052</v>
      </c>
      <c r="L49" s="1847"/>
    </row>
    <row r="50" spans="1:12" ht="16.5">
      <c r="A50" s="1840" t="s">
        <v>3549</v>
      </c>
      <c r="B50" s="1841" t="s">
        <v>6738</v>
      </c>
      <c r="C50" s="1842" t="s">
        <v>696</v>
      </c>
      <c r="D50" s="1852"/>
      <c r="E50" s="1852"/>
      <c r="F50" s="1853">
        <f t="shared" si="1"/>
        <v>0</v>
      </c>
      <c r="G50" s="1843">
        <f t="shared" si="0"/>
        <v>0</v>
      </c>
      <c r="H50" s="1173">
        <v>0.93520000000000003</v>
      </c>
      <c r="I50" s="3121" t="s">
        <v>0</v>
      </c>
      <c r="K50" s="1172" t="s">
        <v>5053</v>
      </c>
      <c r="L50" s="1847"/>
    </row>
    <row r="51" spans="1:12" ht="16.5">
      <c r="A51" s="1840" t="s">
        <v>3550</v>
      </c>
      <c r="B51" s="1841" t="s">
        <v>6739</v>
      </c>
      <c r="C51" s="1842" t="s">
        <v>696</v>
      </c>
      <c r="D51" s="1852"/>
      <c r="E51" s="1852"/>
      <c r="F51" s="1853">
        <f t="shared" si="1"/>
        <v>0</v>
      </c>
      <c r="G51" s="1843">
        <f t="shared" si="0"/>
        <v>0</v>
      </c>
      <c r="H51" s="1173">
        <v>0.60029999999999994</v>
      </c>
      <c r="I51" s="3121" t="s">
        <v>0</v>
      </c>
      <c r="K51" s="1172" t="s">
        <v>5074</v>
      </c>
      <c r="L51" s="2793">
        <f>SUM(L52:L53)</f>
        <v>0</v>
      </c>
    </row>
    <row r="52" spans="1:12" ht="16.5">
      <c r="A52" s="1840" t="s">
        <v>3551</v>
      </c>
      <c r="B52" s="1841" t="s">
        <v>6740</v>
      </c>
      <c r="C52" s="1842" t="s">
        <v>696</v>
      </c>
      <c r="D52" s="1852"/>
      <c r="E52" s="1852"/>
      <c r="F52" s="1853">
        <f t="shared" si="1"/>
        <v>0</v>
      </c>
      <c r="G52" s="1843">
        <f t="shared" si="0"/>
        <v>0</v>
      </c>
      <c r="H52" s="1173">
        <v>0.61609999999999998</v>
      </c>
      <c r="I52" s="3121" t="s">
        <v>0</v>
      </c>
      <c r="K52" s="1171" t="s">
        <v>5055</v>
      </c>
      <c r="L52" s="1844"/>
    </row>
    <row r="53" spans="1:12" ht="17.25" thickBot="1">
      <c r="A53" s="1840" t="s">
        <v>3552</v>
      </c>
      <c r="B53" s="1841" t="s">
        <v>6741</v>
      </c>
      <c r="C53" s="1842" t="s">
        <v>696</v>
      </c>
      <c r="D53" s="1852"/>
      <c r="E53" s="1852"/>
      <c r="F53" s="1853">
        <f t="shared" si="1"/>
        <v>0</v>
      </c>
      <c r="G53" s="1843">
        <f t="shared" si="0"/>
        <v>0</v>
      </c>
      <c r="H53" s="1173">
        <v>0.56659999999999999</v>
      </c>
      <c r="I53" s="3121" t="s">
        <v>0</v>
      </c>
      <c r="K53" s="1849" t="s">
        <v>5056</v>
      </c>
      <c r="L53" s="1850"/>
    </row>
    <row r="54" spans="1:12" ht="16.5">
      <c r="A54" s="1840" t="s">
        <v>3553</v>
      </c>
      <c r="B54" s="1841" t="s">
        <v>6742</v>
      </c>
      <c r="C54" s="1842" t="s">
        <v>696</v>
      </c>
      <c r="D54" s="1852"/>
      <c r="E54" s="1852"/>
      <c r="F54" s="1853">
        <f t="shared" si="1"/>
        <v>0</v>
      </c>
      <c r="G54" s="1843">
        <f t="shared" si="0"/>
        <v>0</v>
      </c>
      <c r="H54" s="1173">
        <v>0.6452</v>
      </c>
      <c r="I54" s="3121" t="s">
        <v>0</v>
      </c>
    </row>
    <row r="55" spans="1:12" ht="16.5">
      <c r="A55" s="1840" t="s">
        <v>3554</v>
      </c>
      <c r="B55" s="1841" t="s">
        <v>6743</v>
      </c>
      <c r="C55" s="1842" t="s">
        <v>696</v>
      </c>
      <c r="D55" s="1852"/>
      <c r="E55" s="1852"/>
      <c r="F55" s="1853">
        <f t="shared" si="1"/>
        <v>0</v>
      </c>
      <c r="G55" s="1843">
        <f t="shared" si="0"/>
        <v>0</v>
      </c>
      <c r="H55" s="1173">
        <v>1.1536999999999999</v>
      </c>
      <c r="I55" s="3121" t="s">
        <v>0</v>
      </c>
    </row>
    <row r="56" spans="1:12" ht="16.5">
      <c r="A56" s="1840" t="s">
        <v>3555</v>
      </c>
      <c r="B56" s="1841" t="s">
        <v>6744</v>
      </c>
      <c r="C56" s="1842" t="s">
        <v>696</v>
      </c>
      <c r="D56" s="1852"/>
      <c r="E56" s="1852"/>
      <c r="F56" s="1853">
        <f t="shared" si="1"/>
        <v>0</v>
      </c>
      <c r="G56" s="1843">
        <f t="shared" si="0"/>
        <v>0</v>
      </c>
      <c r="H56" s="1173">
        <v>0.48799999999999999</v>
      </c>
      <c r="I56" s="3121" t="s">
        <v>0</v>
      </c>
    </row>
    <row r="57" spans="1:12" ht="16.5">
      <c r="A57" s="1840" t="s">
        <v>6076</v>
      </c>
      <c r="B57" s="1841" t="s">
        <v>6745</v>
      </c>
      <c r="C57" s="1842" t="s">
        <v>696</v>
      </c>
      <c r="D57" s="1852"/>
      <c r="E57" s="1852"/>
      <c r="F57" s="1853">
        <f t="shared" si="1"/>
        <v>0</v>
      </c>
      <c r="G57" s="1843">
        <f t="shared" si="0"/>
        <v>0</v>
      </c>
      <c r="H57" s="1173">
        <v>0.7703295652173916</v>
      </c>
      <c r="I57" s="3121" t="s">
        <v>6746</v>
      </c>
    </row>
    <row r="58" spans="1:12" ht="16.5">
      <c r="A58" s="1840" t="s">
        <v>6077</v>
      </c>
      <c r="B58" s="1841" t="s">
        <v>6747</v>
      </c>
      <c r="C58" s="1842" t="s">
        <v>696</v>
      </c>
      <c r="D58" s="1852"/>
      <c r="E58" s="1852"/>
      <c r="F58" s="1853">
        <f t="shared" si="1"/>
        <v>0</v>
      </c>
      <c r="G58" s="1843">
        <f t="shared" si="0"/>
        <v>0</v>
      </c>
      <c r="H58" s="1173">
        <v>0.7703295652173916</v>
      </c>
      <c r="I58" s="3121" t="s">
        <v>6746</v>
      </c>
    </row>
    <row r="59" spans="1:12" ht="16.5">
      <c r="A59" s="1840" t="s">
        <v>6078</v>
      </c>
      <c r="B59" s="1841" t="s">
        <v>6748</v>
      </c>
      <c r="C59" s="1842" t="s">
        <v>696</v>
      </c>
      <c r="D59" s="1852"/>
      <c r="E59" s="1852"/>
      <c r="F59" s="1853">
        <f t="shared" si="1"/>
        <v>0</v>
      </c>
      <c r="G59" s="1843">
        <f t="shared" si="0"/>
        <v>0</v>
      </c>
      <c r="H59" s="1173">
        <v>0.7703295652173916</v>
      </c>
      <c r="I59" s="3121" t="s">
        <v>6746</v>
      </c>
    </row>
    <row r="60" spans="1:12" ht="16.5">
      <c r="A60" s="1840" t="s">
        <v>6079</v>
      </c>
      <c r="B60" s="1841" t="s">
        <v>6749</v>
      </c>
      <c r="C60" s="1842" t="s">
        <v>696</v>
      </c>
      <c r="D60" s="1852"/>
      <c r="E60" s="1852"/>
      <c r="F60" s="1853">
        <f t="shared" si="1"/>
        <v>0</v>
      </c>
      <c r="G60" s="1843">
        <f t="shared" si="0"/>
        <v>0</v>
      </c>
      <c r="H60" s="1173">
        <v>0.7703295652173916</v>
      </c>
      <c r="I60" s="3121" t="s">
        <v>6746</v>
      </c>
    </row>
    <row r="61" spans="1:12" ht="16.5">
      <c r="A61" s="1840" t="s">
        <v>6080</v>
      </c>
      <c r="B61" s="1841" t="s">
        <v>6750</v>
      </c>
      <c r="C61" s="1842" t="s">
        <v>696</v>
      </c>
      <c r="D61" s="1852"/>
      <c r="E61" s="1852"/>
      <c r="F61" s="1853">
        <f t="shared" si="1"/>
        <v>0</v>
      </c>
      <c r="G61" s="1843">
        <f t="shared" si="0"/>
        <v>0</v>
      </c>
      <c r="H61" s="1173">
        <v>0.7703295652173916</v>
      </c>
      <c r="I61" s="3121" t="s">
        <v>6746</v>
      </c>
    </row>
    <row r="62" spans="1:12" ht="16.5">
      <c r="A62" s="1840" t="s">
        <v>6081</v>
      </c>
      <c r="B62" s="1841" t="s">
        <v>6751</v>
      </c>
      <c r="C62" s="1842" t="s">
        <v>696</v>
      </c>
      <c r="D62" s="1852"/>
      <c r="E62" s="1852"/>
      <c r="F62" s="1853">
        <f t="shared" si="1"/>
        <v>0</v>
      </c>
      <c r="G62" s="1843">
        <f t="shared" si="0"/>
        <v>0</v>
      </c>
      <c r="H62" s="1173">
        <v>0.7703295652173916</v>
      </c>
      <c r="I62" s="3121" t="s">
        <v>6746</v>
      </c>
    </row>
    <row r="63" spans="1:12" ht="16.5">
      <c r="A63" s="1840" t="s">
        <v>6082</v>
      </c>
      <c r="B63" s="1841" t="s">
        <v>6752</v>
      </c>
      <c r="C63" s="1842" t="s">
        <v>696</v>
      </c>
      <c r="D63" s="1852"/>
      <c r="E63" s="1852"/>
      <c r="F63" s="1853">
        <f t="shared" si="1"/>
        <v>0</v>
      </c>
      <c r="G63" s="1843">
        <f t="shared" si="0"/>
        <v>0</v>
      </c>
      <c r="H63" s="1173">
        <v>0.7703295652173916</v>
      </c>
      <c r="I63" s="3121" t="s">
        <v>6746</v>
      </c>
    </row>
    <row r="64" spans="1:12" ht="16.5">
      <c r="A64" s="1840" t="s">
        <v>6083</v>
      </c>
      <c r="B64" s="1841" t="s">
        <v>6753</v>
      </c>
      <c r="C64" s="1842" t="s">
        <v>696</v>
      </c>
      <c r="D64" s="1852"/>
      <c r="E64" s="1852"/>
      <c r="F64" s="1853">
        <f t="shared" si="1"/>
        <v>0</v>
      </c>
      <c r="G64" s="1843">
        <f t="shared" si="0"/>
        <v>0</v>
      </c>
      <c r="H64" s="1173">
        <v>0.7703295652173916</v>
      </c>
      <c r="I64" s="3121" t="s">
        <v>6746</v>
      </c>
    </row>
    <row r="65" spans="1:9" ht="16.5">
      <c r="A65" s="1840" t="s">
        <v>6084</v>
      </c>
      <c r="B65" s="1841" t="s">
        <v>6754</v>
      </c>
      <c r="C65" s="1842" t="s">
        <v>696</v>
      </c>
      <c r="D65" s="1852"/>
      <c r="E65" s="1852"/>
      <c r="F65" s="1853">
        <f t="shared" si="1"/>
        <v>0</v>
      </c>
      <c r="G65" s="1843">
        <f t="shared" si="0"/>
        <v>0</v>
      </c>
      <c r="H65" s="1173">
        <v>0.7703295652173916</v>
      </c>
      <c r="I65" s="3121" t="s">
        <v>6746</v>
      </c>
    </row>
    <row r="66" spans="1:9" ht="16.5">
      <c r="A66" s="1840" t="s">
        <v>6085</v>
      </c>
      <c r="B66" s="1841" t="s">
        <v>6755</v>
      </c>
      <c r="C66" s="1842" t="s">
        <v>696</v>
      </c>
      <c r="D66" s="1852"/>
      <c r="E66" s="1852"/>
      <c r="F66" s="1853">
        <f t="shared" si="1"/>
        <v>0</v>
      </c>
      <c r="G66" s="1843">
        <f t="shared" si="0"/>
        <v>0</v>
      </c>
      <c r="H66" s="1173">
        <v>0.7703295652173916</v>
      </c>
      <c r="I66" s="3121" t="s">
        <v>6746</v>
      </c>
    </row>
    <row r="67" spans="1:9" ht="16.5">
      <c r="A67" s="1840" t="s">
        <v>780</v>
      </c>
      <c r="B67" s="1841" t="s">
        <v>6756</v>
      </c>
      <c r="C67" s="1842" t="s">
        <v>6757</v>
      </c>
      <c r="D67" s="1852"/>
      <c r="E67" s="1852"/>
      <c r="F67" s="1853">
        <f t="shared" si="1"/>
        <v>0</v>
      </c>
      <c r="G67" s="1843">
        <f t="shared" si="0"/>
        <v>0</v>
      </c>
      <c r="H67" s="1173">
        <v>0.27100000000000002</v>
      </c>
      <c r="I67" s="3121" t="s">
        <v>0</v>
      </c>
    </row>
    <row r="68" spans="1:9" ht="16.5">
      <c r="A68" s="1840" t="s">
        <v>781</v>
      </c>
      <c r="B68" s="1841" t="s">
        <v>6758</v>
      </c>
      <c r="C68" s="1842" t="s">
        <v>6757</v>
      </c>
      <c r="D68" s="1852"/>
      <c r="E68" s="1852"/>
      <c r="F68" s="1853">
        <f t="shared" si="1"/>
        <v>0</v>
      </c>
      <c r="G68" s="1843">
        <f t="shared" ref="G68:G131" si="2">IF($F$1334=0,0,F68/$F$1334)</f>
        <v>0</v>
      </c>
      <c r="H68" s="1173">
        <v>0.25559999999999999</v>
      </c>
      <c r="I68" s="3121" t="s">
        <v>0</v>
      </c>
    </row>
    <row r="69" spans="1:9" ht="16.5">
      <c r="A69" s="1840" t="s">
        <v>782</v>
      </c>
      <c r="B69" s="1841" t="s">
        <v>6759</v>
      </c>
      <c r="C69" s="1842" t="s">
        <v>6757</v>
      </c>
      <c r="D69" s="1852"/>
      <c r="E69" s="1852"/>
      <c r="F69" s="1853">
        <f t="shared" ref="F69:F132" si="3">D69*E69</f>
        <v>0</v>
      </c>
      <c r="G69" s="1843">
        <f t="shared" si="2"/>
        <v>0</v>
      </c>
      <c r="H69" s="1173">
        <v>0.3251</v>
      </c>
      <c r="I69" s="3121" t="s">
        <v>0</v>
      </c>
    </row>
    <row r="70" spans="1:9" ht="16.5">
      <c r="A70" s="1840" t="s">
        <v>783</v>
      </c>
      <c r="B70" s="1841" t="s">
        <v>6760</v>
      </c>
      <c r="C70" s="1842" t="s">
        <v>6757</v>
      </c>
      <c r="D70" s="1852"/>
      <c r="E70" s="1852"/>
      <c r="F70" s="1853">
        <f t="shared" si="3"/>
        <v>0</v>
      </c>
      <c r="G70" s="1843">
        <f t="shared" si="2"/>
        <v>0</v>
      </c>
      <c r="H70" s="1173">
        <v>0.43469999999999998</v>
      </c>
      <c r="I70" s="3121" t="s">
        <v>0</v>
      </c>
    </row>
    <row r="71" spans="1:9" ht="16.5">
      <c r="A71" s="1840" t="s">
        <v>784</v>
      </c>
      <c r="B71" s="1841" t="s">
        <v>6761</v>
      </c>
      <c r="C71" s="1842" t="s">
        <v>6757</v>
      </c>
      <c r="D71" s="1852"/>
      <c r="E71" s="1852"/>
      <c r="F71" s="1853">
        <f t="shared" si="3"/>
        <v>0</v>
      </c>
      <c r="G71" s="1843">
        <f t="shared" si="2"/>
        <v>0</v>
      </c>
      <c r="H71" s="1173">
        <v>0.32740000000000002</v>
      </c>
      <c r="I71" s="3121" t="s">
        <v>0</v>
      </c>
    </row>
    <row r="72" spans="1:9" ht="16.5">
      <c r="A72" s="1840" t="s">
        <v>785</v>
      </c>
      <c r="B72" s="1841" t="s">
        <v>6762</v>
      </c>
      <c r="C72" s="1842" t="s">
        <v>6757</v>
      </c>
      <c r="D72" s="1852"/>
      <c r="E72" s="1852"/>
      <c r="F72" s="1853">
        <f t="shared" si="3"/>
        <v>0</v>
      </c>
      <c r="G72" s="1843">
        <f t="shared" si="2"/>
        <v>0</v>
      </c>
      <c r="H72" s="1173">
        <v>0.28849999999999998</v>
      </c>
      <c r="I72" s="3121" t="s">
        <v>0</v>
      </c>
    </row>
    <row r="73" spans="1:9" ht="16.5">
      <c r="A73" s="1840" t="s">
        <v>786</v>
      </c>
      <c r="B73" s="1841" t="s">
        <v>6763</v>
      </c>
      <c r="C73" s="1842" t="s">
        <v>6757</v>
      </c>
      <c r="D73" s="1852"/>
      <c r="E73" s="1852"/>
      <c r="F73" s="1853">
        <f t="shared" si="3"/>
        <v>0</v>
      </c>
      <c r="G73" s="1843">
        <f t="shared" si="2"/>
        <v>0</v>
      </c>
      <c r="H73" s="1173">
        <v>0.56240000000000001</v>
      </c>
      <c r="I73" s="3121" t="s">
        <v>0</v>
      </c>
    </row>
    <row r="74" spans="1:9" ht="16.5">
      <c r="A74" s="1840" t="s">
        <v>787</v>
      </c>
      <c r="B74" s="1841" t="s">
        <v>6764</v>
      </c>
      <c r="C74" s="1842" t="s">
        <v>6757</v>
      </c>
      <c r="D74" s="1852"/>
      <c r="E74" s="1852"/>
      <c r="F74" s="1853">
        <f t="shared" si="3"/>
        <v>0</v>
      </c>
      <c r="G74" s="1843">
        <f t="shared" si="2"/>
        <v>0</v>
      </c>
      <c r="H74" s="1173">
        <v>0.16520000000000001</v>
      </c>
      <c r="I74" s="3121" t="s">
        <v>0</v>
      </c>
    </row>
    <row r="75" spans="1:9" ht="16.5">
      <c r="A75" s="1840" t="s">
        <v>788</v>
      </c>
      <c r="B75" s="1841" t="s">
        <v>6765</v>
      </c>
      <c r="C75" s="1842" t="s">
        <v>6757</v>
      </c>
      <c r="D75" s="1852"/>
      <c r="E75" s="1852"/>
      <c r="F75" s="1853">
        <f t="shared" si="3"/>
        <v>0</v>
      </c>
      <c r="G75" s="1843">
        <f t="shared" si="2"/>
        <v>0</v>
      </c>
      <c r="H75" s="1173">
        <v>0.42480000000000001</v>
      </c>
      <c r="I75" s="3121" t="s">
        <v>0</v>
      </c>
    </row>
    <row r="76" spans="1:9" ht="16.5">
      <c r="A76" s="1840" t="s">
        <v>789</v>
      </c>
      <c r="B76" s="1841" t="s">
        <v>6766</v>
      </c>
      <c r="C76" s="1842" t="s">
        <v>6757</v>
      </c>
      <c r="D76" s="1852"/>
      <c r="E76" s="1852"/>
      <c r="F76" s="1853">
        <f t="shared" si="3"/>
        <v>0</v>
      </c>
      <c r="G76" s="1843">
        <f t="shared" si="2"/>
        <v>0</v>
      </c>
      <c r="H76" s="1173">
        <v>0.2898</v>
      </c>
      <c r="I76" s="3121" t="s">
        <v>0</v>
      </c>
    </row>
    <row r="77" spans="1:9" ht="16.5">
      <c r="A77" s="1840" t="s">
        <v>790</v>
      </c>
      <c r="B77" s="1841" t="s">
        <v>6767</v>
      </c>
      <c r="C77" s="1842" t="s">
        <v>6757</v>
      </c>
      <c r="D77" s="1852"/>
      <c r="E77" s="1852"/>
      <c r="F77" s="1853">
        <f t="shared" si="3"/>
        <v>0</v>
      </c>
      <c r="G77" s="1843">
        <f t="shared" si="2"/>
        <v>0</v>
      </c>
      <c r="H77" s="1173">
        <v>7.3000000000000001E-3</v>
      </c>
      <c r="I77" s="3121" t="s">
        <v>0</v>
      </c>
    </row>
    <row r="78" spans="1:9" ht="16.5">
      <c r="A78" s="1840" t="s">
        <v>791</v>
      </c>
      <c r="B78" s="1841" t="s">
        <v>6768</v>
      </c>
      <c r="C78" s="1842" t="s">
        <v>6757</v>
      </c>
      <c r="D78" s="1852"/>
      <c r="E78" s="1852"/>
      <c r="F78" s="1853">
        <f t="shared" si="3"/>
        <v>0</v>
      </c>
      <c r="G78" s="1843">
        <f t="shared" si="2"/>
        <v>0</v>
      </c>
      <c r="H78" s="1173">
        <v>0.24049999999999999</v>
      </c>
      <c r="I78" s="3121" t="s">
        <v>0</v>
      </c>
    </row>
    <row r="79" spans="1:9" ht="16.5">
      <c r="A79" s="1840" t="s">
        <v>792</v>
      </c>
      <c r="B79" s="1841" t="s">
        <v>6769</v>
      </c>
      <c r="C79" s="1842" t="s">
        <v>6757</v>
      </c>
      <c r="D79" s="1852"/>
      <c r="E79" s="1852"/>
      <c r="F79" s="1853">
        <f t="shared" si="3"/>
        <v>0</v>
      </c>
      <c r="G79" s="1843">
        <f t="shared" si="2"/>
        <v>0</v>
      </c>
      <c r="H79" s="1173">
        <v>0.2616</v>
      </c>
      <c r="I79" s="3121" t="s">
        <v>0</v>
      </c>
    </row>
    <row r="80" spans="1:9" ht="16.5">
      <c r="A80" s="1840" t="s">
        <v>793</v>
      </c>
      <c r="B80" s="1841" t="s">
        <v>6770</v>
      </c>
      <c r="C80" s="1842" t="s">
        <v>6757</v>
      </c>
      <c r="D80" s="1852"/>
      <c r="E80" s="1852"/>
      <c r="F80" s="1853">
        <f t="shared" si="3"/>
        <v>0</v>
      </c>
      <c r="G80" s="1843">
        <f t="shared" si="2"/>
        <v>0</v>
      </c>
      <c r="H80" s="1173">
        <v>0.33200000000000002</v>
      </c>
      <c r="I80" s="3121" t="s">
        <v>0</v>
      </c>
    </row>
    <row r="81" spans="1:9" ht="16.5">
      <c r="A81" s="1840" t="s">
        <v>794</v>
      </c>
      <c r="B81" s="1841" t="s">
        <v>6771</v>
      </c>
      <c r="C81" s="1842" t="s">
        <v>6757</v>
      </c>
      <c r="D81" s="1852"/>
      <c r="E81" s="1852"/>
      <c r="F81" s="1853">
        <f t="shared" si="3"/>
        <v>0</v>
      </c>
      <c r="G81" s="1843">
        <f t="shared" si="2"/>
        <v>0</v>
      </c>
      <c r="H81" s="1173">
        <v>0.38059999999999999</v>
      </c>
      <c r="I81" s="3121" t="s">
        <v>0</v>
      </c>
    </row>
    <row r="82" spans="1:9" ht="16.5">
      <c r="A82" s="1840" t="s">
        <v>795</v>
      </c>
      <c r="B82" s="1841" t="s">
        <v>6772</v>
      </c>
      <c r="C82" s="1842" t="s">
        <v>6757</v>
      </c>
      <c r="D82" s="1852"/>
      <c r="E82" s="1852"/>
      <c r="F82" s="1853">
        <f t="shared" si="3"/>
        <v>0</v>
      </c>
      <c r="G82" s="1843">
        <f t="shared" si="2"/>
        <v>0</v>
      </c>
      <c r="H82" s="1173">
        <v>0.2084</v>
      </c>
      <c r="I82" s="3121" t="s">
        <v>0</v>
      </c>
    </row>
    <row r="83" spans="1:9" ht="16.5">
      <c r="A83" s="1840" t="s">
        <v>796</v>
      </c>
      <c r="B83" s="1841" t="s">
        <v>6773</v>
      </c>
      <c r="C83" s="1842" t="s">
        <v>6757</v>
      </c>
      <c r="D83" s="1852"/>
      <c r="E83" s="1852"/>
      <c r="F83" s="1853">
        <f t="shared" si="3"/>
        <v>0</v>
      </c>
      <c r="G83" s="1843">
        <f t="shared" si="2"/>
        <v>0</v>
      </c>
      <c r="H83" s="1173">
        <v>0.21729999999999999</v>
      </c>
      <c r="I83" s="3121" t="s">
        <v>0</v>
      </c>
    </row>
    <row r="84" spans="1:9" ht="16.5">
      <c r="A84" s="1840" t="s">
        <v>797</v>
      </c>
      <c r="B84" s="1841" t="s">
        <v>6774</v>
      </c>
      <c r="C84" s="1842" t="s">
        <v>6757</v>
      </c>
      <c r="D84" s="1852"/>
      <c r="E84" s="1852"/>
      <c r="F84" s="1853">
        <f t="shared" si="3"/>
        <v>0</v>
      </c>
      <c r="G84" s="1843">
        <f t="shared" si="2"/>
        <v>0</v>
      </c>
      <c r="H84" s="1173">
        <v>0.79649999999999999</v>
      </c>
      <c r="I84" s="3121" t="s">
        <v>0</v>
      </c>
    </row>
    <row r="85" spans="1:9" ht="16.5">
      <c r="A85" s="1840" t="s">
        <v>798</v>
      </c>
      <c r="B85" s="1841" t="s">
        <v>6775</v>
      </c>
      <c r="C85" s="1842" t="s">
        <v>6757</v>
      </c>
      <c r="D85" s="1852"/>
      <c r="E85" s="1852"/>
      <c r="F85" s="1853">
        <f t="shared" si="3"/>
        <v>0</v>
      </c>
      <c r="G85" s="1843">
        <f t="shared" si="2"/>
        <v>0</v>
      </c>
      <c r="H85" s="1173">
        <v>0.24249999999999999</v>
      </c>
      <c r="I85" s="3121" t="s">
        <v>0</v>
      </c>
    </row>
    <row r="86" spans="1:9" ht="16.5">
      <c r="A86" s="1840" t="s">
        <v>799</v>
      </c>
      <c r="B86" s="1841" t="s">
        <v>6776</v>
      </c>
      <c r="C86" s="1842" t="s">
        <v>6757</v>
      </c>
      <c r="D86" s="1852"/>
      <c r="E86" s="1852"/>
      <c r="F86" s="1853">
        <f t="shared" si="3"/>
        <v>0</v>
      </c>
      <c r="G86" s="1843">
        <f t="shared" si="2"/>
        <v>0</v>
      </c>
      <c r="H86" s="1173">
        <v>0.43459999999999999</v>
      </c>
      <c r="I86" s="3121" t="s">
        <v>0</v>
      </c>
    </row>
    <row r="87" spans="1:9" ht="16.5">
      <c r="A87" s="1840" t="s">
        <v>800</v>
      </c>
      <c r="B87" s="1841" t="s">
        <v>6777</v>
      </c>
      <c r="C87" s="1842" t="s">
        <v>6757</v>
      </c>
      <c r="D87" s="1852"/>
      <c r="E87" s="1852"/>
      <c r="F87" s="1853">
        <f t="shared" si="3"/>
        <v>0</v>
      </c>
      <c r="G87" s="1843">
        <f t="shared" si="2"/>
        <v>0</v>
      </c>
      <c r="H87" s="1173">
        <v>0.45750000000000002</v>
      </c>
      <c r="I87" s="3121" t="s">
        <v>0</v>
      </c>
    </row>
    <row r="88" spans="1:9" ht="16.5">
      <c r="A88" s="1840" t="s">
        <v>801</v>
      </c>
      <c r="B88" s="1841" t="s">
        <v>6778</v>
      </c>
      <c r="C88" s="1842" t="s">
        <v>6757</v>
      </c>
      <c r="D88" s="1852"/>
      <c r="E88" s="1852"/>
      <c r="F88" s="1853">
        <f t="shared" si="3"/>
        <v>0</v>
      </c>
      <c r="G88" s="1843">
        <f t="shared" si="2"/>
        <v>0</v>
      </c>
      <c r="H88" s="1173">
        <v>0.13320000000000001</v>
      </c>
      <c r="I88" s="3121" t="s">
        <v>0</v>
      </c>
    </row>
    <row r="89" spans="1:9" ht="16.5">
      <c r="A89" s="1840" t="s">
        <v>802</v>
      </c>
      <c r="B89" s="1841" t="s">
        <v>6779</v>
      </c>
      <c r="C89" s="1842" t="s">
        <v>6757</v>
      </c>
      <c r="D89" s="1852"/>
      <c r="E89" s="1852"/>
      <c r="F89" s="1853">
        <f t="shared" si="3"/>
        <v>0</v>
      </c>
      <c r="G89" s="1843">
        <f t="shared" si="2"/>
        <v>0</v>
      </c>
      <c r="H89" s="1173">
        <v>0.17780000000000001</v>
      </c>
      <c r="I89" s="3121" t="s">
        <v>0</v>
      </c>
    </row>
    <row r="90" spans="1:9" ht="16.5">
      <c r="A90" s="1840" t="s">
        <v>803</v>
      </c>
      <c r="B90" s="1841" t="s">
        <v>6780</v>
      </c>
      <c r="C90" s="1842" t="s">
        <v>6757</v>
      </c>
      <c r="D90" s="1852"/>
      <c r="E90" s="1852"/>
      <c r="F90" s="1853">
        <f t="shared" si="3"/>
        <v>0</v>
      </c>
      <c r="G90" s="1843">
        <f t="shared" si="2"/>
        <v>0</v>
      </c>
      <c r="H90" s="1173">
        <v>0.26939999999999997</v>
      </c>
      <c r="I90" s="3121" t="s">
        <v>0</v>
      </c>
    </row>
    <row r="91" spans="1:9" ht="16.5">
      <c r="A91" s="1840" t="s">
        <v>804</v>
      </c>
      <c r="B91" s="1841" t="s">
        <v>6781</v>
      </c>
      <c r="C91" s="1842" t="s">
        <v>6757</v>
      </c>
      <c r="D91" s="1852"/>
      <c r="E91" s="1852"/>
      <c r="F91" s="1853">
        <f t="shared" si="3"/>
        <v>0</v>
      </c>
      <c r="G91" s="1843">
        <f t="shared" si="2"/>
        <v>0</v>
      </c>
      <c r="H91" s="1173">
        <v>0.44280000000000003</v>
      </c>
      <c r="I91" s="3121" t="s">
        <v>0</v>
      </c>
    </row>
    <row r="92" spans="1:9" ht="16.5">
      <c r="A92" s="1840" t="s">
        <v>805</v>
      </c>
      <c r="B92" s="1841" t="s">
        <v>6782</v>
      </c>
      <c r="C92" s="1842" t="s">
        <v>6757</v>
      </c>
      <c r="D92" s="1852"/>
      <c r="E92" s="1852"/>
      <c r="F92" s="1853">
        <f t="shared" si="3"/>
        <v>0</v>
      </c>
      <c r="G92" s="1843">
        <f t="shared" si="2"/>
        <v>0</v>
      </c>
      <c r="H92" s="1173">
        <v>0.17599999999999999</v>
      </c>
      <c r="I92" s="3121" t="s">
        <v>0</v>
      </c>
    </row>
    <row r="93" spans="1:9" ht="16.5">
      <c r="A93" s="1840" t="s">
        <v>806</v>
      </c>
      <c r="B93" s="1841" t="s">
        <v>6783</v>
      </c>
      <c r="C93" s="1842" t="s">
        <v>6757</v>
      </c>
      <c r="D93" s="1852"/>
      <c r="E93" s="1852"/>
      <c r="F93" s="1853">
        <f t="shared" si="3"/>
        <v>0</v>
      </c>
      <c r="G93" s="1843">
        <f t="shared" si="2"/>
        <v>0</v>
      </c>
      <c r="H93" s="1173">
        <v>0.35070000000000001</v>
      </c>
      <c r="I93" s="3121" t="s">
        <v>0</v>
      </c>
    </row>
    <row r="94" spans="1:9" ht="16.5">
      <c r="A94" s="1840" t="s">
        <v>807</v>
      </c>
      <c r="B94" s="1841" t="s">
        <v>6784</v>
      </c>
      <c r="C94" s="1842" t="s">
        <v>6757</v>
      </c>
      <c r="D94" s="1852"/>
      <c r="E94" s="1852"/>
      <c r="F94" s="1853">
        <f t="shared" si="3"/>
        <v>0</v>
      </c>
      <c r="G94" s="1843">
        <f t="shared" si="2"/>
        <v>0</v>
      </c>
      <c r="H94" s="1173">
        <v>0.37990000000000002</v>
      </c>
      <c r="I94" s="3121" t="s">
        <v>0</v>
      </c>
    </row>
    <row r="95" spans="1:9" ht="16.5">
      <c r="A95" s="1840" t="s">
        <v>808</v>
      </c>
      <c r="B95" s="1841" t="s">
        <v>6785</v>
      </c>
      <c r="C95" s="1842" t="s">
        <v>6757</v>
      </c>
      <c r="D95" s="1852"/>
      <c r="E95" s="1852"/>
      <c r="F95" s="1853">
        <f t="shared" si="3"/>
        <v>0</v>
      </c>
      <c r="G95" s="1843">
        <f t="shared" si="2"/>
        <v>0</v>
      </c>
      <c r="H95" s="1173">
        <v>0.4975</v>
      </c>
      <c r="I95" s="3121" t="s">
        <v>0</v>
      </c>
    </row>
    <row r="96" spans="1:9" ht="16.5">
      <c r="A96" s="1840" t="s">
        <v>809</v>
      </c>
      <c r="B96" s="1841" t="s">
        <v>6786</v>
      </c>
      <c r="C96" s="1842" t="s">
        <v>6757</v>
      </c>
      <c r="D96" s="1852"/>
      <c r="E96" s="1852"/>
      <c r="F96" s="1853">
        <f t="shared" si="3"/>
        <v>0</v>
      </c>
      <c r="G96" s="1843">
        <f t="shared" si="2"/>
        <v>0</v>
      </c>
      <c r="H96" s="1173">
        <v>0.52349999999999997</v>
      </c>
      <c r="I96" s="3121" t="s">
        <v>0</v>
      </c>
    </row>
    <row r="97" spans="1:9" ht="16.5">
      <c r="A97" s="1840" t="s">
        <v>810</v>
      </c>
      <c r="B97" s="1841" t="s">
        <v>6787</v>
      </c>
      <c r="C97" s="1842" t="s">
        <v>6757</v>
      </c>
      <c r="D97" s="1852"/>
      <c r="E97" s="1852"/>
      <c r="F97" s="1853">
        <f t="shared" si="3"/>
        <v>0</v>
      </c>
      <c r="G97" s="1843">
        <f t="shared" si="2"/>
        <v>0</v>
      </c>
      <c r="H97" s="1173">
        <v>0.48580000000000001</v>
      </c>
      <c r="I97" s="3121" t="s">
        <v>0</v>
      </c>
    </row>
    <row r="98" spans="1:9" ht="16.5">
      <c r="A98" s="1840" t="s">
        <v>811</v>
      </c>
      <c r="B98" s="1841" t="s">
        <v>6788</v>
      </c>
      <c r="C98" s="1842" t="s">
        <v>6757</v>
      </c>
      <c r="D98" s="1852"/>
      <c r="E98" s="1852"/>
      <c r="F98" s="1853">
        <f t="shared" si="3"/>
        <v>0</v>
      </c>
      <c r="G98" s="1843">
        <f t="shared" si="2"/>
        <v>0</v>
      </c>
      <c r="H98" s="1173">
        <v>0.58509999999999995</v>
      </c>
      <c r="I98" s="3121" t="s">
        <v>0</v>
      </c>
    </row>
    <row r="99" spans="1:9" ht="16.5">
      <c r="A99" s="1840" t="s">
        <v>812</v>
      </c>
      <c r="B99" s="1841" t="s">
        <v>6789</v>
      </c>
      <c r="C99" s="1842" t="s">
        <v>6757</v>
      </c>
      <c r="D99" s="1852"/>
      <c r="E99" s="1852"/>
      <c r="F99" s="1853">
        <f t="shared" si="3"/>
        <v>0</v>
      </c>
      <c r="G99" s="1843">
        <f t="shared" si="2"/>
        <v>0</v>
      </c>
      <c r="H99" s="1173">
        <v>0.47439999999999999</v>
      </c>
      <c r="I99" s="3121" t="s">
        <v>0</v>
      </c>
    </row>
    <row r="100" spans="1:9" ht="16.5">
      <c r="A100" s="1840" t="s">
        <v>813</v>
      </c>
      <c r="B100" s="1841" t="s">
        <v>6790</v>
      </c>
      <c r="C100" s="1842" t="s">
        <v>6757</v>
      </c>
      <c r="D100" s="1852"/>
      <c r="E100" s="1852"/>
      <c r="F100" s="1853">
        <f t="shared" si="3"/>
        <v>0</v>
      </c>
      <c r="G100" s="1843">
        <f t="shared" si="2"/>
        <v>0</v>
      </c>
      <c r="H100" s="1173">
        <v>0.52249999999999996</v>
      </c>
      <c r="I100" s="3121" t="s">
        <v>0</v>
      </c>
    </row>
    <row r="101" spans="1:9" ht="16.5">
      <c r="A101" s="1840" t="s">
        <v>814</v>
      </c>
      <c r="B101" s="1841" t="s">
        <v>6791</v>
      </c>
      <c r="C101" s="1842" t="s">
        <v>6757</v>
      </c>
      <c r="D101" s="1852"/>
      <c r="E101" s="1852"/>
      <c r="F101" s="1853">
        <f t="shared" si="3"/>
        <v>0</v>
      </c>
      <c r="G101" s="1843">
        <f t="shared" si="2"/>
        <v>0</v>
      </c>
      <c r="H101" s="1173">
        <v>0.3967</v>
      </c>
      <c r="I101" s="3121" t="s">
        <v>0</v>
      </c>
    </row>
    <row r="102" spans="1:9" ht="16.5">
      <c r="A102" s="1840" t="s">
        <v>815</v>
      </c>
      <c r="B102" s="1841" t="s">
        <v>6792</v>
      </c>
      <c r="C102" s="1842" t="s">
        <v>6757</v>
      </c>
      <c r="D102" s="1852"/>
      <c r="E102" s="1852"/>
      <c r="F102" s="1853">
        <f t="shared" si="3"/>
        <v>0</v>
      </c>
      <c r="G102" s="1843">
        <f t="shared" si="2"/>
        <v>0</v>
      </c>
      <c r="H102" s="1173">
        <v>0.51800000000000002</v>
      </c>
      <c r="I102" s="3121" t="s">
        <v>0</v>
      </c>
    </row>
    <row r="103" spans="1:9" ht="16.5">
      <c r="A103" s="1840" t="s">
        <v>816</v>
      </c>
      <c r="B103" s="1841" t="s">
        <v>6793</v>
      </c>
      <c r="C103" s="1842" t="s">
        <v>6757</v>
      </c>
      <c r="D103" s="1852"/>
      <c r="E103" s="1852"/>
      <c r="F103" s="1853">
        <f t="shared" si="3"/>
        <v>0</v>
      </c>
      <c r="G103" s="1843">
        <f t="shared" si="2"/>
        <v>0</v>
      </c>
      <c r="H103" s="1173">
        <v>0.50729999999999997</v>
      </c>
      <c r="I103" s="3121" t="s">
        <v>0</v>
      </c>
    </row>
    <row r="104" spans="1:9" ht="16.5">
      <c r="A104" s="1840" t="s">
        <v>817</v>
      </c>
      <c r="B104" s="1841" t="s">
        <v>6794</v>
      </c>
      <c r="C104" s="1842" t="s">
        <v>6757</v>
      </c>
      <c r="D104" s="1852"/>
      <c r="E104" s="1852"/>
      <c r="F104" s="1853">
        <f t="shared" si="3"/>
        <v>0</v>
      </c>
      <c r="G104" s="1843">
        <f t="shared" si="2"/>
        <v>0</v>
      </c>
      <c r="H104" s="1173">
        <v>0.52049999999999996</v>
      </c>
      <c r="I104" s="3121" t="s">
        <v>0</v>
      </c>
    </row>
    <row r="105" spans="1:9" ht="16.5">
      <c r="A105" s="1840" t="s">
        <v>818</v>
      </c>
      <c r="B105" s="1841" t="s">
        <v>6795</v>
      </c>
      <c r="C105" s="1842" t="s">
        <v>6757</v>
      </c>
      <c r="D105" s="1852"/>
      <c r="E105" s="1852"/>
      <c r="F105" s="1853">
        <f t="shared" si="3"/>
        <v>0</v>
      </c>
      <c r="G105" s="1843">
        <f t="shared" si="2"/>
        <v>0</v>
      </c>
      <c r="H105" s="1173">
        <v>0.13139999999999999</v>
      </c>
      <c r="I105" s="3121" t="s">
        <v>0</v>
      </c>
    </row>
    <row r="106" spans="1:9" ht="16.5">
      <c r="A106" s="1840" t="s">
        <v>819</v>
      </c>
      <c r="B106" s="1841" t="s">
        <v>6796</v>
      </c>
      <c r="C106" s="1842" t="s">
        <v>6757</v>
      </c>
      <c r="D106" s="1852"/>
      <c r="E106" s="1852"/>
      <c r="F106" s="1853">
        <f t="shared" si="3"/>
        <v>0</v>
      </c>
      <c r="G106" s="1843">
        <f t="shared" si="2"/>
        <v>0</v>
      </c>
      <c r="H106" s="1173">
        <v>0.80840000000000001</v>
      </c>
      <c r="I106" s="3121" t="s">
        <v>0</v>
      </c>
    </row>
    <row r="107" spans="1:9" ht="16.5">
      <c r="A107" s="1840" t="s">
        <v>820</v>
      </c>
      <c r="B107" s="1841" t="s">
        <v>6797</v>
      </c>
      <c r="C107" s="1842" t="s">
        <v>6757</v>
      </c>
      <c r="D107" s="1852"/>
      <c r="E107" s="1852"/>
      <c r="F107" s="1853">
        <f t="shared" si="3"/>
        <v>0</v>
      </c>
      <c r="G107" s="1843">
        <f t="shared" si="2"/>
        <v>0</v>
      </c>
      <c r="H107" s="1173">
        <v>0.65400000000000003</v>
      </c>
      <c r="I107" s="3121" t="s">
        <v>0</v>
      </c>
    </row>
    <row r="108" spans="1:9" ht="16.5">
      <c r="A108" s="1840" t="s">
        <v>821</v>
      </c>
      <c r="B108" s="1841" t="s">
        <v>6798</v>
      </c>
      <c r="C108" s="1842" t="s">
        <v>6757</v>
      </c>
      <c r="D108" s="1852"/>
      <c r="E108" s="1852"/>
      <c r="F108" s="1853">
        <f t="shared" si="3"/>
        <v>0</v>
      </c>
      <c r="G108" s="1843">
        <f t="shared" si="2"/>
        <v>0</v>
      </c>
      <c r="H108" s="1173">
        <v>0.40920000000000001</v>
      </c>
      <c r="I108" s="3121" t="s">
        <v>0</v>
      </c>
    </row>
    <row r="109" spans="1:9" ht="16.5">
      <c r="A109" s="1840" t="s">
        <v>822</v>
      </c>
      <c r="B109" s="1841" t="s">
        <v>6799</v>
      </c>
      <c r="C109" s="1842" t="s">
        <v>6757</v>
      </c>
      <c r="D109" s="1852"/>
      <c r="E109" s="1852"/>
      <c r="F109" s="1853">
        <f t="shared" si="3"/>
        <v>0</v>
      </c>
      <c r="G109" s="1843">
        <f t="shared" si="2"/>
        <v>0</v>
      </c>
      <c r="H109" s="1173">
        <v>1.54E-2</v>
      </c>
      <c r="I109" s="3121" t="s">
        <v>0</v>
      </c>
    </row>
    <row r="110" spans="1:9" ht="16.5">
      <c r="A110" s="1840" t="s">
        <v>823</v>
      </c>
      <c r="B110" s="1841" t="s">
        <v>6800</v>
      </c>
      <c r="C110" s="1842" t="s">
        <v>6757</v>
      </c>
      <c r="D110" s="1852"/>
      <c r="E110" s="1852"/>
      <c r="F110" s="1853">
        <f t="shared" si="3"/>
        <v>0</v>
      </c>
      <c r="G110" s="1843">
        <f t="shared" si="2"/>
        <v>0</v>
      </c>
      <c r="H110" s="1173">
        <v>0.30859999999999999</v>
      </c>
      <c r="I110" s="3121" t="s">
        <v>0</v>
      </c>
    </row>
    <row r="111" spans="1:9" ht="16.5">
      <c r="A111" s="1840" t="s">
        <v>824</v>
      </c>
      <c r="B111" s="1841" t="s">
        <v>6801</v>
      </c>
      <c r="C111" s="1842" t="s">
        <v>6757</v>
      </c>
      <c r="D111" s="1852"/>
      <c r="E111" s="1852"/>
      <c r="F111" s="1853">
        <f t="shared" si="3"/>
        <v>0</v>
      </c>
      <c r="G111" s="1843">
        <f t="shared" si="2"/>
        <v>0</v>
      </c>
      <c r="H111" s="1173">
        <v>0.37080000000000002</v>
      </c>
      <c r="I111" s="3121" t="s">
        <v>0</v>
      </c>
    </row>
    <row r="112" spans="1:9" ht="16.5">
      <c r="A112" s="1840" t="s">
        <v>825</v>
      </c>
      <c r="B112" s="1841" t="s">
        <v>6802</v>
      </c>
      <c r="C112" s="1842" t="s">
        <v>6757</v>
      </c>
      <c r="D112" s="1852"/>
      <c r="E112" s="1852"/>
      <c r="F112" s="1853">
        <f t="shared" si="3"/>
        <v>0</v>
      </c>
      <c r="G112" s="1843">
        <f t="shared" si="2"/>
        <v>0</v>
      </c>
      <c r="H112" s="1173">
        <v>0.5373</v>
      </c>
      <c r="I112" s="3121" t="s">
        <v>0</v>
      </c>
    </row>
    <row r="113" spans="1:9" ht="16.5">
      <c r="A113" s="1840" t="s">
        <v>826</v>
      </c>
      <c r="B113" s="1841" t="s">
        <v>6803</v>
      </c>
      <c r="C113" s="1842" t="s">
        <v>6757</v>
      </c>
      <c r="D113" s="1852"/>
      <c r="E113" s="1852"/>
      <c r="F113" s="1853">
        <f t="shared" si="3"/>
        <v>0</v>
      </c>
      <c r="G113" s="1843">
        <f t="shared" si="2"/>
        <v>0</v>
      </c>
      <c r="H113" s="1173">
        <v>0.4027</v>
      </c>
      <c r="I113" s="3121" t="s">
        <v>0</v>
      </c>
    </row>
    <row r="114" spans="1:9" ht="16.5">
      <c r="A114" s="1840" t="s">
        <v>827</v>
      </c>
      <c r="B114" s="1841" t="s">
        <v>6804</v>
      </c>
      <c r="C114" s="1842" t="s">
        <v>6757</v>
      </c>
      <c r="D114" s="1852"/>
      <c r="E114" s="1852"/>
      <c r="F114" s="1853">
        <f t="shared" si="3"/>
        <v>0</v>
      </c>
      <c r="G114" s="1843">
        <f t="shared" si="2"/>
        <v>0</v>
      </c>
      <c r="H114" s="1173">
        <v>0.40010000000000001</v>
      </c>
      <c r="I114" s="3121" t="s">
        <v>0</v>
      </c>
    </row>
    <row r="115" spans="1:9" ht="16.5">
      <c r="A115" s="1840" t="s">
        <v>828</v>
      </c>
      <c r="B115" s="1841" t="s">
        <v>6805</v>
      </c>
      <c r="C115" s="1842" t="s">
        <v>6757</v>
      </c>
      <c r="D115" s="1852"/>
      <c r="E115" s="1852"/>
      <c r="F115" s="1853">
        <f t="shared" si="3"/>
        <v>0</v>
      </c>
      <c r="G115" s="1843">
        <f t="shared" si="2"/>
        <v>0</v>
      </c>
      <c r="H115" s="1173">
        <v>0.44369999999999998</v>
      </c>
      <c r="I115" s="3121" t="s">
        <v>0</v>
      </c>
    </row>
    <row r="116" spans="1:9" ht="16.5">
      <c r="A116" s="1840" t="s">
        <v>829</v>
      </c>
      <c r="B116" s="1841" t="s">
        <v>6806</v>
      </c>
      <c r="C116" s="1842" t="s">
        <v>6757</v>
      </c>
      <c r="D116" s="1852"/>
      <c r="E116" s="1852"/>
      <c r="F116" s="1853">
        <f t="shared" si="3"/>
        <v>0</v>
      </c>
      <c r="G116" s="1843">
        <f t="shared" si="2"/>
        <v>0</v>
      </c>
      <c r="H116" s="1173">
        <v>0.2082</v>
      </c>
      <c r="I116" s="3121" t="s">
        <v>0</v>
      </c>
    </row>
    <row r="117" spans="1:9" ht="16.5">
      <c r="A117" s="1840" t="s">
        <v>830</v>
      </c>
      <c r="B117" s="1841" t="s">
        <v>6807</v>
      </c>
      <c r="C117" s="1842" t="s">
        <v>6757</v>
      </c>
      <c r="D117" s="1852"/>
      <c r="E117" s="1852"/>
      <c r="F117" s="1853">
        <f t="shared" si="3"/>
        <v>0</v>
      </c>
      <c r="G117" s="1843">
        <f t="shared" si="2"/>
        <v>0</v>
      </c>
      <c r="H117" s="1173">
        <v>0.2339</v>
      </c>
      <c r="I117" s="3121" t="s">
        <v>0</v>
      </c>
    </row>
    <row r="118" spans="1:9" ht="16.5">
      <c r="A118" s="1840" t="s">
        <v>1960</v>
      </c>
      <c r="B118" s="1841" t="s">
        <v>6808</v>
      </c>
      <c r="C118" s="1842" t="s">
        <v>6757</v>
      </c>
      <c r="D118" s="1852"/>
      <c r="E118" s="1852"/>
      <c r="F118" s="1853">
        <f t="shared" si="3"/>
        <v>0</v>
      </c>
      <c r="G118" s="1843">
        <f t="shared" si="2"/>
        <v>0</v>
      </c>
      <c r="H118" s="1173">
        <v>0.40350000000000003</v>
      </c>
      <c r="I118" s="3121" t="s">
        <v>0</v>
      </c>
    </row>
    <row r="119" spans="1:9" ht="16.5">
      <c r="A119" s="1840" t="s">
        <v>831</v>
      </c>
      <c r="B119" s="1841" t="s">
        <v>6809</v>
      </c>
      <c r="C119" s="1842" t="s">
        <v>6757</v>
      </c>
      <c r="D119" s="1852"/>
      <c r="E119" s="1852"/>
      <c r="F119" s="1853">
        <f t="shared" si="3"/>
        <v>0</v>
      </c>
      <c r="G119" s="1843">
        <f t="shared" si="2"/>
        <v>0</v>
      </c>
      <c r="H119" s="1173">
        <v>0.4415</v>
      </c>
      <c r="I119" s="3121" t="s">
        <v>0</v>
      </c>
    </row>
    <row r="120" spans="1:9" ht="16.5">
      <c r="A120" s="1840" t="s">
        <v>832</v>
      </c>
      <c r="B120" s="1841" t="s">
        <v>6810</v>
      </c>
      <c r="C120" s="1842" t="s">
        <v>6757</v>
      </c>
      <c r="D120" s="1852"/>
      <c r="E120" s="1852"/>
      <c r="F120" s="1853">
        <f t="shared" si="3"/>
        <v>0</v>
      </c>
      <c r="G120" s="1843">
        <f t="shared" si="2"/>
        <v>0</v>
      </c>
      <c r="H120" s="1173">
        <v>0.49149999999999999</v>
      </c>
      <c r="I120" s="3121" t="s">
        <v>0</v>
      </c>
    </row>
    <row r="121" spans="1:9" ht="16.5">
      <c r="A121" s="1840" t="s">
        <v>833</v>
      </c>
      <c r="B121" s="1841" t="s">
        <v>6811</v>
      </c>
      <c r="C121" s="1842" t="s">
        <v>6757</v>
      </c>
      <c r="D121" s="1852"/>
      <c r="E121" s="1852"/>
      <c r="F121" s="1853">
        <f t="shared" si="3"/>
        <v>0</v>
      </c>
      <c r="G121" s="1843">
        <f t="shared" si="2"/>
        <v>0</v>
      </c>
      <c r="H121" s="1173">
        <v>0.2457</v>
      </c>
      <c r="I121" s="3121" t="s">
        <v>0</v>
      </c>
    </row>
    <row r="122" spans="1:9" ht="16.5">
      <c r="A122" s="1840" t="s">
        <v>834</v>
      </c>
      <c r="B122" s="1841" t="s">
        <v>6812</v>
      </c>
      <c r="C122" s="1842" t="s">
        <v>6757</v>
      </c>
      <c r="D122" s="1852"/>
      <c r="E122" s="1852"/>
      <c r="F122" s="1853">
        <f t="shared" si="3"/>
        <v>0</v>
      </c>
      <c r="G122" s="1843">
        <f t="shared" si="2"/>
        <v>0</v>
      </c>
      <c r="H122" s="1173">
        <v>0.26879999999999998</v>
      </c>
      <c r="I122" s="3121" t="s">
        <v>0</v>
      </c>
    </row>
    <row r="123" spans="1:9" ht="16.5">
      <c r="A123" s="1840" t="s">
        <v>835</v>
      </c>
      <c r="B123" s="1841" t="s">
        <v>6813</v>
      </c>
      <c r="C123" s="1842" t="s">
        <v>6757</v>
      </c>
      <c r="D123" s="1852"/>
      <c r="E123" s="1852"/>
      <c r="F123" s="1853">
        <f t="shared" si="3"/>
        <v>0</v>
      </c>
      <c r="G123" s="1843">
        <f t="shared" si="2"/>
        <v>0</v>
      </c>
      <c r="H123" s="1173">
        <v>0.46929999999999999</v>
      </c>
      <c r="I123" s="3121" t="s">
        <v>0</v>
      </c>
    </row>
    <row r="124" spans="1:9" ht="16.5">
      <c r="A124" s="1840" t="s">
        <v>836</v>
      </c>
      <c r="B124" s="1841" t="s">
        <v>6814</v>
      </c>
      <c r="C124" s="1842" t="s">
        <v>6757</v>
      </c>
      <c r="D124" s="1852"/>
      <c r="E124" s="1852"/>
      <c r="F124" s="1853">
        <f t="shared" si="3"/>
        <v>0</v>
      </c>
      <c r="G124" s="1843">
        <f t="shared" si="2"/>
        <v>0</v>
      </c>
      <c r="H124" s="1173">
        <v>0.47870000000000001</v>
      </c>
      <c r="I124" s="3121" t="s">
        <v>0</v>
      </c>
    </row>
    <row r="125" spans="1:9" ht="16.5">
      <c r="A125" s="1840" t="s">
        <v>837</v>
      </c>
      <c r="B125" s="1841" t="s">
        <v>6815</v>
      </c>
      <c r="C125" s="1842" t="s">
        <v>6757</v>
      </c>
      <c r="D125" s="1852"/>
      <c r="E125" s="1852"/>
      <c r="F125" s="1853">
        <f t="shared" si="3"/>
        <v>0</v>
      </c>
      <c r="G125" s="1843">
        <f t="shared" si="2"/>
        <v>0</v>
      </c>
      <c r="H125" s="1173">
        <v>0.30380000000000001</v>
      </c>
      <c r="I125" s="3121" t="s">
        <v>0</v>
      </c>
    </row>
    <row r="126" spans="1:9" ht="16.5">
      <c r="A126" s="1840" t="s">
        <v>838</v>
      </c>
      <c r="B126" s="1841" t="s">
        <v>6816</v>
      </c>
      <c r="C126" s="1842" t="s">
        <v>6757</v>
      </c>
      <c r="D126" s="1852"/>
      <c r="E126" s="1852"/>
      <c r="F126" s="1853">
        <f t="shared" si="3"/>
        <v>0</v>
      </c>
      <c r="G126" s="1843">
        <f t="shared" si="2"/>
        <v>0</v>
      </c>
      <c r="H126" s="1173">
        <v>0.50139999999999996</v>
      </c>
      <c r="I126" s="3121" t="s">
        <v>0</v>
      </c>
    </row>
    <row r="127" spans="1:9" ht="16.5">
      <c r="A127" s="1840" t="s">
        <v>839</v>
      </c>
      <c r="B127" s="1841" t="s">
        <v>6817</v>
      </c>
      <c r="C127" s="1842" t="s">
        <v>6757</v>
      </c>
      <c r="D127" s="1852"/>
      <c r="E127" s="1852"/>
      <c r="F127" s="1853">
        <f t="shared" si="3"/>
        <v>0</v>
      </c>
      <c r="G127" s="1843">
        <f t="shared" si="2"/>
        <v>0</v>
      </c>
      <c r="H127" s="1173">
        <v>0.45789999999999997</v>
      </c>
      <c r="I127" s="3121" t="s">
        <v>0</v>
      </c>
    </row>
    <row r="128" spans="1:9" ht="16.5">
      <c r="A128" s="1840" t="s">
        <v>840</v>
      </c>
      <c r="B128" s="1841" t="s">
        <v>6818</v>
      </c>
      <c r="C128" s="1842" t="s">
        <v>6757</v>
      </c>
      <c r="D128" s="1852"/>
      <c r="E128" s="1852"/>
      <c r="F128" s="1853">
        <f t="shared" si="3"/>
        <v>0</v>
      </c>
      <c r="G128" s="1843">
        <f t="shared" si="2"/>
        <v>0</v>
      </c>
      <c r="H128" s="1173">
        <v>0.29549999999999998</v>
      </c>
      <c r="I128" s="3121" t="s">
        <v>0</v>
      </c>
    </row>
    <row r="129" spans="1:10" ht="16.5">
      <c r="A129" s="1840" t="s">
        <v>841</v>
      </c>
      <c r="B129" s="1841" t="s">
        <v>6819</v>
      </c>
      <c r="C129" s="1842" t="s">
        <v>6757</v>
      </c>
      <c r="D129" s="1852"/>
      <c r="E129" s="1852"/>
      <c r="F129" s="1853">
        <f t="shared" si="3"/>
        <v>0</v>
      </c>
      <c r="G129" s="1843">
        <f t="shared" si="2"/>
        <v>0</v>
      </c>
      <c r="H129" s="1173">
        <v>0.28570000000000001</v>
      </c>
      <c r="I129" s="3121" t="s">
        <v>0</v>
      </c>
    </row>
    <row r="130" spans="1:10" ht="16.5">
      <c r="A130" s="1840" t="s">
        <v>842</v>
      </c>
      <c r="B130" s="1841" t="s">
        <v>6820</v>
      </c>
      <c r="C130" s="1842" t="s">
        <v>6757</v>
      </c>
      <c r="D130" s="1852"/>
      <c r="E130" s="1852"/>
      <c r="F130" s="1853">
        <f t="shared" si="3"/>
        <v>0</v>
      </c>
      <c r="G130" s="1843">
        <f t="shared" si="2"/>
        <v>0</v>
      </c>
      <c r="H130" s="1173">
        <v>0.36</v>
      </c>
      <c r="I130" s="3121" t="s">
        <v>0</v>
      </c>
    </row>
    <row r="131" spans="1:10" ht="16.5">
      <c r="A131" s="1840" t="s">
        <v>843</v>
      </c>
      <c r="B131" s="1841" t="s">
        <v>6821</v>
      </c>
      <c r="C131" s="1842" t="s">
        <v>6757</v>
      </c>
      <c r="D131" s="1852"/>
      <c r="E131" s="1852"/>
      <c r="F131" s="1853">
        <f t="shared" si="3"/>
        <v>0</v>
      </c>
      <c r="G131" s="1843">
        <f t="shared" si="2"/>
        <v>0</v>
      </c>
      <c r="H131" s="1173">
        <v>0.54220000000000002</v>
      </c>
      <c r="I131" s="3121" t="s">
        <v>0</v>
      </c>
    </row>
    <row r="132" spans="1:10" ht="16.5">
      <c r="A132" s="1840" t="s">
        <v>844</v>
      </c>
      <c r="B132" s="1841" t="s">
        <v>6822</v>
      </c>
      <c r="C132" s="1842" t="s">
        <v>6757</v>
      </c>
      <c r="D132" s="1852"/>
      <c r="E132" s="1852"/>
      <c r="F132" s="1853">
        <f t="shared" si="3"/>
        <v>0</v>
      </c>
      <c r="G132" s="1843">
        <f t="shared" ref="G132:G195" si="4">IF($F$1334=0,0,F132/$F$1334)</f>
        <v>0</v>
      </c>
      <c r="H132" s="1173">
        <v>0.51659999999999995</v>
      </c>
      <c r="I132" s="3121" t="s">
        <v>0</v>
      </c>
    </row>
    <row r="133" spans="1:10" ht="16.5">
      <c r="A133" s="1840" t="s">
        <v>845</v>
      </c>
      <c r="B133" s="1841" t="s">
        <v>6823</v>
      </c>
      <c r="C133" s="1842" t="s">
        <v>6757</v>
      </c>
      <c r="D133" s="1852"/>
      <c r="E133" s="1852"/>
      <c r="F133" s="1853">
        <f t="shared" ref="F133:F196" si="5">D133*E133</f>
        <v>0</v>
      </c>
      <c r="G133" s="1843">
        <f t="shared" si="4"/>
        <v>0</v>
      </c>
      <c r="H133" s="1173">
        <v>0.495</v>
      </c>
      <c r="I133" s="3121" t="s">
        <v>0</v>
      </c>
    </row>
    <row r="134" spans="1:10" ht="16.5">
      <c r="A134" s="1840" t="s">
        <v>846</v>
      </c>
      <c r="B134" s="1841" t="s">
        <v>6824</v>
      </c>
      <c r="C134" s="1842" t="s">
        <v>6757</v>
      </c>
      <c r="D134" s="1852"/>
      <c r="E134" s="1852"/>
      <c r="F134" s="1853">
        <f t="shared" si="5"/>
        <v>0</v>
      </c>
      <c r="G134" s="1843">
        <f t="shared" si="4"/>
        <v>0</v>
      </c>
      <c r="H134" s="1173">
        <v>0.61760000000000004</v>
      </c>
      <c r="I134" s="3121" t="s">
        <v>0</v>
      </c>
    </row>
    <row r="135" spans="1:10" ht="16.5">
      <c r="A135" s="1840" t="s">
        <v>847</v>
      </c>
      <c r="B135" s="1841" t="s">
        <v>6825</v>
      </c>
      <c r="C135" s="1842" t="s">
        <v>6757</v>
      </c>
      <c r="D135" s="1852"/>
      <c r="E135" s="1852"/>
      <c r="F135" s="1853">
        <f t="shared" si="5"/>
        <v>0</v>
      </c>
      <c r="G135" s="1843">
        <f t="shared" si="4"/>
        <v>0</v>
      </c>
      <c r="H135" s="1173">
        <v>0.20480000000000001</v>
      </c>
      <c r="I135" s="3121" t="s">
        <v>0</v>
      </c>
      <c r="J135" s="1851"/>
    </row>
    <row r="136" spans="1:10" ht="16.5">
      <c r="A136" s="1840" t="s">
        <v>848</v>
      </c>
      <c r="B136" s="1841" t="s">
        <v>6826</v>
      </c>
      <c r="C136" s="1842" t="s">
        <v>6757</v>
      </c>
      <c r="D136" s="1852"/>
      <c r="E136" s="1852"/>
      <c r="F136" s="1853">
        <f t="shared" si="5"/>
        <v>0</v>
      </c>
      <c r="G136" s="1843">
        <f t="shared" si="4"/>
        <v>0</v>
      </c>
      <c r="H136" s="1173">
        <v>0.47089999999999999</v>
      </c>
      <c r="I136" s="3121" t="s">
        <v>0</v>
      </c>
    </row>
    <row r="137" spans="1:10" ht="16.5">
      <c r="A137" s="1840" t="s">
        <v>849</v>
      </c>
      <c r="B137" s="1841" t="s">
        <v>6827</v>
      </c>
      <c r="C137" s="1842" t="s">
        <v>6757</v>
      </c>
      <c r="D137" s="1852"/>
      <c r="E137" s="1852"/>
      <c r="F137" s="1853">
        <f t="shared" si="5"/>
        <v>0</v>
      </c>
      <c r="G137" s="1843">
        <f t="shared" si="4"/>
        <v>0</v>
      </c>
      <c r="H137" s="1173">
        <v>0.60099999999999998</v>
      </c>
      <c r="I137" s="3121" t="s">
        <v>0</v>
      </c>
    </row>
    <row r="138" spans="1:10" ht="16.5">
      <c r="A138" s="1840" t="s">
        <v>850</v>
      </c>
      <c r="B138" s="1841" t="s">
        <v>6828</v>
      </c>
      <c r="C138" s="1842" t="s">
        <v>6757</v>
      </c>
      <c r="D138" s="1852"/>
      <c r="E138" s="1852"/>
      <c r="F138" s="1853">
        <f t="shared" si="5"/>
        <v>0</v>
      </c>
      <c r="G138" s="1843">
        <f t="shared" si="4"/>
        <v>0</v>
      </c>
      <c r="H138" s="1173">
        <v>0.58489999999999998</v>
      </c>
      <c r="I138" s="3121" t="s">
        <v>0</v>
      </c>
    </row>
    <row r="139" spans="1:10" ht="16.5">
      <c r="A139" s="1840" t="s">
        <v>851</v>
      </c>
      <c r="B139" s="1841" t="s">
        <v>6829</v>
      </c>
      <c r="C139" s="1842" t="s">
        <v>6757</v>
      </c>
      <c r="D139" s="1852"/>
      <c r="E139" s="1852"/>
      <c r="F139" s="1853">
        <f t="shared" si="5"/>
        <v>0</v>
      </c>
      <c r="G139" s="1843">
        <f t="shared" si="4"/>
        <v>0</v>
      </c>
      <c r="H139" s="1173">
        <v>0.2213</v>
      </c>
      <c r="I139" s="3121" t="s">
        <v>0</v>
      </c>
    </row>
    <row r="140" spans="1:10" ht="16.5">
      <c r="A140" s="1840" t="s">
        <v>852</v>
      </c>
      <c r="B140" s="1841" t="s">
        <v>6830</v>
      </c>
      <c r="C140" s="1842" t="s">
        <v>6757</v>
      </c>
      <c r="D140" s="1852"/>
      <c r="E140" s="1852"/>
      <c r="F140" s="1853">
        <f t="shared" si="5"/>
        <v>0</v>
      </c>
      <c r="G140" s="1843">
        <f t="shared" si="4"/>
        <v>0</v>
      </c>
      <c r="H140" s="1173">
        <v>0.38629999999999998</v>
      </c>
      <c r="I140" s="3121" t="s">
        <v>0</v>
      </c>
    </row>
    <row r="141" spans="1:10" ht="16.5">
      <c r="A141" s="1840" t="s">
        <v>853</v>
      </c>
      <c r="B141" s="1841" t="s">
        <v>6831</v>
      </c>
      <c r="C141" s="1842" t="s">
        <v>6757</v>
      </c>
      <c r="D141" s="1852"/>
      <c r="E141" s="1852"/>
      <c r="F141" s="1853">
        <f t="shared" si="5"/>
        <v>0</v>
      </c>
      <c r="G141" s="1843">
        <f t="shared" si="4"/>
        <v>0</v>
      </c>
      <c r="H141" s="1173">
        <v>0.52210000000000001</v>
      </c>
      <c r="I141" s="3121" t="s">
        <v>0</v>
      </c>
    </row>
    <row r="142" spans="1:10" ht="16.5">
      <c r="A142" s="1840" t="s">
        <v>854</v>
      </c>
      <c r="B142" s="1841" t="s">
        <v>6832</v>
      </c>
      <c r="C142" s="1842" t="s">
        <v>6757</v>
      </c>
      <c r="D142" s="1852"/>
      <c r="E142" s="1852"/>
      <c r="F142" s="1853">
        <f t="shared" si="5"/>
        <v>0</v>
      </c>
      <c r="G142" s="1843">
        <f t="shared" si="4"/>
        <v>0</v>
      </c>
      <c r="H142" s="1173">
        <v>0.54139999999999999</v>
      </c>
      <c r="I142" s="3121" t="s">
        <v>0</v>
      </c>
    </row>
    <row r="143" spans="1:10" ht="16.5">
      <c r="A143" s="1840" t="s">
        <v>855</v>
      </c>
      <c r="B143" s="1841" t="s">
        <v>6833</v>
      </c>
      <c r="C143" s="1842" t="s">
        <v>6757</v>
      </c>
      <c r="D143" s="1852"/>
      <c r="E143" s="1852"/>
      <c r="F143" s="1853">
        <f t="shared" si="5"/>
        <v>0</v>
      </c>
      <c r="G143" s="1843">
        <f t="shared" si="4"/>
        <v>0</v>
      </c>
      <c r="H143" s="1173">
        <v>0.43769999999999998</v>
      </c>
      <c r="I143" s="3121" t="s">
        <v>0</v>
      </c>
    </row>
    <row r="144" spans="1:10" ht="16.5">
      <c r="A144" s="1840" t="s">
        <v>856</v>
      </c>
      <c r="B144" s="1841" t="s">
        <v>6834</v>
      </c>
      <c r="C144" s="1842" t="s">
        <v>6757</v>
      </c>
      <c r="D144" s="1852"/>
      <c r="E144" s="1852"/>
      <c r="F144" s="1853">
        <f t="shared" si="5"/>
        <v>0</v>
      </c>
      <c r="G144" s="1843">
        <f t="shared" si="4"/>
        <v>0</v>
      </c>
      <c r="H144" s="1173">
        <v>0.61419999999999997</v>
      </c>
      <c r="I144" s="3121" t="s">
        <v>0</v>
      </c>
    </row>
    <row r="145" spans="1:9" ht="16.5">
      <c r="A145" s="1840" t="s">
        <v>857</v>
      </c>
      <c r="B145" s="1841" t="s">
        <v>6835</v>
      </c>
      <c r="C145" s="1842" t="s">
        <v>6757</v>
      </c>
      <c r="D145" s="1852"/>
      <c r="E145" s="1852"/>
      <c r="F145" s="1853">
        <f t="shared" si="5"/>
        <v>0</v>
      </c>
      <c r="G145" s="1843">
        <f t="shared" si="4"/>
        <v>0</v>
      </c>
      <c r="H145" s="1173">
        <v>0.17380000000000001</v>
      </c>
      <c r="I145" s="3121" t="s">
        <v>0</v>
      </c>
    </row>
    <row r="146" spans="1:9" ht="16.5">
      <c r="A146" s="1840" t="s">
        <v>858</v>
      </c>
      <c r="B146" s="1841" t="s">
        <v>6836</v>
      </c>
      <c r="C146" s="1842" t="s">
        <v>6757</v>
      </c>
      <c r="D146" s="1852"/>
      <c r="E146" s="1852"/>
      <c r="F146" s="1853">
        <f t="shared" si="5"/>
        <v>0</v>
      </c>
      <c r="G146" s="1843">
        <f t="shared" si="4"/>
        <v>0</v>
      </c>
      <c r="H146" s="1173">
        <v>0.27810000000000001</v>
      </c>
      <c r="I146" s="3121" t="s">
        <v>0</v>
      </c>
    </row>
    <row r="147" spans="1:9" ht="16.5">
      <c r="A147" s="1840" t="s">
        <v>859</v>
      </c>
      <c r="B147" s="1841" t="s">
        <v>6837</v>
      </c>
      <c r="C147" s="1842" t="s">
        <v>6757</v>
      </c>
      <c r="D147" s="1852"/>
      <c r="E147" s="1852"/>
      <c r="F147" s="1853">
        <f t="shared" si="5"/>
        <v>0</v>
      </c>
      <c r="G147" s="1843">
        <f t="shared" si="4"/>
        <v>0</v>
      </c>
      <c r="H147" s="1173">
        <v>0.77659999999999996</v>
      </c>
      <c r="I147" s="3121" t="s">
        <v>0</v>
      </c>
    </row>
    <row r="148" spans="1:9" ht="16.5">
      <c r="A148" s="1840" t="s">
        <v>860</v>
      </c>
      <c r="B148" s="1841" t="s">
        <v>6838</v>
      </c>
      <c r="C148" s="1842" t="s">
        <v>6757</v>
      </c>
      <c r="D148" s="1852"/>
      <c r="E148" s="1852"/>
      <c r="F148" s="1853">
        <f t="shared" si="5"/>
        <v>0</v>
      </c>
      <c r="G148" s="1843">
        <f t="shared" si="4"/>
        <v>0</v>
      </c>
      <c r="H148" s="1173">
        <v>0.31109999999999999</v>
      </c>
      <c r="I148" s="3121" t="s">
        <v>0</v>
      </c>
    </row>
    <row r="149" spans="1:9" ht="16.5">
      <c r="A149" s="1840" t="s">
        <v>861</v>
      </c>
      <c r="B149" s="1841" t="s">
        <v>6839</v>
      </c>
      <c r="C149" s="1842" t="s">
        <v>6757</v>
      </c>
      <c r="D149" s="1852"/>
      <c r="E149" s="1852"/>
      <c r="F149" s="1853">
        <f t="shared" si="5"/>
        <v>0</v>
      </c>
      <c r="G149" s="1843">
        <f t="shared" si="4"/>
        <v>0</v>
      </c>
      <c r="H149" s="1173">
        <v>0.47299999999999998</v>
      </c>
      <c r="I149" s="3121" t="s">
        <v>0</v>
      </c>
    </row>
    <row r="150" spans="1:9" ht="16.5">
      <c r="A150" s="1840" t="s">
        <v>862</v>
      </c>
      <c r="B150" s="1841" t="s">
        <v>6840</v>
      </c>
      <c r="C150" s="1842" t="s">
        <v>6757</v>
      </c>
      <c r="D150" s="1852"/>
      <c r="E150" s="1852"/>
      <c r="F150" s="1853">
        <f t="shared" si="5"/>
        <v>0</v>
      </c>
      <c r="G150" s="1843">
        <f t="shared" si="4"/>
        <v>0</v>
      </c>
      <c r="H150" s="1173">
        <v>0.31159999999999999</v>
      </c>
      <c r="I150" s="3121" t="s">
        <v>0</v>
      </c>
    </row>
    <row r="151" spans="1:9" ht="16.5">
      <c r="A151" s="1840" t="s">
        <v>863</v>
      </c>
      <c r="B151" s="1841" t="s">
        <v>6841</v>
      </c>
      <c r="C151" s="1842" t="s">
        <v>6757</v>
      </c>
      <c r="D151" s="1852"/>
      <c r="E151" s="1852"/>
      <c r="F151" s="1853">
        <f t="shared" si="5"/>
        <v>0</v>
      </c>
      <c r="G151" s="1843">
        <f t="shared" si="4"/>
        <v>0</v>
      </c>
      <c r="H151" s="1173">
        <v>0.49049999999999999</v>
      </c>
      <c r="I151" s="3121" t="s">
        <v>0</v>
      </c>
    </row>
    <row r="152" spans="1:9" ht="16.5">
      <c r="A152" s="1840" t="s">
        <v>864</v>
      </c>
      <c r="B152" s="1841" t="s">
        <v>6842</v>
      </c>
      <c r="C152" s="1842" t="s">
        <v>6757</v>
      </c>
      <c r="D152" s="1852"/>
      <c r="E152" s="1852"/>
      <c r="F152" s="1853">
        <f t="shared" si="5"/>
        <v>0</v>
      </c>
      <c r="G152" s="1843">
        <f t="shared" si="4"/>
        <v>0</v>
      </c>
      <c r="H152" s="1173">
        <v>0.42280000000000001</v>
      </c>
      <c r="I152" s="3121" t="s">
        <v>0</v>
      </c>
    </row>
    <row r="153" spans="1:9" ht="16.5">
      <c r="A153" s="1840" t="s">
        <v>865</v>
      </c>
      <c r="B153" s="1841" t="s">
        <v>6843</v>
      </c>
      <c r="C153" s="1842" t="s">
        <v>6757</v>
      </c>
      <c r="D153" s="1852"/>
      <c r="E153" s="1852"/>
      <c r="F153" s="1853">
        <f t="shared" si="5"/>
        <v>0</v>
      </c>
      <c r="G153" s="1843">
        <f t="shared" si="4"/>
        <v>0</v>
      </c>
      <c r="H153" s="1173">
        <v>0.46949999999999997</v>
      </c>
      <c r="I153" s="3121" t="s">
        <v>0</v>
      </c>
    </row>
    <row r="154" spans="1:9" ht="16.5">
      <c r="A154" s="1840" t="s">
        <v>866</v>
      </c>
      <c r="B154" s="1841" t="s">
        <v>6844</v>
      </c>
      <c r="C154" s="1842" t="s">
        <v>6757</v>
      </c>
      <c r="D154" s="1852"/>
      <c r="E154" s="1852"/>
      <c r="F154" s="1853">
        <f t="shared" si="5"/>
        <v>0</v>
      </c>
      <c r="G154" s="1843">
        <f t="shared" si="4"/>
        <v>0</v>
      </c>
      <c r="H154" s="1173">
        <v>0.434</v>
      </c>
      <c r="I154" s="3121" t="s">
        <v>0</v>
      </c>
    </row>
    <row r="155" spans="1:9" ht="16.5">
      <c r="A155" s="1840" t="s">
        <v>867</v>
      </c>
      <c r="B155" s="1841" t="s">
        <v>6845</v>
      </c>
      <c r="C155" s="1842" t="s">
        <v>6757</v>
      </c>
      <c r="D155" s="1852"/>
      <c r="E155" s="1852"/>
      <c r="F155" s="1853">
        <f t="shared" si="5"/>
        <v>0</v>
      </c>
      <c r="G155" s="1843">
        <f t="shared" si="4"/>
        <v>0</v>
      </c>
      <c r="H155" s="1173">
        <v>0.37530000000000002</v>
      </c>
      <c r="I155" s="3121" t="s">
        <v>0</v>
      </c>
    </row>
    <row r="156" spans="1:9" ht="16.5">
      <c r="A156" s="1840" t="s">
        <v>868</v>
      </c>
      <c r="B156" s="1841" t="s">
        <v>6846</v>
      </c>
      <c r="C156" s="1842" t="s">
        <v>6757</v>
      </c>
      <c r="D156" s="1852"/>
      <c r="E156" s="1852"/>
      <c r="F156" s="1853">
        <f t="shared" si="5"/>
        <v>0</v>
      </c>
      <c r="G156" s="1843">
        <f t="shared" si="4"/>
        <v>0</v>
      </c>
      <c r="H156" s="1173">
        <v>0.2863</v>
      </c>
      <c r="I156" s="3121" t="s">
        <v>0</v>
      </c>
    </row>
    <row r="157" spans="1:9" ht="16.5">
      <c r="A157" s="1840" t="s">
        <v>869</v>
      </c>
      <c r="B157" s="1841" t="s">
        <v>6847</v>
      </c>
      <c r="C157" s="1842" t="s">
        <v>6757</v>
      </c>
      <c r="D157" s="1852"/>
      <c r="E157" s="1852"/>
      <c r="F157" s="1853">
        <f t="shared" si="5"/>
        <v>0</v>
      </c>
      <c r="G157" s="1843">
        <f t="shared" si="4"/>
        <v>0</v>
      </c>
      <c r="H157" s="1173">
        <v>0.45960000000000001</v>
      </c>
      <c r="I157" s="3121" t="s">
        <v>0</v>
      </c>
    </row>
    <row r="158" spans="1:9" ht="16.5">
      <c r="A158" s="1840" t="s">
        <v>870</v>
      </c>
      <c r="B158" s="1841" t="s">
        <v>6848</v>
      </c>
      <c r="C158" s="1842" t="s">
        <v>6757</v>
      </c>
      <c r="D158" s="1852"/>
      <c r="E158" s="1852"/>
      <c r="F158" s="1853">
        <f t="shared" si="5"/>
        <v>0</v>
      </c>
      <c r="G158" s="1843">
        <f t="shared" si="4"/>
        <v>0</v>
      </c>
      <c r="H158" s="1173">
        <v>0.3695</v>
      </c>
      <c r="I158" s="3121" t="s">
        <v>0</v>
      </c>
    </row>
    <row r="159" spans="1:9" ht="16.5">
      <c r="A159" s="1840" t="s">
        <v>871</v>
      </c>
      <c r="B159" s="1841" t="s">
        <v>6849</v>
      </c>
      <c r="C159" s="1842" t="s">
        <v>6757</v>
      </c>
      <c r="D159" s="1852"/>
      <c r="E159" s="1852"/>
      <c r="F159" s="1853">
        <f t="shared" si="5"/>
        <v>0</v>
      </c>
      <c r="G159" s="1843">
        <f t="shared" si="4"/>
        <v>0</v>
      </c>
      <c r="H159" s="1173">
        <v>0.71350000000000002</v>
      </c>
      <c r="I159" s="3121" t="s">
        <v>0</v>
      </c>
    </row>
    <row r="160" spans="1:9" ht="16.5">
      <c r="A160" s="1840" t="s">
        <v>872</v>
      </c>
      <c r="B160" s="1841" t="s">
        <v>6850</v>
      </c>
      <c r="C160" s="1842" t="s">
        <v>6757</v>
      </c>
      <c r="D160" s="1852"/>
      <c r="E160" s="1852"/>
      <c r="F160" s="1853">
        <f t="shared" si="5"/>
        <v>0</v>
      </c>
      <c r="G160" s="1843">
        <f t="shared" si="4"/>
        <v>0</v>
      </c>
      <c r="H160" s="1173">
        <v>0.27750000000000002</v>
      </c>
      <c r="I160" s="3121" t="s">
        <v>0</v>
      </c>
    </row>
    <row r="161" spans="1:10" ht="16.5">
      <c r="A161" s="1840" t="s">
        <v>873</v>
      </c>
      <c r="B161" s="1841" t="s">
        <v>6851</v>
      </c>
      <c r="C161" s="1842" t="s">
        <v>6757</v>
      </c>
      <c r="D161" s="1852"/>
      <c r="E161" s="1852"/>
      <c r="F161" s="1853">
        <f t="shared" si="5"/>
        <v>0</v>
      </c>
      <c r="G161" s="1843">
        <f t="shared" si="4"/>
        <v>0</v>
      </c>
      <c r="H161" s="1173">
        <v>0.67549999999999999</v>
      </c>
      <c r="I161" s="3121" t="s">
        <v>0</v>
      </c>
    </row>
    <row r="162" spans="1:10" ht="16.5">
      <c r="A162" s="1840" t="s">
        <v>874</v>
      </c>
      <c r="B162" s="1841" t="s">
        <v>6852</v>
      </c>
      <c r="C162" s="1842" t="s">
        <v>6757</v>
      </c>
      <c r="D162" s="1852"/>
      <c r="E162" s="1852"/>
      <c r="F162" s="1853">
        <f t="shared" si="5"/>
        <v>0</v>
      </c>
      <c r="G162" s="1843">
        <f t="shared" si="4"/>
        <v>0</v>
      </c>
      <c r="H162" s="1173">
        <v>0.32400000000000001</v>
      </c>
      <c r="I162" s="3121" t="s">
        <v>0</v>
      </c>
    </row>
    <row r="163" spans="1:10" ht="16.5">
      <c r="A163" s="1840" t="s">
        <v>875</v>
      </c>
      <c r="B163" s="1841" t="s">
        <v>6853</v>
      </c>
      <c r="C163" s="1842" t="s">
        <v>6757</v>
      </c>
      <c r="D163" s="1852"/>
      <c r="E163" s="1852"/>
      <c r="F163" s="1853">
        <f t="shared" si="5"/>
        <v>0</v>
      </c>
      <c r="G163" s="1843">
        <f t="shared" si="4"/>
        <v>0</v>
      </c>
      <c r="H163" s="1173">
        <v>0.48039999999999999</v>
      </c>
      <c r="I163" s="3121" t="s">
        <v>0</v>
      </c>
    </row>
    <row r="164" spans="1:10" ht="16.5">
      <c r="A164" s="1840" t="s">
        <v>876</v>
      </c>
      <c r="B164" s="1841" t="s">
        <v>6854</v>
      </c>
      <c r="C164" s="1842" t="s">
        <v>6757</v>
      </c>
      <c r="D164" s="1852"/>
      <c r="E164" s="1852"/>
      <c r="F164" s="1853">
        <f t="shared" si="5"/>
        <v>0</v>
      </c>
      <c r="G164" s="1843">
        <f t="shared" si="4"/>
        <v>0</v>
      </c>
      <c r="H164" s="1173">
        <v>0.47920000000000001</v>
      </c>
      <c r="I164" s="3121" t="s">
        <v>0</v>
      </c>
    </row>
    <row r="165" spans="1:10" ht="16.5">
      <c r="A165" s="1840" t="s">
        <v>877</v>
      </c>
      <c r="B165" s="1841" t="s">
        <v>6855</v>
      </c>
      <c r="C165" s="1842" t="s">
        <v>6757</v>
      </c>
      <c r="D165" s="1852"/>
      <c r="E165" s="1852"/>
      <c r="F165" s="1853">
        <f t="shared" si="5"/>
        <v>0</v>
      </c>
      <c r="G165" s="1843">
        <f t="shared" si="4"/>
        <v>0</v>
      </c>
      <c r="H165" s="1173">
        <v>0.5867</v>
      </c>
      <c r="I165" s="3121" t="s">
        <v>0</v>
      </c>
    </row>
    <row r="166" spans="1:10" ht="16.5">
      <c r="A166" s="1840" t="s">
        <v>878</v>
      </c>
      <c r="B166" s="1841" t="s">
        <v>6856</v>
      </c>
      <c r="C166" s="1842" t="s">
        <v>6757</v>
      </c>
      <c r="D166" s="1852"/>
      <c r="E166" s="1852"/>
      <c r="F166" s="1853">
        <f t="shared" si="5"/>
        <v>0</v>
      </c>
      <c r="G166" s="1843">
        <f t="shared" si="4"/>
        <v>0</v>
      </c>
      <c r="H166" s="1173">
        <v>0.56869999999999998</v>
      </c>
      <c r="I166" s="3121" t="s">
        <v>0</v>
      </c>
    </row>
    <row r="167" spans="1:10" ht="16.5">
      <c r="A167" s="1840" t="s">
        <v>879</v>
      </c>
      <c r="B167" s="1841" t="s">
        <v>6857</v>
      </c>
      <c r="C167" s="1842" t="s">
        <v>6757</v>
      </c>
      <c r="D167" s="1852"/>
      <c r="E167" s="1852"/>
      <c r="F167" s="1853">
        <f t="shared" si="5"/>
        <v>0</v>
      </c>
      <c r="G167" s="1843">
        <f t="shared" si="4"/>
        <v>0</v>
      </c>
      <c r="H167" s="1173">
        <v>0.40529999999999999</v>
      </c>
      <c r="I167" s="3121" t="s">
        <v>0</v>
      </c>
    </row>
    <row r="168" spans="1:10" ht="16.5">
      <c r="A168" s="1840" t="s">
        <v>880</v>
      </c>
      <c r="B168" s="1841" t="s">
        <v>6858</v>
      </c>
      <c r="C168" s="1842" t="s">
        <v>6757</v>
      </c>
      <c r="D168" s="1852"/>
      <c r="E168" s="1852"/>
      <c r="F168" s="1853">
        <f t="shared" si="5"/>
        <v>0</v>
      </c>
      <c r="G168" s="1843">
        <f t="shared" si="4"/>
        <v>0</v>
      </c>
      <c r="H168" s="1173">
        <v>1.0548999999999999</v>
      </c>
      <c r="I168" s="3121" t="s">
        <v>0</v>
      </c>
    </row>
    <row r="169" spans="1:10" ht="16.5">
      <c r="A169" s="1840" t="s">
        <v>881</v>
      </c>
      <c r="B169" s="1841" t="s">
        <v>6859</v>
      </c>
      <c r="C169" s="1842" t="s">
        <v>6757</v>
      </c>
      <c r="D169" s="1852"/>
      <c r="E169" s="1852"/>
      <c r="F169" s="1853">
        <f t="shared" si="5"/>
        <v>0</v>
      </c>
      <c r="G169" s="1843">
        <f t="shared" si="4"/>
        <v>0</v>
      </c>
      <c r="H169" s="1173">
        <v>0.68840000000000001</v>
      </c>
      <c r="I169" s="3121" t="s">
        <v>0</v>
      </c>
    </row>
    <row r="170" spans="1:10" ht="16.5">
      <c r="A170" s="1840" t="s">
        <v>882</v>
      </c>
      <c r="B170" s="1841" t="s">
        <v>6860</v>
      </c>
      <c r="C170" s="1842" t="s">
        <v>6757</v>
      </c>
      <c r="D170" s="1852"/>
      <c r="E170" s="1852"/>
      <c r="F170" s="1853">
        <f t="shared" si="5"/>
        <v>0</v>
      </c>
      <c r="G170" s="1843">
        <f t="shared" si="4"/>
        <v>0</v>
      </c>
      <c r="H170" s="1173">
        <v>0.47899999999999998</v>
      </c>
      <c r="I170" s="3121" t="s">
        <v>0</v>
      </c>
    </row>
    <row r="171" spans="1:10" ht="16.5">
      <c r="A171" s="1840" t="s">
        <v>883</v>
      </c>
      <c r="B171" s="1841" t="s">
        <v>6861</v>
      </c>
      <c r="C171" s="1842" t="s">
        <v>6757</v>
      </c>
      <c r="D171" s="1852"/>
      <c r="E171" s="1852"/>
      <c r="F171" s="1853">
        <f t="shared" si="5"/>
        <v>0</v>
      </c>
      <c r="G171" s="1843">
        <f t="shared" si="4"/>
        <v>0</v>
      </c>
      <c r="H171" s="1173">
        <v>-1.34E-2</v>
      </c>
      <c r="I171" s="3121" t="s">
        <v>0</v>
      </c>
    </row>
    <row r="172" spans="1:10" ht="16.5">
      <c r="A172" s="1840" t="s">
        <v>884</v>
      </c>
      <c r="B172" s="1841" t="s">
        <v>6862</v>
      </c>
      <c r="C172" s="1842" t="s">
        <v>6757</v>
      </c>
      <c r="D172" s="1852"/>
      <c r="E172" s="1852"/>
      <c r="F172" s="1853">
        <f t="shared" si="5"/>
        <v>0</v>
      </c>
      <c r="G172" s="1843">
        <f t="shared" si="4"/>
        <v>0</v>
      </c>
      <c r="H172" s="1173">
        <v>0.93200000000000005</v>
      </c>
      <c r="I172" s="3121" t="s">
        <v>0</v>
      </c>
    </row>
    <row r="173" spans="1:10" ht="16.5">
      <c r="A173" s="1840" t="s">
        <v>885</v>
      </c>
      <c r="B173" s="1841" t="s">
        <v>6863</v>
      </c>
      <c r="C173" s="1842" t="s">
        <v>6757</v>
      </c>
      <c r="D173" s="1852"/>
      <c r="E173" s="1852"/>
      <c r="F173" s="1853">
        <f t="shared" si="5"/>
        <v>0</v>
      </c>
      <c r="G173" s="1843">
        <f t="shared" si="4"/>
        <v>0</v>
      </c>
      <c r="H173" s="1173">
        <v>0.8659</v>
      </c>
      <c r="I173" s="3121" t="s">
        <v>0</v>
      </c>
      <c r="J173" s="1851"/>
    </row>
    <row r="174" spans="1:10" ht="16.5">
      <c r="A174" s="1840" t="s">
        <v>886</v>
      </c>
      <c r="B174" s="1841" t="s">
        <v>6864</v>
      </c>
      <c r="C174" s="1842" t="s">
        <v>6757</v>
      </c>
      <c r="D174" s="1852"/>
      <c r="E174" s="1852"/>
      <c r="F174" s="1853">
        <f t="shared" si="5"/>
        <v>0</v>
      </c>
      <c r="G174" s="1843">
        <f t="shared" si="4"/>
        <v>0</v>
      </c>
      <c r="H174" s="1173">
        <v>0.67989999999999995</v>
      </c>
      <c r="I174" s="3121" t="s">
        <v>0</v>
      </c>
    </row>
    <row r="175" spans="1:10" ht="16.5">
      <c r="A175" s="1840" t="s">
        <v>887</v>
      </c>
      <c r="B175" s="1841" t="s">
        <v>6865</v>
      </c>
      <c r="C175" s="1842" t="s">
        <v>6757</v>
      </c>
      <c r="D175" s="1852"/>
      <c r="E175" s="1852"/>
      <c r="F175" s="1853">
        <f t="shared" si="5"/>
        <v>0</v>
      </c>
      <c r="G175" s="1843">
        <f t="shared" si="4"/>
        <v>0</v>
      </c>
      <c r="H175" s="1173">
        <v>0.64290000000000003</v>
      </c>
      <c r="I175" s="3121" t="s">
        <v>0</v>
      </c>
    </row>
    <row r="176" spans="1:10" ht="16.5">
      <c r="A176" s="1840" t="s">
        <v>888</v>
      </c>
      <c r="B176" s="1841" t="s">
        <v>6866</v>
      </c>
      <c r="C176" s="1842" t="s">
        <v>6757</v>
      </c>
      <c r="D176" s="1852"/>
      <c r="E176" s="1852"/>
      <c r="F176" s="1853">
        <f t="shared" si="5"/>
        <v>0</v>
      </c>
      <c r="G176" s="1843">
        <f t="shared" si="4"/>
        <v>0</v>
      </c>
      <c r="H176" s="1173">
        <v>0.4451</v>
      </c>
      <c r="I176" s="3121" t="s">
        <v>0</v>
      </c>
    </row>
    <row r="177" spans="1:9" ht="16.5">
      <c r="A177" s="1840" t="s">
        <v>889</v>
      </c>
      <c r="B177" s="1841" t="s">
        <v>6867</v>
      </c>
      <c r="C177" s="1842" t="s">
        <v>6757</v>
      </c>
      <c r="D177" s="1852"/>
      <c r="E177" s="1852"/>
      <c r="F177" s="1853">
        <f t="shared" si="5"/>
        <v>0</v>
      </c>
      <c r="G177" s="1843">
        <f t="shared" si="4"/>
        <v>0</v>
      </c>
      <c r="H177" s="1173">
        <v>0.98550000000000004</v>
      </c>
      <c r="I177" s="3121" t="s">
        <v>0</v>
      </c>
    </row>
    <row r="178" spans="1:9" ht="16.5">
      <c r="A178" s="1840" t="s">
        <v>890</v>
      </c>
      <c r="B178" s="1841" t="s">
        <v>6868</v>
      </c>
      <c r="C178" s="1842" t="s">
        <v>6757</v>
      </c>
      <c r="D178" s="1852"/>
      <c r="E178" s="1852"/>
      <c r="F178" s="1853">
        <f t="shared" si="5"/>
        <v>0</v>
      </c>
      <c r="G178" s="1843">
        <f t="shared" si="4"/>
        <v>0</v>
      </c>
      <c r="H178" s="1173">
        <v>0.34320000000000001</v>
      </c>
      <c r="I178" s="3121" t="s">
        <v>0</v>
      </c>
    </row>
    <row r="179" spans="1:9" ht="16.5">
      <c r="A179" s="1840" t="s">
        <v>891</v>
      </c>
      <c r="B179" s="1841" t="s">
        <v>6869</v>
      </c>
      <c r="C179" s="1842" t="s">
        <v>6757</v>
      </c>
      <c r="D179" s="1852"/>
      <c r="E179" s="1852"/>
      <c r="F179" s="1853">
        <f t="shared" si="5"/>
        <v>0</v>
      </c>
      <c r="G179" s="1843">
        <f t="shared" si="4"/>
        <v>0</v>
      </c>
      <c r="H179" s="1173">
        <v>0.78939999999999999</v>
      </c>
      <c r="I179" s="3121" t="s">
        <v>0</v>
      </c>
    </row>
    <row r="180" spans="1:9" ht="16.5">
      <c r="A180" s="1840" t="s">
        <v>892</v>
      </c>
      <c r="B180" s="1841" t="s">
        <v>6870</v>
      </c>
      <c r="C180" s="1842" t="s">
        <v>6757</v>
      </c>
      <c r="D180" s="1852"/>
      <c r="E180" s="1852"/>
      <c r="F180" s="1853">
        <f t="shared" si="5"/>
        <v>0</v>
      </c>
      <c r="G180" s="1843">
        <f t="shared" si="4"/>
        <v>0</v>
      </c>
      <c r="H180" s="1173">
        <v>0.7077</v>
      </c>
      <c r="I180" s="3121" t="s">
        <v>0</v>
      </c>
    </row>
    <row r="181" spans="1:9" ht="16.5">
      <c r="A181" s="1840" t="s">
        <v>893</v>
      </c>
      <c r="B181" s="1841" t="s">
        <v>6871</v>
      </c>
      <c r="C181" s="1842" t="s">
        <v>6757</v>
      </c>
      <c r="D181" s="1852"/>
      <c r="E181" s="1852"/>
      <c r="F181" s="1853">
        <f t="shared" si="5"/>
        <v>0</v>
      </c>
      <c r="G181" s="1843">
        <f t="shared" si="4"/>
        <v>0</v>
      </c>
      <c r="H181" s="1173">
        <v>0.4425</v>
      </c>
      <c r="I181" s="3121" t="s">
        <v>0</v>
      </c>
    </row>
    <row r="182" spans="1:9" ht="16.5">
      <c r="A182" s="1840" t="s">
        <v>894</v>
      </c>
      <c r="B182" s="1841" t="s">
        <v>6872</v>
      </c>
      <c r="C182" s="1842" t="s">
        <v>6757</v>
      </c>
      <c r="D182" s="1852"/>
      <c r="E182" s="1852"/>
      <c r="F182" s="1853">
        <f t="shared" si="5"/>
        <v>0</v>
      </c>
      <c r="G182" s="1843">
        <f t="shared" si="4"/>
        <v>0</v>
      </c>
      <c r="H182" s="1173">
        <v>0.46429999999999999</v>
      </c>
      <c r="I182" s="3121" t="s">
        <v>0</v>
      </c>
    </row>
    <row r="183" spans="1:9" ht="16.5">
      <c r="A183" s="1840" t="s">
        <v>895</v>
      </c>
      <c r="B183" s="1841" t="s">
        <v>6873</v>
      </c>
      <c r="C183" s="1842" t="s">
        <v>6757</v>
      </c>
      <c r="D183" s="1852"/>
      <c r="E183" s="1852"/>
      <c r="F183" s="1853">
        <f t="shared" si="5"/>
        <v>0</v>
      </c>
      <c r="G183" s="1843">
        <f t="shared" si="4"/>
        <v>0</v>
      </c>
      <c r="H183" s="1173">
        <v>0.3654</v>
      </c>
      <c r="I183" s="3121" t="s">
        <v>0</v>
      </c>
    </row>
    <row r="184" spans="1:9" ht="16.5">
      <c r="A184" s="1840" t="s">
        <v>896</v>
      </c>
      <c r="B184" s="1841" t="s">
        <v>6874</v>
      </c>
      <c r="C184" s="1842" t="s">
        <v>6757</v>
      </c>
      <c r="D184" s="1852"/>
      <c r="E184" s="1852"/>
      <c r="F184" s="1853">
        <f t="shared" si="5"/>
        <v>0</v>
      </c>
      <c r="G184" s="1843">
        <f t="shared" si="4"/>
        <v>0</v>
      </c>
      <c r="H184" s="1173">
        <v>0.6804</v>
      </c>
      <c r="I184" s="3121" t="s">
        <v>0</v>
      </c>
    </row>
    <row r="185" spans="1:9" ht="16.5">
      <c r="A185" s="1840" t="s">
        <v>897</v>
      </c>
      <c r="B185" s="1841" t="s">
        <v>6875</v>
      </c>
      <c r="C185" s="1842" t="s">
        <v>6757</v>
      </c>
      <c r="D185" s="1852"/>
      <c r="E185" s="1852"/>
      <c r="F185" s="1853">
        <f t="shared" si="5"/>
        <v>0</v>
      </c>
      <c r="G185" s="1843">
        <f t="shared" si="4"/>
        <v>0</v>
      </c>
      <c r="H185" s="1173">
        <v>0.70579999999999998</v>
      </c>
      <c r="I185" s="3121" t="s">
        <v>0</v>
      </c>
    </row>
    <row r="186" spans="1:9" ht="16.5">
      <c r="A186" s="1840" t="s">
        <v>898</v>
      </c>
      <c r="B186" s="1841" t="s">
        <v>6876</v>
      </c>
      <c r="C186" s="1842" t="s">
        <v>6757</v>
      </c>
      <c r="D186" s="1852"/>
      <c r="E186" s="1852"/>
      <c r="F186" s="1853">
        <f t="shared" si="5"/>
        <v>0</v>
      </c>
      <c r="G186" s="1843">
        <f t="shared" si="4"/>
        <v>0</v>
      </c>
      <c r="H186" s="1173">
        <v>0.33529999999999999</v>
      </c>
      <c r="I186" s="3121" t="s">
        <v>0</v>
      </c>
    </row>
    <row r="187" spans="1:9" ht="16.5">
      <c r="A187" s="1840" t="s">
        <v>899</v>
      </c>
      <c r="B187" s="1841" t="s">
        <v>6877</v>
      </c>
      <c r="C187" s="1842" t="s">
        <v>6757</v>
      </c>
      <c r="D187" s="1852"/>
      <c r="E187" s="1852"/>
      <c r="F187" s="1853">
        <f t="shared" si="5"/>
        <v>0</v>
      </c>
      <c r="G187" s="1843">
        <f t="shared" si="4"/>
        <v>0</v>
      </c>
      <c r="H187" s="1173">
        <v>0.40739999999999998</v>
      </c>
      <c r="I187" s="3121" t="s">
        <v>0</v>
      </c>
    </row>
    <row r="188" spans="1:9" ht="16.5">
      <c r="A188" s="1840" t="s">
        <v>900</v>
      </c>
      <c r="B188" s="1841" t="s">
        <v>6878</v>
      </c>
      <c r="C188" s="1842" t="s">
        <v>6757</v>
      </c>
      <c r="D188" s="1852"/>
      <c r="E188" s="1852"/>
      <c r="F188" s="1853">
        <f t="shared" si="5"/>
        <v>0</v>
      </c>
      <c r="G188" s="1843">
        <f t="shared" si="4"/>
        <v>0</v>
      </c>
      <c r="H188" s="1173">
        <v>0.62890000000000001</v>
      </c>
      <c r="I188" s="3121" t="s">
        <v>0</v>
      </c>
    </row>
    <row r="189" spans="1:9" ht="16.5">
      <c r="A189" s="1840" t="s">
        <v>901</v>
      </c>
      <c r="B189" s="1841" t="s">
        <v>6879</v>
      </c>
      <c r="C189" s="1842" t="s">
        <v>6757</v>
      </c>
      <c r="D189" s="1852"/>
      <c r="E189" s="1852"/>
      <c r="F189" s="1853">
        <f t="shared" si="5"/>
        <v>0</v>
      </c>
      <c r="G189" s="1843">
        <f t="shared" si="4"/>
        <v>0</v>
      </c>
      <c r="H189" s="1173">
        <v>0.47020000000000001</v>
      </c>
      <c r="I189" s="3121" t="s">
        <v>0</v>
      </c>
    </row>
    <row r="190" spans="1:9" ht="16.5">
      <c r="A190" s="1840" t="s">
        <v>902</v>
      </c>
      <c r="B190" s="1841" t="s">
        <v>6880</v>
      </c>
      <c r="C190" s="1842" t="s">
        <v>6757</v>
      </c>
      <c r="D190" s="1852"/>
      <c r="E190" s="1852"/>
      <c r="F190" s="1853">
        <f t="shared" si="5"/>
        <v>0</v>
      </c>
      <c r="G190" s="1843">
        <f t="shared" si="4"/>
        <v>0</v>
      </c>
      <c r="H190" s="1173">
        <v>0.64019999999999999</v>
      </c>
      <c r="I190" s="3121" t="s">
        <v>0</v>
      </c>
    </row>
    <row r="191" spans="1:9" ht="16.5">
      <c r="A191" s="1840" t="s">
        <v>903</v>
      </c>
      <c r="B191" s="1841" t="s">
        <v>6881</v>
      </c>
      <c r="C191" s="1842" t="s">
        <v>6757</v>
      </c>
      <c r="D191" s="1852"/>
      <c r="E191" s="1852"/>
      <c r="F191" s="1853">
        <f t="shared" si="5"/>
        <v>0</v>
      </c>
      <c r="G191" s="1843">
        <f t="shared" si="4"/>
        <v>0</v>
      </c>
      <c r="H191" s="1173">
        <v>0.8206</v>
      </c>
      <c r="I191" s="3121" t="s">
        <v>0</v>
      </c>
    </row>
    <row r="192" spans="1:9" ht="16.5">
      <c r="A192" s="1840" t="s">
        <v>904</v>
      </c>
      <c r="B192" s="1841" t="s">
        <v>6882</v>
      </c>
      <c r="C192" s="1842" t="s">
        <v>6757</v>
      </c>
      <c r="D192" s="1852"/>
      <c r="E192" s="1852"/>
      <c r="F192" s="1853">
        <f t="shared" si="5"/>
        <v>0</v>
      </c>
      <c r="G192" s="1843">
        <f t="shared" si="4"/>
        <v>0</v>
      </c>
      <c r="H192" s="1173">
        <v>0.23139999999999999</v>
      </c>
      <c r="I192" s="3121" t="s">
        <v>0</v>
      </c>
    </row>
    <row r="193" spans="1:9" ht="16.5">
      <c r="A193" s="1840" t="s">
        <v>905</v>
      </c>
      <c r="B193" s="1841" t="s">
        <v>6883</v>
      </c>
      <c r="C193" s="1842" t="s">
        <v>6757</v>
      </c>
      <c r="D193" s="1852"/>
      <c r="E193" s="1852"/>
      <c r="F193" s="1853">
        <f t="shared" si="5"/>
        <v>0</v>
      </c>
      <c r="G193" s="1843">
        <f t="shared" si="4"/>
        <v>0</v>
      </c>
      <c r="H193" s="1173">
        <v>0.17349999999999999</v>
      </c>
      <c r="I193" s="3121" t="s">
        <v>0</v>
      </c>
    </row>
    <row r="194" spans="1:9" ht="16.5">
      <c r="A194" s="1840" t="s">
        <v>906</v>
      </c>
      <c r="B194" s="1841" t="s">
        <v>6884</v>
      </c>
      <c r="C194" s="1842" t="s">
        <v>6757</v>
      </c>
      <c r="D194" s="1852"/>
      <c r="E194" s="1852"/>
      <c r="F194" s="1853">
        <f t="shared" si="5"/>
        <v>0</v>
      </c>
      <c r="G194" s="1843">
        <f t="shared" si="4"/>
        <v>0</v>
      </c>
      <c r="H194" s="1173">
        <v>0.41370000000000001</v>
      </c>
      <c r="I194" s="3121" t="s">
        <v>0</v>
      </c>
    </row>
    <row r="195" spans="1:9" ht="16.5">
      <c r="A195" s="1840" t="s">
        <v>907</v>
      </c>
      <c r="B195" s="1841" t="s">
        <v>6885</v>
      </c>
      <c r="C195" s="1842" t="s">
        <v>6757</v>
      </c>
      <c r="D195" s="1852"/>
      <c r="E195" s="1852"/>
      <c r="F195" s="1853">
        <f t="shared" si="5"/>
        <v>0</v>
      </c>
      <c r="G195" s="1843">
        <f t="shared" si="4"/>
        <v>0</v>
      </c>
      <c r="H195" s="1173">
        <v>-5.45E-2</v>
      </c>
      <c r="I195" s="3121" t="s">
        <v>0</v>
      </c>
    </row>
    <row r="196" spans="1:9" ht="16.5">
      <c r="A196" s="1840" t="s">
        <v>908</v>
      </c>
      <c r="B196" s="1841" t="s">
        <v>6886</v>
      </c>
      <c r="C196" s="1842" t="s">
        <v>6757</v>
      </c>
      <c r="D196" s="1852"/>
      <c r="E196" s="1852"/>
      <c r="F196" s="1853">
        <f t="shared" si="5"/>
        <v>0</v>
      </c>
      <c r="G196" s="1843">
        <f t="shared" ref="G196:G259" si="6">IF($F$1334=0,0,F196/$F$1334)</f>
        <v>0</v>
      </c>
      <c r="H196" s="1173">
        <v>0.52829999999999999</v>
      </c>
      <c r="I196" s="3121" t="s">
        <v>0</v>
      </c>
    </row>
    <row r="197" spans="1:9" ht="16.5">
      <c r="A197" s="1840" t="s">
        <v>909</v>
      </c>
      <c r="B197" s="1841" t="s">
        <v>6887</v>
      </c>
      <c r="C197" s="1842" t="s">
        <v>6757</v>
      </c>
      <c r="D197" s="1852"/>
      <c r="E197" s="1852"/>
      <c r="F197" s="1853">
        <f t="shared" ref="F197:F260" si="7">D197*E197</f>
        <v>0</v>
      </c>
      <c r="G197" s="1843">
        <f t="shared" si="6"/>
        <v>0</v>
      </c>
      <c r="H197" s="1173">
        <v>0.23599999999999999</v>
      </c>
      <c r="I197" s="3121" t="s">
        <v>0</v>
      </c>
    </row>
    <row r="198" spans="1:9" ht="16.5">
      <c r="A198" s="1840" t="s">
        <v>910</v>
      </c>
      <c r="B198" s="1841" t="s">
        <v>6888</v>
      </c>
      <c r="C198" s="1842" t="s">
        <v>6757</v>
      </c>
      <c r="D198" s="1852"/>
      <c r="E198" s="1852"/>
      <c r="F198" s="1853">
        <f t="shared" si="7"/>
        <v>0</v>
      </c>
      <c r="G198" s="1843">
        <f t="shared" si="6"/>
        <v>0</v>
      </c>
      <c r="H198" s="1173">
        <v>1.0632999999999999</v>
      </c>
      <c r="I198" s="3121" t="s">
        <v>0</v>
      </c>
    </row>
    <row r="199" spans="1:9" ht="16.5">
      <c r="A199" s="1840" t="s">
        <v>6086</v>
      </c>
      <c r="B199" s="1841" t="s">
        <v>6889</v>
      </c>
      <c r="C199" s="1842" t="s">
        <v>6757</v>
      </c>
      <c r="D199" s="1852"/>
      <c r="E199" s="1852"/>
      <c r="F199" s="1853">
        <f t="shared" si="7"/>
        <v>0</v>
      </c>
      <c r="G199" s="1843">
        <f t="shared" si="6"/>
        <v>0</v>
      </c>
      <c r="H199" s="1173">
        <v>1</v>
      </c>
      <c r="I199" s="3121" t="s">
        <v>6890</v>
      </c>
    </row>
    <row r="200" spans="1:9" ht="16.5">
      <c r="A200" s="1840" t="s">
        <v>911</v>
      </c>
      <c r="B200" s="1841" t="s">
        <v>6891</v>
      </c>
      <c r="C200" s="1842" t="s">
        <v>6757</v>
      </c>
      <c r="D200" s="1852"/>
      <c r="E200" s="1852"/>
      <c r="F200" s="1853">
        <f t="shared" si="7"/>
        <v>0</v>
      </c>
      <c r="G200" s="1843">
        <f t="shared" si="6"/>
        <v>0</v>
      </c>
      <c r="H200" s="1173">
        <v>0.64610000000000001</v>
      </c>
      <c r="I200" s="3121" t="s">
        <v>0</v>
      </c>
    </row>
    <row r="201" spans="1:9" ht="16.5">
      <c r="A201" s="1840" t="s">
        <v>912</v>
      </c>
      <c r="B201" s="1841" t="s">
        <v>6892</v>
      </c>
      <c r="C201" s="1842" t="s">
        <v>6757</v>
      </c>
      <c r="D201" s="1852"/>
      <c r="E201" s="1852"/>
      <c r="F201" s="1853">
        <f t="shared" si="7"/>
        <v>0</v>
      </c>
      <c r="G201" s="1843">
        <f t="shared" si="6"/>
        <v>0</v>
      </c>
      <c r="H201" s="1173">
        <v>0.71719999999999995</v>
      </c>
      <c r="I201" s="3121" t="s">
        <v>0</v>
      </c>
    </row>
    <row r="202" spans="1:9" ht="16.5">
      <c r="A202" s="1840" t="s">
        <v>913</v>
      </c>
      <c r="B202" s="1841" t="s">
        <v>6893</v>
      </c>
      <c r="C202" s="1842" t="s">
        <v>6757</v>
      </c>
      <c r="D202" s="1852"/>
      <c r="E202" s="1852"/>
      <c r="F202" s="1853">
        <f t="shared" si="7"/>
        <v>0</v>
      </c>
      <c r="G202" s="1843">
        <f t="shared" si="6"/>
        <v>0</v>
      </c>
      <c r="H202" s="1173">
        <v>0.51680000000000004</v>
      </c>
      <c r="I202" s="3121" t="s">
        <v>0</v>
      </c>
    </row>
    <row r="203" spans="1:9" ht="16.5">
      <c r="A203" s="1840" t="s">
        <v>914</v>
      </c>
      <c r="B203" s="1841" t="s">
        <v>6894</v>
      </c>
      <c r="C203" s="1842" t="s">
        <v>6757</v>
      </c>
      <c r="D203" s="1852"/>
      <c r="E203" s="1852"/>
      <c r="F203" s="1853">
        <f t="shared" si="7"/>
        <v>0</v>
      </c>
      <c r="G203" s="1843">
        <f t="shared" si="6"/>
        <v>0</v>
      </c>
      <c r="H203" s="1173">
        <v>0.78680000000000005</v>
      </c>
      <c r="I203" s="3121" t="s">
        <v>0</v>
      </c>
    </row>
    <row r="204" spans="1:9" ht="16.5">
      <c r="A204" s="1840" t="s">
        <v>915</v>
      </c>
      <c r="B204" s="1841" t="s">
        <v>6895</v>
      </c>
      <c r="C204" s="1842" t="s">
        <v>6757</v>
      </c>
      <c r="D204" s="1852"/>
      <c r="E204" s="1852"/>
      <c r="F204" s="1853">
        <f t="shared" si="7"/>
        <v>0</v>
      </c>
      <c r="G204" s="1843">
        <f t="shared" si="6"/>
        <v>0</v>
      </c>
      <c r="H204" s="1173">
        <v>0.56789999999999996</v>
      </c>
      <c r="I204" s="3121" t="s">
        <v>0</v>
      </c>
    </row>
    <row r="205" spans="1:9" ht="16.5">
      <c r="A205" s="1840" t="s">
        <v>916</v>
      </c>
      <c r="B205" s="1841" t="s">
        <v>6896</v>
      </c>
      <c r="C205" s="1842" t="s">
        <v>6757</v>
      </c>
      <c r="D205" s="1852"/>
      <c r="E205" s="1852"/>
      <c r="F205" s="1853">
        <f t="shared" si="7"/>
        <v>0</v>
      </c>
      <c r="G205" s="1843">
        <f t="shared" si="6"/>
        <v>0</v>
      </c>
      <c r="H205" s="1173">
        <v>0.87649999999999995</v>
      </c>
      <c r="I205" s="3121" t="s">
        <v>0</v>
      </c>
    </row>
    <row r="206" spans="1:9" ht="16.5">
      <c r="A206" s="1840" t="s">
        <v>1961</v>
      </c>
      <c r="B206" s="1841" t="s">
        <v>6897</v>
      </c>
      <c r="C206" s="1842" t="s">
        <v>6757</v>
      </c>
      <c r="D206" s="1852"/>
      <c r="E206" s="1852"/>
      <c r="F206" s="1853">
        <f t="shared" si="7"/>
        <v>0</v>
      </c>
      <c r="G206" s="1843">
        <f t="shared" si="6"/>
        <v>0</v>
      </c>
      <c r="H206" s="1173">
        <v>0.95279999999999998</v>
      </c>
      <c r="I206" s="3121" t="s">
        <v>0</v>
      </c>
    </row>
    <row r="207" spans="1:9" ht="16.5">
      <c r="A207" s="1840" t="s">
        <v>917</v>
      </c>
      <c r="B207" s="1841" t="s">
        <v>6898</v>
      </c>
      <c r="C207" s="1842" t="s">
        <v>6757</v>
      </c>
      <c r="D207" s="1852"/>
      <c r="E207" s="1852"/>
      <c r="F207" s="1853">
        <f t="shared" si="7"/>
        <v>0</v>
      </c>
      <c r="G207" s="1843">
        <f t="shared" si="6"/>
        <v>0</v>
      </c>
      <c r="H207" s="1173">
        <v>0.44379999999999997</v>
      </c>
      <c r="I207" s="3121" t="s">
        <v>0</v>
      </c>
    </row>
    <row r="208" spans="1:9" ht="16.5">
      <c r="A208" s="1840" t="s">
        <v>918</v>
      </c>
      <c r="B208" s="1841" t="s">
        <v>6899</v>
      </c>
      <c r="C208" s="1842" t="s">
        <v>6757</v>
      </c>
      <c r="D208" s="1852"/>
      <c r="E208" s="1852"/>
      <c r="F208" s="1853">
        <f t="shared" si="7"/>
        <v>0</v>
      </c>
      <c r="G208" s="1843">
        <f t="shared" si="6"/>
        <v>0</v>
      </c>
      <c r="H208" s="1173">
        <v>0.72970000000000002</v>
      </c>
      <c r="I208" s="3121" t="s">
        <v>0</v>
      </c>
    </row>
    <row r="209" spans="1:10" ht="16.5">
      <c r="A209" s="1840" t="s">
        <v>919</v>
      </c>
      <c r="B209" s="1841" t="s">
        <v>6900</v>
      </c>
      <c r="C209" s="1842" t="s">
        <v>6757</v>
      </c>
      <c r="D209" s="1852"/>
      <c r="E209" s="1852"/>
      <c r="F209" s="1853">
        <f t="shared" si="7"/>
        <v>0</v>
      </c>
      <c r="G209" s="1843">
        <f t="shared" si="6"/>
        <v>0</v>
      </c>
      <c r="H209" s="1173">
        <v>0.25979999999999998</v>
      </c>
      <c r="I209" s="3121" t="s">
        <v>0</v>
      </c>
    </row>
    <row r="210" spans="1:10" ht="16.5">
      <c r="A210" s="1840" t="s">
        <v>920</v>
      </c>
      <c r="B210" s="1841" t="s">
        <v>6901</v>
      </c>
      <c r="C210" s="1842" t="s">
        <v>6757</v>
      </c>
      <c r="D210" s="1852"/>
      <c r="E210" s="1852"/>
      <c r="F210" s="1853">
        <f t="shared" si="7"/>
        <v>0</v>
      </c>
      <c r="G210" s="1843">
        <f t="shared" si="6"/>
        <v>0</v>
      </c>
      <c r="H210" s="1173">
        <v>0.76180000000000003</v>
      </c>
      <c r="I210" s="3121" t="s">
        <v>0</v>
      </c>
    </row>
    <row r="211" spans="1:10" ht="16.5">
      <c r="A211" s="1840" t="s">
        <v>921</v>
      </c>
      <c r="B211" s="1841" t="s">
        <v>6902</v>
      </c>
      <c r="C211" s="1842" t="s">
        <v>6757</v>
      </c>
      <c r="D211" s="1852"/>
      <c r="E211" s="1852"/>
      <c r="F211" s="1853">
        <f t="shared" si="7"/>
        <v>0</v>
      </c>
      <c r="G211" s="1843">
        <f t="shared" si="6"/>
        <v>0</v>
      </c>
      <c r="H211" s="1173">
        <v>0.82399999999999995</v>
      </c>
      <c r="I211" s="3121" t="s">
        <v>0</v>
      </c>
    </row>
    <row r="212" spans="1:10" ht="16.5">
      <c r="A212" s="1840" t="s">
        <v>922</v>
      </c>
      <c r="B212" s="1841" t="s">
        <v>6903</v>
      </c>
      <c r="C212" s="1842" t="s">
        <v>6757</v>
      </c>
      <c r="D212" s="1852"/>
      <c r="E212" s="1852"/>
      <c r="F212" s="1853">
        <f t="shared" si="7"/>
        <v>0</v>
      </c>
      <c r="G212" s="1843">
        <f t="shared" si="6"/>
        <v>0</v>
      </c>
      <c r="H212" s="1173">
        <v>0.66479999999999995</v>
      </c>
      <c r="I212" s="3121" t="s">
        <v>0</v>
      </c>
    </row>
    <row r="213" spans="1:10" ht="16.5">
      <c r="A213" s="1840" t="s">
        <v>923</v>
      </c>
      <c r="B213" s="1841" t="s">
        <v>6904</v>
      </c>
      <c r="C213" s="1842" t="s">
        <v>6757</v>
      </c>
      <c r="D213" s="1852"/>
      <c r="E213" s="1852"/>
      <c r="F213" s="1853">
        <f t="shared" si="7"/>
        <v>0</v>
      </c>
      <c r="G213" s="1843">
        <f t="shared" si="6"/>
        <v>0</v>
      </c>
      <c r="H213" s="1173">
        <v>0.50780000000000003</v>
      </c>
      <c r="I213" s="3121" t="s">
        <v>0</v>
      </c>
    </row>
    <row r="214" spans="1:10" ht="16.5">
      <c r="A214" s="1840" t="s">
        <v>924</v>
      </c>
      <c r="B214" s="1841" t="s">
        <v>6905</v>
      </c>
      <c r="C214" s="1842" t="s">
        <v>6757</v>
      </c>
      <c r="D214" s="1852"/>
      <c r="E214" s="1852"/>
      <c r="F214" s="1853">
        <f t="shared" si="7"/>
        <v>0</v>
      </c>
      <c r="G214" s="1843">
        <f t="shared" si="6"/>
        <v>0</v>
      </c>
      <c r="H214" s="1173">
        <v>0.67469999999999997</v>
      </c>
      <c r="I214" s="3121" t="s">
        <v>0</v>
      </c>
    </row>
    <row r="215" spans="1:10" ht="16.5">
      <c r="A215" s="1840" t="s">
        <v>925</v>
      </c>
      <c r="B215" s="1841" t="s">
        <v>6906</v>
      </c>
      <c r="C215" s="1842" t="s">
        <v>6757</v>
      </c>
      <c r="D215" s="1852"/>
      <c r="E215" s="1852"/>
      <c r="F215" s="1853">
        <f t="shared" si="7"/>
        <v>0</v>
      </c>
      <c r="G215" s="1843">
        <f t="shared" si="6"/>
        <v>0</v>
      </c>
      <c r="H215" s="1173">
        <v>0.29470000000000002</v>
      </c>
      <c r="I215" s="3121" t="s">
        <v>0</v>
      </c>
    </row>
    <row r="216" spans="1:10" ht="16.5">
      <c r="A216" s="1840" t="s">
        <v>926</v>
      </c>
      <c r="B216" s="1841" t="s">
        <v>6907</v>
      </c>
      <c r="C216" s="1842" t="s">
        <v>6757</v>
      </c>
      <c r="D216" s="1852"/>
      <c r="E216" s="1852"/>
      <c r="F216" s="1853">
        <f t="shared" si="7"/>
        <v>0</v>
      </c>
      <c r="G216" s="1843">
        <f t="shared" si="6"/>
        <v>0</v>
      </c>
      <c r="H216" s="1173">
        <v>0.70230000000000004</v>
      </c>
      <c r="I216" s="3121" t="s">
        <v>0</v>
      </c>
    </row>
    <row r="217" spans="1:10" ht="16.5">
      <c r="A217" s="1840" t="s">
        <v>927</v>
      </c>
      <c r="B217" s="1841" t="s">
        <v>6908</v>
      </c>
      <c r="C217" s="1842" t="s">
        <v>6757</v>
      </c>
      <c r="D217" s="1852"/>
      <c r="E217" s="1852"/>
      <c r="F217" s="1853">
        <f t="shared" si="7"/>
        <v>0</v>
      </c>
      <c r="G217" s="1843">
        <f t="shared" si="6"/>
        <v>0</v>
      </c>
      <c r="H217" s="1173">
        <v>0.54279999999999995</v>
      </c>
      <c r="I217" s="3121" t="s">
        <v>0</v>
      </c>
    </row>
    <row r="218" spans="1:10" ht="16.5">
      <c r="A218" s="1840" t="s">
        <v>928</v>
      </c>
      <c r="B218" s="1841" t="s">
        <v>6909</v>
      </c>
      <c r="C218" s="1842" t="s">
        <v>6757</v>
      </c>
      <c r="D218" s="1852"/>
      <c r="E218" s="1852"/>
      <c r="F218" s="1853">
        <f t="shared" si="7"/>
        <v>0</v>
      </c>
      <c r="G218" s="1843">
        <f t="shared" si="6"/>
        <v>0</v>
      </c>
      <c r="H218" s="1173">
        <v>0.378</v>
      </c>
      <c r="I218" s="3121" t="s">
        <v>0</v>
      </c>
    </row>
    <row r="219" spans="1:10" ht="16.5">
      <c r="A219" s="1840" t="s">
        <v>929</v>
      </c>
      <c r="B219" s="1841" t="s">
        <v>6910</v>
      </c>
      <c r="C219" s="1842" t="s">
        <v>6757</v>
      </c>
      <c r="D219" s="1852"/>
      <c r="E219" s="1852"/>
      <c r="F219" s="1853">
        <f t="shared" si="7"/>
        <v>0</v>
      </c>
      <c r="G219" s="1843">
        <f t="shared" si="6"/>
        <v>0</v>
      </c>
      <c r="H219" s="1173">
        <v>0.65029999999999999</v>
      </c>
      <c r="I219" s="3121" t="s">
        <v>0</v>
      </c>
    </row>
    <row r="220" spans="1:10" ht="16.5">
      <c r="A220" s="1840" t="s">
        <v>930</v>
      </c>
      <c r="B220" s="1841" t="s">
        <v>6911</v>
      </c>
      <c r="C220" s="1842" t="s">
        <v>6757</v>
      </c>
      <c r="D220" s="1852"/>
      <c r="E220" s="1852"/>
      <c r="F220" s="1853">
        <f t="shared" si="7"/>
        <v>0</v>
      </c>
      <c r="G220" s="1843">
        <f t="shared" si="6"/>
        <v>0</v>
      </c>
      <c r="H220" s="1173">
        <v>0.33339999999999997</v>
      </c>
      <c r="I220" s="3121" t="s">
        <v>0</v>
      </c>
    </row>
    <row r="221" spans="1:10" ht="16.5">
      <c r="A221" s="1840" t="s">
        <v>931</v>
      </c>
      <c r="B221" s="1841" t="s">
        <v>6912</v>
      </c>
      <c r="C221" s="1842" t="s">
        <v>6757</v>
      </c>
      <c r="D221" s="1852"/>
      <c r="E221" s="1852"/>
      <c r="F221" s="1853">
        <f t="shared" si="7"/>
        <v>0</v>
      </c>
      <c r="G221" s="1843">
        <f t="shared" si="6"/>
        <v>0</v>
      </c>
      <c r="H221" s="1173">
        <v>0.28599999999999998</v>
      </c>
      <c r="I221" s="3121" t="s">
        <v>0</v>
      </c>
    </row>
    <row r="222" spans="1:10" ht="16.5">
      <c r="A222" s="1840" t="s">
        <v>932</v>
      </c>
      <c r="B222" s="1841" t="s">
        <v>6913</v>
      </c>
      <c r="C222" s="1842" t="s">
        <v>6757</v>
      </c>
      <c r="D222" s="1852"/>
      <c r="E222" s="1852"/>
      <c r="F222" s="1853">
        <f t="shared" si="7"/>
        <v>0</v>
      </c>
      <c r="G222" s="1843">
        <f t="shared" si="6"/>
        <v>0</v>
      </c>
      <c r="H222" s="1173">
        <v>0.35809999999999997</v>
      </c>
      <c r="I222" s="3121" t="s">
        <v>0</v>
      </c>
    </row>
    <row r="223" spans="1:10" ht="16.5">
      <c r="A223" s="1840" t="s">
        <v>933</v>
      </c>
      <c r="B223" s="1841" t="s">
        <v>6914</v>
      </c>
      <c r="C223" s="1842" t="s">
        <v>6757</v>
      </c>
      <c r="D223" s="1852"/>
      <c r="E223" s="1852"/>
      <c r="F223" s="1853">
        <f t="shared" si="7"/>
        <v>0</v>
      </c>
      <c r="G223" s="1843">
        <f t="shared" si="6"/>
        <v>0</v>
      </c>
      <c r="H223" s="1173">
        <v>0.28860000000000002</v>
      </c>
      <c r="I223" s="3121" t="s">
        <v>0</v>
      </c>
      <c r="J223" s="1851"/>
    </row>
    <row r="224" spans="1:10" ht="16.5">
      <c r="A224" s="1840" t="s">
        <v>934</v>
      </c>
      <c r="B224" s="1841" t="s">
        <v>6915</v>
      </c>
      <c r="C224" s="1842" t="s">
        <v>6757</v>
      </c>
      <c r="D224" s="1852"/>
      <c r="E224" s="1852"/>
      <c r="F224" s="1853">
        <f t="shared" si="7"/>
        <v>0</v>
      </c>
      <c r="G224" s="1843">
        <f t="shared" si="6"/>
        <v>0</v>
      </c>
      <c r="H224" s="1173">
        <v>0.4073</v>
      </c>
      <c r="I224" s="3121" t="s">
        <v>0</v>
      </c>
    </row>
    <row r="225" spans="1:9" ht="16.5">
      <c r="A225" s="1840" t="s">
        <v>935</v>
      </c>
      <c r="B225" s="1841" t="s">
        <v>6916</v>
      </c>
      <c r="C225" s="1842" t="s">
        <v>6757</v>
      </c>
      <c r="D225" s="1852"/>
      <c r="E225" s="1852"/>
      <c r="F225" s="1853">
        <f t="shared" si="7"/>
        <v>0</v>
      </c>
      <c r="G225" s="1843">
        <f t="shared" si="6"/>
        <v>0</v>
      </c>
      <c r="H225" s="1173">
        <v>0.34129999999999999</v>
      </c>
      <c r="I225" s="3121" t="s">
        <v>0</v>
      </c>
    </row>
    <row r="226" spans="1:9" ht="16.5">
      <c r="A226" s="1840" t="s">
        <v>936</v>
      </c>
      <c r="B226" s="1841" t="s">
        <v>6917</v>
      </c>
      <c r="C226" s="1842" t="s">
        <v>6757</v>
      </c>
      <c r="D226" s="1852"/>
      <c r="E226" s="1852"/>
      <c r="F226" s="1853">
        <f t="shared" si="7"/>
        <v>0</v>
      </c>
      <c r="G226" s="1843">
        <f t="shared" si="6"/>
        <v>0</v>
      </c>
      <c r="H226" s="1173">
        <v>0.59379999999999999</v>
      </c>
      <c r="I226" s="3121" t="s">
        <v>0</v>
      </c>
    </row>
    <row r="227" spans="1:9" ht="16.5">
      <c r="A227" s="1840" t="s">
        <v>937</v>
      </c>
      <c r="B227" s="1841" t="s">
        <v>6918</v>
      </c>
      <c r="C227" s="1842" t="s">
        <v>6757</v>
      </c>
      <c r="D227" s="1852"/>
      <c r="E227" s="1852"/>
      <c r="F227" s="1853">
        <f t="shared" si="7"/>
        <v>0</v>
      </c>
      <c r="G227" s="1843">
        <f t="shared" si="6"/>
        <v>0</v>
      </c>
      <c r="H227" s="1173">
        <v>0.29880000000000001</v>
      </c>
      <c r="I227" s="3121" t="s">
        <v>0</v>
      </c>
    </row>
    <row r="228" spans="1:9" ht="16.5">
      <c r="A228" s="1840" t="s">
        <v>938</v>
      </c>
      <c r="B228" s="1841" t="s">
        <v>6919</v>
      </c>
      <c r="C228" s="1842" t="s">
        <v>6757</v>
      </c>
      <c r="D228" s="1852"/>
      <c r="E228" s="1852"/>
      <c r="F228" s="1853">
        <f t="shared" si="7"/>
        <v>0</v>
      </c>
      <c r="G228" s="1843">
        <f t="shared" si="6"/>
        <v>0</v>
      </c>
      <c r="H228" s="1173">
        <v>0.38379999999999997</v>
      </c>
      <c r="I228" s="3121" t="s">
        <v>0</v>
      </c>
    </row>
    <row r="229" spans="1:9" ht="16.5">
      <c r="A229" s="1840" t="s">
        <v>939</v>
      </c>
      <c r="B229" s="1841" t="s">
        <v>6920</v>
      </c>
      <c r="C229" s="1842" t="s">
        <v>6757</v>
      </c>
      <c r="D229" s="1852"/>
      <c r="E229" s="1852"/>
      <c r="F229" s="1853">
        <f t="shared" si="7"/>
        <v>0</v>
      </c>
      <c r="G229" s="1843">
        <f t="shared" si="6"/>
        <v>0</v>
      </c>
      <c r="H229" s="1173">
        <v>0.33510000000000001</v>
      </c>
      <c r="I229" s="3121" t="s">
        <v>0</v>
      </c>
    </row>
    <row r="230" spans="1:9" ht="16.5">
      <c r="A230" s="1840" t="s">
        <v>940</v>
      </c>
      <c r="B230" s="1841" t="s">
        <v>6921</v>
      </c>
      <c r="C230" s="1842" t="s">
        <v>6757</v>
      </c>
      <c r="D230" s="1852"/>
      <c r="E230" s="1852"/>
      <c r="F230" s="1853">
        <f t="shared" si="7"/>
        <v>0</v>
      </c>
      <c r="G230" s="1843">
        <f t="shared" si="6"/>
        <v>0</v>
      </c>
      <c r="H230" s="1173">
        <v>0.54430000000000001</v>
      </c>
      <c r="I230" s="3121" t="s">
        <v>0</v>
      </c>
    </row>
    <row r="231" spans="1:9" ht="16.5">
      <c r="A231" s="1840" t="s">
        <v>941</v>
      </c>
      <c r="B231" s="1841" t="s">
        <v>6922</v>
      </c>
      <c r="C231" s="1842" t="s">
        <v>6757</v>
      </c>
      <c r="D231" s="1852"/>
      <c r="E231" s="1852"/>
      <c r="F231" s="1853">
        <f t="shared" si="7"/>
        <v>0</v>
      </c>
      <c r="G231" s="1843">
        <f t="shared" si="6"/>
        <v>0</v>
      </c>
      <c r="H231" s="1173">
        <v>0.39579999999999999</v>
      </c>
      <c r="I231" s="3121" t="s">
        <v>0</v>
      </c>
    </row>
    <row r="232" spans="1:9" ht="16.5">
      <c r="A232" s="1840" t="s">
        <v>942</v>
      </c>
      <c r="B232" s="1841" t="s">
        <v>6923</v>
      </c>
      <c r="C232" s="1842" t="s">
        <v>6757</v>
      </c>
      <c r="D232" s="1852"/>
      <c r="E232" s="1852"/>
      <c r="F232" s="1853">
        <f t="shared" si="7"/>
        <v>0</v>
      </c>
      <c r="G232" s="1843">
        <f t="shared" si="6"/>
        <v>0</v>
      </c>
      <c r="H232" s="1173">
        <v>0.38119999999999998</v>
      </c>
      <c r="I232" s="3121" t="s">
        <v>0</v>
      </c>
    </row>
    <row r="233" spans="1:9" ht="16.5">
      <c r="A233" s="1840" t="s">
        <v>943</v>
      </c>
      <c r="B233" s="1841" t="s">
        <v>6924</v>
      </c>
      <c r="C233" s="1842" t="s">
        <v>6757</v>
      </c>
      <c r="D233" s="1852"/>
      <c r="E233" s="1852"/>
      <c r="F233" s="1853">
        <f t="shared" si="7"/>
        <v>0</v>
      </c>
      <c r="G233" s="1843">
        <f t="shared" si="6"/>
        <v>0</v>
      </c>
      <c r="H233" s="1173">
        <v>0.47270000000000001</v>
      </c>
      <c r="I233" s="3121" t="s">
        <v>0</v>
      </c>
    </row>
    <row r="234" spans="1:9" ht="16.5">
      <c r="A234" s="1840" t="s">
        <v>944</v>
      </c>
      <c r="B234" s="1841" t="s">
        <v>6925</v>
      </c>
      <c r="C234" s="1842" t="s">
        <v>6757</v>
      </c>
      <c r="D234" s="1852"/>
      <c r="E234" s="1852"/>
      <c r="F234" s="1853">
        <f t="shared" si="7"/>
        <v>0</v>
      </c>
      <c r="G234" s="1843">
        <f t="shared" si="6"/>
        <v>0</v>
      </c>
      <c r="H234" s="1173">
        <v>0.29630000000000001</v>
      </c>
      <c r="I234" s="3121" t="s">
        <v>0</v>
      </c>
    </row>
    <row r="235" spans="1:9" ht="16.5">
      <c r="A235" s="1840" t="s">
        <v>945</v>
      </c>
      <c r="B235" s="1841" t="s">
        <v>6926</v>
      </c>
      <c r="C235" s="1842" t="s">
        <v>6757</v>
      </c>
      <c r="D235" s="1852"/>
      <c r="E235" s="1852"/>
      <c r="F235" s="1853">
        <f t="shared" si="7"/>
        <v>0</v>
      </c>
      <c r="G235" s="1843">
        <f t="shared" si="6"/>
        <v>0</v>
      </c>
      <c r="H235" s="1173">
        <v>0.27529999999999999</v>
      </c>
      <c r="I235" s="3121" t="s">
        <v>0</v>
      </c>
    </row>
    <row r="236" spans="1:9" ht="16.5">
      <c r="A236" s="1840" t="s">
        <v>946</v>
      </c>
      <c r="B236" s="1841" t="s">
        <v>6927</v>
      </c>
      <c r="C236" s="1842" t="s">
        <v>6757</v>
      </c>
      <c r="D236" s="1852"/>
      <c r="E236" s="1852"/>
      <c r="F236" s="1853">
        <f t="shared" si="7"/>
        <v>0</v>
      </c>
      <c r="G236" s="1843">
        <f t="shared" si="6"/>
        <v>0</v>
      </c>
      <c r="H236" s="1173">
        <v>0.85519999999999996</v>
      </c>
      <c r="I236" s="3121" t="s">
        <v>0</v>
      </c>
    </row>
    <row r="237" spans="1:9" ht="16.5">
      <c r="A237" s="1840" t="s">
        <v>947</v>
      </c>
      <c r="B237" s="1841" t="s">
        <v>6928</v>
      </c>
      <c r="C237" s="1842" t="s">
        <v>6757</v>
      </c>
      <c r="D237" s="1852"/>
      <c r="E237" s="1852"/>
      <c r="F237" s="1853">
        <f t="shared" si="7"/>
        <v>0</v>
      </c>
      <c r="G237" s="1843">
        <f t="shared" si="6"/>
        <v>0</v>
      </c>
      <c r="H237" s="1173">
        <v>0.2296</v>
      </c>
      <c r="I237" s="3121" t="s">
        <v>0</v>
      </c>
    </row>
    <row r="238" spans="1:9" ht="16.5">
      <c r="A238" s="1840" t="s">
        <v>948</v>
      </c>
      <c r="B238" s="1841" t="s">
        <v>6929</v>
      </c>
      <c r="C238" s="1842" t="s">
        <v>6757</v>
      </c>
      <c r="D238" s="1852"/>
      <c r="E238" s="1852"/>
      <c r="F238" s="1853">
        <f t="shared" si="7"/>
        <v>0</v>
      </c>
      <c r="G238" s="1843">
        <f t="shared" si="6"/>
        <v>0</v>
      </c>
      <c r="H238" s="1173">
        <v>0.62809999999999999</v>
      </c>
      <c r="I238" s="3121" t="s">
        <v>0</v>
      </c>
    </row>
    <row r="239" spans="1:9" ht="16.5">
      <c r="A239" s="1840" t="s">
        <v>949</v>
      </c>
      <c r="B239" s="1841" t="s">
        <v>6930</v>
      </c>
      <c r="C239" s="1842" t="s">
        <v>6757</v>
      </c>
      <c r="D239" s="1852"/>
      <c r="E239" s="1852"/>
      <c r="F239" s="1853">
        <f t="shared" si="7"/>
        <v>0</v>
      </c>
      <c r="G239" s="1843">
        <f t="shared" si="6"/>
        <v>0</v>
      </c>
      <c r="H239" s="1173">
        <v>0.1084</v>
      </c>
      <c r="I239" s="3121" t="s">
        <v>0</v>
      </c>
    </row>
    <row r="240" spans="1:9" ht="16.5">
      <c r="A240" s="1840" t="s">
        <v>950</v>
      </c>
      <c r="B240" s="1841" t="s">
        <v>6931</v>
      </c>
      <c r="C240" s="1842" t="s">
        <v>6757</v>
      </c>
      <c r="D240" s="1852"/>
      <c r="E240" s="1852"/>
      <c r="F240" s="1853">
        <f t="shared" si="7"/>
        <v>0</v>
      </c>
      <c r="G240" s="1843">
        <f t="shared" si="6"/>
        <v>0</v>
      </c>
      <c r="H240" s="1173">
        <v>0.3881</v>
      </c>
      <c r="I240" s="3121" t="s">
        <v>0</v>
      </c>
    </row>
    <row r="241" spans="1:9" ht="16.5">
      <c r="A241" s="1840" t="s">
        <v>951</v>
      </c>
      <c r="B241" s="1841" t="s">
        <v>6932</v>
      </c>
      <c r="C241" s="1842" t="s">
        <v>6757</v>
      </c>
      <c r="D241" s="1852"/>
      <c r="E241" s="1852"/>
      <c r="F241" s="1853">
        <f t="shared" si="7"/>
        <v>0</v>
      </c>
      <c r="G241" s="1843">
        <f t="shared" si="6"/>
        <v>0</v>
      </c>
      <c r="H241" s="1173">
        <v>0.22720000000000001</v>
      </c>
      <c r="I241" s="3121" t="s">
        <v>0</v>
      </c>
    </row>
    <row r="242" spans="1:9" ht="16.5">
      <c r="A242" s="1840" t="s">
        <v>952</v>
      </c>
      <c r="B242" s="1841" t="s">
        <v>6933</v>
      </c>
      <c r="C242" s="1842" t="s">
        <v>6757</v>
      </c>
      <c r="D242" s="1852"/>
      <c r="E242" s="1852"/>
      <c r="F242" s="1853">
        <f t="shared" si="7"/>
        <v>0</v>
      </c>
      <c r="G242" s="1843">
        <f t="shared" si="6"/>
        <v>0</v>
      </c>
      <c r="H242" s="1173">
        <v>0.45829999999999999</v>
      </c>
      <c r="I242" s="3121" t="s">
        <v>0</v>
      </c>
    </row>
    <row r="243" spans="1:9" ht="16.5">
      <c r="A243" s="1840" t="s">
        <v>953</v>
      </c>
      <c r="B243" s="1841" t="s">
        <v>6934</v>
      </c>
      <c r="C243" s="1842" t="s">
        <v>6757</v>
      </c>
      <c r="D243" s="1852"/>
      <c r="E243" s="1852"/>
      <c r="F243" s="1853">
        <f t="shared" si="7"/>
        <v>0</v>
      </c>
      <c r="G243" s="1843">
        <f t="shared" si="6"/>
        <v>0</v>
      </c>
      <c r="H243" s="1173">
        <v>0.24629999999999999</v>
      </c>
      <c r="I243" s="3121" t="s">
        <v>0</v>
      </c>
    </row>
    <row r="244" spans="1:9" ht="16.5">
      <c r="A244" s="1840" t="s">
        <v>954</v>
      </c>
      <c r="B244" s="1841" t="s">
        <v>6935</v>
      </c>
      <c r="C244" s="1842" t="s">
        <v>6757</v>
      </c>
      <c r="D244" s="1852"/>
      <c r="E244" s="1852"/>
      <c r="F244" s="1853">
        <f t="shared" si="7"/>
        <v>0</v>
      </c>
      <c r="G244" s="1843">
        <f t="shared" si="6"/>
        <v>0</v>
      </c>
      <c r="H244" s="1173">
        <v>0.2969</v>
      </c>
      <c r="I244" s="3121" t="s">
        <v>0</v>
      </c>
    </row>
    <row r="245" spans="1:9" ht="16.5">
      <c r="A245" s="1840" t="s">
        <v>955</v>
      </c>
      <c r="B245" s="1841" t="s">
        <v>6936</v>
      </c>
      <c r="C245" s="1842" t="s">
        <v>6757</v>
      </c>
      <c r="D245" s="1852"/>
      <c r="E245" s="1852"/>
      <c r="F245" s="1853">
        <f t="shared" si="7"/>
        <v>0</v>
      </c>
      <c r="G245" s="1843">
        <f t="shared" si="6"/>
        <v>0</v>
      </c>
      <c r="H245" s="1173">
        <v>0.64539999999999997</v>
      </c>
      <c r="I245" s="3121" t="s">
        <v>0</v>
      </c>
    </row>
    <row r="246" spans="1:9" ht="16.5">
      <c r="A246" s="1840" t="s">
        <v>956</v>
      </c>
      <c r="B246" s="1841" t="s">
        <v>6937</v>
      </c>
      <c r="C246" s="1842" t="s">
        <v>6757</v>
      </c>
      <c r="D246" s="1852"/>
      <c r="E246" s="1852"/>
      <c r="F246" s="1853">
        <f t="shared" si="7"/>
        <v>0</v>
      </c>
      <c r="G246" s="1843">
        <f t="shared" si="6"/>
        <v>0</v>
      </c>
      <c r="H246" s="1173">
        <v>0.1163</v>
      </c>
      <c r="I246" s="3121" t="s">
        <v>0</v>
      </c>
    </row>
    <row r="247" spans="1:9" ht="16.5">
      <c r="A247" s="1840" t="s">
        <v>2005</v>
      </c>
      <c r="B247" s="1841" t="s">
        <v>6938</v>
      </c>
      <c r="C247" s="1842" t="s">
        <v>6757</v>
      </c>
      <c r="D247" s="1852"/>
      <c r="E247" s="1852"/>
      <c r="F247" s="1853">
        <f t="shared" si="7"/>
        <v>0</v>
      </c>
      <c r="G247" s="1843">
        <f t="shared" si="6"/>
        <v>0</v>
      </c>
      <c r="H247" s="1173">
        <v>0.41660000000000003</v>
      </c>
      <c r="I247" s="3121" t="s">
        <v>0</v>
      </c>
    </row>
    <row r="248" spans="1:9" ht="16.5">
      <c r="A248" s="1840" t="s">
        <v>957</v>
      </c>
      <c r="B248" s="1841" t="s">
        <v>6939</v>
      </c>
      <c r="C248" s="1842" t="s">
        <v>6757</v>
      </c>
      <c r="D248" s="1852"/>
      <c r="E248" s="1852"/>
      <c r="F248" s="1853">
        <f t="shared" si="7"/>
        <v>0</v>
      </c>
      <c r="G248" s="1843">
        <f t="shared" si="6"/>
        <v>0</v>
      </c>
      <c r="H248" s="1173">
        <v>0.53769999999999996</v>
      </c>
      <c r="I248" s="3121" t="s">
        <v>0</v>
      </c>
    </row>
    <row r="249" spans="1:9" ht="16.5">
      <c r="A249" s="1840" t="s">
        <v>958</v>
      </c>
      <c r="B249" s="1841" t="s">
        <v>6940</v>
      </c>
      <c r="C249" s="1842" t="s">
        <v>6757</v>
      </c>
      <c r="D249" s="1852"/>
      <c r="E249" s="1852"/>
      <c r="F249" s="1853">
        <f t="shared" si="7"/>
        <v>0</v>
      </c>
      <c r="G249" s="1843">
        <f t="shared" si="6"/>
        <v>0</v>
      </c>
      <c r="H249" s="1173">
        <v>0.39500000000000002</v>
      </c>
      <c r="I249" s="3121" t="s">
        <v>0</v>
      </c>
    </row>
    <row r="250" spans="1:9" ht="16.5">
      <c r="A250" s="1840" t="s">
        <v>959</v>
      </c>
      <c r="B250" s="1841" t="s">
        <v>6941</v>
      </c>
      <c r="C250" s="1842" t="s">
        <v>6757</v>
      </c>
      <c r="D250" s="1852"/>
      <c r="E250" s="1852"/>
      <c r="F250" s="1853">
        <f t="shared" si="7"/>
        <v>0</v>
      </c>
      <c r="G250" s="1843">
        <f t="shared" si="6"/>
        <v>0</v>
      </c>
      <c r="H250" s="1173">
        <v>0.74460000000000004</v>
      </c>
      <c r="I250" s="3121" t="s">
        <v>0</v>
      </c>
    </row>
    <row r="251" spans="1:9" ht="16.5">
      <c r="A251" s="1840" t="s">
        <v>960</v>
      </c>
      <c r="B251" s="1841" t="s">
        <v>6942</v>
      </c>
      <c r="C251" s="1842" t="s">
        <v>6757</v>
      </c>
      <c r="D251" s="1852"/>
      <c r="E251" s="1852"/>
      <c r="F251" s="1853">
        <f t="shared" si="7"/>
        <v>0</v>
      </c>
      <c r="G251" s="1843">
        <f t="shared" si="6"/>
        <v>0</v>
      </c>
      <c r="H251" s="1173">
        <v>0.34989999999999999</v>
      </c>
      <c r="I251" s="3121" t="s">
        <v>0</v>
      </c>
    </row>
    <row r="252" spans="1:9" ht="16.5">
      <c r="A252" s="1840" t="s">
        <v>961</v>
      </c>
      <c r="B252" s="1841" t="s">
        <v>6943</v>
      </c>
      <c r="C252" s="1842" t="s">
        <v>6757</v>
      </c>
      <c r="D252" s="1852"/>
      <c r="E252" s="1852"/>
      <c r="F252" s="1853">
        <f t="shared" si="7"/>
        <v>0</v>
      </c>
      <c r="G252" s="1843">
        <f t="shared" si="6"/>
        <v>0</v>
      </c>
      <c r="H252" s="1173">
        <v>0.45250000000000001</v>
      </c>
      <c r="I252" s="3121" t="s">
        <v>0</v>
      </c>
    </row>
    <row r="253" spans="1:9" ht="16.5">
      <c r="A253" s="1840" t="s">
        <v>962</v>
      </c>
      <c r="B253" s="1841" t="s">
        <v>6944</v>
      </c>
      <c r="C253" s="1842" t="s">
        <v>6757</v>
      </c>
      <c r="D253" s="1852"/>
      <c r="E253" s="1852"/>
      <c r="F253" s="1853">
        <f t="shared" si="7"/>
        <v>0</v>
      </c>
      <c r="G253" s="1843">
        <f t="shared" si="6"/>
        <v>0</v>
      </c>
      <c r="H253" s="1173">
        <v>0.5071</v>
      </c>
      <c r="I253" s="3121" t="s">
        <v>0</v>
      </c>
    </row>
    <row r="254" spans="1:9" ht="16.5">
      <c r="A254" s="1840" t="s">
        <v>963</v>
      </c>
      <c r="B254" s="1841" t="s">
        <v>6945</v>
      </c>
      <c r="C254" s="1842" t="s">
        <v>6757</v>
      </c>
      <c r="D254" s="1852"/>
      <c r="E254" s="1852"/>
      <c r="F254" s="1853">
        <f t="shared" si="7"/>
        <v>0</v>
      </c>
      <c r="G254" s="1843">
        <f t="shared" si="6"/>
        <v>0</v>
      </c>
      <c r="H254" s="1173">
        <v>0.41830000000000001</v>
      </c>
      <c r="I254" s="3121" t="s">
        <v>0</v>
      </c>
    </row>
    <row r="255" spans="1:9" ht="16.5">
      <c r="A255" s="1840" t="s">
        <v>964</v>
      </c>
      <c r="B255" s="1841" t="s">
        <v>6946</v>
      </c>
      <c r="C255" s="1842" t="s">
        <v>6757</v>
      </c>
      <c r="D255" s="1852"/>
      <c r="E255" s="1852"/>
      <c r="F255" s="1853">
        <f t="shared" si="7"/>
        <v>0</v>
      </c>
      <c r="G255" s="1843">
        <f t="shared" si="6"/>
        <v>0</v>
      </c>
      <c r="H255" s="1173">
        <v>0.60470000000000002</v>
      </c>
      <c r="I255" s="3121" t="s">
        <v>0</v>
      </c>
    </row>
    <row r="256" spans="1:9" ht="16.5">
      <c r="A256" s="1840" t="s">
        <v>965</v>
      </c>
      <c r="B256" s="1841" t="s">
        <v>6947</v>
      </c>
      <c r="C256" s="1842" t="s">
        <v>6757</v>
      </c>
      <c r="D256" s="1852"/>
      <c r="E256" s="1852"/>
      <c r="F256" s="1853">
        <f t="shared" si="7"/>
        <v>0</v>
      </c>
      <c r="G256" s="1843">
        <f t="shared" si="6"/>
        <v>0</v>
      </c>
      <c r="H256" s="1173">
        <v>0.5736</v>
      </c>
      <c r="I256" s="3121" t="s">
        <v>0</v>
      </c>
    </row>
    <row r="257" spans="1:9" ht="16.5">
      <c r="A257" s="1840" t="s">
        <v>966</v>
      </c>
      <c r="B257" s="1841" t="s">
        <v>6948</v>
      </c>
      <c r="C257" s="1842" t="s">
        <v>6757</v>
      </c>
      <c r="D257" s="1852"/>
      <c r="E257" s="1852"/>
      <c r="F257" s="1853">
        <f t="shared" si="7"/>
        <v>0</v>
      </c>
      <c r="G257" s="1843">
        <f t="shared" si="6"/>
        <v>0</v>
      </c>
      <c r="H257" s="1173">
        <v>0.51170000000000004</v>
      </c>
      <c r="I257" s="3121" t="s">
        <v>0</v>
      </c>
    </row>
    <row r="258" spans="1:9" ht="16.5">
      <c r="A258" s="1840" t="s">
        <v>967</v>
      </c>
      <c r="B258" s="1841" t="s">
        <v>6949</v>
      </c>
      <c r="C258" s="1842" t="s">
        <v>6757</v>
      </c>
      <c r="D258" s="1852"/>
      <c r="E258" s="1852"/>
      <c r="F258" s="1853">
        <f t="shared" si="7"/>
        <v>0</v>
      </c>
      <c r="G258" s="1843">
        <f t="shared" si="6"/>
        <v>0</v>
      </c>
      <c r="H258" s="1173">
        <v>0.51319999999999999</v>
      </c>
      <c r="I258" s="3121" t="s">
        <v>0</v>
      </c>
    </row>
    <row r="259" spans="1:9" ht="16.5">
      <c r="A259" s="1840" t="s">
        <v>968</v>
      </c>
      <c r="B259" s="1841" t="s">
        <v>6950</v>
      </c>
      <c r="C259" s="1842" t="s">
        <v>6757</v>
      </c>
      <c r="D259" s="1852"/>
      <c r="E259" s="1852"/>
      <c r="F259" s="1853">
        <f t="shared" si="7"/>
        <v>0</v>
      </c>
      <c r="G259" s="1843">
        <f t="shared" si="6"/>
        <v>0</v>
      </c>
      <c r="H259" s="1173">
        <v>0.60460000000000003</v>
      </c>
      <c r="I259" s="3121" t="s">
        <v>0</v>
      </c>
    </row>
    <row r="260" spans="1:9" ht="16.5">
      <c r="A260" s="1840" t="s">
        <v>969</v>
      </c>
      <c r="B260" s="1841" t="s">
        <v>6951</v>
      </c>
      <c r="C260" s="1842" t="s">
        <v>6757</v>
      </c>
      <c r="D260" s="1852"/>
      <c r="E260" s="1852"/>
      <c r="F260" s="1853">
        <f t="shared" si="7"/>
        <v>0</v>
      </c>
      <c r="G260" s="1843">
        <f t="shared" ref="G260:G323" si="8">IF($F$1334=0,0,F260/$F$1334)</f>
        <v>0</v>
      </c>
      <c r="H260" s="1173">
        <v>0.81040000000000001</v>
      </c>
      <c r="I260" s="3121" t="s">
        <v>0</v>
      </c>
    </row>
    <row r="261" spans="1:9" ht="16.5">
      <c r="A261" s="1840" t="s">
        <v>970</v>
      </c>
      <c r="B261" s="1841" t="s">
        <v>6952</v>
      </c>
      <c r="C261" s="1842" t="s">
        <v>6757</v>
      </c>
      <c r="D261" s="1852"/>
      <c r="E261" s="1852"/>
      <c r="F261" s="1853">
        <f t="shared" ref="F261:F324" si="9">D261*E261</f>
        <v>0</v>
      </c>
      <c r="G261" s="1843">
        <f t="shared" si="8"/>
        <v>0</v>
      </c>
      <c r="H261" s="1173">
        <v>0.433</v>
      </c>
      <c r="I261" s="3121" t="s">
        <v>0</v>
      </c>
    </row>
    <row r="262" spans="1:9" ht="16.5">
      <c r="A262" s="1840" t="s">
        <v>971</v>
      </c>
      <c r="B262" s="1841" t="s">
        <v>6953</v>
      </c>
      <c r="C262" s="1842" t="s">
        <v>6757</v>
      </c>
      <c r="D262" s="1852"/>
      <c r="E262" s="1852"/>
      <c r="F262" s="1853">
        <f t="shared" si="9"/>
        <v>0</v>
      </c>
      <c r="G262" s="1843">
        <f t="shared" si="8"/>
        <v>0</v>
      </c>
      <c r="H262" s="1173">
        <v>0.2878</v>
      </c>
      <c r="I262" s="3121" t="s">
        <v>0</v>
      </c>
    </row>
    <row r="263" spans="1:9" ht="16.5">
      <c r="A263" s="1840" t="s">
        <v>972</v>
      </c>
      <c r="B263" s="1841" t="s">
        <v>6954</v>
      </c>
      <c r="C263" s="1842" t="s">
        <v>6757</v>
      </c>
      <c r="D263" s="1852"/>
      <c r="E263" s="1852"/>
      <c r="F263" s="1853">
        <f t="shared" si="9"/>
        <v>0</v>
      </c>
      <c r="G263" s="1843">
        <f t="shared" si="8"/>
        <v>0</v>
      </c>
      <c r="H263" s="1173">
        <v>0.5897</v>
      </c>
      <c r="I263" s="3121" t="s">
        <v>0</v>
      </c>
    </row>
    <row r="264" spans="1:9" ht="16.5">
      <c r="A264" s="1840" t="s">
        <v>973</v>
      </c>
      <c r="B264" s="1841" t="s">
        <v>6955</v>
      </c>
      <c r="C264" s="1842" t="s">
        <v>6757</v>
      </c>
      <c r="D264" s="1852"/>
      <c r="E264" s="1852"/>
      <c r="F264" s="1853">
        <f t="shared" si="9"/>
        <v>0</v>
      </c>
      <c r="G264" s="1843">
        <f t="shared" si="8"/>
        <v>0</v>
      </c>
      <c r="H264" s="1173">
        <v>0.5222</v>
      </c>
      <c r="I264" s="3121" t="s">
        <v>0</v>
      </c>
    </row>
    <row r="265" spans="1:9" ht="16.5">
      <c r="A265" s="1840" t="s">
        <v>974</v>
      </c>
      <c r="B265" s="1841" t="s">
        <v>6956</v>
      </c>
      <c r="C265" s="1842" t="s">
        <v>6757</v>
      </c>
      <c r="D265" s="1852"/>
      <c r="E265" s="1852"/>
      <c r="F265" s="1853">
        <f t="shared" si="9"/>
        <v>0</v>
      </c>
      <c r="G265" s="1843">
        <f t="shared" si="8"/>
        <v>0</v>
      </c>
      <c r="H265" s="1173">
        <v>0.69420000000000004</v>
      </c>
      <c r="I265" s="3121" t="s">
        <v>0</v>
      </c>
    </row>
    <row r="266" spans="1:9" ht="16.5">
      <c r="A266" s="1840" t="s">
        <v>975</v>
      </c>
      <c r="B266" s="1841" t="s">
        <v>6957</v>
      </c>
      <c r="C266" s="1842" t="s">
        <v>6757</v>
      </c>
      <c r="D266" s="1852"/>
      <c r="E266" s="1852"/>
      <c r="F266" s="1853">
        <f t="shared" si="9"/>
        <v>0</v>
      </c>
      <c r="G266" s="1843">
        <f t="shared" si="8"/>
        <v>0</v>
      </c>
      <c r="H266" s="1173">
        <v>0.3523</v>
      </c>
      <c r="I266" s="3121" t="s">
        <v>0</v>
      </c>
    </row>
    <row r="267" spans="1:9" ht="16.5">
      <c r="A267" s="1840" t="s">
        <v>976</v>
      </c>
      <c r="B267" s="1841" t="s">
        <v>6958</v>
      </c>
      <c r="C267" s="1842" t="s">
        <v>6757</v>
      </c>
      <c r="D267" s="1852"/>
      <c r="E267" s="1852"/>
      <c r="F267" s="1853">
        <f t="shared" si="9"/>
        <v>0</v>
      </c>
      <c r="G267" s="1843">
        <f t="shared" si="8"/>
        <v>0</v>
      </c>
      <c r="H267" s="1173">
        <v>0.5726</v>
      </c>
      <c r="I267" s="3121" t="s">
        <v>0</v>
      </c>
    </row>
    <row r="268" spans="1:9" ht="16.5">
      <c r="A268" s="1840" t="s">
        <v>977</v>
      </c>
      <c r="B268" s="1841" t="s">
        <v>6959</v>
      </c>
      <c r="C268" s="1842" t="s">
        <v>6757</v>
      </c>
      <c r="D268" s="1852"/>
      <c r="E268" s="1852"/>
      <c r="F268" s="1853">
        <f t="shared" si="9"/>
        <v>0</v>
      </c>
      <c r="G268" s="1843">
        <f t="shared" si="8"/>
        <v>0</v>
      </c>
      <c r="H268" s="1173">
        <v>0.47689999999999999</v>
      </c>
      <c r="I268" s="3121" t="s">
        <v>0</v>
      </c>
    </row>
    <row r="269" spans="1:9" ht="16.5">
      <c r="A269" s="1840" t="s">
        <v>978</v>
      </c>
      <c r="B269" s="1841" t="s">
        <v>6960</v>
      </c>
      <c r="C269" s="1842" t="s">
        <v>6757</v>
      </c>
      <c r="D269" s="1852"/>
      <c r="E269" s="1852"/>
      <c r="F269" s="1853">
        <f t="shared" si="9"/>
        <v>0</v>
      </c>
      <c r="G269" s="1843">
        <f t="shared" si="8"/>
        <v>0</v>
      </c>
      <c r="H269" s="1173">
        <v>0.35099999999999998</v>
      </c>
      <c r="I269" s="3121" t="s">
        <v>0</v>
      </c>
    </row>
    <row r="270" spans="1:9" ht="16.5">
      <c r="A270" s="1840" t="s">
        <v>979</v>
      </c>
      <c r="B270" s="1841" t="s">
        <v>6961</v>
      </c>
      <c r="C270" s="1842" t="s">
        <v>6757</v>
      </c>
      <c r="D270" s="1852"/>
      <c r="E270" s="1852"/>
      <c r="F270" s="1853">
        <f t="shared" si="9"/>
        <v>0</v>
      </c>
      <c r="G270" s="1843">
        <f t="shared" si="8"/>
        <v>0</v>
      </c>
      <c r="H270" s="1173">
        <v>0.22900000000000001</v>
      </c>
      <c r="I270" s="3121" t="s">
        <v>0</v>
      </c>
    </row>
    <row r="271" spans="1:9" ht="16.5">
      <c r="A271" s="1840" t="s">
        <v>980</v>
      </c>
      <c r="B271" s="1841" t="s">
        <v>6962</v>
      </c>
      <c r="C271" s="1842" t="s">
        <v>6757</v>
      </c>
      <c r="D271" s="1852"/>
      <c r="E271" s="1852"/>
      <c r="F271" s="1853">
        <f t="shared" si="9"/>
        <v>0</v>
      </c>
      <c r="G271" s="1843">
        <f t="shared" si="8"/>
        <v>0</v>
      </c>
      <c r="H271" s="1173">
        <v>0.5393</v>
      </c>
      <c r="I271" s="3121" t="s">
        <v>0</v>
      </c>
    </row>
    <row r="272" spans="1:9" ht="16.5">
      <c r="A272" s="1840" t="s">
        <v>981</v>
      </c>
      <c r="B272" s="1841" t="s">
        <v>6963</v>
      </c>
      <c r="C272" s="1842" t="s">
        <v>6757</v>
      </c>
      <c r="D272" s="1852"/>
      <c r="E272" s="1852"/>
      <c r="F272" s="1853">
        <f t="shared" si="9"/>
        <v>0</v>
      </c>
      <c r="G272" s="1843">
        <f t="shared" si="8"/>
        <v>0</v>
      </c>
      <c r="H272" s="1173">
        <v>0.3367</v>
      </c>
      <c r="I272" s="3121" t="s">
        <v>0</v>
      </c>
    </row>
    <row r="273" spans="1:9" ht="16.5">
      <c r="A273" s="1840" t="s">
        <v>982</v>
      </c>
      <c r="B273" s="1841" t="s">
        <v>6964</v>
      </c>
      <c r="C273" s="1842" t="s">
        <v>6757</v>
      </c>
      <c r="D273" s="1852"/>
      <c r="E273" s="1852"/>
      <c r="F273" s="1853">
        <f t="shared" si="9"/>
        <v>0</v>
      </c>
      <c r="G273" s="1843">
        <f t="shared" si="8"/>
        <v>0</v>
      </c>
      <c r="H273" s="1173">
        <v>0.75819999999999999</v>
      </c>
      <c r="I273" s="3121" t="s">
        <v>0</v>
      </c>
    </row>
    <row r="274" spans="1:9" ht="16.5">
      <c r="A274" s="1840" t="s">
        <v>983</v>
      </c>
      <c r="B274" s="1841" t="s">
        <v>6965</v>
      </c>
      <c r="C274" s="1842" t="s">
        <v>6757</v>
      </c>
      <c r="D274" s="1852"/>
      <c r="E274" s="1852"/>
      <c r="F274" s="1853">
        <f t="shared" si="9"/>
        <v>0</v>
      </c>
      <c r="G274" s="1843">
        <f t="shared" si="8"/>
        <v>0</v>
      </c>
      <c r="H274" s="1173">
        <v>0.39789999999999998</v>
      </c>
      <c r="I274" s="3121" t="s">
        <v>0</v>
      </c>
    </row>
    <row r="275" spans="1:9" ht="16.5">
      <c r="A275" s="1840" t="s">
        <v>984</v>
      </c>
      <c r="B275" s="1841" t="s">
        <v>6966</v>
      </c>
      <c r="C275" s="1842" t="s">
        <v>6757</v>
      </c>
      <c r="D275" s="1852"/>
      <c r="E275" s="1852"/>
      <c r="F275" s="1853">
        <f t="shared" si="9"/>
        <v>0</v>
      </c>
      <c r="G275" s="1843">
        <f t="shared" si="8"/>
        <v>0</v>
      </c>
      <c r="H275" s="1173">
        <v>0.50729999999999997</v>
      </c>
      <c r="I275" s="3121" t="s">
        <v>0</v>
      </c>
    </row>
    <row r="276" spans="1:9" ht="16.5">
      <c r="A276" s="1840" t="s">
        <v>985</v>
      </c>
      <c r="B276" s="1841" t="s">
        <v>6967</v>
      </c>
      <c r="C276" s="1842" t="s">
        <v>6757</v>
      </c>
      <c r="D276" s="1852"/>
      <c r="E276" s="1852"/>
      <c r="F276" s="1853">
        <f t="shared" si="9"/>
        <v>0</v>
      </c>
      <c r="G276" s="1843">
        <f t="shared" si="8"/>
        <v>0</v>
      </c>
      <c r="H276" s="1173">
        <v>0.56330000000000002</v>
      </c>
      <c r="I276" s="3121" t="s">
        <v>0</v>
      </c>
    </row>
    <row r="277" spans="1:9" ht="16.5">
      <c r="A277" s="1840" t="s">
        <v>986</v>
      </c>
      <c r="B277" s="1841" t="s">
        <v>6968</v>
      </c>
      <c r="C277" s="1842" t="s">
        <v>6757</v>
      </c>
      <c r="D277" s="1852"/>
      <c r="E277" s="1852"/>
      <c r="F277" s="1853">
        <f t="shared" si="9"/>
        <v>0</v>
      </c>
      <c r="G277" s="1843">
        <f t="shared" si="8"/>
        <v>0</v>
      </c>
      <c r="H277" s="1173">
        <v>0.54149999999999998</v>
      </c>
      <c r="I277" s="3121" t="s">
        <v>0</v>
      </c>
    </row>
    <row r="278" spans="1:9" ht="16.5">
      <c r="A278" s="1840" t="s">
        <v>987</v>
      </c>
      <c r="B278" s="1841" t="s">
        <v>6969</v>
      </c>
      <c r="C278" s="1842" t="s">
        <v>6757</v>
      </c>
      <c r="D278" s="1852"/>
      <c r="E278" s="1852"/>
      <c r="F278" s="1853">
        <f t="shared" si="9"/>
        <v>0</v>
      </c>
      <c r="G278" s="1843">
        <f t="shared" si="8"/>
        <v>0</v>
      </c>
      <c r="H278" s="1173">
        <v>0.29980000000000001</v>
      </c>
      <c r="I278" s="3121" t="s">
        <v>0</v>
      </c>
    </row>
    <row r="279" spans="1:9" ht="16.5">
      <c r="A279" s="1840" t="s">
        <v>988</v>
      </c>
      <c r="B279" s="1841" t="s">
        <v>6970</v>
      </c>
      <c r="C279" s="1842" t="s">
        <v>6757</v>
      </c>
      <c r="D279" s="1852"/>
      <c r="E279" s="1852"/>
      <c r="F279" s="1853">
        <f t="shared" si="9"/>
        <v>0</v>
      </c>
      <c r="G279" s="1843">
        <f t="shared" si="8"/>
        <v>0</v>
      </c>
      <c r="H279" s="1173">
        <v>0.53520000000000001</v>
      </c>
      <c r="I279" s="3121" t="s">
        <v>0</v>
      </c>
    </row>
    <row r="280" spans="1:9" ht="16.5">
      <c r="A280" s="1840" t="s">
        <v>989</v>
      </c>
      <c r="B280" s="1841" t="s">
        <v>6971</v>
      </c>
      <c r="C280" s="1842" t="s">
        <v>6757</v>
      </c>
      <c r="D280" s="1852"/>
      <c r="E280" s="1852"/>
      <c r="F280" s="1853">
        <f t="shared" si="9"/>
        <v>0</v>
      </c>
      <c r="G280" s="1843">
        <f t="shared" si="8"/>
        <v>0</v>
      </c>
      <c r="H280" s="1173">
        <v>0.37230000000000002</v>
      </c>
      <c r="I280" s="3121" t="s">
        <v>0</v>
      </c>
    </row>
    <row r="281" spans="1:9" ht="16.5">
      <c r="A281" s="1840" t="s">
        <v>990</v>
      </c>
      <c r="B281" s="1841" t="s">
        <v>6972</v>
      </c>
      <c r="C281" s="1842" t="s">
        <v>6757</v>
      </c>
      <c r="D281" s="1852"/>
      <c r="E281" s="1852"/>
      <c r="F281" s="1853">
        <f t="shared" si="9"/>
        <v>0</v>
      </c>
      <c r="G281" s="1843">
        <f t="shared" si="8"/>
        <v>0</v>
      </c>
      <c r="H281" s="1173">
        <v>0.48749999999999999</v>
      </c>
      <c r="I281" s="3121" t="s">
        <v>0</v>
      </c>
    </row>
    <row r="282" spans="1:9" ht="16.5">
      <c r="A282" s="1840" t="s">
        <v>991</v>
      </c>
      <c r="B282" s="1841" t="s">
        <v>6973</v>
      </c>
      <c r="C282" s="1842" t="s">
        <v>6757</v>
      </c>
      <c r="D282" s="1852"/>
      <c r="E282" s="1852"/>
      <c r="F282" s="1853">
        <f t="shared" si="9"/>
        <v>0</v>
      </c>
      <c r="G282" s="1843">
        <f t="shared" si="8"/>
        <v>0</v>
      </c>
      <c r="H282" s="1173">
        <v>0.43340000000000001</v>
      </c>
      <c r="I282" s="3121" t="s">
        <v>0</v>
      </c>
    </row>
    <row r="283" spans="1:9" ht="16.5">
      <c r="A283" s="1840" t="s">
        <v>992</v>
      </c>
      <c r="B283" s="1841" t="s">
        <v>6974</v>
      </c>
      <c r="C283" s="1842" t="s">
        <v>6757</v>
      </c>
      <c r="D283" s="1852"/>
      <c r="E283" s="1852"/>
      <c r="F283" s="1853">
        <f t="shared" si="9"/>
        <v>0</v>
      </c>
      <c r="G283" s="1843">
        <f t="shared" si="8"/>
        <v>0</v>
      </c>
      <c r="H283" s="1173">
        <v>0.39050000000000001</v>
      </c>
      <c r="I283" s="3121" t="s">
        <v>0</v>
      </c>
    </row>
    <row r="284" spans="1:9" ht="16.5">
      <c r="A284" s="1840" t="s">
        <v>993</v>
      </c>
      <c r="B284" s="1841" t="s">
        <v>6975</v>
      </c>
      <c r="C284" s="1842" t="s">
        <v>6757</v>
      </c>
      <c r="D284" s="1852"/>
      <c r="E284" s="1852"/>
      <c r="F284" s="1853">
        <f t="shared" si="9"/>
        <v>0</v>
      </c>
      <c r="G284" s="1843">
        <f t="shared" si="8"/>
        <v>0</v>
      </c>
      <c r="H284" s="1173">
        <v>0.68340000000000001</v>
      </c>
      <c r="I284" s="3121" t="s">
        <v>0</v>
      </c>
    </row>
    <row r="285" spans="1:9" ht="16.5">
      <c r="A285" s="1840" t="s">
        <v>994</v>
      </c>
      <c r="B285" s="1841" t="s">
        <v>6976</v>
      </c>
      <c r="C285" s="1842" t="s">
        <v>6757</v>
      </c>
      <c r="D285" s="1852"/>
      <c r="E285" s="1852"/>
      <c r="F285" s="1853">
        <f t="shared" si="9"/>
        <v>0</v>
      </c>
      <c r="G285" s="1843">
        <f t="shared" si="8"/>
        <v>0</v>
      </c>
      <c r="H285" s="1173">
        <v>0.3543</v>
      </c>
      <c r="I285" s="3121" t="s">
        <v>0</v>
      </c>
    </row>
    <row r="286" spans="1:9" ht="16.5">
      <c r="A286" s="1840" t="s">
        <v>995</v>
      </c>
      <c r="B286" s="1841" t="s">
        <v>6977</v>
      </c>
      <c r="C286" s="1842" t="s">
        <v>6757</v>
      </c>
      <c r="D286" s="1852"/>
      <c r="E286" s="1852"/>
      <c r="F286" s="1853">
        <f t="shared" si="9"/>
        <v>0</v>
      </c>
      <c r="G286" s="1843">
        <f t="shared" si="8"/>
        <v>0</v>
      </c>
      <c r="H286" s="1173">
        <v>0.44990000000000002</v>
      </c>
      <c r="I286" s="3121" t="s">
        <v>0</v>
      </c>
    </row>
    <row r="287" spans="1:9" ht="16.5">
      <c r="A287" s="1840" t="s">
        <v>996</v>
      </c>
      <c r="B287" s="1841" t="s">
        <v>6978</v>
      </c>
      <c r="C287" s="1842" t="s">
        <v>6757</v>
      </c>
      <c r="D287" s="1852"/>
      <c r="E287" s="1852"/>
      <c r="F287" s="1853">
        <f t="shared" si="9"/>
        <v>0</v>
      </c>
      <c r="G287" s="1843">
        <f t="shared" si="8"/>
        <v>0</v>
      </c>
      <c r="H287" s="1173">
        <v>0.31130000000000002</v>
      </c>
      <c r="I287" s="3121" t="s">
        <v>0</v>
      </c>
    </row>
    <row r="288" spans="1:9" ht="16.5">
      <c r="A288" s="1840" t="s">
        <v>997</v>
      </c>
      <c r="B288" s="1841" t="s">
        <v>6979</v>
      </c>
      <c r="C288" s="1842" t="s">
        <v>6757</v>
      </c>
      <c r="D288" s="1852"/>
      <c r="E288" s="1852"/>
      <c r="F288" s="1853">
        <f t="shared" si="9"/>
        <v>0</v>
      </c>
      <c r="G288" s="1843">
        <f t="shared" si="8"/>
        <v>0</v>
      </c>
      <c r="H288" s="1173">
        <v>0.23499999999999999</v>
      </c>
      <c r="I288" s="3121" t="s">
        <v>0</v>
      </c>
    </row>
    <row r="289" spans="1:9" ht="16.5">
      <c r="A289" s="1840" t="s">
        <v>998</v>
      </c>
      <c r="B289" s="1841" t="s">
        <v>6980</v>
      </c>
      <c r="C289" s="1842" t="s">
        <v>6757</v>
      </c>
      <c r="D289" s="1852"/>
      <c r="E289" s="1852"/>
      <c r="F289" s="1853">
        <f t="shared" si="9"/>
        <v>0</v>
      </c>
      <c r="G289" s="1843">
        <f t="shared" si="8"/>
        <v>0</v>
      </c>
      <c r="H289" s="1173">
        <v>0.59970000000000001</v>
      </c>
      <c r="I289" s="3121" t="s">
        <v>0</v>
      </c>
    </row>
    <row r="290" spans="1:9" ht="16.5">
      <c r="A290" s="1840" t="s">
        <v>999</v>
      </c>
      <c r="B290" s="1841" t="s">
        <v>6981</v>
      </c>
      <c r="C290" s="1842" t="s">
        <v>6757</v>
      </c>
      <c r="D290" s="1852"/>
      <c r="E290" s="1852"/>
      <c r="F290" s="1853">
        <f t="shared" si="9"/>
        <v>0</v>
      </c>
      <c r="G290" s="1843">
        <f t="shared" si="8"/>
        <v>0</v>
      </c>
      <c r="H290" s="1173">
        <v>0.437</v>
      </c>
      <c r="I290" s="3121" t="s">
        <v>0</v>
      </c>
    </row>
    <row r="291" spans="1:9" ht="16.5">
      <c r="A291" s="1840" t="s">
        <v>1000</v>
      </c>
      <c r="B291" s="1841" t="s">
        <v>6982</v>
      </c>
      <c r="C291" s="1842" t="s">
        <v>6757</v>
      </c>
      <c r="D291" s="1852"/>
      <c r="E291" s="1852"/>
      <c r="F291" s="1853">
        <f t="shared" si="9"/>
        <v>0</v>
      </c>
      <c r="G291" s="1843">
        <f t="shared" si="8"/>
        <v>0</v>
      </c>
      <c r="H291" s="1173">
        <v>0.61729999999999996</v>
      </c>
      <c r="I291" s="3121" t="s">
        <v>0</v>
      </c>
    </row>
    <row r="292" spans="1:9" ht="16.5">
      <c r="A292" s="1840" t="s">
        <v>1001</v>
      </c>
      <c r="B292" s="1841" t="s">
        <v>6983</v>
      </c>
      <c r="C292" s="1842" t="s">
        <v>6757</v>
      </c>
      <c r="D292" s="1852"/>
      <c r="E292" s="1852"/>
      <c r="F292" s="1853">
        <f t="shared" si="9"/>
        <v>0</v>
      </c>
      <c r="G292" s="1843">
        <f t="shared" si="8"/>
        <v>0</v>
      </c>
      <c r="H292" s="1173">
        <v>0.31419999999999998</v>
      </c>
      <c r="I292" s="3121" t="s">
        <v>0</v>
      </c>
    </row>
    <row r="293" spans="1:9" ht="16.5">
      <c r="A293" s="1840" t="s">
        <v>1002</v>
      </c>
      <c r="B293" s="1841" t="s">
        <v>6984</v>
      </c>
      <c r="C293" s="1842" t="s">
        <v>6757</v>
      </c>
      <c r="D293" s="1852"/>
      <c r="E293" s="1852"/>
      <c r="F293" s="1853">
        <f t="shared" si="9"/>
        <v>0</v>
      </c>
      <c r="G293" s="1843">
        <f t="shared" si="8"/>
        <v>0</v>
      </c>
      <c r="H293" s="1173">
        <v>0.49630000000000002</v>
      </c>
      <c r="I293" s="3121" t="s">
        <v>0</v>
      </c>
    </row>
    <row r="294" spans="1:9" ht="16.5">
      <c r="A294" s="1840" t="s">
        <v>1003</v>
      </c>
      <c r="B294" s="1841" t="s">
        <v>6985</v>
      </c>
      <c r="C294" s="1842" t="s">
        <v>6757</v>
      </c>
      <c r="D294" s="1852"/>
      <c r="E294" s="1852"/>
      <c r="F294" s="1853">
        <f t="shared" si="9"/>
        <v>0</v>
      </c>
      <c r="G294" s="1843">
        <f t="shared" si="8"/>
        <v>0</v>
      </c>
      <c r="H294" s="1173">
        <v>0.73819999999999997</v>
      </c>
      <c r="I294" s="3121" t="s">
        <v>0</v>
      </c>
    </row>
    <row r="295" spans="1:9" ht="16.5">
      <c r="A295" s="1840" t="s">
        <v>1004</v>
      </c>
      <c r="B295" s="1841" t="s">
        <v>6986</v>
      </c>
      <c r="C295" s="1842" t="s">
        <v>6757</v>
      </c>
      <c r="D295" s="1852"/>
      <c r="E295" s="1852"/>
      <c r="F295" s="1853">
        <f t="shared" si="9"/>
        <v>0</v>
      </c>
      <c r="G295" s="1843">
        <f t="shared" si="8"/>
        <v>0</v>
      </c>
      <c r="H295" s="1173">
        <v>1.3666</v>
      </c>
      <c r="I295" s="3121" t="s">
        <v>0</v>
      </c>
    </row>
    <row r="296" spans="1:9" ht="16.5">
      <c r="A296" s="1840" t="s">
        <v>1005</v>
      </c>
      <c r="B296" s="1841" t="s">
        <v>6987</v>
      </c>
      <c r="C296" s="1842" t="s">
        <v>6757</v>
      </c>
      <c r="D296" s="1852"/>
      <c r="E296" s="1852"/>
      <c r="F296" s="1853">
        <f t="shared" si="9"/>
        <v>0</v>
      </c>
      <c r="G296" s="1843">
        <f t="shared" si="8"/>
        <v>0</v>
      </c>
      <c r="H296" s="1173">
        <v>0.74170000000000003</v>
      </c>
      <c r="I296" s="3121" t="s">
        <v>0</v>
      </c>
    </row>
    <row r="297" spans="1:9" ht="16.5">
      <c r="A297" s="1840" t="s">
        <v>1006</v>
      </c>
      <c r="B297" s="1841" t="s">
        <v>6988</v>
      </c>
      <c r="C297" s="1842" t="s">
        <v>6757</v>
      </c>
      <c r="D297" s="1852"/>
      <c r="E297" s="1852"/>
      <c r="F297" s="1853">
        <f t="shared" si="9"/>
        <v>0</v>
      </c>
      <c r="G297" s="1843">
        <f t="shared" si="8"/>
        <v>0</v>
      </c>
      <c r="H297" s="1173">
        <v>0.29470000000000002</v>
      </c>
      <c r="I297" s="3121" t="s">
        <v>0</v>
      </c>
    </row>
    <row r="298" spans="1:9" ht="16.5">
      <c r="A298" s="1840" t="s">
        <v>1007</v>
      </c>
      <c r="B298" s="1841" t="s">
        <v>6989</v>
      </c>
      <c r="C298" s="1842" t="s">
        <v>6757</v>
      </c>
      <c r="D298" s="1852"/>
      <c r="E298" s="1852"/>
      <c r="F298" s="1853">
        <f t="shared" si="9"/>
        <v>0</v>
      </c>
      <c r="G298" s="1843">
        <f t="shared" si="8"/>
        <v>0</v>
      </c>
      <c r="H298" s="1173">
        <v>0.49619999999999997</v>
      </c>
      <c r="I298" s="3121" t="s">
        <v>0</v>
      </c>
    </row>
    <row r="299" spans="1:9" ht="16.5">
      <c r="A299" s="1840" t="s">
        <v>1008</v>
      </c>
      <c r="B299" s="1841" t="s">
        <v>6990</v>
      </c>
      <c r="C299" s="1842" t="s">
        <v>6757</v>
      </c>
      <c r="D299" s="1852"/>
      <c r="E299" s="1852"/>
      <c r="F299" s="1853">
        <f t="shared" si="9"/>
        <v>0</v>
      </c>
      <c r="G299" s="1843">
        <f t="shared" si="8"/>
        <v>0</v>
      </c>
      <c r="H299" s="1173">
        <v>0.56010000000000004</v>
      </c>
      <c r="I299" s="3121" t="s">
        <v>0</v>
      </c>
    </row>
    <row r="300" spans="1:9" ht="16.5">
      <c r="A300" s="1840" t="s">
        <v>1009</v>
      </c>
      <c r="B300" s="1841" t="s">
        <v>6991</v>
      </c>
      <c r="C300" s="1842" t="s">
        <v>6757</v>
      </c>
      <c r="D300" s="1852"/>
      <c r="E300" s="1852"/>
      <c r="F300" s="1853">
        <f t="shared" si="9"/>
        <v>0</v>
      </c>
      <c r="G300" s="1843">
        <f t="shared" si="8"/>
        <v>0</v>
      </c>
      <c r="H300" s="1173">
        <v>0.46210000000000001</v>
      </c>
      <c r="I300" s="3121" t="s">
        <v>0</v>
      </c>
    </row>
    <row r="301" spans="1:9" ht="16.5">
      <c r="A301" s="1840" t="s">
        <v>1010</v>
      </c>
      <c r="B301" s="1841" t="s">
        <v>6992</v>
      </c>
      <c r="C301" s="1842" t="s">
        <v>6757</v>
      </c>
      <c r="D301" s="1852"/>
      <c r="E301" s="1852"/>
      <c r="F301" s="1853">
        <f t="shared" si="9"/>
        <v>0</v>
      </c>
      <c r="G301" s="1843">
        <f t="shared" si="8"/>
        <v>0</v>
      </c>
      <c r="H301" s="1173">
        <v>0.44090000000000001</v>
      </c>
      <c r="I301" s="3121" t="s">
        <v>0</v>
      </c>
    </row>
    <row r="302" spans="1:9" ht="16.5">
      <c r="A302" s="1840" t="s">
        <v>1011</v>
      </c>
      <c r="B302" s="1841" t="s">
        <v>6993</v>
      </c>
      <c r="C302" s="1842" t="s">
        <v>6757</v>
      </c>
      <c r="D302" s="1852"/>
      <c r="E302" s="1852"/>
      <c r="F302" s="1853">
        <f t="shared" si="9"/>
        <v>0</v>
      </c>
      <c r="G302" s="1843">
        <f t="shared" si="8"/>
        <v>0</v>
      </c>
      <c r="H302" s="1173">
        <v>0.35289999999999999</v>
      </c>
      <c r="I302" s="3121" t="s">
        <v>0</v>
      </c>
    </row>
    <row r="303" spans="1:9" ht="16.5">
      <c r="A303" s="1840" t="s">
        <v>1012</v>
      </c>
      <c r="B303" s="1841" t="s">
        <v>6994</v>
      </c>
      <c r="C303" s="1842" t="s">
        <v>6757</v>
      </c>
      <c r="D303" s="1852"/>
      <c r="E303" s="1852"/>
      <c r="F303" s="1853">
        <f t="shared" si="9"/>
        <v>0</v>
      </c>
      <c r="G303" s="1843">
        <f t="shared" si="8"/>
        <v>0</v>
      </c>
      <c r="H303" s="1173">
        <v>0.40839999999999999</v>
      </c>
      <c r="I303" s="3121" t="s">
        <v>0</v>
      </c>
    </row>
    <row r="304" spans="1:9" ht="16.5">
      <c r="A304" s="1840" t="s">
        <v>1013</v>
      </c>
      <c r="B304" s="1841" t="s">
        <v>6995</v>
      </c>
      <c r="C304" s="1842" t="s">
        <v>6757</v>
      </c>
      <c r="D304" s="1852"/>
      <c r="E304" s="1852"/>
      <c r="F304" s="1853">
        <f t="shared" si="9"/>
        <v>0</v>
      </c>
      <c r="G304" s="1843">
        <f t="shared" si="8"/>
        <v>0</v>
      </c>
      <c r="H304" s="1173">
        <v>0.47220000000000001</v>
      </c>
      <c r="I304" s="3121" t="s">
        <v>0</v>
      </c>
    </row>
    <row r="305" spans="1:9" ht="16.5">
      <c r="A305" s="1840" t="s">
        <v>1014</v>
      </c>
      <c r="B305" s="1841" t="s">
        <v>6996</v>
      </c>
      <c r="C305" s="1842" t="s">
        <v>6757</v>
      </c>
      <c r="D305" s="1852"/>
      <c r="E305" s="1852"/>
      <c r="F305" s="1853">
        <f t="shared" si="9"/>
        <v>0</v>
      </c>
      <c r="G305" s="1843">
        <f t="shared" si="8"/>
        <v>0</v>
      </c>
      <c r="H305" s="1173">
        <v>0.54969999999999997</v>
      </c>
      <c r="I305" s="3121" t="s">
        <v>0</v>
      </c>
    </row>
    <row r="306" spans="1:9" ht="16.5">
      <c r="A306" s="1840" t="s">
        <v>1015</v>
      </c>
      <c r="B306" s="1841" t="s">
        <v>6997</v>
      </c>
      <c r="C306" s="1842" t="s">
        <v>6757</v>
      </c>
      <c r="D306" s="1852"/>
      <c r="E306" s="1852"/>
      <c r="F306" s="1853">
        <f t="shared" si="9"/>
        <v>0</v>
      </c>
      <c r="G306" s="1843">
        <f t="shared" si="8"/>
        <v>0</v>
      </c>
      <c r="H306" s="1173">
        <v>0.19040000000000001</v>
      </c>
      <c r="I306" s="3121" t="s">
        <v>0</v>
      </c>
    </row>
    <row r="307" spans="1:9" ht="16.5">
      <c r="A307" s="1840" t="s">
        <v>1016</v>
      </c>
      <c r="B307" s="1841" t="s">
        <v>6998</v>
      </c>
      <c r="C307" s="1842" t="s">
        <v>6757</v>
      </c>
      <c r="D307" s="1852"/>
      <c r="E307" s="1852"/>
      <c r="F307" s="1853">
        <f t="shared" si="9"/>
        <v>0</v>
      </c>
      <c r="G307" s="1843">
        <f t="shared" si="8"/>
        <v>0</v>
      </c>
      <c r="H307" s="1173">
        <v>0.25180000000000002</v>
      </c>
      <c r="I307" s="3121" t="s">
        <v>0</v>
      </c>
    </row>
    <row r="308" spans="1:9" ht="16.5">
      <c r="A308" s="1840" t="s">
        <v>1017</v>
      </c>
      <c r="B308" s="1841" t="s">
        <v>6999</v>
      </c>
      <c r="C308" s="1842" t="s">
        <v>6757</v>
      </c>
      <c r="D308" s="1852"/>
      <c r="E308" s="1852"/>
      <c r="F308" s="1853">
        <f t="shared" si="9"/>
        <v>0</v>
      </c>
      <c r="G308" s="1843">
        <f t="shared" si="8"/>
        <v>0</v>
      </c>
      <c r="H308" s="1173">
        <v>0.30330000000000001</v>
      </c>
      <c r="I308" s="3121" t="s">
        <v>0</v>
      </c>
    </row>
    <row r="309" spans="1:9" ht="16.5">
      <c r="A309" s="1840" t="s">
        <v>1018</v>
      </c>
      <c r="B309" s="1841" t="s">
        <v>7000</v>
      </c>
      <c r="C309" s="1842" t="s">
        <v>6757</v>
      </c>
      <c r="D309" s="1852"/>
      <c r="E309" s="1852"/>
      <c r="F309" s="1853">
        <f t="shared" si="9"/>
        <v>0</v>
      </c>
      <c r="G309" s="1843">
        <f t="shared" si="8"/>
        <v>0</v>
      </c>
      <c r="H309" s="1173">
        <v>0.71340000000000003</v>
      </c>
      <c r="I309" s="3121" t="s">
        <v>0</v>
      </c>
    </row>
    <row r="310" spans="1:9" ht="16.5">
      <c r="A310" s="1840" t="s">
        <v>1019</v>
      </c>
      <c r="B310" s="1841" t="s">
        <v>7001</v>
      </c>
      <c r="C310" s="1842" t="s">
        <v>6757</v>
      </c>
      <c r="D310" s="1852"/>
      <c r="E310" s="1852"/>
      <c r="F310" s="1853">
        <f t="shared" si="9"/>
        <v>0</v>
      </c>
      <c r="G310" s="1843">
        <f t="shared" si="8"/>
        <v>0</v>
      </c>
      <c r="H310" s="1173">
        <v>0.66759999999999997</v>
      </c>
      <c r="I310" s="3121" t="s">
        <v>0</v>
      </c>
    </row>
    <row r="311" spans="1:9" ht="16.5">
      <c r="A311" s="1840" t="s">
        <v>1020</v>
      </c>
      <c r="B311" s="1841" t="s">
        <v>7002</v>
      </c>
      <c r="C311" s="1842" t="s">
        <v>6757</v>
      </c>
      <c r="D311" s="1852"/>
      <c r="E311" s="1852"/>
      <c r="F311" s="1853">
        <f t="shared" si="9"/>
        <v>0</v>
      </c>
      <c r="G311" s="1843">
        <f t="shared" si="8"/>
        <v>0</v>
      </c>
      <c r="H311" s="1173">
        <v>0.37559999999999999</v>
      </c>
      <c r="I311" s="3121" t="s">
        <v>0</v>
      </c>
    </row>
    <row r="312" spans="1:9" ht="16.5">
      <c r="A312" s="1840" t="s">
        <v>1021</v>
      </c>
      <c r="B312" s="1841" t="s">
        <v>7003</v>
      </c>
      <c r="C312" s="1842" t="s">
        <v>6757</v>
      </c>
      <c r="D312" s="1852"/>
      <c r="E312" s="1852"/>
      <c r="F312" s="1853">
        <f t="shared" si="9"/>
        <v>0</v>
      </c>
      <c r="G312" s="1843">
        <f t="shared" si="8"/>
        <v>0</v>
      </c>
      <c r="H312" s="1173">
        <v>0.49109999999999998</v>
      </c>
      <c r="I312" s="3121" t="s">
        <v>0</v>
      </c>
    </row>
    <row r="313" spans="1:9" ht="16.5">
      <c r="A313" s="1840" t="s">
        <v>1022</v>
      </c>
      <c r="B313" s="1841" t="s">
        <v>7004</v>
      </c>
      <c r="C313" s="1842" t="s">
        <v>6757</v>
      </c>
      <c r="D313" s="1852"/>
      <c r="E313" s="1852"/>
      <c r="F313" s="1853">
        <f t="shared" si="9"/>
        <v>0</v>
      </c>
      <c r="G313" s="1843">
        <f t="shared" si="8"/>
        <v>0</v>
      </c>
      <c r="H313" s="1173">
        <v>0.50409999999999999</v>
      </c>
      <c r="I313" s="3121" t="s">
        <v>0</v>
      </c>
    </row>
    <row r="314" spans="1:9" ht="16.5">
      <c r="A314" s="1840" t="s">
        <v>3195</v>
      </c>
      <c r="B314" s="1841" t="s">
        <v>7005</v>
      </c>
      <c r="C314" s="1842" t="s">
        <v>6757</v>
      </c>
      <c r="D314" s="1852"/>
      <c r="E314" s="1852"/>
      <c r="F314" s="1853">
        <f t="shared" si="9"/>
        <v>0</v>
      </c>
      <c r="G314" s="1843">
        <f t="shared" si="8"/>
        <v>0</v>
      </c>
      <c r="H314" s="1173">
        <v>0.46060000000000001</v>
      </c>
      <c r="I314" s="3121" t="s">
        <v>0</v>
      </c>
    </row>
    <row r="315" spans="1:9" ht="16.5">
      <c r="A315" s="1840" t="s">
        <v>1023</v>
      </c>
      <c r="B315" s="1841" t="s">
        <v>7006</v>
      </c>
      <c r="C315" s="1842" t="s">
        <v>6757</v>
      </c>
      <c r="D315" s="1852"/>
      <c r="E315" s="1852"/>
      <c r="F315" s="1853">
        <f t="shared" si="9"/>
        <v>0</v>
      </c>
      <c r="G315" s="1843">
        <f t="shared" si="8"/>
        <v>0</v>
      </c>
      <c r="H315" s="1173">
        <v>0.56010000000000004</v>
      </c>
      <c r="I315" s="3121" t="s">
        <v>0</v>
      </c>
    </row>
    <row r="316" spans="1:9" ht="16.5">
      <c r="A316" s="1840" t="s">
        <v>1024</v>
      </c>
      <c r="B316" s="1841" t="s">
        <v>7007</v>
      </c>
      <c r="C316" s="1842" t="s">
        <v>6757</v>
      </c>
      <c r="D316" s="1852"/>
      <c r="E316" s="1852"/>
      <c r="F316" s="1853">
        <f t="shared" si="9"/>
        <v>0</v>
      </c>
      <c r="G316" s="1843">
        <f t="shared" si="8"/>
        <v>0</v>
      </c>
      <c r="H316" s="1173">
        <v>0.51680000000000004</v>
      </c>
      <c r="I316" s="3121" t="s">
        <v>0</v>
      </c>
    </row>
    <row r="317" spans="1:9" ht="16.5">
      <c r="A317" s="1840" t="s">
        <v>1025</v>
      </c>
      <c r="B317" s="1841" t="s">
        <v>7008</v>
      </c>
      <c r="C317" s="1842" t="s">
        <v>6757</v>
      </c>
      <c r="D317" s="1852"/>
      <c r="E317" s="1852"/>
      <c r="F317" s="1853">
        <f t="shared" si="9"/>
        <v>0</v>
      </c>
      <c r="G317" s="1843">
        <f t="shared" si="8"/>
        <v>0</v>
      </c>
      <c r="H317" s="1173">
        <v>0.52249999999999996</v>
      </c>
      <c r="I317" s="3121" t="s">
        <v>0</v>
      </c>
    </row>
    <row r="318" spans="1:9" ht="16.5">
      <c r="A318" s="1840" t="s">
        <v>1026</v>
      </c>
      <c r="B318" s="1841" t="s">
        <v>7009</v>
      </c>
      <c r="C318" s="1842" t="s">
        <v>6757</v>
      </c>
      <c r="D318" s="1852"/>
      <c r="E318" s="1852"/>
      <c r="F318" s="1853">
        <f t="shared" si="9"/>
        <v>0</v>
      </c>
      <c r="G318" s="1843">
        <f t="shared" si="8"/>
        <v>0</v>
      </c>
      <c r="H318" s="1173">
        <v>0.76280000000000003</v>
      </c>
      <c r="I318" s="3121" t="s">
        <v>0</v>
      </c>
    </row>
    <row r="319" spans="1:9" ht="16.5">
      <c r="A319" s="1840" t="s">
        <v>1027</v>
      </c>
      <c r="B319" s="1841" t="s">
        <v>7010</v>
      </c>
      <c r="C319" s="1842" t="s">
        <v>6757</v>
      </c>
      <c r="D319" s="1852"/>
      <c r="E319" s="1852"/>
      <c r="F319" s="1853">
        <f t="shared" si="9"/>
        <v>0</v>
      </c>
      <c r="G319" s="1843">
        <f t="shared" si="8"/>
        <v>0</v>
      </c>
      <c r="H319" s="1173">
        <v>0.5927</v>
      </c>
      <c r="I319" s="3121" t="s">
        <v>0</v>
      </c>
    </row>
    <row r="320" spans="1:9" ht="16.5">
      <c r="A320" s="1840" t="s">
        <v>1028</v>
      </c>
      <c r="B320" s="1841" t="s">
        <v>7011</v>
      </c>
      <c r="C320" s="1842" t="s">
        <v>6757</v>
      </c>
      <c r="D320" s="1852"/>
      <c r="E320" s="1852"/>
      <c r="F320" s="1853">
        <f t="shared" si="9"/>
        <v>0</v>
      </c>
      <c r="G320" s="1843">
        <f t="shared" si="8"/>
        <v>0</v>
      </c>
      <c r="H320" s="1173">
        <v>0.3836</v>
      </c>
      <c r="I320" s="3121" t="s">
        <v>0</v>
      </c>
    </row>
    <row r="321" spans="1:9" ht="16.5">
      <c r="A321" s="1840" t="s">
        <v>1962</v>
      </c>
      <c r="B321" s="1841" t="s">
        <v>7012</v>
      </c>
      <c r="C321" s="1842" t="s">
        <v>6757</v>
      </c>
      <c r="D321" s="1852"/>
      <c r="E321" s="1852"/>
      <c r="F321" s="1853">
        <f t="shared" si="9"/>
        <v>0</v>
      </c>
      <c r="G321" s="1843">
        <f t="shared" si="8"/>
        <v>0</v>
      </c>
      <c r="H321" s="1173">
        <v>0.6411</v>
      </c>
      <c r="I321" s="3121" t="s">
        <v>0</v>
      </c>
    </row>
    <row r="322" spans="1:9" ht="16.5">
      <c r="A322" s="1840" t="s">
        <v>1029</v>
      </c>
      <c r="B322" s="1841" t="s">
        <v>7013</v>
      </c>
      <c r="C322" s="1842" t="s">
        <v>6757</v>
      </c>
      <c r="D322" s="1852"/>
      <c r="E322" s="1852"/>
      <c r="F322" s="1853">
        <f t="shared" si="9"/>
        <v>0</v>
      </c>
      <c r="G322" s="1843">
        <f t="shared" si="8"/>
        <v>0</v>
      </c>
      <c r="H322" s="1173">
        <v>0.26540000000000002</v>
      </c>
      <c r="I322" s="3121" t="s">
        <v>0</v>
      </c>
    </row>
    <row r="323" spans="1:9" ht="16.5">
      <c r="A323" s="1840" t="s">
        <v>1963</v>
      </c>
      <c r="B323" s="1841" t="s">
        <v>7014</v>
      </c>
      <c r="C323" s="1842" t="s">
        <v>6757</v>
      </c>
      <c r="D323" s="1852"/>
      <c r="E323" s="1852"/>
      <c r="F323" s="1853">
        <f t="shared" si="9"/>
        <v>0</v>
      </c>
      <c r="G323" s="1843">
        <f t="shared" si="8"/>
        <v>0</v>
      </c>
      <c r="H323" s="1173">
        <v>0.24970000000000001</v>
      </c>
      <c r="I323" s="3121" t="s">
        <v>0</v>
      </c>
    </row>
    <row r="324" spans="1:9" ht="16.5">
      <c r="A324" s="1840" t="s">
        <v>3196</v>
      </c>
      <c r="B324" s="1841" t="s">
        <v>3280</v>
      </c>
      <c r="C324" s="1842" t="s">
        <v>6757</v>
      </c>
      <c r="D324" s="1852"/>
      <c r="E324" s="1852"/>
      <c r="F324" s="1853">
        <f t="shared" si="9"/>
        <v>0</v>
      </c>
      <c r="G324" s="1843">
        <f t="shared" ref="G324:G387" si="10">IF($F$1334=0,0,F324/$F$1334)</f>
        <v>0</v>
      </c>
      <c r="H324" s="1173">
        <v>0.68059999999999998</v>
      </c>
      <c r="I324" s="3121" t="s">
        <v>0</v>
      </c>
    </row>
    <row r="325" spans="1:9" ht="16.5">
      <c r="A325" s="1840" t="s">
        <v>1030</v>
      </c>
      <c r="B325" s="1841" t="s">
        <v>7015</v>
      </c>
      <c r="C325" s="1842" t="s">
        <v>6757</v>
      </c>
      <c r="D325" s="1852"/>
      <c r="E325" s="1852"/>
      <c r="F325" s="1853">
        <f t="shared" ref="F325:F388" si="11">D325*E325</f>
        <v>0</v>
      </c>
      <c r="G325" s="1843">
        <f t="shared" si="10"/>
        <v>0</v>
      </c>
      <c r="H325" s="1173">
        <v>0.8407</v>
      </c>
      <c r="I325" s="3121" t="s">
        <v>0</v>
      </c>
    </row>
    <row r="326" spans="1:9" ht="16.5">
      <c r="A326" s="1840" t="s">
        <v>1031</v>
      </c>
      <c r="B326" s="1841" t="s">
        <v>7016</v>
      </c>
      <c r="C326" s="1842" t="s">
        <v>6757</v>
      </c>
      <c r="D326" s="1852"/>
      <c r="E326" s="1852"/>
      <c r="F326" s="1853">
        <f t="shared" si="11"/>
        <v>0</v>
      </c>
      <c r="G326" s="1843">
        <f t="shared" si="10"/>
        <v>0</v>
      </c>
      <c r="H326" s="1173">
        <v>0.70469999999999999</v>
      </c>
      <c r="I326" s="3121" t="s">
        <v>0</v>
      </c>
    </row>
    <row r="327" spans="1:9" ht="16.5">
      <c r="A327" s="1840" t="s">
        <v>1032</v>
      </c>
      <c r="B327" s="1841" t="s">
        <v>7017</v>
      </c>
      <c r="C327" s="1842" t="s">
        <v>6757</v>
      </c>
      <c r="D327" s="1852"/>
      <c r="E327" s="1852"/>
      <c r="F327" s="1853">
        <f t="shared" si="11"/>
        <v>0</v>
      </c>
      <c r="G327" s="1843">
        <f t="shared" si="10"/>
        <v>0</v>
      </c>
      <c r="H327" s="1173">
        <v>0.74050000000000005</v>
      </c>
      <c r="I327" s="3121" t="s">
        <v>0</v>
      </c>
    </row>
    <row r="328" spans="1:9" ht="16.5">
      <c r="A328" s="1840" t="s">
        <v>1033</v>
      </c>
      <c r="B328" s="1841" t="s">
        <v>7018</v>
      </c>
      <c r="C328" s="1842" t="s">
        <v>6757</v>
      </c>
      <c r="D328" s="1852"/>
      <c r="E328" s="1852"/>
      <c r="F328" s="1853">
        <f t="shared" si="11"/>
        <v>0</v>
      </c>
      <c r="G328" s="1843">
        <f t="shared" si="10"/>
        <v>0</v>
      </c>
      <c r="H328" s="1173">
        <v>0.68389999999999995</v>
      </c>
      <c r="I328" s="3121" t="s">
        <v>0</v>
      </c>
    </row>
    <row r="329" spans="1:9" ht="16.5">
      <c r="A329" s="1840" t="s">
        <v>1034</v>
      </c>
      <c r="B329" s="1841" t="s">
        <v>7019</v>
      </c>
      <c r="C329" s="1842" t="s">
        <v>6757</v>
      </c>
      <c r="D329" s="1852"/>
      <c r="E329" s="1852"/>
      <c r="F329" s="1853">
        <f t="shared" si="11"/>
        <v>0</v>
      </c>
      <c r="G329" s="1843">
        <f t="shared" si="10"/>
        <v>0</v>
      </c>
      <c r="H329" s="1173">
        <v>1.1686000000000001</v>
      </c>
      <c r="I329" s="3121" t="s">
        <v>0</v>
      </c>
    </row>
    <row r="330" spans="1:9" ht="16.5">
      <c r="A330" s="1840" t="s">
        <v>1035</v>
      </c>
      <c r="B330" s="1841" t="s">
        <v>7020</v>
      </c>
      <c r="C330" s="1842" t="s">
        <v>6757</v>
      </c>
      <c r="D330" s="1852"/>
      <c r="E330" s="1852"/>
      <c r="F330" s="1853">
        <f t="shared" si="11"/>
        <v>0</v>
      </c>
      <c r="G330" s="1843">
        <f t="shared" si="10"/>
        <v>0</v>
      </c>
      <c r="H330" s="1173">
        <v>0.95050000000000001</v>
      </c>
      <c r="I330" s="3121" t="s">
        <v>0</v>
      </c>
    </row>
    <row r="331" spans="1:9" ht="16.5">
      <c r="A331" s="1840" t="s">
        <v>1036</v>
      </c>
      <c r="B331" s="1841" t="s">
        <v>7021</v>
      </c>
      <c r="C331" s="1842" t="s">
        <v>6757</v>
      </c>
      <c r="D331" s="1852"/>
      <c r="E331" s="1852"/>
      <c r="F331" s="1853">
        <f t="shared" si="11"/>
        <v>0</v>
      </c>
      <c r="G331" s="1843">
        <f t="shared" si="10"/>
        <v>0</v>
      </c>
      <c r="H331" s="1173">
        <v>0.90139999999999998</v>
      </c>
      <c r="I331" s="3121" t="s">
        <v>0</v>
      </c>
    </row>
    <row r="332" spans="1:9" ht="16.5">
      <c r="A332" s="1840" t="s">
        <v>1037</v>
      </c>
      <c r="B332" s="1841" t="s">
        <v>7022</v>
      </c>
      <c r="C332" s="1842" t="s">
        <v>6757</v>
      </c>
      <c r="D332" s="1852"/>
      <c r="E332" s="1852"/>
      <c r="F332" s="1853">
        <f t="shared" si="11"/>
        <v>0</v>
      </c>
      <c r="G332" s="1843">
        <f t="shared" si="10"/>
        <v>0</v>
      </c>
      <c r="H332" s="1173">
        <v>0.63770000000000004</v>
      </c>
      <c r="I332" s="3121" t="s">
        <v>0</v>
      </c>
    </row>
    <row r="333" spans="1:9" ht="16.5">
      <c r="A333" s="1840" t="s">
        <v>1038</v>
      </c>
      <c r="B333" s="1841" t="s">
        <v>7023</v>
      </c>
      <c r="C333" s="1842" t="s">
        <v>6757</v>
      </c>
      <c r="D333" s="1852"/>
      <c r="E333" s="1852"/>
      <c r="F333" s="1853">
        <f t="shared" si="11"/>
        <v>0</v>
      </c>
      <c r="G333" s="1843">
        <f t="shared" si="10"/>
        <v>0</v>
      </c>
      <c r="H333" s="1173">
        <v>0.97770000000000001</v>
      </c>
      <c r="I333" s="3121" t="s">
        <v>0</v>
      </c>
    </row>
    <row r="334" spans="1:9" ht="16.5">
      <c r="A334" s="1840" t="s">
        <v>1039</v>
      </c>
      <c r="B334" s="1841" t="s">
        <v>7024</v>
      </c>
      <c r="C334" s="1842" t="s">
        <v>6757</v>
      </c>
      <c r="D334" s="1852"/>
      <c r="E334" s="1852"/>
      <c r="F334" s="1853">
        <f t="shared" si="11"/>
        <v>0</v>
      </c>
      <c r="G334" s="1843">
        <f t="shared" si="10"/>
        <v>0</v>
      </c>
      <c r="H334" s="1173">
        <v>1.1839</v>
      </c>
      <c r="I334" s="3121" t="s">
        <v>0</v>
      </c>
    </row>
    <row r="335" spans="1:9" ht="16.5">
      <c r="A335" s="1840" t="s">
        <v>1040</v>
      </c>
      <c r="B335" s="1841" t="s">
        <v>7025</v>
      </c>
      <c r="C335" s="1842" t="s">
        <v>6757</v>
      </c>
      <c r="D335" s="1852"/>
      <c r="E335" s="1852"/>
      <c r="F335" s="1853">
        <f t="shared" si="11"/>
        <v>0</v>
      </c>
      <c r="G335" s="1843">
        <f t="shared" si="10"/>
        <v>0</v>
      </c>
      <c r="H335" s="1173">
        <v>0.219</v>
      </c>
      <c r="I335" s="3121" t="s">
        <v>0</v>
      </c>
    </row>
    <row r="336" spans="1:9" ht="16.5">
      <c r="A336" s="1840" t="s">
        <v>1041</v>
      </c>
      <c r="B336" s="1841" t="s">
        <v>7026</v>
      </c>
      <c r="C336" s="1842" t="s">
        <v>6757</v>
      </c>
      <c r="D336" s="1852"/>
      <c r="E336" s="1852"/>
      <c r="F336" s="1853">
        <f t="shared" si="11"/>
        <v>0</v>
      </c>
      <c r="G336" s="1843">
        <f t="shared" si="10"/>
        <v>0</v>
      </c>
      <c r="H336" s="1173">
        <v>0.62680000000000002</v>
      </c>
      <c r="I336" s="3121" t="s">
        <v>0</v>
      </c>
    </row>
    <row r="337" spans="1:9" ht="16.5">
      <c r="A337" s="1840" t="s">
        <v>1042</v>
      </c>
      <c r="B337" s="1841" t="s">
        <v>7027</v>
      </c>
      <c r="C337" s="1842" t="s">
        <v>6757</v>
      </c>
      <c r="D337" s="1852"/>
      <c r="E337" s="1852"/>
      <c r="F337" s="1853">
        <f t="shared" si="11"/>
        <v>0</v>
      </c>
      <c r="G337" s="1843">
        <f t="shared" si="10"/>
        <v>0</v>
      </c>
      <c r="H337" s="1173">
        <v>0.71819999999999995</v>
      </c>
      <c r="I337" s="3121" t="s">
        <v>0</v>
      </c>
    </row>
    <row r="338" spans="1:9" ht="16.5">
      <c r="A338" s="1840" t="s">
        <v>1043</v>
      </c>
      <c r="B338" s="1841" t="s">
        <v>7028</v>
      </c>
      <c r="C338" s="1842" t="s">
        <v>6757</v>
      </c>
      <c r="D338" s="1852"/>
      <c r="E338" s="1852"/>
      <c r="F338" s="1853">
        <f t="shared" si="11"/>
        <v>0</v>
      </c>
      <c r="G338" s="1843">
        <f t="shared" si="10"/>
        <v>0</v>
      </c>
      <c r="H338" s="1173">
        <v>0.90820000000000001</v>
      </c>
      <c r="I338" s="3121" t="s">
        <v>0</v>
      </c>
    </row>
    <row r="339" spans="1:9" ht="16.5">
      <c r="A339" s="1840" t="s">
        <v>1044</v>
      </c>
      <c r="B339" s="1841" t="s">
        <v>7029</v>
      </c>
      <c r="C339" s="1842" t="s">
        <v>6757</v>
      </c>
      <c r="D339" s="1852"/>
      <c r="E339" s="1852"/>
      <c r="F339" s="1853">
        <f t="shared" si="11"/>
        <v>0</v>
      </c>
      <c r="G339" s="1843">
        <f t="shared" si="10"/>
        <v>0</v>
      </c>
      <c r="H339" s="1173">
        <v>0.69340000000000002</v>
      </c>
      <c r="I339" s="3121" t="s">
        <v>0</v>
      </c>
    </row>
    <row r="340" spans="1:9" ht="16.5">
      <c r="A340" s="1840" t="s">
        <v>1045</v>
      </c>
      <c r="B340" s="1841" t="s">
        <v>7030</v>
      </c>
      <c r="C340" s="1842" t="s">
        <v>6757</v>
      </c>
      <c r="D340" s="1852"/>
      <c r="E340" s="1852"/>
      <c r="F340" s="1853">
        <f t="shared" si="11"/>
        <v>0</v>
      </c>
      <c r="G340" s="1843">
        <f t="shared" si="10"/>
        <v>0</v>
      </c>
      <c r="H340" s="1173">
        <v>1.0385</v>
      </c>
      <c r="I340" s="3121" t="s">
        <v>0</v>
      </c>
    </row>
    <row r="341" spans="1:9" ht="16.5">
      <c r="A341" s="1840" t="s">
        <v>1046</v>
      </c>
      <c r="B341" s="1841" t="s">
        <v>7031</v>
      </c>
      <c r="C341" s="1842" t="s">
        <v>6757</v>
      </c>
      <c r="D341" s="1852"/>
      <c r="E341" s="1852"/>
      <c r="F341" s="1853">
        <f t="shared" si="11"/>
        <v>0</v>
      </c>
      <c r="G341" s="1843">
        <f t="shared" si="10"/>
        <v>0</v>
      </c>
      <c r="H341" s="1173">
        <v>1.5270999999999999</v>
      </c>
      <c r="I341" s="3121" t="s">
        <v>0</v>
      </c>
    </row>
    <row r="342" spans="1:9" ht="16.5">
      <c r="A342" s="1840" t="s">
        <v>1047</v>
      </c>
      <c r="B342" s="1841" t="s">
        <v>7032</v>
      </c>
      <c r="C342" s="1842" t="s">
        <v>6757</v>
      </c>
      <c r="D342" s="1852"/>
      <c r="E342" s="1852"/>
      <c r="F342" s="1853">
        <f t="shared" si="11"/>
        <v>0</v>
      </c>
      <c r="G342" s="1843">
        <f t="shared" si="10"/>
        <v>0</v>
      </c>
      <c r="H342" s="1173">
        <v>0.89429999999999998</v>
      </c>
      <c r="I342" s="3121" t="s">
        <v>0</v>
      </c>
    </row>
    <row r="343" spans="1:9" ht="16.5">
      <c r="A343" s="1840" t="s">
        <v>1048</v>
      </c>
      <c r="B343" s="1841" t="s">
        <v>7033</v>
      </c>
      <c r="C343" s="1842" t="s">
        <v>6757</v>
      </c>
      <c r="D343" s="1852"/>
      <c r="E343" s="1852"/>
      <c r="F343" s="1853">
        <f t="shared" si="11"/>
        <v>0</v>
      </c>
      <c r="G343" s="1843">
        <f t="shared" si="10"/>
        <v>0</v>
      </c>
      <c r="H343" s="1173">
        <v>0.53669999999999995</v>
      </c>
      <c r="I343" s="3121" t="s">
        <v>0</v>
      </c>
    </row>
    <row r="344" spans="1:9" ht="16.5">
      <c r="A344" s="1840" t="s">
        <v>1049</v>
      </c>
      <c r="B344" s="1841" t="s">
        <v>7034</v>
      </c>
      <c r="C344" s="1842" t="s">
        <v>6757</v>
      </c>
      <c r="D344" s="1852"/>
      <c r="E344" s="1852"/>
      <c r="F344" s="1853">
        <f t="shared" si="11"/>
        <v>0</v>
      </c>
      <c r="G344" s="1843">
        <f t="shared" si="10"/>
        <v>0</v>
      </c>
      <c r="H344" s="1173">
        <v>0.41560000000000002</v>
      </c>
      <c r="I344" s="3121" t="s">
        <v>0</v>
      </c>
    </row>
    <row r="345" spans="1:9" ht="16.5">
      <c r="A345" s="1840" t="s">
        <v>1050</v>
      </c>
      <c r="B345" s="1841" t="s">
        <v>7035</v>
      </c>
      <c r="C345" s="1842" t="s">
        <v>6757</v>
      </c>
      <c r="D345" s="1852"/>
      <c r="E345" s="1852"/>
      <c r="F345" s="1853">
        <f t="shared" si="11"/>
        <v>0</v>
      </c>
      <c r="G345" s="1843">
        <f t="shared" si="10"/>
        <v>0</v>
      </c>
      <c r="H345" s="1173">
        <v>0.85489999999999999</v>
      </c>
      <c r="I345" s="3121" t="s">
        <v>0</v>
      </c>
    </row>
    <row r="346" spans="1:9" ht="16.5">
      <c r="A346" s="1840" t="s">
        <v>1051</v>
      </c>
      <c r="B346" s="1841" t="s">
        <v>7036</v>
      </c>
      <c r="C346" s="1842" t="s">
        <v>6757</v>
      </c>
      <c r="D346" s="1852"/>
      <c r="E346" s="1852"/>
      <c r="F346" s="1853">
        <f t="shared" si="11"/>
        <v>0</v>
      </c>
      <c r="G346" s="1843">
        <f t="shared" si="10"/>
        <v>0</v>
      </c>
      <c r="H346" s="1173">
        <v>0.74670000000000003</v>
      </c>
      <c r="I346" s="3121" t="s">
        <v>0</v>
      </c>
    </row>
    <row r="347" spans="1:9" ht="16.5">
      <c r="A347" s="1840" t="s">
        <v>1052</v>
      </c>
      <c r="B347" s="1841" t="s">
        <v>7037</v>
      </c>
      <c r="C347" s="1842" t="s">
        <v>6757</v>
      </c>
      <c r="D347" s="1852"/>
      <c r="E347" s="1852"/>
      <c r="F347" s="1853">
        <f t="shared" si="11"/>
        <v>0</v>
      </c>
      <c r="G347" s="1843">
        <f t="shared" si="10"/>
        <v>0</v>
      </c>
      <c r="H347" s="1173">
        <v>0.60399999999999998</v>
      </c>
      <c r="I347" s="3121" t="s">
        <v>0</v>
      </c>
    </row>
    <row r="348" spans="1:9" ht="16.5">
      <c r="A348" s="1840" t="s">
        <v>1053</v>
      </c>
      <c r="B348" s="1841" t="s">
        <v>7038</v>
      </c>
      <c r="C348" s="1842" t="s">
        <v>6757</v>
      </c>
      <c r="D348" s="1852"/>
      <c r="E348" s="1852"/>
      <c r="F348" s="1853">
        <f t="shared" si="11"/>
        <v>0</v>
      </c>
      <c r="G348" s="1843">
        <f t="shared" si="10"/>
        <v>0</v>
      </c>
      <c r="H348" s="1173">
        <v>0.72209999999999996</v>
      </c>
      <c r="I348" s="3121" t="s">
        <v>0</v>
      </c>
    </row>
    <row r="349" spans="1:9" ht="16.5">
      <c r="A349" s="1840" t="s">
        <v>1054</v>
      </c>
      <c r="B349" s="1841" t="s">
        <v>7039</v>
      </c>
      <c r="C349" s="1842" t="s">
        <v>6757</v>
      </c>
      <c r="D349" s="1852"/>
      <c r="E349" s="1852"/>
      <c r="F349" s="1853">
        <f t="shared" si="11"/>
        <v>0</v>
      </c>
      <c r="G349" s="1843">
        <f t="shared" si="10"/>
        <v>0</v>
      </c>
      <c r="H349" s="1173">
        <v>0.95320000000000005</v>
      </c>
      <c r="I349" s="3121" t="s">
        <v>0</v>
      </c>
    </row>
    <row r="350" spans="1:9" ht="16.5">
      <c r="A350" s="1840" t="s">
        <v>1055</v>
      </c>
      <c r="B350" s="1841" t="s">
        <v>7040</v>
      </c>
      <c r="C350" s="1842" t="s">
        <v>6757</v>
      </c>
      <c r="D350" s="1852"/>
      <c r="E350" s="1852"/>
      <c r="F350" s="1853">
        <f t="shared" si="11"/>
        <v>0</v>
      </c>
      <c r="G350" s="1843">
        <f t="shared" si="10"/>
        <v>0</v>
      </c>
      <c r="H350" s="1173">
        <v>0.38329999999999997</v>
      </c>
      <c r="I350" s="3121" t="s">
        <v>0</v>
      </c>
    </row>
    <row r="351" spans="1:9" ht="16.5">
      <c r="A351" s="1840" t="s">
        <v>1056</v>
      </c>
      <c r="B351" s="1841" t="s">
        <v>7041</v>
      </c>
      <c r="C351" s="1842" t="s">
        <v>6757</v>
      </c>
      <c r="D351" s="1852"/>
      <c r="E351" s="1852"/>
      <c r="F351" s="1853">
        <f t="shared" si="11"/>
        <v>0</v>
      </c>
      <c r="G351" s="1843">
        <f t="shared" si="10"/>
        <v>0</v>
      </c>
      <c r="H351" s="1173">
        <v>0.76190000000000002</v>
      </c>
      <c r="I351" s="3121" t="s">
        <v>0</v>
      </c>
    </row>
    <row r="352" spans="1:9" ht="16.5">
      <c r="A352" s="1840" t="s">
        <v>1057</v>
      </c>
      <c r="B352" s="1841" t="s">
        <v>7042</v>
      </c>
      <c r="C352" s="1842" t="s">
        <v>6757</v>
      </c>
      <c r="D352" s="1852"/>
      <c r="E352" s="1852"/>
      <c r="F352" s="1853">
        <f t="shared" si="11"/>
        <v>0</v>
      </c>
      <c r="G352" s="1843">
        <f t="shared" si="10"/>
        <v>0</v>
      </c>
      <c r="H352" s="1173">
        <v>0.39319999999999999</v>
      </c>
      <c r="I352" s="3121" t="s">
        <v>0</v>
      </c>
    </row>
    <row r="353" spans="1:9" ht="16.5">
      <c r="A353" s="1840" t="s">
        <v>1058</v>
      </c>
      <c r="B353" s="1841" t="s">
        <v>7043</v>
      </c>
      <c r="C353" s="1842" t="s">
        <v>6757</v>
      </c>
      <c r="D353" s="1852"/>
      <c r="E353" s="1852"/>
      <c r="F353" s="1853">
        <f t="shared" si="11"/>
        <v>0</v>
      </c>
      <c r="G353" s="1843">
        <f t="shared" si="10"/>
        <v>0</v>
      </c>
      <c r="H353" s="1173">
        <v>0.88529999999999998</v>
      </c>
      <c r="I353" s="3121" t="s">
        <v>0</v>
      </c>
    </row>
    <row r="354" spans="1:9" ht="16.5">
      <c r="A354" s="1840" t="s">
        <v>1059</v>
      </c>
      <c r="B354" s="1841" t="s">
        <v>7044</v>
      </c>
      <c r="C354" s="1842" t="s">
        <v>6757</v>
      </c>
      <c r="D354" s="1852"/>
      <c r="E354" s="1852"/>
      <c r="F354" s="1853">
        <f t="shared" si="11"/>
        <v>0</v>
      </c>
      <c r="G354" s="1843">
        <f t="shared" si="10"/>
        <v>0</v>
      </c>
      <c r="H354" s="1173">
        <v>0.64929999999999999</v>
      </c>
      <c r="I354" s="3121" t="s">
        <v>0</v>
      </c>
    </row>
    <row r="355" spans="1:9" ht="16.5">
      <c r="A355" s="1840" t="s">
        <v>1060</v>
      </c>
      <c r="B355" s="1841" t="s">
        <v>7045</v>
      </c>
      <c r="C355" s="1842" t="s">
        <v>6757</v>
      </c>
      <c r="D355" s="1852"/>
      <c r="E355" s="1852"/>
      <c r="F355" s="1853">
        <f t="shared" si="11"/>
        <v>0</v>
      </c>
      <c r="G355" s="1843">
        <f t="shared" si="10"/>
        <v>0</v>
      </c>
      <c r="H355" s="1173">
        <v>0.78010000000000002</v>
      </c>
      <c r="I355" s="3121" t="s">
        <v>0</v>
      </c>
    </row>
    <row r="356" spans="1:9" ht="16.5">
      <c r="A356" s="1840" t="s">
        <v>1061</v>
      </c>
      <c r="B356" s="1841" t="s">
        <v>7046</v>
      </c>
      <c r="C356" s="1842" t="s">
        <v>6757</v>
      </c>
      <c r="D356" s="1852"/>
      <c r="E356" s="1852"/>
      <c r="F356" s="1853">
        <f t="shared" si="11"/>
        <v>0</v>
      </c>
      <c r="G356" s="1843">
        <f t="shared" si="10"/>
        <v>0</v>
      </c>
      <c r="H356" s="1173">
        <v>0.86719999999999997</v>
      </c>
      <c r="I356" s="3121" t="s">
        <v>0</v>
      </c>
    </row>
    <row r="357" spans="1:9" ht="16.5">
      <c r="A357" s="1840" t="s">
        <v>1062</v>
      </c>
      <c r="B357" s="1841" t="s">
        <v>7047</v>
      </c>
      <c r="C357" s="1842" t="s">
        <v>6757</v>
      </c>
      <c r="D357" s="1852"/>
      <c r="E357" s="1852"/>
      <c r="F357" s="1853">
        <f t="shared" si="11"/>
        <v>0</v>
      </c>
      <c r="G357" s="1843">
        <f t="shared" si="10"/>
        <v>0</v>
      </c>
      <c r="H357" s="1173">
        <v>0.69669999999999999</v>
      </c>
      <c r="I357" s="3121" t="s">
        <v>0</v>
      </c>
    </row>
    <row r="358" spans="1:9" ht="16.5">
      <c r="A358" s="1840" t="s">
        <v>1063</v>
      </c>
      <c r="B358" s="1841" t="s">
        <v>7048</v>
      </c>
      <c r="C358" s="1842" t="s">
        <v>6757</v>
      </c>
      <c r="D358" s="1852"/>
      <c r="E358" s="1852"/>
      <c r="F358" s="1853">
        <f t="shared" si="11"/>
        <v>0</v>
      </c>
      <c r="G358" s="1843">
        <f t="shared" si="10"/>
        <v>0</v>
      </c>
      <c r="H358" s="1173">
        <v>0.98960000000000004</v>
      </c>
      <c r="I358" s="3121" t="s">
        <v>0</v>
      </c>
    </row>
    <row r="359" spans="1:9" ht="16.5">
      <c r="A359" s="1840" t="s">
        <v>1064</v>
      </c>
      <c r="B359" s="1841" t="s">
        <v>7049</v>
      </c>
      <c r="C359" s="1842" t="s">
        <v>6757</v>
      </c>
      <c r="D359" s="1852"/>
      <c r="E359" s="1852"/>
      <c r="F359" s="1853">
        <f t="shared" si="11"/>
        <v>0</v>
      </c>
      <c r="G359" s="1843">
        <f t="shared" si="10"/>
        <v>0</v>
      </c>
      <c r="H359" s="1173">
        <v>0.85360000000000003</v>
      </c>
      <c r="I359" s="3121" t="s">
        <v>0</v>
      </c>
    </row>
    <row r="360" spans="1:9" ht="16.5">
      <c r="A360" s="1840" t="s">
        <v>1065</v>
      </c>
      <c r="B360" s="1841" t="s">
        <v>7050</v>
      </c>
      <c r="C360" s="1842" t="s">
        <v>6757</v>
      </c>
      <c r="D360" s="1852"/>
      <c r="E360" s="1852"/>
      <c r="F360" s="1853">
        <f t="shared" si="11"/>
        <v>0</v>
      </c>
      <c r="G360" s="1843">
        <f t="shared" si="10"/>
        <v>0</v>
      </c>
      <c r="H360" s="1173">
        <v>0.73809999999999998</v>
      </c>
      <c r="I360" s="3121" t="s">
        <v>0</v>
      </c>
    </row>
    <row r="361" spans="1:9" ht="16.5">
      <c r="A361" s="1840" t="s">
        <v>1066</v>
      </c>
      <c r="B361" s="1841" t="s">
        <v>7051</v>
      </c>
      <c r="C361" s="1842" t="s">
        <v>6757</v>
      </c>
      <c r="D361" s="1852"/>
      <c r="E361" s="1852"/>
      <c r="F361" s="1853">
        <f t="shared" si="11"/>
        <v>0</v>
      </c>
      <c r="G361" s="1843">
        <f t="shared" si="10"/>
        <v>0</v>
      </c>
      <c r="H361" s="1173">
        <v>1.0916999999999999</v>
      </c>
      <c r="I361" s="3121" t="s">
        <v>0</v>
      </c>
    </row>
    <row r="362" spans="1:9" ht="16.5">
      <c r="A362" s="1840" t="s">
        <v>1067</v>
      </c>
      <c r="B362" s="1841" t="s">
        <v>7052</v>
      </c>
      <c r="C362" s="1842" t="s">
        <v>6757</v>
      </c>
      <c r="D362" s="1852"/>
      <c r="E362" s="1852"/>
      <c r="F362" s="1853">
        <f t="shared" si="11"/>
        <v>0</v>
      </c>
      <c r="G362" s="1843">
        <f t="shared" si="10"/>
        <v>0</v>
      </c>
      <c r="H362" s="1173">
        <v>0.9496</v>
      </c>
      <c r="I362" s="3121" t="s">
        <v>0</v>
      </c>
    </row>
    <row r="363" spans="1:9" ht="16.5">
      <c r="A363" s="1840" t="s">
        <v>1068</v>
      </c>
      <c r="B363" s="1841" t="s">
        <v>7053</v>
      </c>
      <c r="C363" s="1842" t="s">
        <v>6757</v>
      </c>
      <c r="D363" s="1852"/>
      <c r="E363" s="1852"/>
      <c r="F363" s="1853">
        <f t="shared" si="11"/>
        <v>0</v>
      </c>
      <c r="G363" s="1843">
        <f t="shared" si="10"/>
        <v>0</v>
      </c>
      <c r="H363" s="1173">
        <v>0.8165</v>
      </c>
      <c r="I363" s="3121" t="s">
        <v>0</v>
      </c>
    </row>
    <row r="364" spans="1:9" ht="16.5">
      <c r="A364" s="1840" t="s">
        <v>1069</v>
      </c>
      <c r="B364" s="1841" t="s">
        <v>7054</v>
      </c>
      <c r="C364" s="1842" t="s">
        <v>6757</v>
      </c>
      <c r="D364" s="1852"/>
      <c r="E364" s="1852"/>
      <c r="F364" s="1853">
        <f t="shared" si="11"/>
        <v>0</v>
      </c>
      <c r="G364" s="1843">
        <f t="shared" si="10"/>
        <v>0</v>
      </c>
      <c r="H364" s="1173">
        <v>0.72640000000000005</v>
      </c>
      <c r="I364" s="3121" t="s">
        <v>0</v>
      </c>
    </row>
    <row r="365" spans="1:9" ht="16.5">
      <c r="A365" s="1840" t="s">
        <v>1070</v>
      </c>
      <c r="B365" s="1841" t="s">
        <v>7055</v>
      </c>
      <c r="C365" s="1842" t="s">
        <v>6757</v>
      </c>
      <c r="D365" s="1852"/>
      <c r="E365" s="1852"/>
      <c r="F365" s="1853">
        <f t="shared" si="11"/>
        <v>0</v>
      </c>
      <c r="G365" s="1843">
        <f t="shared" si="10"/>
        <v>0</v>
      </c>
      <c r="H365" s="1173">
        <v>0.75929999999999997</v>
      </c>
      <c r="I365" s="3121" t="s">
        <v>0</v>
      </c>
    </row>
    <row r="366" spans="1:9" ht="16.5">
      <c r="A366" s="1840" t="s">
        <v>1071</v>
      </c>
      <c r="B366" s="1841" t="s">
        <v>7056</v>
      </c>
      <c r="C366" s="1842" t="s">
        <v>6757</v>
      </c>
      <c r="D366" s="1852"/>
      <c r="E366" s="1852"/>
      <c r="F366" s="1853">
        <f t="shared" si="11"/>
        <v>0</v>
      </c>
      <c r="G366" s="1843">
        <f t="shared" si="10"/>
        <v>0</v>
      </c>
      <c r="H366" s="1173">
        <v>0.90849999999999997</v>
      </c>
      <c r="I366" s="3121" t="s">
        <v>0</v>
      </c>
    </row>
    <row r="367" spans="1:9" ht="16.5">
      <c r="A367" s="1840" t="s">
        <v>1072</v>
      </c>
      <c r="B367" s="1841" t="s">
        <v>7057</v>
      </c>
      <c r="C367" s="1842" t="s">
        <v>6757</v>
      </c>
      <c r="D367" s="1852"/>
      <c r="E367" s="1852"/>
      <c r="F367" s="1853">
        <f t="shared" si="11"/>
        <v>0</v>
      </c>
      <c r="G367" s="1843">
        <f t="shared" si="10"/>
        <v>0</v>
      </c>
      <c r="H367" s="1173">
        <v>1.0094000000000001</v>
      </c>
      <c r="I367" s="3121" t="s">
        <v>0</v>
      </c>
    </row>
    <row r="368" spans="1:9" ht="16.5">
      <c r="A368" s="1840" t="s">
        <v>1073</v>
      </c>
      <c r="B368" s="1841" t="s">
        <v>7058</v>
      </c>
      <c r="C368" s="1842" t="s">
        <v>6757</v>
      </c>
      <c r="D368" s="1852"/>
      <c r="E368" s="1852"/>
      <c r="F368" s="1853">
        <f t="shared" si="11"/>
        <v>0</v>
      </c>
      <c r="G368" s="1843">
        <f t="shared" si="10"/>
        <v>0</v>
      </c>
      <c r="H368" s="1173">
        <v>0.82310000000000005</v>
      </c>
      <c r="I368" s="3121" t="s">
        <v>0</v>
      </c>
    </row>
    <row r="369" spans="1:9" ht="16.5">
      <c r="A369" s="1840" t="s">
        <v>1074</v>
      </c>
      <c r="B369" s="1841" t="s">
        <v>7059</v>
      </c>
      <c r="C369" s="1842" t="s">
        <v>6757</v>
      </c>
      <c r="D369" s="1852"/>
      <c r="E369" s="1852"/>
      <c r="F369" s="1853">
        <f t="shared" si="11"/>
        <v>0</v>
      </c>
      <c r="G369" s="1843">
        <f t="shared" si="10"/>
        <v>0</v>
      </c>
      <c r="H369" s="1173">
        <v>0.76190000000000002</v>
      </c>
      <c r="I369" s="3121" t="s">
        <v>0</v>
      </c>
    </row>
    <row r="370" spans="1:9" ht="16.5">
      <c r="A370" s="1840" t="s">
        <v>1075</v>
      </c>
      <c r="B370" s="1841" t="s">
        <v>7060</v>
      </c>
      <c r="C370" s="1842" t="s">
        <v>6757</v>
      </c>
      <c r="D370" s="1852"/>
      <c r="E370" s="1852"/>
      <c r="F370" s="1853">
        <f t="shared" si="11"/>
        <v>0</v>
      </c>
      <c r="G370" s="1843">
        <f t="shared" si="10"/>
        <v>0</v>
      </c>
      <c r="H370" s="1173">
        <v>0.2198</v>
      </c>
      <c r="I370" s="3121" t="s">
        <v>0</v>
      </c>
    </row>
    <row r="371" spans="1:9" ht="16.5">
      <c r="A371" s="1840" t="s">
        <v>1076</v>
      </c>
      <c r="B371" s="1841" t="s">
        <v>7061</v>
      </c>
      <c r="C371" s="1842" t="s">
        <v>6757</v>
      </c>
      <c r="D371" s="1852"/>
      <c r="E371" s="1852"/>
      <c r="F371" s="1853">
        <f t="shared" si="11"/>
        <v>0</v>
      </c>
      <c r="G371" s="1843">
        <f t="shared" si="10"/>
        <v>0</v>
      </c>
      <c r="H371" s="1173">
        <v>0.74970000000000003</v>
      </c>
      <c r="I371" s="3121" t="s">
        <v>0</v>
      </c>
    </row>
    <row r="372" spans="1:9" ht="16.5">
      <c r="A372" s="1840" t="s">
        <v>1077</v>
      </c>
      <c r="B372" s="1841" t="s">
        <v>7062</v>
      </c>
      <c r="C372" s="1842" t="s">
        <v>6757</v>
      </c>
      <c r="D372" s="1852"/>
      <c r="E372" s="1852"/>
      <c r="F372" s="1853">
        <f t="shared" si="11"/>
        <v>0</v>
      </c>
      <c r="G372" s="1843">
        <f t="shared" si="10"/>
        <v>0</v>
      </c>
      <c r="H372" s="1173">
        <v>0.77680000000000005</v>
      </c>
      <c r="I372" s="3121" t="s">
        <v>0</v>
      </c>
    </row>
    <row r="373" spans="1:9" ht="16.5">
      <c r="A373" s="1840" t="s">
        <v>1078</v>
      </c>
      <c r="B373" s="1841" t="s">
        <v>7063</v>
      </c>
      <c r="C373" s="1842" t="s">
        <v>6757</v>
      </c>
      <c r="D373" s="1852"/>
      <c r="E373" s="1852"/>
      <c r="F373" s="1853">
        <f t="shared" si="11"/>
        <v>0</v>
      </c>
      <c r="G373" s="1843">
        <f t="shared" si="10"/>
        <v>0</v>
      </c>
      <c r="H373" s="1173">
        <v>1.0786</v>
      </c>
      <c r="I373" s="3121" t="s">
        <v>0</v>
      </c>
    </row>
    <row r="374" spans="1:9" ht="16.5">
      <c r="A374" s="1840" t="s">
        <v>1079</v>
      </c>
      <c r="B374" s="1841" t="s">
        <v>7064</v>
      </c>
      <c r="C374" s="1842" t="s">
        <v>6757</v>
      </c>
      <c r="D374" s="1852"/>
      <c r="E374" s="1852"/>
      <c r="F374" s="1853">
        <f t="shared" si="11"/>
        <v>0</v>
      </c>
      <c r="G374" s="1843">
        <f t="shared" si="10"/>
        <v>0</v>
      </c>
      <c r="H374" s="1173">
        <v>0.78359999999999996</v>
      </c>
      <c r="I374" s="3121" t="s">
        <v>0</v>
      </c>
    </row>
    <row r="375" spans="1:9" ht="16.5">
      <c r="A375" s="1840" t="s">
        <v>1080</v>
      </c>
      <c r="B375" s="1841" t="s">
        <v>7065</v>
      </c>
      <c r="C375" s="1842" t="s">
        <v>6757</v>
      </c>
      <c r="D375" s="1852"/>
      <c r="E375" s="1852"/>
      <c r="F375" s="1853">
        <f t="shared" si="11"/>
        <v>0</v>
      </c>
      <c r="G375" s="1843">
        <f t="shared" si="10"/>
        <v>0</v>
      </c>
      <c r="H375" s="1173">
        <v>0.82809999999999995</v>
      </c>
      <c r="I375" s="3121" t="s">
        <v>0</v>
      </c>
    </row>
    <row r="376" spans="1:9" ht="16.5">
      <c r="A376" s="1840" t="s">
        <v>1081</v>
      </c>
      <c r="B376" s="1841" t="s">
        <v>7066</v>
      </c>
      <c r="C376" s="1842" t="s">
        <v>6757</v>
      </c>
      <c r="D376" s="1852"/>
      <c r="E376" s="1852"/>
      <c r="F376" s="1853">
        <f t="shared" si="11"/>
        <v>0</v>
      </c>
      <c r="G376" s="1843">
        <f t="shared" si="10"/>
        <v>0</v>
      </c>
      <c r="H376" s="1173">
        <v>0.30769999999999997</v>
      </c>
      <c r="I376" s="3121" t="s">
        <v>0</v>
      </c>
    </row>
    <row r="377" spans="1:9" ht="16.5">
      <c r="A377" s="1840" t="s">
        <v>1082</v>
      </c>
      <c r="B377" s="1841" t="s">
        <v>7067</v>
      </c>
      <c r="C377" s="1842" t="s">
        <v>6757</v>
      </c>
      <c r="D377" s="1852"/>
      <c r="E377" s="1852"/>
      <c r="F377" s="1853">
        <f t="shared" si="11"/>
        <v>0</v>
      </c>
      <c r="G377" s="1843">
        <f t="shared" si="10"/>
        <v>0</v>
      </c>
      <c r="H377" s="1173">
        <v>1.3912</v>
      </c>
      <c r="I377" s="3121" t="s">
        <v>0</v>
      </c>
    </row>
    <row r="378" spans="1:9" ht="16.5">
      <c r="A378" s="1840" t="s">
        <v>1083</v>
      </c>
      <c r="B378" s="1841" t="s">
        <v>7068</v>
      </c>
      <c r="C378" s="1842" t="s">
        <v>6757</v>
      </c>
      <c r="D378" s="1852"/>
      <c r="E378" s="1852"/>
      <c r="F378" s="1853">
        <f t="shared" si="11"/>
        <v>0</v>
      </c>
      <c r="G378" s="1843">
        <f t="shared" si="10"/>
        <v>0</v>
      </c>
      <c r="H378" s="1173">
        <v>1.0176000000000001</v>
      </c>
      <c r="I378" s="3121" t="s">
        <v>0</v>
      </c>
    </row>
    <row r="379" spans="1:9" ht="16.5">
      <c r="A379" s="1840" t="s">
        <v>1084</v>
      </c>
      <c r="B379" s="1841" t="s">
        <v>7069</v>
      </c>
      <c r="C379" s="1842" t="s">
        <v>6757</v>
      </c>
      <c r="D379" s="1852"/>
      <c r="E379" s="1852"/>
      <c r="F379" s="1853">
        <f t="shared" si="11"/>
        <v>0</v>
      </c>
      <c r="G379" s="1843">
        <f t="shared" si="10"/>
        <v>0</v>
      </c>
      <c r="H379" s="1173">
        <v>0.63880000000000003</v>
      </c>
      <c r="I379" s="3121" t="s">
        <v>0</v>
      </c>
    </row>
    <row r="380" spans="1:9" ht="16.5">
      <c r="A380" s="1840" t="s">
        <v>1085</v>
      </c>
      <c r="B380" s="1841" t="s">
        <v>7070</v>
      </c>
      <c r="C380" s="1842" t="s">
        <v>6757</v>
      </c>
      <c r="D380" s="1852"/>
      <c r="E380" s="1852"/>
      <c r="F380" s="1853">
        <f t="shared" si="11"/>
        <v>0</v>
      </c>
      <c r="G380" s="1843">
        <f t="shared" si="10"/>
        <v>0</v>
      </c>
      <c r="H380" s="1173">
        <v>0.54379999999999995</v>
      </c>
      <c r="I380" s="3121" t="s">
        <v>0</v>
      </c>
    </row>
    <row r="381" spans="1:9" ht="16.5">
      <c r="A381" s="1840" t="s">
        <v>1086</v>
      </c>
      <c r="B381" s="1841" t="s">
        <v>7071</v>
      </c>
      <c r="C381" s="1842" t="s">
        <v>6757</v>
      </c>
      <c r="D381" s="1852"/>
      <c r="E381" s="1852"/>
      <c r="F381" s="1853">
        <f t="shared" si="11"/>
        <v>0</v>
      </c>
      <c r="G381" s="1843">
        <f t="shared" si="10"/>
        <v>0</v>
      </c>
      <c r="H381" s="1173">
        <v>0.74719999999999998</v>
      </c>
      <c r="I381" s="3121" t="s">
        <v>0</v>
      </c>
    </row>
    <row r="382" spans="1:9" ht="16.5">
      <c r="A382" s="1840" t="s">
        <v>1087</v>
      </c>
      <c r="B382" s="1841" t="s">
        <v>7072</v>
      </c>
      <c r="C382" s="1842" t="s">
        <v>6757</v>
      </c>
      <c r="D382" s="1852"/>
      <c r="E382" s="1852"/>
      <c r="F382" s="1853">
        <f t="shared" si="11"/>
        <v>0</v>
      </c>
      <c r="G382" s="1843">
        <f t="shared" si="10"/>
        <v>0</v>
      </c>
      <c r="H382" s="1173">
        <v>0.4476</v>
      </c>
      <c r="I382" s="3121" t="s">
        <v>0</v>
      </c>
    </row>
    <row r="383" spans="1:9" ht="16.5">
      <c r="A383" s="1840" t="s">
        <v>1088</v>
      </c>
      <c r="B383" s="1841" t="s">
        <v>7073</v>
      </c>
      <c r="C383" s="1842" t="s">
        <v>6757</v>
      </c>
      <c r="D383" s="1852"/>
      <c r="E383" s="1852"/>
      <c r="F383" s="1853">
        <f t="shared" si="11"/>
        <v>0</v>
      </c>
      <c r="G383" s="1843">
        <f t="shared" si="10"/>
        <v>0</v>
      </c>
      <c r="H383" s="1173">
        <v>1.0105</v>
      </c>
      <c r="I383" s="3121" t="s">
        <v>0</v>
      </c>
    </row>
    <row r="384" spans="1:9" ht="16.5">
      <c r="A384" s="1840" t="s">
        <v>1089</v>
      </c>
      <c r="B384" s="1841" t="s">
        <v>7074</v>
      </c>
      <c r="C384" s="1842" t="s">
        <v>6757</v>
      </c>
      <c r="D384" s="1852"/>
      <c r="E384" s="1852"/>
      <c r="F384" s="1853">
        <f t="shared" si="11"/>
        <v>0</v>
      </c>
      <c r="G384" s="1843">
        <f t="shared" si="10"/>
        <v>0</v>
      </c>
      <c r="H384" s="1173">
        <v>0.56669999999999998</v>
      </c>
      <c r="I384" s="3121" t="s">
        <v>0</v>
      </c>
    </row>
    <row r="385" spans="1:9" ht="16.5">
      <c r="A385" s="1840" t="s">
        <v>1090</v>
      </c>
      <c r="B385" s="1841" t="s">
        <v>7075</v>
      </c>
      <c r="C385" s="1842" t="s">
        <v>6757</v>
      </c>
      <c r="D385" s="1852"/>
      <c r="E385" s="1852"/>
      <c r="F385" s="1853">
        <f t="shared" si="11"/>
        <v>0</v>
      </c>
      <c r="G385" s="1843">
        <f t="shared" si="10"/>
        <v>0</v>
      </c>
      <c r="H385" s="1173">
        <v>0.71689999999999998</v>
      </c>
      <c r="I385" s="3121" t="s">
        <v>0</v>
      </c>
    </row>
    <row r="386" spans="1:9" ht="16.5">
      <c r="A386" s="1840" t="s">
        <v>1091</v>
      </c>
      <c r="B386" s="1841" t="s">
        <v>7076</v>
      </c>
      <c r="C386" s="1842" t="s">
        <v>6757</v>
      </c>
      <c r="D386" s="1852"/>
      <c r="E386" s="1852"/>
      <c r="F386" s="1853">
        <f t="shared" si="11"/>
        <v>0</v>
      </c>
      <c r="G386" s="1843">
        <f t="shared" si="10"/>
        <v>0</v>
      </c>
      <c r="H386" s="1173">
        <v>0.84460000000000002</v>
      </c>
      <c r="I386" s="3121" t="s">
        <v>0</v>
      </c>
    </row>
    <row r="387" spans="1:9" ht="16.5">
      <c r="A387" s="1840" t="s">
        <v>1092</v>
      </c>
      <c r="B387" s="1841" t="s">
        <v>7077</v>
      </c>
      <c r="C387" s="1842" t="s">
        <v>6757</v>
      </c>
      <c r="D387" s="1852"/>
      <c r="E387" s="1852"/>
      <c r="F387" s="1853">
        <f t="shared" si="11"/>
        <v>0</v>
      </c>
      <c r="G387" s="1843">
        <f t="shared" si="10"/>
        <v>0</v>
      </c>
      <c r="H387" s="1173">
        <v>0.72860000000000003</v>
      </c>
      <c r="I387" s="3121" t="s">
        <v>0</v>
      </c>
    </row>
    <row r="388" spans="1:9" ht="16.5">
      <c r="A388" s="1840" t="s">
        <v>1093</v>
      </c>
      <c r="B388" s="1841" t="s">
        <v>7078</v>
      </c>
      <c r="C388" s="1842" t="s">
        <v>6757</v>
      </c>
      <c r="D388" s="1852"/>
      <c r="E388" s="1852"/>
      <c r="F388" s="1853">
        <f t="shared" si="11"/>
        <v>0</v>
      </c>
      <c r="G388" s="1843">
        <f t="shared" ref="G388:G451" si="12">IF($F$1334=0,0,F388/$F$1334)</f>
        <v>0</v>
      </c>
      <c r="H388" s="1173">
        <v>0.8367</v>
      </c>
      <c r="I388" s="3121" t="s">
        <v>0</v>
      </c>
    </row>
    <row r="389" spans="1:9" ht="16.5">
      <c r="A389" s="1840" t="s">
        <v>1094</v>
      </c>
      <c r="B389" s="1841" t="s">
        <v>7079</v>
      </c>
      <c r="C389" s="1842" t="s">
        <v>6757</v>
      </c>
      <c r="D389" s="1852"/>
      <c r="E389" s="1852"/>
      <c r="F389" s="1853">
        <f t="shared" ref="F389:F452" si="13">D389*E389</f>
        <v>0</v>
      </c>
      <c r="G389" s="1843">
        <f t="shared" si="12"/>
        <v>0</v>
      </c>
      <c r="H389" s="1173">
        <v>0.61070000000000002</v>
      </c>
      <c r="I389" s="3121" t="s">
        <v>0</v>
      </c>
    </row>
    <row r="390" spans="1:9" ht="16.5">
      <c r="A390" s="1840" t="s">
        <v>1095</v>
      </c>
      <c r="B390" s="1841" t="s">
        <v>7080</v>
      </c>
      <c r="C390" s="1842" t="s">
        <v>6757</v>
      </c>
      <c r="D390" s="1852"/>
      <c r="E390" s="1852"/>
      <c r="F390" s="1853">
        <f t="shared" si="13"/>
        <v>0</v>
      </c>
      <c r="G390" s="1843">
        <f t="shared" si="12"/>
        <v>0</v>
      </c>
      <c r="H390" s="1173">
        <v>0.62329999999999997</v>
      </c>
      <c r="I390" s="3121" t="s">
        <v>0</v>
      </c>
    </row>
    <row r="391" spans="1:9" ht="16.5">
      <c r="A391" s="1840" t="s">
        <v>1096</v>
      </c>
      <c r="B391" s="1841" t="s">
        <v>7081</v>
      </c>
      <c r="C391" s="1842" t="s">
        <v>6757</v>
      </c>
      <c r="D391" s="1852"/>
      <c r="E391" s="1852"/>
      <c r="F391" s="1853">
        <f t="shared" si="13"/>
        <v>0</v>
      </c>
      <c r="G391" s="1843">
        <f t="shared" si="12"/>
        <v>0</v>
      </c>
      <c r="H391" s="1173">
        <v>0.87250000000000005</v>
      </c>
      <c r="I391" s="3121" t="s">
        <v>0</v>
      </c>
    </row>
    <row r="392" spans="1:9" ht="16.5">
      <c r="A392" s="1840" t="s">
        <v>1097</v>
      </c>
      <c r="B392" s="1841" t="s">
        <v>7082</v>
      </c>
      <c r="C392" s="1842" t="s">
        <v>6757</v>
      </c>
      <c r="D392" s="1852"/>
      <c r="E392" s="1852"/>
      <c r="F392" s="1853">
        <f t="shared" si="13"/>
        <v>0</v>
      </c>
      <c r="G392" s="1843">
        <f t="shared" si="12"/>
        <v>0</v>
      </c>
      <c r="H392" s="1173">
        <v>0.5675</v>
      </c>
      <c r="I392" s="3121" t="s">
        <v>0</v>
      </c>
    </row>
    <row r="393" spans="1:9" ht="16.5">
      <c r="A393" s="1840" t="s">
        <v>1098</v>
      </c>
      <c r="B393" s="1841" t="s">
        <v>7083</v>
      </c>
      <c r="C393" s="1842" t="s">
        <v>6757</v>
      </c>
      <c r="D393" s="1852"/>
      <c r="E393" s="1852"/>
      <c r="F393" s="1853">
        <f t="shared" si="13"/>
        <v>0</v>
      </c>
      <c r="G393" s="1843">
        <f t="shared" si="12"/>
        <v>0</v>
      </c>
      <c r="H393" s="1173">
        <v>0.92910000000000004</v>
      </c>
      <c r="I393" s="3121" t="s">
        <v>0</v>
      </c>
    </row>
    <row r="394" spans="1:9" ht="16.5">
      <c r="A394" s="1840" t="s">
        <v>1099</v>
      </c>
      <c r="B394" s="1841" t="s">
        <v>7084</v>
      </c>
      <c r="C394" s="1842" t="s">
        <v>6757</v>
      </c>
      <c r="D394" s="1852"/>
      <c r="E394" s="1852"/>
      <c r="F394" s="1853">
        <f t="shared" si="13"/>
        <v>0</v>
      </c>
      <c r="G394" s="1843">
        <f t="shared" si="12"/>
        <v>0</v>
      </c>
      <c r="H394" s="1173">
        <v>0.54569999999999996</v>
      </c>
      <c r="I394" s="3121" t="s">
        <v>0</v>
      </c>
    </row>
    <row r="395" spans="1:9" ht="16.5">
      <c r="A395" s="1840" t="s">
        <v>1100</v>
      </c>
      <c r="B395" s="1841" t="s">
        <v>7085</v>
      </c>
      <c r="C395" s="1842" t="s">
        <v>6757</v>
      </c>
      <c r="D395" s="1852"/>
      <c r="E395" s="1852"/>
      <c r="F395" s="1853">
        <f t="shared" si="13"/>
        <v>0</v>
      </c>
      <c r="G395" s="1843">
        <f t="shared" si="12"/>
        <v>0</v>
      </c>
      <c r="H395" s="1173">
        <v>9.0800000000000006E-2</v>
      </c>
      <c r="I395" s="3121" t="s">
        <v>0</v>
      </c>
    </row>
    <row r="396" spans="1:9" ht="16.5">
      <c r="A396" s="1840" t="s">
        <v>1101</v>
      </c>
      <c r="B396" s="1841" t="s">
        <v>7086</v>
      </c>
      <c r="C396" s="1842" t="s">
        <v>6757</v>
      </c>
      <c r="D396" s="1852"/>
      <c r="E396" s="1852"/>
      <c r="F396" s="1853">
        <f t="shared" si="13"/>
        <v>0</v>
      </c>
      <c r="G396" s="1843">
        <f t="shared" si="12"/>
        <v>0</v>
      </c>
      <c r="H396" s="1173">
        <v>0.66749999999999998</v>
      </c>
      <c r="I396" s="3121" t="s">
        <v>0</v>
      </c>
    </row>
    <row r="397" spans="1:9" ht="16.5">
      <c r="A397" s="1840" t="s">
        <v>1102</v>
      </c>
      <c r="B397" s="1841" t="s">
        <v>7087</v>
      </c>
      <c r="C397" s="1842" t="s">
        <v>6757</v>
      </c>
      <c r="D397" s="1852"/>
      <c r="E397" s="1852"/>
      <c r="F397" s="1853">
        <f t="shared" si="13"/>
        <v>0</v>
      </c>
      <c r="G397" s="1843">
        <f t="shared" si="12"/>
        <v>0</v>
      </c>
      <c r="H397" s="1173">
        <v>0.3669</v>
      </c>
      <c r="I397" s="3121" t="s">
        <v>0</v>
      </c>
    </row>
    <row r="398" spans="1:9" ht="16.5">
      <c r="A398" s="1840" t="s">
        <v>1103</v>
      </c>
      <c r="B398" s="1841" t="s">
        <v>7088</v>
      </c>
      <c r="C398" s="1842" t="s">
        <v>6757</v>
      </c>
      <c r="D398" s="1852"/>
      <c r="E398" s="1852"/>
      <c r="F398" s="1853">
        <f t="shared" si="13"/>
        <v>0</v>
      </c>
      <c r="G398" s="1843">
        <f t="shared" si="12"/>
        <v>0</v>
      </c>
      <c r="H398" s="1173">
        <v>0.73040000000000005</v>
      </c>
      <c r="I398" s="3121" t="s">
        <v>0</v>
      </c>
    </row>
    <row r="399" spans="1:9" ht="16.5">
      <c r="A399" s="1840" t="s">
        <v>1104</v>
      </c>
      <c r="B399" s="1841" t="s">
        <v>7089</v>
      </c>
      <c r="C399" s="1842" t="s">
        <v>6757</v>
      </c>
      <c r="D399" s="1852"/>
      <c r="E399" s="1852"/>
      <c r="F399" s="1853">
        <f t="shared" si="13"/>
        <v>0</v>
      </c>
      <c r="G399" s="1843">
        <f t="shared" si="12"/>
        <v>0</v>
      </c>
      <c r="H399" s="1173">
        <v>0.94899999999999995</v>
      </c>
      <c r="I399" s="3121" t="s">
        <v>0</v>
      </c>
    </row>
    <row r="400" spans="1:9" ht="16.5">
      <c r="A400" s="1840" t="s">
        <v>1105</v>
      </c>
      <c r="B400" s="1841" t="s">
        <v>7090</v>
      </c>
      <c r="C400" s="1842" t="s">
        <v>6757</v>
      </c>
      <c r="D400" s="1852"/>
      <c r="E400" s="1852"/>
      <c r="F400" s="1853">
        <f t="shared" si="13"/>
        <v>0</v>
      </c>
      <c r="G400" s="1843">
        <f t="shared" si="12"/>
        <v>0</v>
      </c>
      <c r="H400" s="1173">
        <v>0.70599999999999996</v>
      </c>
      <c r="I400" s="3121" t="s">
        <v>0</v>
      </c>
    </row>
    <row r="401" spans="1:9" ht="16.5">
      <c r="A401" s="1840" t="s">
        <v>1106</v>
      </c>
      <c r="B401" s="1841" t="s">
        <v>7091</v>
      </c>
      <c r="C401" s="1842" t="s">
        <v>6757</v>
      </c>
      <c r="D401" s="1852"/>
      <c r="E401" s="1852"/>
      <c r="F401" s="1853">
        <f t="shared" si="13"/>
        <v>0</v>
      </c>
      <c r="G401" s="1843">
        <f t="shared" si="12"/>
        <v>0</v>
      </c>
      <c r="H401" s="1173">
        <v>0.69489999999999996</v>
      </c>
      <c r="I401" s="3121" t="s">
        <v>0</v>
      </c>
    </row>
    <row r="402" spans="1:9" ht="16.5">
      <c r="A402" s="1840" t="s">
        <v>1107</v>
      </c>
      <c r="B402" s="1841" t="s">
        <v>7092</v>
      </c>
      <c r="C402" s="1842" t="s">
        <v>6757</v>
      </c>
      <c r="D402" s="1852"/>
      <c r="E402" s="1852"/>
      <c r="F402" s="1853">
        <f t="shared" si="13"/>
        <v>0</v>
      </c>
      <c r="G402" s="1843">
        <f t="shared" si="12"/>
        <v>0</v>
      </c>
      <c r="H402" s="1173">
        <v>0.89739999999999998</v>
      </c>
      <c r="I402" s="3121" t="s">
        <v>0</v>
      </c>
    </row>
    <row r="403" spans="1:9" ht="16.5">
      <c r="A403" s="1840" t="s">
        <v>1108</v>
      </c>
      <c r="B403" s="1841" t="s">
        <v>7093</v>
      </c>
      <c r="C403" s="1842" t="s">
        <v>6757</v>
      </c>
      <c r="D403" s="1852"/>
      <c r="E403" s="1852"/>
      <c r="F403" s="1853">
        <f t="shared" si="13"/>
        <v>0</v>
      </c>
      <c r="G403" s="1843">
        <f t="shared" si="12"/>
        <v>0</v>
      </c>
      <c r="H403" s="1173">
        <v>0.4743</v>
      </c>
      <c r="I403" s="3121" t="s">
        <v>0</v>
      </c>
    </row>
    <row r="404" spans="1:9" ht="16.5">
      <c r="A404" s="1840" t="s">
        <v>1109</v>
      </c>
      <c r="B404" s="1841" t="s">
        <v>7094</v>
      </c>
      <c r="C404" s="1842" t="s">
        <v>6757</v>
      </c>
      <c r="D404" s="1852"/>
      <c r="E404" s="1852"/>
      <c r="F404" s="1853">
        <f t="shared" si="13"/>
        <v>0</v>
      </c>
      <c r="G404" s="1843">
        <f t="shared" si="12"/>
        <v>0</v>
      </c>
      <c r="H404" s="1173">
        <v>0.47410000000000002</v>
      </c>
      <c r="I404" s="3121" t="s">
        <v>0</v>
      </c>
    </row>
    <row r="405" spans="1:9" ht="16.5">
      <c r="A405" s="1840" t="s">
        <v>1110</v>
      </c>
      <c r="B405" s="1841" t="s">
        <v>7095</v>
      </c>
      <c r="C405" s="1842" t="s">
        <v>6757</v>
      </c>
      <c r="D405" s="1852"/>
      <c r="E405" s="1852"/>
      <c r="F405" s="1853">
        <f t="shared" si="13"/>
        <v>0</v>
      </c>
      <c r="G405" s="1843">
        <f t="shared" si="12"/>
        <v>0</v>
      </c>
      <c r="H405" s="1173">
        <v>0.75229999999999997</v>
      </c>
      <c r="I405" s="3121" t="s">
        <v>0</v>
      </c>
    </row>
    <row r="406" spans="1:9" ht="16.5">
      <c r="A406" s="1840" t="s">
        <v>1111</v>
      </c>
      <c r="B406" s="1841" t="s">
        <v>7096</v>
      </c>
      <c r="C406" s="1842" t="s">
        <v>6757</v>
      </c>
      <c r="D406" s="1852"/>
      <c r="E406" s="1852"/>
      <c r="F406" s="1853">
        <f t="shared" si="13"/>
        <v>0</v>
      </c>
      <c r="G406" s="1843">
        <f t="shared" si="12"/>
        <v>0</v>
      </c>
      <c r="H406" s="1173">
        <v>0.58450000000000002</v>
      </c>
      <c r="I406" s="3121" t="s">
        <v>0</v>
      </c>
    </row>
    <row r="407" spans="1:9" ht="16.5">
      <c r="A407" s="1840" t="s">
        <v>1112</v>
      </c>
      <c r="B407" s="1841" t="s">
        <v>7097</v>
      </c>
      <c r="C407" s="1842" t="s">
        <v>6757</v>
      </c>
      <c r="D407" s="1852"/>
      <c r="E407" s="1852"/>
      <c r="F407" s="1853">
        <f t="shared" si="13"/>
        <v>0</v>
      </c>
      <c r="G407" s="1843">
        <f t="shared" si="12"/>
        <v>0</v>
      </c>
      <c r="H407" s="1173">
        <v>0.75390000000000001</v>
      </c>
      <c r="I407" s="3121" t="s">
        <v>0</v>
      </c>
    </row>
    <row r="408" spans="1:9" ht="16.5">
      <c r="A408" s="1840" t="s">
        <v>1113</v>
      </c>
      <c r="B408" s="1841" t="s">
        <v>7098</v>
      </c>
      <c r="C408" s="1842" t="s">
        <v>6757</v>
      </c>
      <c r="D408" s="1852"/>
      <c r="E408" s="1852"/>
      <c r="F408" s="1853">
        <f t="shared" si="13"/>
        <v>0</v>
      </c>
      <c r="G408" s="1843">
        <f t="shared" si="12"/>
        <v>0</v>
      </c>
      <c r="H408" s="1173">
        <v>0.76800000000000002</v>
      </c>
      <c r="I408" s="3121" t="s">
        <v>0</v>
      </c>
    </row>
    <row r="409" spans="1:9" ht="16.5">
      <c r="A409" s="1840" t="s">
        <v>1114</v>
      </c>
      <c r="B409" s="1841" t="s">
        <v>7099</v>
      </c>
      <c r="C409" s="1842" t="s">
        <v>6757</v>
      </c>
      <c r="D409" s="1852"/>
      <c r="E409" s="1852"/>
      <c r="F409" s="1853">
        <f t="shared" si="13"/>
        <v>0</v>
      </c>
      <c r="G409" s="1843">
        <f t="shared" si="12"/>
        <v>0</v>
      </c>
      <c r="H409" s="1173">
        <v>0.41370000000000001</v>
      </c>
      <c r="I409" s="3121" t="s">
        <v>0</v>
      </c>
    </row>
    <row r="410" spans="1:9" ht="16.5">
      <c r="A410" s="1840" t="s">
        <v>1115</v>
      </c>
      <c r="B410" s="1841" t="s">
        <v>7100</v>
      </c>
      <c r="C410" s="1842" t="s">
        <v>6757</v>
      </c>
      <c r="D410" s="1852"/>
      <c r="E410" s="1852"/>
      <c r="F410" s="1853">
        <f t="shared" si="13"/>
        <v>0</v>
      </c>
      <c r="G410" s="1843">
        <f t="shared" si="12"/>
        <v>0</v>
      </c>
      <c r="H410" s="1173">
        <v>0.28179999999999999</v>
      </c>
      <c r="I410" s="3121" t="s">
        <v>0</v>
      </c>
    </row>
    <row r="411" spans="1:9" ht="16.5">
      <c r="A411" s="1840" t="s">
        <v>1116</v>
      </c>
      <c r="B411" s="1841" t="s">
        <v>7101</v>
      </c>
      <c r="C411" s="1842" t="s">
        <v>6757</v>
      </c>
      <c r="D411" s="1852"/>
      <c r="E411" s="1852"/>
      <c r="F411" s="1853">
        <f t="shared" si="13"/>
        <v>0</v>
      </c>
      <c r="G411" s="1843">
        <f t="shared" si="12"/>
        <v>0</v>
      </c>
      <c r="H411" s="1173">
        <v>0.53369999999999995</v>
      </c>
      <c r="I411" s="3121" t="s">
        <v>0</v>
      </c>
    </row>
    <row r="412" spans="1:9" ht="16.5">
      <c r="A412" s="1840" t="s">
        <v>1117</v>
      </c>
      <c r="B412" s="1841" t="s">
        <v>7102</v>
      </c>
      <c r="C412" s="1842" t="s">
        <v>6757</v>
      </c>
      <c r="D412" s="1852"/>
      <c r="E412" s="1852"/>
      <c r="F412" s="1853">
        <f t="shared" si="13"/>
        <v>0</v>
      </c>
      <c r="G412" s="1843">
        <f t="shared" si="12"/>
        <v>0</v>
      </c>
      <c r="H412" s="1173">
        <v>0.14269999999999999</v>
      </c>
      <c r="I412" s="3121" t="s">
        <v>0</v>
      </c>
    </row>
    <row r="413" spans="1:9" ht="16.5">
      <c r="A413" s="1840" t="s">
        <v>1118</v>
      </c>
      <c r="B413" s="1841" t="s">
        <v>7103</v>
      </c>
      <c r="C413" s="1842" t="s">
        <v>6757</v>
      </c>
      <c r="D413" s="1852"/>
      <c r="E413" s="1852"/>
      <c r="F413" s="1853">
        <f t="shared" si="13"/>
        <v>0</v>
      </c>
      <c r="G413" s="1843">
        <f t="shared" si="12"/>
        <v>0</v>
      </c>
      <c r="H413" s="1173">
        <v>0.1789</v>
      </c>
      <c r="I413" s="3121" t="s">
        <v>0</v>
      </c>
    </row>
    <row r="414" spans="1:9" ht="16.5">
      <c r="A414" s="1840" t="s">
        <v>1119</v>
      </c>
      <c r="B414" s="1841" t="s">
        <v>7104</v>
      </c>
      <c r="C414" s="1842" t="s">
        <v>6757</v>
      </c>
      <c r="D414" s="1852"/>
      <c r="E414" s="1852"/>
      <c r="F414" s="1853">
        <f t="shared" si="13"/>
        <v>0</v>
      </c>
      <c r="G414" s="1843">
        <f t="shared" si="12"/>
        <v>0</v>
      </c>
      <c r="H414" s="1173">
        <v>0.85470000000000002</v>
      </c>
      <c r="I414" s="3121" t="s">
        <v>0</v>
      </c>
    </row>
    <row r="415" spans="1:9" ht="16.5">
      <c r="A415" s="1840" t="s">
        <v>1120</v>
      </c>
      <c r="B415" s="1841" t="s">
        <v>7105</v>
      </c>
      <c r="C415" s="1842" t="s">
        <v>6757</v>
      </c>
      <c r="D415" s="1852"/>
      <c r="E415" s="1852"/>
      <c r="F415" s="1853">
        <f t="shared" si="13"/>
        <v>0</v>
      </c>
      <c r="G415" s="1843">
        <f t="shared" si="12"/>
        <v>0</v>
      </c>
      <c r="H415" s="1173">
        <v>0.45850000000000002</v>
      </c>
      <c r="I415" s="3121" t="s">
        <v>0</v>
      </c>
    </row>
    <row r="416" spans="1:9" ht="16.5">
      <c r="A416" s="1840" t="s">
        <v>1121</v>
      </c>
      <c r="B416" s="1841" t="s">
        <v>7106</v>
      </c>
      <c r="C416" s="1842" t="s">
        <v>6757</v>
      </c>
      <c r="D416" s="1852"/>
      <c r="E416" s="1852"/>
      <c r="F416" s="1853">
        <f t="shared" si="13"/>
        <v>0</v>
      </c>
      <c r="G416" s="1843">
        <f t="shared" si="12"/>
        <v>0</v>
      </c>
      <c r="H416" s="1173">
        <v>0.65510000000000002</v>
      </c>
      <c r="I416" s="3121" t="s">
        <v>0</v>
      </c>
    </row>
    <row r="417" spans="1:9" ht="16.5">
      <c r="A417" s="1840" t="s">
        <v>1122</v>
      </c>
      <c r="B417" s="1841" t="s">
        <v>7107</v>
      </c>
      <c r="C417" s="1842" t="s">
        <v>6757</v>
      </c>
      <c r="D417" s="1852"/>
      <c r="E417" s="1852"/>
      <c r="F417" s="1853">
        <f t="shared" si="13"/>
        <v>0</v>
      </c>
      <c r="G417" s="1843">
        <f t="shared" si="12"/>
        <v>0</v>
      </c>
      <c r="H417" s="1173">
        <v>0.58030000000000004</v>
      </c>
      <c r="I417" s="3121" t="s">
        <v>0</v>
      </c>
    </row>
    <row r="418" spans="1:9" ht="16.5">
      <c r="A418" s="1840" t="s">
        <v>1123</v>
      </c>
      <c r="B418" s="1841" t="s">
        <v>7108</v>
      </c>
      <c r="C418" s="1842" t="s">
        <v>6757</v>
      </c>
      <c r="D418" s="1852"/>
      <c r="E418" s="1852"/>
      <c r="F418" s="1853">
        <f t="shared" si="13"/>
        <v>0</v>
      </c>
      <c r="G418" s="1843">
        <f t="shared" si="12"/>
        <v>0</v>
      </c>
      <c r="H418" s="1173">
        <v>0.53249999999999997</v>
      </c>
      <c r="I418" s="3121" t="s">
        <v>0</v>
      </c>
    </row>
    <row r="419" spans="1:9" ht="16.5">
      <c r="A419" s="1840" t="s">
        <v>1124</v>
      </c>
      <c r="B419" s="1841" t="s">
        <v>7109</v>
      </c>
      <c r="C419" s="1842" t="s">
        <v>6757</v>
      </c>
      <c r="D419" s="1852"/>
      <c r="E419" s="1852"/>
      <c r="F419" s="1853">
        <f t="shared" si="13"/>
        <v>0</v>
      </c>
      <c r="G419" s="1843">
        <f t="shared" si="12"/>
        <v>0</v>
      </c>
      <c r="H419" s="1173">
        <v>0.68079999999999996</v>
      </c>
      <c r="I419" s="3121" t="s">
        <v>0</v>
      </c>
    </row>
    <row r="420" spans="1:9" ht="16.5">
      <c r="A420" s="1840" t="s">
        <v>1125</v>
      </c>
      <c r="B420" s="1841" t="s">
        <v>7110</v>
      </c>
      <c r="C420" s="1842" t="s">
        <v>6757</v>
      </c>
      <c r="D420" s="1852"/>
      <c r="E420" s="1852"/>
      <c r="F420" s="1853">
        <f t="shared" si="13"/>
        <v>0</v>
      </c>
      <c r="G420" s="1843">
        <f t="shared" si="12"/>
        <v>0</v>
      </c>
      <c r="H420" s="1173">
        <v>0.64070000000000005</v>
      </c>
      <c r="I420" s="3121" t="s">
        <v>0</v>
      </c>
    </row>
    <row r="421" spans="1:9" ht="16.5">
      <c r="A421" s="1840" t="s">
        <v>1126</v>
      </c>
      <c r="B421" s="1841" t="s">
        <v>7111</v>
      </c>
      <c r="C421" s="1842" t="s">
        <v>6757</v>
      </c>
      <c r="D421" s="1852"/>
      <c r="E421" s="1852"/>
      <c r="F421" s="1853">
        <f t="shared" si="13"/>
        <v>0</v>
      </c>
      <c r="G421" s="1843">
        <f t="shared" si="12"/>
        <v>0</v>
      </c>
      <c r="H421" s="1173">
        <v>1.1831</v>
      </c>
      <c r="I421" s="3121" t="s">
        <v>0</v>
      </c>
    </row>
    <row r="422" spans="1:9" ht="16.5">
      <c r="A422" s="1840" t="s">
        <v>1127</v>
      </c>
      <c r="B422" s="1841" t="s">
        <v>7112</v>
      </c>
      <c r="C422" s="1842" t="s">
        <v>6757</v>
      </c>
      <c r="D422" s="1852"/>
      <c r="E422" s="1852"/>
      <c r="F422" s="1853">
        <f t="shared" si="13"/>
        <v>0</v>
      </c>
      <c r="G422" s="1843">
        <f t="shared" si="12"/>
        <v>0</v>
      </c>
      <c r="H422" s="1173">
        <v>0.28489999999999999</v>
      </c>
      <c r="I422" s="3121" t="s">
        <v>0</v>
      </c>
    </row>
    <row r="423" spans="1:9" ht="16.5">
      <c r="A423" s="1840" t="s">
        <v>1128</v>
      </c>
      <c r="B423" s="1841" t="s">
        <v>7113</v>
      </c>
      <c r="C423" s="1842" t="s">
        <v>6757</v>
      </c>
      <c r="D423" s="1852"/>
      <c r="E423" s="1852"/>
      <c r="F423" s="1853">
        <f t="shared" si="13"/>
        <v>0</v>
      </c>
      <c r="G423" s="1843">
        <f t="shared" si="12"/>
        <v>0</v>
      </c>
      <c r="H423" s="1173">
        <v>0.55149999999999999</v>
      </c>
      <c r="I423" s="3121" t="s">
        <v>0</v>
      </c>
    </row>
    <row r="424" spans="1:9" ht="16.5">
      <c r="A424" s="1840" t="s">
        <v>1129</v>
      </c>
      <c r="B424" s="1841" t="s">
        <v>7114</v>
      </c>
      <c r="C424" s="1842" t="s">
        <v>6757</v>
      </c>
      <c r="D424" s="1852"/>
      <c r="E424" s="1852"/>
      <c r="F424" s="1853">
        <f t="shared" si="13"/>
        <v>0</v>
      </c>
      <c r="G424" s="1843">
        <f t="shared" si="12"/>
        <v>0</v>
      </c>
      <c r="H424" s="1173">
        <v>0.8135</v>
      </c>
      <c r="I424" s="3121" t="s">
        <v>0</v>
      </c>
    </row>
    <row r="425" spans="1:9" ht="16.5">
      <c r="A425" s="1840" t="s">
        <v>1130</v>
      </c>
      <c r="B425" s="1841" t="s">
        <v>7115</v>
      </c>
      <c r="C425" s="1842" t="s">
        <v>6757</v>
      </c>
      <c r="D425" s="1852"/>
      <c r="E425" s="1852"/>
      <c r="F425" s="1853">
        <f t="shared" si="13"/>
        <v>0</v>
      </c>
      <c r="G425" s="1843">
        <f t="shared" si="12"/>
        <v>0</v>
      </c>
      <c r="H425" s="1173">
        <v>1.4117</v>
      </c>
      <c r="I425" s="3121" t="s">
        <v>0</v>
      </c>
    </row>
    <row r="426" spans="1:9" ht="16.5">
      <c r="A426" s="1840" t="s">
        <v>1131</v>
      </c>
      <c r="B426" s="1841" t="s">
        <v>7116</v>
      </c>
      <c r="C426" s="1842" t="s">
        <v>6757</v>
      </c>
      <c r="D426" s="1852"/>
      <c r="E426" s="1852"/>
      <c r="F426" s="1853">
        <f t="shared" si="13"/>
        <v>0</v>
      </c>
      <c r="G426" s="1843">
        <f t="shared" si="12"/>
        <v>0</v>
      </c>
      <c r="H426" s="1173">
        <v>1.1737</v>
      </c>
      <c r="I426" s="3121" t="s">
        <v>0</v>
      </c>
    </row>
    <row r="427" spans="1:9" ht="16.5">
      <c r="A427" s="1840" t="s">
        <v>1132</v>
      </c>
      <c r="B427" s="1841" t="s">
        <v>7117</v>
      </c>
      <c r="C427" s="1842" t="s">
        <v>6757</v>
      </c>
      <c r="D427" s="1852"/>
      <c r="E427" s="1852"/>
      <c r="F427" s="1853">
        <f t="shared" si="13"/>
        <v>0</v>
      </c>
      <c r="G427" s="1843">
        <f t="shared" si="12"/>
        <v>0</v>
      </c>
      <c r="H427" s="1173">
        <v>0.82679999999999998</v>
      </c>
      <c r="I427" s="3121" t="s">
        <v>0</v>
      </c>
    </row>
    <row r="428" spans="1:9" ht="16.5">
      <c r="A428" s="1840" t="s">
        <v>1133</v>
      </c>
      <c r="B428" s="1841" t="s">
        <v>7118</v>
      </c>
      <c r="C428" s="1842" t="s">
        <v>6757</v>
      </c>
      <c r="D428" s="1852"/>
      <c r="E428" s="1852"/>
      <c r="F428" s="1853">
        <f t="shared" si="13"/>
        <v>0</v>
      </c>
      <c r="G428" s="1843">
        <f t="shared" si="12"/>
        <v>0</v>
      </c>
      <c r="H428" s="1173">
        <v>0.61580000000000001</v>
      </c>
      <c r="I428" s="3121" t="s">
        <v>0</v>
      </c>
    </row>
    <row r="429" spans="1:9" ht="16.5">
      <c r="A429" s="1840" t="s">
        <v>1134</v>
      </c>
      <c r="B429" s="1841" t="s">
        <v>7119</v>
      </c>
      <c r="C429" s="1842" t="s">
        <v>6757</v>
      </c>
      <c r="D429" s="1852"/>
      <c r="E429" s="1852"/>
      <c r="F429" s="1853">
        <f t="shared" si="13"/>
        <v>0</v>
      </c>
      <c r="G429" s="1843">
        <f t="shared" si="12"/>
        <v>0</v>
      </c>
      <c r="H429" s="1173">
        <v>0.23730000000000001</v>
      </c>
      <c r="I429" s="3121" t="s">
        <v>0</v>
      </c>
    </row>
    <row r="430" spans="1:9" ht="16.5">
      <c r="A430" s="1840" t="s">
        <v>1135</v>
      </c>
      <c r="B430" s="1841" t="s">
        <v>7120</v>
      </c>
      <c r="C430" s="1842" t="s">
        <v>6757</v>
      </c>
      <c r="D430" s="1852"/>
      <c r="E430" s="1852"/>
      <c r="F430" s="1853">
        <f t="shared" si="13"/>
        <v>0</v>
      </c>
      <c r="G430" s="1843">
        <f t="shared" si="12"/>
        <v>0</v>
      </c>
      <c r="H430" s="1173">
        <v>0.83230000000000004</v>
      </c>
      <c r="I430" s="3121" t="s">
        <v>0</v>
      </c>
    </row>
    <row r="431" spans="1:9" ht="16.5">
      <c r="A431" s="1840" t="s">
        <v>1136</v>
      </c>
      <c r="B431" s="1841" t="s">
        <v>7121</v>
      </c>
      <c r="C431" s="1842" t="s">
        <v>6757</v>
      </c>
      <c r="D431" s="1852"/>
      <c r="E431" s="1852"/>
      <c r="F431" s="1853">
        <f t="shared" si="13"/>
        <v>0</v>
      </c>
      <c r="G431" s="1843">
        <f t="shared" si="12"/>
        <v>0</v>
      </c>
      <c r="H431" s="1173">
        <v>0.43640000000000001</v>
      </c>
      <c r="I431" s="3121" t="s">
        <v>0</v>
      </c>
    </row>
    <row r="432" spans="1:9" ht="16.5">
      <c r="A432" s="1840" t="s">
        <v>1137</v>
      </c>
      <c r="B432" s="1841" t="s">
        <v>7122</v>
      </c>
      <c r="C432" s="1842" t="s">
        <v>6757</v>
      </c>
      <c r="D432" s="1852"/>
      <c r="E432" s="1852"/>
      <c r="F432" s="1853">
        <f t="shared" si="13"/>
        <v>0</v>
      </c>
      <c r="G432" s="1843">
        <f t="shared" si="12"/>
        <v>0</v>
      </c>
      <c r="H432" s="1173">
        <v>0.72509999999999997</v>
      </c>
      <c r="I432" s="3121" t="s">
        <v>0</v>
      </c>
    </row>
    <row r="433" spans="1:9" ht="16.5">
      <c r="A433" s="1840" t="s">
        <v>1138</v>
      </c>
      <c r="B433" s="1841" t="s">
        <v>7123</v>
      </c>
      <c r="C433" s="1842" t="s">
        <v>6757</v>
      </c>
      <c r="D433" s="1852"/>
      <c r="E433" s="1852"/>
      <c r="F433" s="1853">
        <f t="shared" si="13"/>
        <v>0</v>
      </c>
      <c r="G433" s="1843">
        <f t="shared" si="12"/>
        <v>0</v>
      </c>
      <c r="H433" s="1173">
        <v>1.0665</v>
      </c>
      <c r="I433" s="3121" t="s">
        <v>0</v>
      </c>
    </row>
    <row r="434" spans="1:9" ht="16.5">
      <c r="A434" s="1840" t="s">
        <v>1139</v>
      </c>
      <c r="B434" s="1841" t="s">
        <v>7124</v>
      </c>
      <c r="C434" s="1842" t="s">
        <v>6757</v>
      </c>
      <c r="D434" s="1852"/>
      <c r="E434" s="1852"/>
      <c r="F434" s="1853">
        <f t="shared" si="13"/>
        <v>0</v>
      </c>
      <c r="G434" s="1843">
        <f t="shared" si="12"/>
        <v>0</v>
      </c>
      <c r="H434" s="1173">
        <v>1.1557999999999999</v>
      </c>
      <c r="I434" s="3121" t="s">
        <v>0</v>
      </c>
    </row>
    <row r="435" spans="1:9" ht="16.5">
      <c r="A435" s="1840" t="s">
        <v>1140</v>
      </c>
      <c r="B435" s="1841" t="s">
        <v>7125</v>
      </c>
      <c r="C435" s="1842" t="s">
        <v>6757</v>
      </c>
      <c r="D435" s="1852"/>
      <c r="E435" s="1852"/>
      <c r="F435" s="1853">
        <f t="shared" si="13"/>
        <v>0</v>
      </c>
      <c r="G435" s="1843">
        <f t="shared" si="12"/>
        <v>0</v>
      </c>
      <c r="H435" s="1173">
        <v>0.50929999999999997</v>
      </c>
      <c r="I435" s="3121" t="s">
        <v>0</v>
      </c>
    </row>
    <row r="436" spans="1:9" ht="16.5">
      <c r="A436" s="1840" t="s">
        <v>1141</v>
      </c>
      <c r="B436" s="1841" t="s">
        <v>7126</v>
      </c>
      <c r="C436" s="1842" t="s">
        <v>6757</v>
      </c>
      <c r="D436" s="1852"/>
      <c r="E436" s="1852"/>
      <c r="F436" s="1853">
        <f t="shared" si="13"/>
        <v>0</v>
      </c>
      <c r="G436" s="1843">
        <f t="shared" si="12"/>
        <v>0</v>
      </c>
      <c r="H436" s="1173">
        <v>1.1682999999999999</v>
      </c>
      <c r="I436" s="3121" t="s">
        <v>0</v>
      </c>
    </row>
    <row r="437" spans="1:9" ht="16.5">
      <c r="A437" s="1840" t="s">
        <v>1142</v>
      </c>
      <c r="B437" s="1841" t="s">
        <v>7127</v>
      </c>
      <c r="C437" s="1842" t="s">
        <v>6757</v>
      </c>
      <c r="D437" s="1852"/>
      <c r="E437" s="1852"/>
      <c r="F437" s="1853">
        <f t="shared" si="13"/>
        <v>0</v>
      </c>
      <c r="G437" s="1843">
        <f t="shared" si="12"/>
        <v>0</v>
      </c>
      <c r="H437" s="1173">
        <v>0.68089999999999995</v>
      </c>
      <c r="I437" s="3121" t="s">
        <v>0</v>
      </c>
    </row>
    <row r="438" spans="1:9" ht="16.5">
      <c r="A438" s="1840" t="s">
        <v>1143</v>
      </c>
      <c r="B438" s="1841" t="s">
        <v>7128</v>
      </c>
      <c r="C438" s="1842" t="s">
        <v>6757</v>
      </c>
      <c r="D438" s="1852"/>
      <c r="E438" s="1852"/>
      <c r="F438" s="1853">
        <f t="shared" si="13"/>
        <v>0</v>
      </c>
      <c r="G438" s="1843">
        <f t="shared" si="12"/>
        <v>0</v>
      </c>
      <c r="H438" s="1173">
        <v>0.48170000000000002</v>
      </c>
      <c r="I438" s="3121" t="s">
        <v>0</v>
      </c>
    </row>
    <row r="439" spans="1:9" ht="16.5">
      <c r="A439" s="1840" t="s">
        <v>1144</v>
      </c>
      <c r="B439" s="1841" t="s">
        <v>7129</v>
      </c>
      <c r="C439" s="1842" t="s">
        <v>6757</v>
      </c>
      <c r="D439" s="1852"/>
      <c r="E439" s="1852"/>
      <c r="F439" s="1853">
        <f t="shared" si="13"/>
        <v>0</v>
      </c>
      <c r="G439" s="1843">
        <f t="shared" si="12"/>
        <v>0</v>
      </c>
      <c r="H439" s="1173">
        <v>0.75580000000000003</v>
      </c>
      <c r="I439" s="3121" t="s">
        <v>0</v>
      </c>
    </row>
    <row r="440" spans="1:9" ht="16.5">
      <c r="A440" s="1840" t="s">
        <v>1145</v>
      </c>
      <c r="B440" s="1841" t="s">
        <v>7130</v>
      </c>
      <c r="C440" s="1842" t="s">
        <v>6757</v>
      </c>
      <c r="D440" s="1852"/>
      <c r="E440" s="1852"/>
      <c r="F440" s="1853">
        <f t="shared" si="13"/>
        <v>0</v>
      </c>
      <c r="G440" s="1843">
        <f t="shared" si="12"/>
        <v>0</v>
      </c>
      <c r="H440" s="1173">
        <v>0.3997</v>
      </c>
      <c r="I440" s="3121" t="s">
        <v>0</v>
      </c>
    </row>
    <row r="441" spans="1:9" ht="16.5">
      <c r="A441" s="1840" t="s">
        <v>1146</v>
      </c>
      <c r="B441" s="1841" t="s">
        <v>7131</v>
      </c>
      <c r="C441" s="1842" t="s">
        <v>6757</v>
      </c>
      <c r="D441" s="1852"/>
      <c r="E441" s="1852"/>
      <c r="F441" s="1853">
        <f t="shared" si="13"/>
        <v>0</v>
      </c>
      <c r="G441" s="1843">
        <f t="shared" si="12"/>
        <v>0</v>
      </c>
      <c r="H441" s="1173">
        <v>0.83850000000000002</v>
      </c>
      <c r="I441" s="3121" t="s">
        <v>0</v>
      </c>
    </row>
    <row r="442" spans="1:9" ht="16.5">
      <c r="A442" s="1840" t="s">
        <v>1147</v>
      </c>
      <c r="B442" s="1841" t="s">
        <v>7132</v>
      </c>
      <c r="C442" s="1842" t="s">
        <v>6757</v>
      </c>
      <c r="D442" s="1852"/>
      <c r="E442" s="1852"/>
      <c r="F442" s="1853">
        <f t="shared" si="13"/>
        <v>0</v>
      </c>
      <c r="G442" s="1843">
        <f t="shared" si="12"/>
        <v>0</v>
      </c>
      <c r="H442" s="1173">
        <v>0.61409999999999998</v>
      </c>
      <c r="I442" s="3121" t="s">
        <v>0</v>
      </c>
    </row>
    <row r="443" spans="1:9" ht="16.5">
      <c r="A443" s="1840" t="s">
        <v>1148</v>
      </c>
      <c r="B443" s="1841" t="s">
        <v>7133</v>
      </c>
      <c r="C443" s="1842" t="s">
        <v>6757</v>
      </c>
      <c r="D443" s="1852"/>
      <c r="E443" s="1852"/>
      <c r="F443" s="1853">
        <f t="shared" si="13"/>
        <v>0</v>
      </c>
      <c r="G443" s="1843">
        <f t="shared" si="12"/>
        <v>0</v>
      </c>
      <c r="H443" s="1173">
        <v>0.60860000000000003</v>
      </c>
      <c r="I443" s="3121" t="s">
        <v>0</v>
      </c>
    </row>
    <row r="444" spans="1:9" ht="16.5">
      <c r="A444" s="1840" t="s">
        <v>1149</v>
      </c>
      <c r="B444" s="1841" t="s">
        <v>7134</v>
      </c>
      <c r="C444" s="1842" t="s">
        <v>6757</v>
      </c>
      <c r="D444" s="1852"/>
      <c r="E444" s="1852"/>
      <c r="F444" s="1853">
        <f t="shared" si="13"/>
        <v>0</v>
      </c>
      <c r="G444" s="1843">
        <f t="shared" si="12"/>
        <v>0</v>
      </c>
      <c r="H444" s="1173">
        <v>0.19070000000000001</v>
      </c>
      <c r="I444" s="3121" t="s">
        <v>0</v>
      </c>
    </row>
    <row r="445" spans="1:9" ht="16.5">
      <c r="A445" s="1840" t="s">
        <v>1150</v>
      </c>
      <c r="B445" s="1841" t="s">
        <v>7135</v>
      </c>
      <c r="C445" s="1842" t="s">
        <v>6757</v>
      </c>
      <c r="D445" s="1852"/>
      <c r="E445" s="1852"/>
      <c r="F445" s="1853">
        <f t="shared" si="13"/>
        <v>0</v>
      </c>
      <c r="G445" s="1843">
        <f t="shared" si="12"/>
        <v>0</v>
      </c>
      <c r="H445" s="1173">
        <v>0.86950000000000005</v>
      </c>
      <c r="I445" s="3121" t="s">
        <v>0</v>
      </c>
    </row>
    <row r="446" spans="1:9" ht="16.5">
      <c r="A446" s="1840" t="s">
        <v>1151</v>
      </c>
      <c r="B446" s="1841" t="s">
        <v>7136</v>
      </c>
      <c r="C446" s="1842" t="s">
        <v>6757</v>
      </c>
      <c r="D446" s="1852"/>
      <c r="E446" s="1852"/>
      <c r="F446" s="1853">
        <f t="shared" si="13"/>
        <v>0</v>
      </c>
      <c r="G446" s="1843">
        <f t="shared" si="12"/>
        <v>0</v>
      </c>
      <c r="H446" s="1173">
        <v>0.79400000000000004</v>
      </c>
      <c r="I446" s="3121" t="s">
        <v>0</v>
      </c>
    </row>
    <row r="447" spans="1:9" ht="16.5">
      <c r="A447" s="1840" t="s">
        <v>1152</v>
      </c>
      <c r="B447" s="1841" t="s">
        <v>7137</v>
      </c>
      <c r="C447" s="1842" t="s">
        <v>6757</v>
      </c>
      <c r="D447" s="1852"/>
      <c r="E447" s="1852"/>
      <c r="F447" s="1853">
        <f t="shared" si="13"/>
        <v>0</v>
      </c>
      <c r="G447" s="1843">
        <f t="shared" si="12"/>
        <v>0</v>
      </c>
      <c r="H447" s="1173">
        <v>0.55059999999999998</v>
      </c>
      <c r="I447" s="3121" t="s">
        <v>0</v>
      </c>
    </row>
    <row r="448" spans="1:9" ht="16.5">
      <c r="A448" s="1840" t="s">
        <v>1153</v>
      </c>
      <c r="B448" s="1841" t="s">
        <v>7138</v>
      </c>
      <c r="C448" s="1842" t="s">
        <v>6757</v>
      </c>
      <c r="D448" s="1852"/>
      <c r="E448" s="1852"/>
      <c r="F448" s="1853">
        <f t="shared" si="13"/>
        <v>0</v>
      </c>
      <c r="G448" s="1843">
        <f t="shared" si="12"/>
        <v>0</v>
      </c>
      <c r="H448" s="1173">
        <v>0.60970000000000002</v>
      </c>
      <c r="I448" s="3121" t="s">
        <v>0</v>
      </c>
    </row>
    <row r="449" spans="1:9" ht="16.5">
      <c r="A449" s="1840" t="s">
        <v>1154</v>
      </c>
      <c r="B449" s="1841" t="s">
        <v>7139</v>
      </c>
      <c r="C449" s="1842" t="s">
        <v>6757</v>
      </c>
      <c r="D449" s="1852"/>
      <c r="E449" s="1852"/>
      <c r="F449" s="1853">
        <f t="shared" si="13"/>
        <v>0</v>
      </c>
      <c r="G449" s="1843">
        <f t="shared" si="12"/>
        <v>0</v>
      </c>
      <c r="H449" s="1173">
        <v>0.68700000000000006</v>
      </c>
      <c r="I449" s="3121" t="s">
        <v>0</v>
      </c>
    </row>
    <row r="450" spans="1:9" ht="16.5">
      <c r="A450" s="1840" t="s">
        <v>1155</v>
      </c>
      <c r="B450" s="1841" t="s">
        <v>7140</v>
      </c>
      <c r="C450" s="1842" t="s">
        <v>6757</v>
      </c>
      <c r="D450" s="1852"/>
      <c r="E450" s="1852"/>
      <c r="F450" s="1853">
        <f t="shared" si="13"/>
        <v>0</v>
      </c>
      <c r="G450" s="1843">
        <f t="shared" si="12"/>
        <v>0</v>
      </c>
      <c r="H450" s="1173">
        <v>0.95620000000000005</v>
      </c>
      <c r="I450" s="3121" t="s">
        <v>0</v>
      </c>
    </row>
    <row r="451" spans="1:9" ht="16.5">
      <c r="A451" s="1840" t="s">
        <v>1156</v>
      </c>
      <c r="B451" s="1841" t="s">
        <v>7141</v>
      </c>
      <c r="C451" s="1842" t="s">
        <v>6757</v>
      </c>
      <c r="D451" s="1852"/>
      <c r="E451" s="1852"/>
      <c r="F451" s="1853">
        <f t="shared" si="13"/>
        <v>0</v>
      </c>
      <c r="G451" s="1843">
        <f t="shared" si="12"/>
        <v>0</v>
      </c>
      <c r="H451" s="1173">
        <v>0.37</v>
      </c>
      <c r="I451" s="3121" t="s">
        <v>0</v>
      </c>
    </row>
    <row r="452" spans="1:9" ht="16.5">
      <c r="A452" s="1840" t="s">
        <v>1157</v>
      </c>
      <c r="B452" s="1841" t="s">
        <v>7142</v>
      </c>
      <c r="C452" s="1842" t="s">
        <v>6757</v>
      </c>
      <c r="D452" s="1852"/>
      <c r="E452" s="1852"/>
      <c r="F452" s="1853">
        <f t="shared" si="13"/>
        <v>0</v>
      </c>
      <c r="G452" s="1843">
        <f t="shared" ref="G452:G515" si="14">IF($F$1334=0,0,F452/$F$1334)</f>
        <v>0</v>
      </c>
      <c r="H452" s="1173">
        <v>0.43530000000000002</v>
      </c>
      <c r="I452" s="3121" t="s">
        <v>0</v>
      </c>
    </row>
    <row r="453" spans="1:9" ht="16.5">
      <c r="A453" s="1840" t="s">
        <v>1158</v>
      </c>
      <c r="B453" s="1841" t="s">
        <v>7143</v>
      </c>
      <c r="C453" s="1842" t="s">
        <v>6757</v>
      </c>
      <c r="D453" s="1852"/>
      <c r="E453" s="1852"/>
      <c r="F453" s="1853">
        <f t="shared" ref="F453:F516" si="15">D453*E453</f>
        <v>0</v>
      </c>
      <c r="G453" s="1843">
        <f t="shared" si="14"/>
        <v>0</v>
      </c>
      <c r="H453" s="1173">
        <v>0.48320000000000002</v>
      </c>
      <c r="I453" s="3121" t="s">
        <v>0</v>
      </c>
    </row>
    <row r="454" spans="1:9" ht="16.5">
      <c r="A454" s="1840" t="s">
        <v>1159</v>
      </c>
      <c r="B454" s="1841" t="s">
        <v>7144</v>
      </c>
      <c r="C454" s="1842" t="s">
        <v>6757</v>
      </c>
      <c r="D454" s="1852"/>
      <c r="E454" s="1852"/>
      <c r="F454" s="1853">
        <f t="shared" si="15"/>
        <v>0</v>
      </c>
      <c r="G454" s="1843">
        <f t="shared" si="14"/>
        <v>0</v>
      </c>
      <c r="H454" s="1173">
        <v>0.90839999999999999</v>
      </c>
      <c r="I454" s="3121" t="s">
        <v>0</v>
      </c>
    </row>
    <row r="455" spans="1:9" ht="16.5">
      <c r="A455" s="1840" t="s">
        <v>1160</v>
      </c>
      <c r="B455" s="1841" t="s">
        <v>7145</v>
      </c>
      <c r="C455" s="1842" t="s">
        <v>6757</v>
      </c>
      <c r="D455" s="1852"/>
      <c r="E455" s="1852"/>
      <c r="F455" s="1853">
        <f t="shared" si="15"/>
        <v>0</v>
      </c>
      <c r="G455" s="1843">
        <f t="shared" si="14"/>
        <v>0</v>
      </c>
      <c r="H455" s="1173">
        <v>0.73089999999999999</v>
      </c>
      <c r="I455" s="3121" t="s">
        <v>0</v>
      </c>
    </row>
    <row r="456" spans="1:9" ht="16.5">
      <c r="A456" s="1840" t="s">
        <v>1161</v>
      </c>
      <c r="B456" s="1841" t="s">
        <v>7146</v>
      </c>
      <c r="C456" s="1842" t="s">
        <v>6757</v>
      </c>
      <c r="D456" s="1852"/>
      <c r="E456" s="1852"/>
      <c r="F456" s="1853">
        <f t="shared" si="15"/>
        <v>0</v>
      </c>
      <c r="G456" s="1843">
        <f t="shared" si="14"/>
        <v>0</v>
      </c>
      <c r="H456" s="1173">
        <v>0.7883</v>
      </c>
      <c r="I456" s="3121" t="s">
        <v>0</v>
      </c>
    </row>
    <row r="457" spans="1:9" ht="16.5">
      <c r="A457" s="1840" t="s">
        <v>1162</v>
      </c>
      <c r="B457" s="1841" t="s">
        <v>7147</v>
      </c>
      <c r="C457" s="1842" t="s">
        <v>6757</v>
      </c>
      <c r="D457" s="1852"/>
      <c r="E457" s="1852"/>
      <c r="F457" s="1853">
        <f t="shared" si="15"/>
        <v>0</v>
      </c>
      <c r="G457" s="1843">
        <f t="shared" si="14"/>
        <v>0</v>
      </c>
      <c r="H457" s="1173">
        <v>0.29370000000000002</v>
      </c>
      <c r="I457" s="3121" t="s">
        <v>0</v>
      </c>
    </row>
    <row r="458" spans="1:9" ht="16.5">
      <c r="A458" s="1840" t="s">
        <v>1163</v>
      </c>
      <c r="B458" s="1841" t="s">
        <v>7148</v>
      </c>
      <c r="C458" s="1842" t="s">
        <v>6757</v>
      </c>
      <c r="D458" s="1852"/>
      <c r="E458" s="1852"/>
      <c r="F458" s="1853">
        <f t="shared" si="15"/>
        <v>0</v>
      </c>
      <c r="G458" s="1843">
        <f t="shared" si="14"/>
        <v>0</v>
      </c>
      <c r="H458" s="1173">
        <v>0.57540000000000002</v>
      </c>
      <c r="I458" s="3121" t="s">
        <v>0</v>
      </c>
    </row>
    <row r="459" spans="1:9" ht="16.5">
      <c r="A459" s="1840" t="s">
        <v>1164</v>
      </c>
      <c r="B459" s="1841" t="s">
        <v>7149</v>
      </c>
      <c r="C459" s="1842" t="s">
        <v>6757</v>
      </c>
      <c r="D459" s="1852"/>
      <c r="E459" s="1852"/>
      <c r="F459" s="1853">
        <f t="shared" si="15"/>
        <v>0</v>
      </c>
      <c r="G459" s="1843">
        <f t="shared" si="14"/>
        <v>0</v>
      </c>
      <c r="H459" s="1173">
        <v>0.71560000000000001</v>
      </c>
      <c r="I459" s="3121" t="s">
        <v>0</v>
      </c>
    </row>
    <row r="460" spans="1:9" ht="16.5">
      <c r="A460" s="1840" t="s">
        <v>1165</v>
      </c>
      <c r="B460" s="1841" t="s">
        <v>7150</v>
      </c>
      <c r="C460" s="1842" t="s">
        <v>6757</v>
      </c>
      <c r="D460" s="1852"/>
      <c r="E460" s="1852"/>
      <c r="F460" s="1853">
        <f t="shared" si="15"/>
        <v>0</v>
      </c>
      <c r="G460" s="1843">
        <f t="shared" si="14"/>
        <v>0</v>
      </c>
      <c r="H460" s="1173">
        <v>0.84109999999999996</v>
      </c>
      <c r="I460" s="3121" t="s">
        <v>0</v>
      </c>
    </row>
    <row r="461" spans="1:9" ht="16.5">
      <c r="A461" s="1840" t="s">
        <v>1166</v>
      </c>
      <c r="B461" s="1841" t="s">
        <v>7151</v>
      </c>
      <c r="C461" s="1842" t="s">
        <v>6757</v>
      </c>
      <c r="D461" s="1852"/>
      <c r="E461" s="1852"/>
      <c r="F461" s="1853">
        <f t="shared" si="15"/>
        <v>0</v>
      </c>
      <c r="G461" s="1843">
        <f t="shared" si="14"/>
        <v>0</v>
      </c>
      <c r="H461" s="1173">
        <v>0.35849999999999999</v>
      </c>
      <c r="I461" s="3121" t="s">
        <v>0</v>
      </c>
    </row>
    <row r="462" spans="1:9" ht="16.5">
      <c r="A462" s="1840" t="s">
        <v>1167</v>
      </c>
      <c r="B462" s="1841" t="s">
        <v>7152</v>
      </c>
      <c r="C462" s="1842" t="s">
        <v>6757</v>
      </c>
      <c r="D462" s="1852"/>
      <c r="E462" s="1852"/>
      <c r="F462" s="1853">
        <f t="shared" si="15"/>
        <v>0</v>
      </c>
      <c r="G462" s="1843">
        <f t="shared" si="14"/>
        <v>0</v>
      </c>
      <c r="H462" s="1173">
        <v>0.53910000000000002</v>
      </c>
      <c r="I462" s="3121" t="s">
        <v>0</v>
      </c>
    </row>
    <row r="463" spans="1:9" ht="16.5">
      <c r="A463" s="1840" t="s">
        <v>1168</v>
      </c>
      <c r="B463" s="1841" t="s">
        <v>7153</v>
      </c>
      <c r="C463" s="1842" t="s">
        <v>6757</v>
      </c>
      <c r="D463" s="1852"/>
      <c r="E463" s="1852"/>
      <c r="F463" s="1853">
        <f t="shared" si="15"/>
        <v>0</v>
      </c>
      <c r="G463" s="1843">
        <f t="shared" si="14"/>
        <v>0</v>
      </c>
      <c r="H463" s="1173">
        <v>0.59970000000000001</v>
      </c>
      <c r="I463" s="3121" t="s">
        <v>0</v>
      </c>
    </row>
    <row r="464" spans="1:9" ht="16.5">
      <c r="A464" s="1840" t="s">
        <v>1169</v>
      </c>
      <c r="B464" s="1841" t="s">
        <v>7154</v>
      </c>
      <c r="C464" s="1842" t="s">
        <v>6757</v>
      </c>
      <c r="D464" s="1852"/>
      <c r="E464" s="1852"/>
      <c r="F464" s="1853">
        <f t="shared" si="15"/>
        <v>0</v>
      </c>
      <c r="G464" s="1843">
        <f t="shared" si="14"/>
        <v>0</v>
      </c>
      <c r="H464" s="1173">
        <v>0.57340000000000002</v>
      </c>
      <c r="I464" s="3121" t="s">
        <v>0</v>
      </c>
    </row>
    <row r="465" spans="1:9" ht="16.5">
      <c r="A465" s="1840" t="s">
        <v>1170</v>
      </c>
      <c r="B465" s="1841" t="s">
        <v>7155</v>
      </c>
      <c r="C465" s="1842" t="s">
        <v>6757</v>
      </c>
      <c r="D465" s="1852"/>
      <c r="E465" s="1852"/>
      <c r="F465" s="1853">
        <f t="shared" si="15"/>
        <v>0</v>
      </c>
      <c r="G465" s="1843">
        <f t="shared" si="14"/>
        <v>0</v>
      </c>
      <c r="H465" s="1173">
        <v>0.56630000000000003</v>
      </c>
      <c r="I465" s="3121" t="s">
        <v>0</v>
      </c>
    </row>
    <row r="466" spans="1:9" ht="16.5">
      <c r="A466" s="1840" t="s">
        <v>1171</v>
      </c>
      <c r="B466" s="1841" t="s">
        <v>7156</v>
      </c>
      <c r="C466" s="1842" t="s">
        <v>6757</v>
      </c>
      <c r="D466" s="1852"/>
      <c r="E466" s="1852"/>
      <c r="F466" s="1853">
        <f t="shared" si="15"/>
        <v>0</v>
      </c>
      <c r="G466" s="1843">
        <f t="shared" si="14"/>
        <v>0</v>
      </c>
      <c r="H466" s="1173">
        <v>0.62309999999999999</v>
      </c>
      <c r="I466" s="3121" t="s">
        <v>0</v>
      </c>
    </row>
    <row r="467" spans="1:9" ht="16.5">
      <c r="A467" s="1840" t="s">
        <v>1172</v>
      </c>
      <c r="B467" s="1841" t="s">
        <v>7157</v>
      </c>
      <c r="C467" s="1842" t="s">
        <v>6757</v>
      </c>
      <c r="D467" s="1852"/>
      <c r="E467" s="1852"/>
      <c r="F467" s="1853">
        <f t="shared" si="15"/>
        <v>0</v>
      </c>
      <c r="G467" s="1843">
        <f t="shared" si="14"/>
        <v>0</v>
      </c>
      <c r="H467" s="1173">
        <v>0.60240000000000005</v>
      </c>
      <c r="I467" s="3121" t="s">
        <v>0</v>
      </c>
    </row>
    <row r="468" spans="1:9" ht="16.5">
      <c r="A468" s="1840" t="s">
        <v>1173</v>
      </c>
      <c r="B468" s="1841" t="s">
        <v>7158</v>
      </c>
      <c r="C468" s="1842" t="s">
        <v>6757</v>
      </c>
      <c r="D468" s="1852"/>
      <c r="E468" s="1852"/>
      <c r="F468" s="1853">
        <f t="shared" si="15"/>
        <v>0</v>
      </c>
      <c r="G468" s="1843">
        <f t="shared" si="14"/>
        <v>0</v>
      </c>
      <c r="H468" s="1173">
        <v>0.5071</v>
      </c>
      <c r="I468" s="3121" t="s">
        <v>0</v>
      </c>
    </row>
    <row r="469" spans="1:9" ht="16.5">
      <c r="A469" s="1840" t="s">
        <v>1174</v>
      </c>
      <c r="B469" s="1841" t="s">
        <v>7159</v>
      </c>
      <c r="C469" s="1842" t="s">
        <v>6757</v>
      </c>
      <c r="D469" s="1852"/>
      <c r="E469" s="1852"/>
      <c r="F469" s="1853">
        <f t="shared" si="15"/>
        <v>0</v>
      </c>
      <c r="G469" s="1843">
        <f t="shared" si="14"/>
        <v>0</v>
      </c>
      <c r="H469" s="1173">
        <v>0.67300000000000004</v>
      </c>
      <c r="I469" s="3121" t="s">
        <v>0</v>
      </c>
    </row>
    <row r="470" spans="1:9" ht="16.5">
      <c r="A470" s="1840" t="s">
        <v>1175</v>
      </c>
      <c r="B470" s="1841" t="s">
        <v>7160</v>
      </c>
      <c r="C470" s="1842" t="s">
        <v>6757</v>
      </c>
      <c r="D470" s="1852"/>
      <c r="E470" s="1852"/>
      <c r="F470" s="1853">
        <f t="shared" si="15"/>
        <v>0</v>
      </c>
      <c r="G470" s="1843">
        <f t="shared" si="14"/>
        <v>0</v>
      </c>
      <c r="H470" s="1173">
        <v>0.63880000000000003</v>
      </c>
      <c r="I470" s="3121" t="s">
        <v>0</v>
      </c>
    </row>
    <row r="471" spans="1:9" ht="16.5">
      <c r="A471" s="1840" t="s">
        <v>1176</v>
      </c>
      <c r="B471" s="1841" t="s">
        <v>7161</v>
      </c>
      <c r="C471" s="1842" t="s">
        <v>6757</v>
      </c>
      <c r="D471" s="1852"/>
      <c r="E471" s="1852"/>
      <c r="F471" s="1853">
        <f t="shared" si="15"/>
        <v>0</v>
      </c>
      <c r="G471" s="1843">
        <f t="shared" si="14"/>
        <v>0</v>
      </c>
      <c r="H471" s="1173">
        <v>0.73750000000000004</v>
      </c>
      <c r="I471" s="3121" t="s">
        <v>0</v>
      </c>
    </row>
    <row r="472" spans="1:9" ht="16.5">
      <c r="A472" s="1840" t="s">
        <v>1177</v>
      </c>
      <c r="B472" s="1841" t="s">
        <v>7162</v>
      </c>
      <c r="C472" s="1842" t="s">
        <v>6757</v>
      </c>
      <c r="D472" s="1852"/>
      <c r="E472" s="1852"/>
      <c r="F472" s="1853">
        <f t="shared" si="15"/>
        <v>0</v>
      </c>
      <c r="G472" s="1843">
        <f t="shared" si="14"/>
        <v>0</v>
      </c>
      <c r="H472" s="1173">
        <v>0.46560000000000001</v>
      </c>
      <c r="I472" s="3121" t="s">
        <v>0</v>
      </c>
    </row>
    <row r="473" spans="1:9" ht="16.5">
      <c r="A473" s="1840" t="s">
        <v>1178</v>
      </c>
      <c r="B473" s="1841" t="s">
        <v>7163</v>
      </c>
      <c r="C473" s="1842" t="s">
        <v>6757</v>
      </c>
      <c r="D473" s="1852"/>
      <c r="E473" s="1852"/>
      <c r="F473" s="1853">
        <f t="shared" si="15"/>
        <v>0</v>
      </c>
      <c r="G473" s="1843">
        <f t="shared" si="14"/>
        <v>0</v>
      </c>
      <c r="H473" s="1173">
        <v>0.39240000000000003</v>
      </c>
      <c r="I473" s="3121" t="s">
        <v>0</v>
      </c>
    </row>
    <row r="474" spans="1:9" ht="16.5">
      <c r="A474" s="1840" t="s">
        <v>1179</v>
      </c>
      <c r="B474" s="1841" t="s">
        <v>7164</v>
      </c>
      <c r="C474" s="1842" t="s">
        <v>6757</v>
      </c>
      <c r="D474" s="1852"/>
      <c r="E474" s="1852"/>
      <c r="F474" s="1853">
        <f t="shared" si="15"/>
        <v>0</v>
      </c>
      <c r="G474" s="1843">
        <f t="shared" si="14"/>
        <v>0</v>
      </c>
      <c r="H474" s="1173">
        <v>0.47839999999999999</v>
      </c>
      <c r="I474" s="3121" t="s">
        <v>0</v>
      </c>
    </row>
    <row r="475" spans="1:9" ht="16.5">
      <c r="A475" s="1840" t="s">
        <v>1180</v>
      </c>
      <c r="B475" s="1841" t="s">
        <v>7165</v>
      </c>
      <c r="C475" s="1842" t="s">
        <v>6757</v>
      </c>
      <c r="D475" s="1852"/>
      <c r="E475" s="1852"/>
      <c r="F475" s="1853">
        <f t="shared" si="15"/>
        <v>0</v>
      </c>
      <c r="G475" s="1843">
        <f t="shared" si="14"/>
        <v>0</v>
      </c>
      <c r="H475" s="1173">
        <v>0.34410000000000002</v>
      </c>
      <c r="I475" s="3121" t="s">
        <v>0</v>
      </c>
    </row>
    <row r="476" spans="1:9" ht="16.5">
      <c r="A476" s="1840" t="s">
        <v>1181</v>
      </c>
      <c r="B476" s="1841" t="s">
        <v>7166</v>
      </c>
      <c r="C476" s="1842" t="s">
        <v>6757</v>
      </c>
      <c r="D476" s="1852"/>
      <c r="E476" s="1852"/>
      <c r="F476" s="1853">
        <f t="shared" si="15"/>
        <v>0</v>
      </c>
      <c r="G476" s="1843">
        <f t="shared" si="14"/>
        <v>0</v>
      </c>
      <c r="H476" s="1173">
        <v>0.60050000000000003</v>
      </c>
      <c r="I476" s="3121" t="s">
        <v>0</v>
      </c>
    </row>
    <row r="477" spans="1:9" ht="16.5">
      <c r="A477" s="1840" t="s">
        <v>1182</v>
      </c>
      <c r="B477" s="1841" t="s">
        <v>7167</v>
      </c>
      <c r="C477" s="1842" t="s">
        <v>6757</v>
      </c>
      <c r="D477" s="1852"/>
      <c r="E477" s="1852"/>
      <c r="F477" s="1853">
        <f t="shared" si="15"/>
        <v>0</v>
      </c>
      <c r="G477" s="1843">
        <f t="shared" si="14"/>
        <v>0</v>
      </c>
      <c r="H477" s="1173">
        <v>0.75860000000000005</v>
      </c>
      <c r="I477" s="3121" t="s">
        <v>0</v>
      </c>
    </row>
    <row r="478" spans="1:9" ht="16.5">
      <c r="A478" s="1840" t="s">
        <v>1183</v>
      </c>
      <c r="B478" s="1841" t="s">
        <v>7168</v>
      </c>
      <c r="C478" s="1842" t="s">
        <v>6757</v>
      </c>
      <c r="D478" s="1852"/>
      <c r="E478" s="1852"/>
      <c r="F478" s="1853">
        <f t="shared" si="15"/>
        <v>0</v>
      </c>
      <c r="G478" s="1843">
        <f t="shared" si="14"/>
        <v>0</v>
      </c>
      <c r="H478" s="1173">
        <v>0.51910000000000001</v>
      </c>
      <c r="I478" s="3121" t="s">
        <v>0</v>
      </c>
    </row>
    <row r="479" spans="1:9" ht="16.5">
      <c r="A479" s="1840" t="s">
        <v>1184</v>
      </c>
      <c r="B479" s="1841" t="s">
        <v>7169</v>
      </c>
      <c r="C479" s="1842" t="s">
        <v>6757</v>
      </c>
      <c r="D479" s="1852"/>
      <c r="E479" s="1852"/>
      <c r="F479" s="1853">
        <f t="shared" si="15"/>
        <v>0</v>
      </c>
      <c r="G479" s="1843">
        <f t="shared" si="14"/>
        <v>0</v>
      </c>
      <c r="H479" s="1173">
        <v>0.58709999999999996</v>
      </c>
      <c r="I479" s="3121" t="s">
        <v>0</v>
      </c>
    </row>
    <row r="480" spans="1:9" ht="16.5">
      <c r="A480" s="1840" t="s">
        <v>1185</v>
      </c>
      <c r="B480" s="1841" t="s">
        <v>7170</v>
      </c>
      <c r="C480" s="1842" t="s">
        <v>6757</v>
      </c>
      <c r="D480" s="1852"/>
      <c r="E480" s="1852"/>
      <c r="F480" s="1853">
        <f t="shared" si="15"/>
        <v>0</v>
      </c>
      <c r="G480" s="1843">
        <f t="shared" si="14"/>
        <v>0</v>
      </c>
      <c r="H480" s="1173">
        <v>0.71930000000000005</v>
      </c>
      <c r="I480" s="3121" t="s">
        <v>0</v>
      </c>
    </row>
    <row r="481" spans="1:9" ht="16.5">
      <c r="A481" s="1840" t="s">
        <v>1186</v>
      </c>
      <c r="B481" s="1841" t="s">
        <v>7171</v>
      </c>
      <c r="C481" s="1842" t="s">
        <v>6757</v>
      </c>
      <c r="D481" s="1852"/>
      <c r="E481" s="1852"/>
      <c r="F481" s="1853">
        <f t="shared" si="15"/>
        <v>0</v>
      </c>
      <c r="G481" s="1843">
        <f t="shared" si="14"/>
        <v>0</v>
      </c>
      <c r="H481" s="1173">
        <v>0.58720000000000006</v>
      </c>
      <c r="I481" s="3121" t="s">
        <v>0</v>
      </c>
    </row>
    <row r="482" spans="1:9" ht="16.5">
      <c r="A482" s="1840" t="s">
        <v>1187</v>
      </c>
      <c r="B482" s="1841" t="s">
        <v>7172</v>
      </c>
      <c r="C482" s="1842" t="s">
        <v>6757</v>
      </c>
      <c r="D482" s="1852"/>
      <c r="E482" s="1852"/>
      <c r="F482" s="1853">
        <f t="shared" si="15"/>
        <v>0</v>
      </c>
      <c r="G482" s="1843">
        <f t="shared" si="14"/>
        <v>0</v>
      </c>
      <c r="H482" s="1173">
        <v>0.33289999999999997</v>
      </c>
      <c r="I482" s="3121" t="s">
        <v>0</v>
      </c>
    </row>
    <row r="483" spans="1:9" ht="16.5">
      <c r="A483" s="1840" t="s">
        <v>1188</v>
      </c>
      <c r="B483" s="1841" t="s">
        <v>7173</v>
      </c>
      <c r="C483" s="1842" t="s">
        <v>6757</v>
      </c>
      <c r="D483" s="1852"/>
      <c r="E483" s="1852"/>
      <c r="F483" s="1853">
        <f t="shared" si="15"/>
        <v>0</v>
      </c>
      <c r="G483" s="1843">
        <f t="shared" si="14"/>
        <v>0</v>
      </c>
      <c r="H483" s="1173">
        <v>0.58579999999999999</v>
      </c>
      <c r="I483" s="3121" t="s">
        <v>0</v>
      </c>
    </row>
    <row r="484" spans="1:9" ht="16.5">
      <c r="A484" s="1840" t="s">
        <v>1189</v>
      </c>
      <c r="B484" s="1841" t="s">
        <v>7174</v>
      </c>
      <c r="C484" s="1842" t="s">
        <v>6757</v>
      </c>
      <c r="D484" s="1852"/>
      <c r="E484" s="1852"/>
      <c r="F484" s="1853">
        <f t="shared" si="15"/>
        <v>0</v>
      </c>
      <c r="G484" s="1843">
        <f t="shared" si="14"/>
        <v>0</v>
      </c>
      <c r="H484" s="1173">
        <v>0.38190000000000002</v>
      </c>
      <c r="I484" s="3121" t="s">
        <v>0</v>
      </c>
    </row>
    <row r="485" spans="1:9" ht="16.5">
      <c r="A485" s="1840" t="s">
        <v>1190</v>
      </c>
      <c r="B485" s="1841" t="s">
        <v>7175</v>
      </c>
      <c r="C485" s="1842" t="s">
        <v>6757</v>
      </c>
      <c r="D485" s="1852"/>
      <c r="E485" s="1852"/>
      <c r="F485" s="1853">
        <f t="shared" si="15"/>
        <v>0</v>
      </c>
      <c r="G485" s="1843">
        <f t="shared" si="14"/>
        <v>0</v>
      </c>
      <c r="H485" s="1173">
        <v>0.58089999999999997</v>
      </c>
      <c r="I485" s="3121" t="s">
        <v>0</v>
      </c>
    </row>
    <row r="486" spans="1:9" ht="16.5">
      <c r="A486" s="1840" t="s">
        <v>1191</v>
      </c>
      <c r="B486" s="1841" t="s">
        <v>7176</v>
      </c>
      <c r="C486" s="1842" t="s">
        <v>6757</v>
      </c>
      <c r="D486" s="1852"/>
      <c r="E486" s="1852"/>
      <c r="F486" s="1853">
        <f t="shared" si="15"/>
        <v>0</v>
      </c>
      <c r="G486" s="1843">
        <f t="shared" si="14"/>
        <v>0</v>
      </c>
      <c r="H486" s="1173">
        <v>0.47</v>
      </c>
      <c r="I486" s="3121" t="s">
        <v>0</v>
      </c>
    </row>
    <row r="487" spans="1:9" ht="16.5">
      <c r="A487" s="1840" t="s">
        <v>1192</v>
      </c>
      <c r="B487" s="1841" t="s">
        <v>7177</v>
      </c>
      <c r="C487" s="1842" t="s">
        <v>6757</v>
      </c>
      <c r="D487" s="1852"/>
      <c r="E487" s="1852"/>
      <c r="F487" s="1853">
        <f t="shared" si="15"/>
        <v>0</v>
      </c>
      <c r="G487" s="1843">
        <f t="shared" si="14"/>
        <v>0</v>
      </c>
      <c r="H487" s="1173">
        <v>0.69640000000000002</v>
      </c>
      <c r="I487" s="3121" t="s">
        <v>0</v>
      </c>
    </row>
    <row r="488" spans="1:9" ht="16.5">
      <c r="A488" s="1840" t="s">
        <v>1193</v>
      </c>
      <c r="B488" s="1841" t="s">
        <v>7178</v>
      </c>
      <c r="C488" s="1842" t="s">
        <v>6757</v>
      </c>
      <c r="D488" s="1852"/>
      <c r="E488" s="1852"/>
      <c r="F488" s="1853">
        <f t="shared" si="15"/>
        <v>0</v>
      </c>
      <c r="G488" s="1843">
        <f t="shared" si="14"/>
        <v>0</v>
      </c>
      <c r="H488" s="1173">
        <v>0.4173</v>
      </c>
      <c r="I488" s="3121" t="s">
        <v>0</v>
      </c>
    </row>
    <row r="489" spans="1:9" ht="16.5">
      <c r="A489" s="1840" t="s">
        <v>1194</v>
      </c>
      <c r="B489" s="1841" t="s">
        <v>7179</v>
      </c>
      <c r="C489" s="1842" t="s">
        <v>6757</v>
      </c>
      <c r="D489" s="1852"/>
      <c r="E489" s="1852"/>
      <c r="F489" s="1853">
        <f t="shared" si="15"/>
        <v>0</v>
      </c>
      <c r="G489" s="1843">
        <f t="shared" si="14"/>
        <v>0</v>
      </c>
      <c r="H489" s="1173">
        <v>0.66790000000000005</v>
      </c>
      <c r="I489" s="3121" t="s">
        <v>0</v>
      </c>
    </row>
    <row r="490" spans="1:9" ht="16.5">
      <c r="A490" s="1840" t="s">
        <v>1195</v>
      </c>
      <c r="B490" s="1841" t="s">
        <v>7180</v>
      </c>
      <c r="C490" s="1842" t="s">
        <v>6757</v>
      </c>
      <c r="D490" s="1852"/>
      <c r="E490" s="1852"/>
      <c r="F490" s="1853">
        <f t="shared" si="15"/>
        <v>0</v>
      </c>
      <c r="G490" s="1843">
        <f t="shared" si="14"/>
        <v>0</v>
      </c>
      <c r="H490" s="1173">
        <v>0.44369999999999998</v>
      </c>
      <c r="I490" s="3121" t="s">
        <v>0</v>
      </c>
    </row>
    <row r="491" spans="1:9" ht="16.5">
      <c r="A491" s="1840" t="s">
        <v>1196</v>
      </c>
      <c r="B491" s="1841" t="s">
        <v>7181</v>
      </c>
      <c r="C491" s="1842" t="s">
        <v>6757</v>
      </c>
      <c r="D491" s="1852"/>
      <c r="E491" s="1852"/>
      <c r="F491" s="1853">
        <f t="shared" si="15"/>
        <v>0</v>
      </c>
      <c r="G491" s="1843">
        <f t="shared" si="14"/>
        <v>0</v>
      </c>
      <c r="H491" s="1173">
        <v>0.50460000000000005</v>
      </c>
      <c r="I491" s="3121" t="s">
        <v>0</v>
      </c>
    </row>
    <row r="492" spans="1:9" ht="16.5">
      <c r="A492" s="1840" t="s">
        <v>1197</v>
      </c>
      <c r="B492" s="1841" t="s">
        <v>7182</v>
      </c>
      <c r="C492" s="1842" t="s">
        <v>6757</v>
      </c>
      <c r="D492" s="1852"/>
      <c r="E492" s="1852"/>
      <c r="F492" s="1853">
        <f t="shared" si="15"/>
        <v>0</v>
      </c>
      <c r="G492" s="1843">
        <f t="shared" si="14"/>
        <v>0</v>
      </c>
      <c r="H492" s="1173">
        <v>0.5554</v>
      </c>
      <c r="I492" s="3121" t="s">
        <v>0</v>
      </c>
    </row>
    <row r="493" spans="1:9" ht="16.5">
      <c r="A493" s="1840" t="s">
        <v>1198</v>
      </c>
      <c r="B493" s="1841" t="s">
        <v>7183</v>
      </c>
      <c r="C493" s="1842" t="s">
        <v>6757</v>
      </c>
      <c r="D493" s="1852"/>
      <c r="E493" s="1852"/>
      <c r="F493" s="1853">
        <f t="shared" si="15"/>
        <v>0</v>
      </c>
      <c r="G493" s="1843">
        <f t="shared" si="14"/>
        <v>0</v>
      </c>
      <c r="H493" s="1173">
        <v>0.26769999999999999</v>
      </c>
      <c r="I493" s="3121" t="s">
        <v>0</v>
      </c>
    </row>
    <row r="494" spans="1:9" ht="16.5">
      <c r="A494" s="1840" t="s">
        <v>1199</v>
      </c>
      <c r="B494" s="1841" t="s">
        <v>7184</v>
      </c>
      <c r="C494" s="1842" t="s">
        <v>6757</v>
      </c>
      <c r="D494" s="1852"/>
      <c r="E494" s="1852"/>
      <c r="F494" s="1853">
        <f t="shared" si="15"/>
        <v>0</v>
      </c>
      <c r="G494" s="1843">
        <f t="shared" si="14"/>
        <v>0</v>
      </c>
      <c r="H494" s="1173">
        <v>0.64639999999999997</v>
      </c>
      <c r="I494" s="3121" t="s">
        <v>0</v>
      </c>
    </row>
    <row r="495" spans="1:9" ht="16.5">
      <c r="A495" s="1840" t="s">
        <v>1200</v>
      </c>
      <c r="B495" s="1841" t="s">
        <v>7185</v>
      </c>
      <c r="C495" s="1842" t="s">
        <v>6757</v>
      </c>
      <c r="D495" s="1852"/>
      <c r="E495" s="1852"/>
      <c r="F495" s="1853">
        <f t="shared" si="15"/>
        <v>0</v>
      </c>
      <c r="G495" s="1843">
        <f t="shared" si="14"/>
        <v>0</v>
      </c>
      <c r="H495" s="1173">
        <v>0.59009999999999996</v>
      </c>
      <c r="I495" s="3121" t="s">
        <v>0</v>
      </c>
    </row>
    <row r="496" spans="1:9" ht="16.5">
      <c r="A496" s="1840" t="s">
        <v>1201</v>
      </c>
      <c r="B496" s="1841" t="s">
        <v>7186</v>
      </c>
      <c r="C496" s="1842" t="s">
        <v>6757</v>
      </c>
      <c r="D496" s="1852"/>
      <c r="E496" s="1852"/>
      <c r="F496" s="1853">
        <f t="shared" si="15"/>
        <v>0</v>
      </c>
      <c r="G496" s="1843">
        <f t="shared" si="14"/>
        <v>0</v>
      </c>
      <c r="H496" s="1173">
        <v>0.61939999999999995</v>
      </c>
      <c r="I496" s="3121" t="s">
        <v>0</v>
      </c>
    </row>
    <row r="497" spans="1:9" ht="16.5">
      <c r="A497" s="1840" t="s">
        <v>1202</v>
      </c>
      <c r="B497" s="1841" t="s">
        <v>7187</v>
      </c>
      <c r="C497" s="1842" t="s">
        <v>6757</v>
      </c>
      <c r="D497" s="1852"/>
      <c r="E497" s="1852"/>
      <c r="F497" s="1853">
        <f t="shared" si="15"/>
        <v>0</v>
      </c>
      <c r="G497" s="1843">
        <f t="shared" si="14"/>
        <v>0</v>
      </c>
      <c r="H497" s="1173">
        <v>0.47649999999999998</v>
      </c>
      <c r="I497" s="3121" t="s">
        <v>0</v>
      </c>
    </row>
    <row r="498" spans="1:9" ht="16.5">
      <c r="A498" s="1840" t="s">
        <v>1203</v>
      </c>
      <c r="B498" s="1841" t="s">
        <v>7188</v>
      </c>
      <c r="C498" s="1842" t="s">
        <v>6757</v>
      </c>
      <c r="D498" s="1852"/>
      <c r="E498" s="1852"/>
      <c r="F498" s="1853">
        <f t="shared" si="15"/>
        <v>0</v>
      </c>
      <c r="G498" s="1843">
        <f t="shared" si="14"/>
        <v>0</v>
      </c>
      <c r="H498" s="1173">
        <v>0.63519999999999999</v>
      </c>
      <c r="I498" s="3121" t="s">
        <v>0</v>
      </c>
    </row>
    <row r="499" spans="1:9" ht="16.5">
      <c r="A499" s="1840" t="s">
        <v>1204</v>
      </c>
      <c r="B499" s="1841" t="s">
        <v>7189</v>
      </c>
      <c r="C499" s="1842" t="s">
        <v>6757</v>
      </c>
      <c r="D499" s="1852"/>
      <c r="E499" s="1852"/>
      <c r="F499" s="1853">
        <f t="shared" si="15"/>
        <v>0</v>
      </c>
      <c r="G499" s="1843">
        <f t="shared" si="14"/>
        <v>0</v>
      </c>
      <c r="H499" s="1173">
        <v>0.47710000000000002</v>
      </c>
      <c r="I499" s="3121" t="s">
        <v>0</v>
      </c>
    </row>
    <row r="500" spans="1:9" ht="16.5">
      <c r="A500" s="1840" t="s">
        <v>1205</v>
      </c>
      <c r="B500" s="1841" t="s">
        <v>7190</v>
      </c>
      <c r="C500" s="1842" t="s">
        <v>6757</v>
      </c>
      <c r="D500" s="1852"/>
      <c r="E500" s="1852"/>
      <c r="F500" s="1853">
        <f t="shared" si="15"/>
        <v>0</v>
      </c>
      <c r="G500" s="1843">
        <f t="shared" si="14"/>
        <v>0</v>
      </c>
      <c r="H500" s="1173">
        <v>0.74790000000000001</v>
      </c>
      <c r="I500" s="3121" t="s">
        <v>0</v>
      </c>
    </row>
    <row r="501" spans="1:9" ht="16.5">
      <c r="A501" s="1840" t="s">
        <v>1206</v>
      </c>
      <c r="B501" s="1841" t="s">
        <v>7191</v>
      </c>
      <c r="C501" s="1842" t="s">
        <v>6757</v>
      </c>
      <c r="D501" s="1852"/>
      <c r="E501" s="1852"/>
      <c r="F501" s="1853">
        <f t="shared" si="15"/>
        <v>0</v>
      </c>
      <c r="G501" s="1843">
        <f t="shared" si="14"/>
        <v>0</v>
      </c>
      <c r="H501" s="1173">
        <v>0.3705</v>
      </c>
      <c r="I501" s="3121" t="s">
        <v>0</v>
      </c>
    </row>
    <row r="502" spans="1:9" ht="16.5">
      <c r="A502" s="1840" t="s">
        <v>1207</v>
      </c>
      <c r="B502" s="1841" t="s">
        <v>7192</v>
      </c>
      <c r="C502" s="1842" t="s">
        <v>6757</v>
      </c>
      <c r="D502" s="1852"/>
      <c r="E502" s="1852"/>
      <c r="F502" s="1853">
        <f t="shared" si="15"/>
        <v>0</v>
      </c>
      <c r="G502" s="1843">
        <f t="shared" si="14"/>
        <v>0</v>
      </c>
      <c r="H502" s="1173">
        <v>0.51459999999999995</v>
      </c>
      <c r="I502" s="3121" t="s">
        <v>0</v>
      </c>
    </row>
    <row r="503" spans="1:9" ht="16.5">
      <c r="A503" s="1840" t="s">
        <v>1208</v>
      </c>
      <c r="B503" s="1841" t="s">
        <v>7193</v>
      </c>
      <c r="C503" s="1842" t="s">
        <v>6757</v>
      </c>
      <c r="D503" s="1852"/>
      <c r="E503" s="1852"/>
      <c r="F503" s="1853">
        <f t="shared" si="15"/>
        <v>0</v>
      </c>
      <c r="G503" s="1843">
        <f t="shared" si="14"/>
        <v>0</v>
      </c>
      <c r="H503" s="1173">
        <v>0.59489999999999998</v>
      </c>
      <c r="I503" s="3121" t="s">
        <v>0</v>
      </c>
    </row>
    <row r="504" spans="1:9" ht="16.5">
      <c r="A504" s="1840" t="s">
        <v>1209</v>
      </c>
      <c r="B504" s="1841" t="s">
        <v>7194</v>
      </c>
      <c r="C504" s="1842" t="s">
        <v>6757</v>
      </c>
      <c r="D504" s="1852"/>
      <c r="E504" s="1852"/>
      <c r="F504" s="1853">
        <f t="shared" si="15"/>
        <v>0</v>
      </c>
      <c r="G504" s="1843">
        <f t="shared" si="14"/>
        <v>0</v>
      </c>
      <c r="H504" s="1173">
        <v>0.49380000000000002</v>
      </c>
      <c r="I504" s="3121" t="s">
        <v>0</v>
      </c>
    </row>
    <row r="505" spans="1:9" ht="16.5">
      <c r="A505" s="1840" t="s">
        <v>1210</v>
      </c>
      <c r="B505" s="1841" t="s">
        <v>7195</v>
      </c>
      <c r="C505" s="1842" t="s">
        <v>6757</v>
      </c>
      <c r="D505" s="1852"/>
      <c r="E505" s="1852"/>
      <c r="F505" s="1853">
        <f t="shared" si="15"/>
        <v>0</v>
      </c>
      <c r="G505" s="1843">
        <f t="shared" si="14"/>
        <v>0</v>
      </c>
      <c r="H505" s="1173">
        <v>0.22339999999999999</v>
      </c>
      <c r="I505" s="3121" t="s">
        <v>0</v>
      </c>
    </row>
    <row r="506" spans="1:9" ht="16.5">
      <c r="A506" s="1840" t="s">
        <v>1211</v>
      </c>
      <c r="B506" s="1841" t="s">
        <v>7196</v>
      </c>
      <c r="C506" s="1842" t="s">
        <v>6757</v>
      </c>
      <c r="D506" s="1852"/>
      <c r="E506" s="1852"/>
      <c r="F506" s="1853">
        <f t="shared" si="15"/>
        <v>0</v>
      </c>
      <c r="G506" s="1843">
        <f t="shared" si="14"/>
        <v>0</v>
      </c>
      <c r="H506" s="1173">
        <v>0.65669999999999995</v>
      </c>
      <c r="I506" s="3121" t="s">
        <v>0</v>
      </c>
    </row>
    <row r="507" spans="1:9" ht="16.5">
      <c r="A507" s="1840" t="s">
        <v>1212</v>
      </c>
      <c r="B507" s="1841" t="s">
        <v>7197</v>
      </c>
      <c r="C507" s="1842" t="s">
        <v>6757</v>
      </c>
      <c r="D507" s="1852"/>
      <c r="E507" s="1852"/>
      <c r="F507" s="1853">
        <f t="shared" si="15"/>
        <v>0</v>
      </c>
      <c r="G507" s="1843">
        <f t="shared" si="14"/>
        <v>0</v>
      </c>
      <c r="H507" s="1173">
        <v>0.69130000000000003</v>
      </c>
      <c r="I507" s="3121" t="s">
        <v>0</v>
      </c>
    </row>
    <row r="508" spans="1:9" ht="16.5">
      <c r="A508" s="1840" t="s">
        <v>1213</v>
      </c>
      <c r="B508" s="1841" t="s">
        <v>7198</v>
      </c>
      <c r="C508" s="1842" t="s">
        <v>6757</v>
      </c>
      <c r="D508" s="1852"/>
      <c r="E508" s="1852"/>
      <c r="F508" s="1853">
        <f t="shared" si="15"/>
        <v>0</v>
      </c>
      <c r="G508" s="1843">
        <f t="shared" si="14"/>
        <v>0</v>
      </c>
      <c r="H508" s="1173">
        <v>0.61550000000000005</v>
      </c>
      <c r="I508" s="3121" t="s">
        <v>0</v>
      </c>
    </row>
    <row r="509" spans="1:9" ht="16.5">
      <c r="A509" s="1840" t="s">
        <v>1214</v>
      </c>
      <c r="B509" s="1841" t="s">
        <v>7199</v>
      </c>
      <c r="C509" s="1842" t="s">
        <v>6757</v>
      </c>
      <c r="D509" s="1852"/>
      <c r="E509" s="1852"/>
      <c r="F509" s="1853">
        <f t="shared" si="15"/>
        <v>0</v>
      </c>
      <c r="G509" s="1843">
        <f t="shared" si="14"/>
        <v>0</v>
      </c>
      <c r="H509" s="1173">
        <v>0.33539999999999998</v>
      </c>
      <c r="I509" s="3121" t="s">
        <v>0</v>
      </c>
    </row>
    <row r="510" spans="1:9" ht="16.5">
      <c r="A510" s="1840" t="s">
        <v>3556</v>
      </c>
      <c r="B510" s="1841" t="s">
        <v>7200</v>
      </c>
      <c r="C510" s="1842" t="s">
        <v>6757</v>
      </c>
      <c r="D510" s="1852"/>
      <c r="E510" s="1852"/>
      <c r="F510" s="1853">
        <f t="shared" si="15"/>
        <v>0</v>
      </c>
      <c r="G510" s="1843">
        <f t="shared" si="14"/>
        <v>0</v>
      </c>
      <c r="H510" s="1173">
        <v>0.46949999999999997</v>
      </c>
      <c r="I510" s="3121" t="s">
        <v>0</v>
      </c>
    </row>
    <row r="511" spans="1:9" ht="16.5">
      <c r="A511" s="1840" t="s">
        <v>6087</v>
      </c>
      <c r="B511" s="1841" t="s">
        <v>7201</v>
      </c>
      <c r="C511" s="1842" t="s">
        <v>6757</v>
      </c>
      <c r="D511" s="1852"/>
      <c r="E511" s="1852"/>
      <c r="F511" s="1853">
        <f t="shared" si="15"/>
        <v>0</v>
      </c>
      <c r="G511" s="1843">
        <f t="shared" si="14"/>
        <v>0</v>
      </c>
      <c r="H511" s="1173">
        <v>1</v>
      </c>
      <c r="I511" s="3121" t="s">
        <v>6890</v>
      </c>
    </row>
    <row r="512" spans="1:9" ht="16.5">
      <c r="A512" s="1840" t="s">
        <v>1215</v>
      </c>
      <c r="B512" s="1841" t="s">
        <v>7202</v>
      </c>
      <c r="C512" s="1842" t="s">
        <v>6757</v>
      </c>
      <c r="D512" s="1852"/>
      <c r="E512" s="1852"/>
      <c r="F512" s="1853">
        <f t="shared" si="15"/>
        <v>0</v>
      </c>
      <c r="G512" s="1843">
        <f t="shared" si="14"/>
        <v>0</v>
      </c>
      <c r="H512" s="1173">
        <v>0.2432</v>
      </c>
      <c r="I512" s="3121" t="s">
        <v>0</v>
      </c>
    </row>
    <row r="513" spans="1:9" ht="16.5">
      <c r="A513" s="1840" t="s">
        <v>1216</v>
      </c>
      <c r="B513" s="1841" t="s">
        <v>7203</v>
      </c>
      <c r="C513" s="1842" t="s">
        <v>6757</v>
      </c>
      <c r="D513" s="1852"/>
      <c r="E513" s="1852"/>
      <c r="F513" s="1853">
        <f t="shared" si="15"/>
        <v>0</v>
      </c>
      <c r="G513" s="1843">
        <f t="shared" si="14"/>
        <v>0</v>
      </c>
      <c r="H513" s="1173">
        <v>0.42280000000000001</v>
      </c>
      <c r="I513" s="3121" t="s">
        <v>0</v>
      </c>
    </row>
    <row r="514" spans="1:9" ht="16.5">
      <c r="A514" s="1840" t="s">
        <v>1217</v>
      </c>
      <c r="B514" s="1841" t="s">
        <v>7204</v>
      </c>
      <c r="C514" s="1842" t="s">
        <v>6757</v>
      </c>
      <c r="D514" s="1852"/>
      <c r="E514" s="1852"/>
      <c r="F514" s="1853">
        <f t="shared" si="15"/>
        <v>0</v>
      </c>
      <c r="G514" s="1843">
        <f t="shared" si="14"/>
        <v>0</v>
      </c>
      <c r="H514" s="1173">
        <v>0.59640000000000004</v>
      </c>
      <c r="I514" s="3121" t="s">
        <v>0</v>
      </c>
    </row>
    <row r="515" spans="1:9" ht="16.5">
      <c r="A515" s="1840" t="s">
        <v>1218</v>
      </c>
      <c r="B515" s="1841" t="s">
        <v>7205</v>
      </c>
      <c r="C515" s="1842" t="s">
        <v>6757</v>
      </c>
      <c r="D515" s="1852"/>
      <c r="E515" s="1852"/>
      <c r="F515" s="1853">
        <f t="shared" si="15"/>
        <v>0</v>
      </c>
      <c r="G515" s="1843">
        <f t="shared" si="14"/>
        <v>0</v>
      </c>
      <c r="H515" s="1173">
        <v>0.4385</v>
      </c>
      <c r="I515" s="3121" t="s">
        <v>0</v>
      </c>
    </row>
    <row r="516" spans="1:9" ht="16.5">
      <c r="A516" s="1840" t="s">
        <v>1219</v>
      </c>
      <c r="B516" s="1841" t="s">
        <v>7206</v>
      </c>
      <c r="C516" s="1842" t="s">
        <v>6757</v>
      </c>
      <c r="D516" s="1852"/>
      <c r="E516" s="1852"/>
      <c r="F516" s="1853">
        <f t="shared" si="15"/>
        <v>0</v>
      </c>
      <c r="G516" s="1843">
        <f t="shared" ref="G516:G579" si="16">IF($F$1334=0,0,F516/$F$1334)</f>
        <v>0</v>
      </c>
      <c r="H516" s="1173">
        <v>0.27810000000000001</v>
      </c>
      <c r="I516" s="3121" t="s">
        <v>0</v>
      </c>
    </row>
    <row r="517" spans="1:9" ht="16.5">
      <c r="A517" s="1840" t="s">
        <v>1220</v>
      </c>
      <c r="B517" s="1841" t="s">
        <v>7207</v>
      </c>
      <c r="C517" s="1842" t="s">
        <v>6757</v>
      </c>
      <c r="D517" s="1852"/>
      <c r="E517" s="1852"/>
      <c r="F517" s="1853">
        <f t="shared" ref="F517:F580" si="17">D517*E517</f>
        <v>0</v>
      </c>
      <c r="G517" s="1843">
        <f t="shared" si="16"/>
        <v>0</v>
      </c>
      <c r="H517" s="1173">
        <v>0.44030000000000002</v>
      </c>
      <c r="I517" s="3121" t="s">
        <v>0</v>
      </c>
    </row>
    <row r="518" spans="1:9" ht="16.5">
      <c r="A518" s="1840" t="s">
        <v>1221</v>
      </c>
      <c r="B518" s="1841" t="s">
        <v>7208</v>
      </c>
      <c r="C518" s="1842" t="s">
        <v>6757</v>
      </c>
      <c r="D518" s="1852"/>
      <c r="E518" s="1852"/>
      <c r="F518" s="1853">
        <f t="shared" si="17"/>
        <v>0</v>
      </c>
      <c r="G518" s="1843">
        <f t="shared" si="16"/>
        <v>0</v>
      </c>
      <c r="H518" s="1173">
        <v>0.4259</v>
      </c>
      <c r="I518" s="3121" t="s">
        <v>0</v>
      </c>
    </row>
    <row r="519" spans="1:9" ht="16.5">
      <c r="A519" s="1840" t="s">
        <v>1222</v>
      </c>
      <c r="B519" s="1841" t="s">
        <v>7209</v>
      </c>
      <c r="C519" s="1842" t="s">
        <v>6757</v>
      </c>
      <c r="D519" s="1852"/>
      <c r="E519" s="1852"/>
      <c r="F519" s="1853">
        <f t="shared" si="17"/>
        <v>0</v>
      </c>
      <c r="G519" s="1843">
        <f t="shared" si="16"/>
        <v>0</v>
      </c>
      <c r="H519" s="1173">
        <v>0.65710000000000002</v>
      </c>
      <c r="I519" s="3121" t="s">
        <v>0</v>
      </c>
    </row>
    <row r="520" spans="1:9" ht="16.5">
      <c r="A520" s="1840" t="s">
        <v>1223</v>
      </c>
      <c r="B520" s="1841" t="s">
        <v>7210</v>
      </c>
      <c r="C520" s="1842" t="s">
        <v>6757</v>
      </c>
      <c r="D520" s="1852"/>
      <c r="E520" s="1852"/>
      <c r="F520" s="1853">
        <f t="shared" si="17"/>
        <v>0</v>
      </c>
      <c r="G520" s="1843">
        <f t="shared" si="16"/>
        <v>0</v>
      </c>
      <c r="H520" s="1173">
        <v>0.4627</v>
      </c>
      <c r="I520" s="3121" t="s">
        <v>0</v>
      </c>
    </row>
    <row r="521" spans="1:9" ht="16.5">
      <c r="A521" s="1840" t="s">
        <v>1224</v>
      </c>
      <c r="B521" s="1841" t="s">
        <v>7211</v>
      </c>
      <c r="C521" s="1842" t="s">
        <v>6757</v>
      </c>
      <c r="D521" s="1852"/>
      <c r="E521" s="1852"/>
      <c r="F521" s="1853">
        <f t="shared" si="17"/>
        <v>0</v>
      </c>
      <c r="G521" s="1843">
        <f t="shared" si="16"/>
        <v>0</v>
      </c>
      <c r="H521" s="1173">
        <v>0.56059999999999999</v>
      </c>
      <c r="I521" s="3121" t="s">
        <v>0</v>
      </c>
    </row>
    <row r="522" spans="1:9" ht="16.5">
      <c r="A522" s="1840" t="s">
        <v>1225</v>
      </c>
      <c r="B522" s="1841" t="s">
        <v>7212</v>
      </c>
      <c r="C522" s="1842" t="s">
        <v>6757</v>
      </c>
      <c r="D522" s="1852"/>
      <c r="E522" s="1852"/>
      <c r="F522" s="1853">
        <f t="shared" si="17"/>
        <v>0</v>
      </c>
      <c r="G522" s="1843">
        <f t="shared" si="16"/>
        <v>0</v>
      </c>
      <c r="H522" s="1173">
        <v>0.61619999999999997</v>
      </c>
      <c r="I522" s="3121" t="s">
        <v>0</v>
      </c>
    </row>
    <row r="523" spans="1:9" ht="16.5">
      <c r="A523" s="1840" t="s">
        <v>1226</v>
      </c>
      <c r="B523" s="1841" t="s">
        <v>7213</v>
      </c>
      <c r="C523" s="1842" t="s">
        <v>6757</v>
      </c>
      <c r="D523" s="1852"/>
      <c r="E523" s="1852"/>
      <c r="F523" s="1853">
        <f t="shared" si="17"/>
        <v>0</v>
      </c>
      <c r="G523" s="1843">
        <f t="shared" si="16"/>
        <v>0</v>
      </c>
      <c r="H523" s="1173">
        <v>0.50829999999999997</v>
      </c>
      <c r="I523" s="3121" t="s">
        <v>0</v>
      </c>
    </row>
    <row r="524" spans="1:9" ht="16.5">
      <c r="A524" s="1840" t="s">
        <v>1227</v>
      </c>
      <c r="B524" s="1841" t="s">
        <v>7214</v>
      </c>
      <c r="C524" s="1842" t="s">
        <v>6757</v>
      </c>
      <c r="D524" s="1852"/>
      <c r="E524" s="1852"/>
      <c r="F524" s="1853">
        <f t="shared" si="17"/>
        <v>0</v>
      </c>
      <c r="G524" s="1843">
        <f t="shared" si="16"/>
        <v>0</v>
      </c>
      <c r="H524" s="1173">
        <v>0.58320000000000005</v>
      </c>
      <c r="I524" s="3121" t="s">
        <v>0</v>
      </c>
    </row>
    <row r="525" spans="1:9" ht="16.5">
      <c r="A525" s="1840" t="s">
        <v>3197</v>
      </c>
      <c r="B525" s="1841" t="s">
        <v>7215</v>
      </c>
      <c r="C525" s="1842" t="s">
        <v>6757</v>
      </c>
      <c r="D525" s="1852"/>
      <c r="E525" s="1852"/>
      <c r="F525" s="1853">
        <f t="shared" si="17"/>
        <v>0</v>
      </c>
      <c r="G525" s="1843">
        <f t="shared" si="16"/>
        <v>0</v>
      </c>
      <c r="H525" s="1173">
        <v>0.33029999999999998</v>
      </c>
      <c r="I525" s="3121" t="s">
        <v>0</v>
      </c>
    </row>
    <row r="526" spans="1:9" ht="16.5">
      <c r="A526" s="1840" t="s">
        <v>6088</v>
      </c>
      <c r="B526" s="1841" t="s">
        <v>7216</v>
      </c>
      <c r="C526" s="1842" t="s">
        <v>6757</v>
      </c>
      <c r="D526" s="1852"/>
      <c r="E526" s="1852"/>
      <c r="F526" s="1853">
        <f t="shared" si="17"/>
        <v>0</v>
      </c>
      <c r="G526" s="1843">
        <f t="shared" si="16"/>
        <v>0</v>
      </c>
      <c r="H526" s="1173">
        <v>1</v>
      </c>
      <c r="I526" s="3121" t="s">
        <v>6890</v>
      </c>
    </row>
    <row r="527" spans="1:9" ht="16.5">
      <c r="A527" s="1840" t="s">
        <v>1228</v>
      </c>
      <c r="B527" s="1841" t="s">
        <v>7217</v>
      </c>
      <c r="C527" s="1842" t="s">
        <v>6757</v>
      </c>
      <c r="D527" s="1852"/>
      <c r="E527" s="1852"/>
      <c r="F527" s="1853">
        <f t="shared" si="17"/>
        <v>0</v>
      </c>
      <c r="G527" s="1843">
        <f t="shared" si="16"/>
        <v>0</v>
      </c>
      <c r="H527" s="1173">
        <v>0.2747</v>
      </c>
      <c r="I527" s="3121" t="s">
        <v>0</v>
      </c>
    </row>
    <row r="528" spans="1:9" ht="16.5">
      <c r="A528" s="1840" t="s">
        <v>1229</v>
      </c>
      <c r="B528" s="1841" t="s">
        <v>7218</v>
      </c>
      <c r="C528" s="1842" t="s">
        <v>6757</v>
      </c>
      <c r="D528" s="1852"/>
      <c r="E528" s="1852"/>
      <c r="F528" s="1853">
        <f t="shared" si="17"/>
        <v>0</v>
      </c>
      <c r="G528" s="1843">
        <f t="shared" si="16"/>
        <v>0</v>
      </c>
      <c r="H528" s="1173">
        <v>0.52380000000000004</v>
      </c>
      <c r="I528" s="3121" t="s">
        <v>0</v>
      </c>
    </row>
    <row r="529" spans="1:9" ht="16.5">
      <c r="A529" s="1840" t="s">
        <v>1230</v>
      </c>
      <c r="B529" s="1841" t="s">
        <v>7219</v>
      </c>
      <c r="C529" s="1842" t="s">
        <v>6757</v>
      </c>
      <c r="D529" s="1852"/>
      <c r="E529" s="1852"/>
      <c r="F529" s="1853">
        <f t="shared" si="17"/>
        <v>0</v>
      </c>
      <c r="G529" s="1843">
        <f t="shared" si="16"/>
        <v>0</v>
      </c>
      <c r="H529" s="1173">
        <v>0.4214</v>
      </c>
      <c r="I529" s="3121" t="s">
        <v>0</v>
      </c>
    </row>
    <row r="530" spans="1:9" ht="16.5">
      <c r="A530" s="1840" t="s">
        <v>1231</v>
      </c>
      <c r="B530" s="1841" t="s">
        <v>7220</v>
      </c>
      <c r="C530" s="1842" t="s">
        <v>6757</v>
      </c>
      <c r="D530" s="1852"/>
      <c r="E530" s="1852"/>
      <c r="F530" s="1853">
        <f t="shared" si="17"/>
        <v>0</v>
      </c>
      <c r="G530" s="1843">
        <f t="shared" si="16"/>
        <v>0</v>
      </c>
      <c r="H530" s="1173">
        <v>0.57079999999999997</v>
      </c>
      <c r="I530" s="3121" t="s">
        <v>0</v>
      </c>
    </row>
    <row r="531" spans="1:9" ht="16.5">
      <c r="A531" s="1840" t="s">
        <v>1232</v>
      </c>
      <c r="B531" s="1841" t="s">
        <v>7221</v>
      </c>
      <c r="C531" s="1842" t="s">
        <v>6757</v>
      </c>
      <c r="D531" s="1852"/>
      <c r="E531" s="1852"/>
      <c r="F531" s="1853">
        <f t="shared" si="17"/>
        <v>0</v>
      </c>
      <c r="G531" s="1843">
        <f t="shared" si="16"/>
        <v>0</v>
      </c>
      <c r="H531" s="1173">
        <v>0.13869999999999999</v>
      </c>
      <c r="I531" s="3121" t="s">
        <v>0</v>
      </c>
    </row>
    <row r="532" spans="1:9" ht="16.5">
      <c r="A532" s="1840" t="s">
        <v>1233</v>
      </c>
      <c r="B532" s="1841" t="s">
        <v>7222</v>
      </c>
      <c r="C532" s="1842" t="s">
        <v>6757</v>
      </c>
      <c r="D532" s="1852"/>
      <c r="E532" s="1852"/>
      <c r="F532" s="1853">
        <f t="shared" si="17"/>
        <v>0</v>
      </c>
      <c r="G532" s="1843">
        <f t="shared" si="16"/>
        <v>0</v>
      </c>
      <c r="H532" s="1173">
        <v>0.35870000000000002</v>
      </c>
      <c r="I532" s="3121" t="s">
        <v>0</v>
      </c>
    </row>
    <row r="533" spans="1:9" ht="16.5">
      <c r="A533" s="1840" t="s">
        <v>1234</v>
      </c>
      <c r="B533" s="1841" t="s">
        <v>7223</v>
      </c>
      <c r="C533" s="1842" t="s">
        <v>6757</v>
      </c>
      <c r="D533" s="1852"/>
      <c r="E533" s="1852"/>
      <c r="F533" s="1853">
        <f t="shared" si="17"/>
        <v>0</v>
      </c>
      <c r="G533" s="1843">
        <f t="shared" si="16"/>
        <v>0</v>
      </c>
      <c r="H533" s="1173">
        <v>0.50119999999999998</v>
      </c>
      <c r="I533" s="3121" t="s">
        <v>0</v>
      </c>
    </row>
    <row r="534" spans="1:9" ht="16.5">
      <c r="A534" s="1840" t="s">
        <v>1235</v>
      </c>
      <c r="B534" s="1841" t="s">
        <v>7224</v>
      </c>
      <c r="C534" s="1842" t="s">
        <v>6757</v>
      </c>
      <c r="D534" s="1852"/>
      <c r="E534" s="1852"/>
      <c r="F534" s="1853">
        <f t="shared" si="17"/>
        <v>0</v>
      </c>
      <c r="G534" s="1843">
        <f t="shared" si="16"/>
        <v>0</v>
      </c>
      <c r="H534" s="1173">
        <v>0.309</v>
      </c>
      <c r="I534" s="3121" t="s">
        <v>0</v>
      </c>
    </row>
    <row r="535" spans="1:9" ht="16.5">
      <c r="A535" s="1840" t="s">
        <v>1236</v>
      </c>
      <c r="B535" s="1841" t="s">
        <v>7225</v>
      </c>
      <c r="C535" s="1842" t="s">
        <v>6757</v>
      </c>
      <c r="D535" s="1852"/>
      <c r="E535" s="1852"/>
      <c r="F535" s="1853">
        <f t="shared" si="17"/>
        <v>0</v>
      </c>
      <c r="G535" s="1843">
        <f t="shared" si="16"/>
        <v>0</v>
      </c>
      <c r="H535" s="1173">
        <v>0.49020000000000002</v>
      </c>
      <c r="I535" s="3121" t="s">
        <v>0</v>
      </c>
    </row>
    <row r="536" spans="1:9" ht="16.5">
      <c r="A536" s="1840" t="s">
        <v>1237</v>
      </c>
      <c r="B536" s="1841" t="s">
        <v>7226</v>
      </c>
      <c r="C536" s="1842" t="s">
        <v>6757</v>
      </c>
      <c r="D536" s="1852"/>
      <c r="E536" s="1852"/>
      <c r="F536" s="1853">
        <f t="shared" si="17"/>
        <v>0</v>
      </c>
      <c r="G536" s="1843">
        <f t="shared" si="16"/>
        <v>0</v>
      </c>
      <c r="H536" s="1173">
        <v>0.48620000000000002</v>
      </c>
      <c r="I536" s="3121" t="s">
        <v>0</v>
      </c>
    </row>
    <row r="537" spans="1:9" ht="16.5">
      <c r="A537" s="1840" t="s">
        <v>1238</v>
      </c>
      <c r="B537" s="1841" t="s">
        <v>7227</v>
      </c>
      <c r="C537" s="1842" t="s">
        <v>6757</v>
      </c>
      <c r="D537" s="1852"/>
      <c r="E537" s="1852"/>
      <c r="F537" s="1853">
        <f t="shared" si="17"/>
        <v>0</v>
      </c>
      <c r="G537" s="1843">
        <f t="shared" si="16"/>
        <v>0</v>
      </c>
      <c r="H537" s="1173">
        <v>0.54990000000000006</v>
      </c>
      <c r="I537" s="3121" t="s">
        <v>0</v>
      </c>
    </row>
    <row r="538" spans="1:9" ht="16.5">
      <c r="A538" s="1840" t="s">
        <v>1239</v>
      </c>
      <c r="B538" s="1841" t="s">
        <v>7228</v>
      </c>
      <c r="C538" s="1842" t="s">
        <v>6757</v>
      </c>
      <c r="D538" s="1852"/>
      <c r="E538" s="1852"/>
      <c r="F538" s="1853">
        <f t="shared" si="17"/>
        <v>0</v>
      </c>
      <c r="G538" s="1843">
        <f t="shared" si="16"/>
        <v>0</v>
      </c>
      <c r="H538" s="1173">
        <v>0.45839999999999997</v>
      </c>
      <c r="I538" s="3121" t="s">
        <v>0</v>
      </c>
    </row>
    <row r="539" spans="1:9" ht="16.5">
      <c r="A539" s="1840" t="s">
        <v>1240</v>
      </c>
      <c r="B539" s="1841" t="s">
        <v>7229</v>
      </c>
      <c r="C539" s="1842" t="s">
        <v>6757</v>
      </c>
      <c r="D539" s="1852"/>
      <c r="E539" s="1852"/>
      <c r="F539" s="1853">
        <f t="shared" si="17"/>
        <v>0</v>
      </c>
      <c r="G539" s="1843">
        <f t="shared" si="16"/>
        <v>0</v>
      </c>
      <c r="H539" s="1173">
        <v>0.44619999999999999</v>
      </c>
      <c r="I539" s="3121" t="s">
        <v>0</v>
      </c>
    </row>
    <row r="540" spans="1:9" ht="16.5">
      <c r="A540" s="1840" t="s">
        <v>1241</v>
      </c>
      <c r="B540" s="1841" t="s">
        <v>7230</v>
      </c>
      <c r="C540" s="1842" t="s">
        <v>6757</v>
      </c>
      <c r="D540" s="1852"/>
      <c r="E540" s="1852"/>
      <c r="F540" s="1853">
        <f t="shared" si="17"/>
        <v>0</v>
      </c>
      <c r="G540" s="1843">
        <f t="shared" si="16"/>
        <v>0</v>
      </c>
      <c r="H540" s="1173">
        <v>0.47060000000000002</v>
      </c>
      <c r="I540" s="3121" t="s">
        <v>0</v>
      </c>
    </row>
    <row r="541" spans="1:9" ht="16.5">
      <c r="A541" s="1840" t="s">
        <v>1242</v>
      </c>
      <c r="B541" s="1841" t="s">
        <v>7231</v>
      </c>
      <c r="C541" s="1842" t="s">
        <v>6757</v>
      </c>
      <c r="D541" s="1852"/>
      <c r="E541" s="1852"/>
      <c r="F541" s="1853">
        <f t="shared" si="17"/>
        <v>0</v>
      </c>
      <c r="G541" s="1843">
        <f t="shared" si="16"/>
        <v>0</v>
      </c>
      <c r="H541" s="1173">
        <v>0.68979999999999997</v>
      </c>
      <c r="I541" s="3121" t="s">
        <v>0</v>
      </c>
    </row>
    <row r="542" spans="1:9" ht="16.5">
      <c r="A542" s="1840" t="s">
        <v>1243</v>
      </c>
      <c r="B542" s="1841" t="s">
        <v>7232</v>
      </c>
      <c r="C542" s="1842" t="s">
        <v>6757</v>
      </c>
      <c r="D542" s="1852"/>
      <c r="E542" s="1852"/>
      <c r="F542" s="1853">
        <f t="shared" si="17"/>
        <v>0</v>
      </c>
      <c r="G542" s="1843">
        <f t="shared" si="16"/>
        <v>0</v>
      </c>
      <c r="H542" s="1173">
        <v>0.3337</v>
      </c>
      <c r="I542" s="3121" t="s">
        <v>0</v>
      </c>
    </row>
    <row r="543" spans="1:9" ht="16.5">
      <c r="A543" s="1840" t="s">
        <v>1244</v>
      </c>
      <c r="B543" s="1841" t="s">
        <v>7233</v>
      </c>
      <c r="C543" s="1842" t="s">
        <v>6757</v>
      </c>
      <c r="D543" s="1852"/>
      <c r="E543" s="1852"/>
      <c r="F543" s="1853">
        <f t="shared" si="17"/>
        <v>0</v>
      </c>
      <c r="G543" s="1843">
        <f t="shared" si="16"/>
        <v>0</v>
      </c>
      <c r="H543" s="1173">
        <v>0.49149999999999999</v>
      </c>
      <c r="I543" s="3121" t="s">
        <v>0</v>
      </c>
    </row>
    <row r="544" spans="1:9" ht="16.5">
      <c r="A544" s="1840" t="s">
        <v>1245</v>
      </c>
      <c r="B544" s="1841" t="s">
        <v>7234</v>
      </c>
      <c r="C544" s="1842" t="s">
        <v>6757</v>
      </c>
      <c r="D544" s="1852"/>
      <c r="E544" s="1852"/>
      <c r="F544" s="1853">
        <f t="shared" si="17"/>
        <v>0</v>
      </c>
      <c r="G544" s="1843">
        <f t="shared" si="16"/>
        <v>0</v>
      </c>
      <c r="H544" s="1173">
        <v>0.71260000000000001</v>
      </c>
      <c r="I544" s="3121" t="s">
        <v>0</v>
      </c>
    </row>
    <row r="545" spans="1:9" ht="16.5">
      <c r="A545" s="1840" t="s">
        <v>1246</v>
      </c>
      <c r="B545" s="1841" t="s">
        <v>7235</v>
      </c>
      <c r="C545" s="1842" t="s">
        <v>6757</v>
      </c>
      <c r="D545" s="1852"/>
      <c r="E545" s="1852"/>
      <c r="F545" s="1853">
        <f t="shared" si="17"/>
        <v>0</v>
      </c>
      <c r="G545" s="1843">
        <f t="shared" si="16"/>
        <v>0</v>
      </c>
      <c r="H545" s="1173">
        <v>0.7863</v>
      </c>
      <c r="I545" s="3121" t="s">
        <v>0</v>
      </c>
    </row>
    <row r="546" spans="1:9" ht="16.5">
      <c r="A546" s="1840" t="s">
        <v>1247</v>
      </c>
      <c r="B546" s="1841" t="s">
        <v>7236</v>
      </c>
      <c r="C546" s="1842" t="s">
        <v>6757</v>
      </c>
      <c r="D546" s="1852"/>
      <c r="E546" s="1852"/>
      <c r="F546" s="1853">
        <f t="shared" si="17"/>
        <v>0</v>
      </c>
      <c r="G546" s="1843">
        <f t="shared" si="16"/>
        <v>0</v>
      </c>
      <c r="H546" s="1173">
        <v>0.68700000000000006</v>
      </c>
      <c r="I546" s="3121" t="s">
        <v>0</v>
      </c>
    </row>
    <row r="547" spans="1:9" ht="16.5">
      <c r="A547" s="1840" t="s">
        <v>1248</v>
      </c>
      <c r="B547" s="1841" t="s">
        <v>7237</v>
      </c>
      <c r="C547" s="1842" t="s">
        <v>6757</v>
      </c>
      <c r="D547" s="1852"/>
      <c r="E547" s="1852"/>
      <c r="F547" s="1853">
        <f t="shared" si="17"/>
        <v>0</v>
      </c>
      <c r="G547" s="1843">
        <f t="shared" si="16"/>
        <v>0</v>
      </c>
      <c r="H547" s="1173">
        <v>0.3977</v>
      </c>
      <c r="I547" s="3121" t="s">
        <v>0</v>
      </c>
    </row>
    <row r="548" spans="1:9" ht="16.5">
      <c r="A548" s="1840" t="s">
        <v>1249</v>
      </c>
      <c r="B548" s="1841" t="s">
        <v>7238</v>
      </c>
      <c r="C548" s="1842" t="s">
        <v>6757</v>
      </c>
      <c r="D548" s="1852"/>
      <c r="E548" s="1852"/>
      <c r="F548" s="1853">
        <f t="shared" si="17"/>
        <v>0</v>
      </c>
      <c r="G548" s="1843">
        <f t="shared" si="16"/>
        <v>0</v>
      </c>
      <c r="H548" s="1173">
        <v>0.76229999999999998</v>
      </c>
      <c r="I548" s="3121" t="s">
        <v>0</v>
      </c>
    </row>
    <row r="549" spans="1:9" ht="16.5">
      <c r="A549" s="1840" t="s">
        <v>1250</v>
      </c>
      <c r="B549" s="1841" t="s">
        <v>7239</v>
      </c>
      <c r="C549" s="1842" t="s">
        <v>6757</v>
      </c>
      <c r="D549" s="1852"/>
      <c r="E549" s="1852"/>
      <c r="F549" s="1853">
        <f t="shared" si="17"/>
        <v>0</v>
      </c>
      <c r="G549" s="1843">
        <f t="shared" si="16"/>
        <v>0</v>
      </c>
      <c r="H549" s="1173">
        <v>0.31819999999999998</v>
      </c>
      <c r="I549" s="3121" t="s">
        <v>0</v>
      </c>
    </row>
    <row r="550" spans="1:9" ht="16.5">
      <c r="A550" s="1840" t="s">
        <v>1251</v>
      </c>
      <c r="B550" s="1841" t="s">
        <v>7240</v>
      </c>
      <c r="C550" s="1842" t="s">
        <v>6757</v>
      </c>
      <c r="D550" s="1852"/>
      <c r="E550" s="1852"/>
      <c r="F550" s="1853">
        <f t="shared" si="17"/>
        <v>0</v>
      </c>
      <c r="G550" s="1843">
        <f t="shared" si="16"/>
        <v>0</v>
      </c>
      <c r="H550" s="1173">
        <v>0.40920000000000001</v>
      </c>
      <c r="I550" s="3121" t="s">
        <v>0</v>
      </c>
    </row>
    <row r="551" spans="1:9" ht="16.5">
      <c r="A551" s="1840" t="s">
        <v>1252</v>
      </c>
      <c r="B551" s="1841" t="s">
        <v>7241</v>
      </c>
      <c r="C551" s="1842" t="s">
        <v>6757</v>
      </c>
      <c r="D551" s="1852"/>
      <c r="E551" s="1852"/>
      <c r="F551" s="1853">
        <f t="shared" si="17"/>
        <v>0</v>
      </c>
      <c r="G551" s="1843">
        <f t="shared" si="16"/>
        <v>0</v>
      </c>
      <c r="H551" s="1173">
        <v>0.4854</v>
      </c>
      <c r="I551" s="3121" t="s">
        <v>0</v>
      </c>
    </row>
    <row r="552" spans="1:9" ht="16.5">
      <c r="A552" s="1840" t="s">
        <v>1253</v>
      </c>
      <c r="B552" s="1841" t="s">
        <v>7242</v>
      </c>
      <c r="C552" s="1842" t="s">
        <v>6757</v>
      </c>
      <c r="D552" s="1852"/>
      <c r="E552" s="1852"/>
      <c r="F552" s="1853">
        <f t="shared" si="17"/>
        <v>0</v>
      </c>
      <c r="G552" s="1843">
        <f t="shared" si="16"/>
        <v>0</v>
      </c>
      <c r="H552" s="1173">
        <v>0.36430000000000001</v>
      </c>
      <c r="I552" s="3121" t="s">
        <v>0</v>
      </c>
    </row>
    <row r="553" spans="1:9" ht="16.5">
      <c r="A553" s="1840" t="s">
        <v>1254</v>
      </c>
      <c r="B553" s="1841" t="s">
        <v>7243</v>
      </c>
      <c r="C553" s="1842" t="s">
        <v>6757</v>
      </c>
      <c r="D553" s="1852"/>
      <c r="E553" s="1852"/>
      <c r="F553" s="1853">
        <f t="shared" si="17"/>
        <v>0</v>
      </c>
      <c r="G553" s="1843">
        <f t="shared" si="16"/>
        <v>0</v>
      </c>
      <c r="H553" s="1173">
        <v>0.52159999999999995</v>
      </c>
      <c r="I553" s="3121" t="s">
        <v>0</v>
      </c>
    </row>
    <row r="554" spans="1:9" ht="16.5">
      <c r="A554" s="1840" t="s">
        <v>1255</v>
      </c>
      <c r="B554" s="1841" t="s">
        <v>7244</v>
      </c>
      <c r="C554" s="1842" t="s">
        <v>6757</v>
      </c>
      <c r="D554" s="1852"/>
      <c r="E554" s="1852"/>
      <c r="F554" s="1853">
        <f t="shared" si="17"/>
        <v>0</v>
      </c>
      <c r="G554" s="1843">
        <f t="shared" si="16"/>
        <v>0</v>
      </c>
      <c r="H554" s="1173">
        <v>0.6452</v>
      </c>
      <c r="I554" s="3121" t="s">
        <v>0</v>
      </c>
    </row>
    <row r="555" spans="1:9" ht="16.5">
      <c r="A555" s="1840" t="s">
        <v>1256</v>
      </c>
      <c r="B555" s="1841" t="s">
        <v>7245</v>
      </c>
      <c r="C555" s="1842" t="s">
        <v>6757</v>
      </c>
      <c r="D555" s="1852"/>
      <c r="E555" s="1852"/>
      <c r="F555" s="1853">
        <f t="shared" si="17"/>
        <v>0</v>
      </c>
      <c r="G555" s="1843">
        <f t="shared" si="16"/>
        <v>0</v>
      </c>
      <c r="H555" s="1173">
        <v>0.33239999999999997</v>
      </c>
      <c r="I555" s="3121" t="s">
        <v>0</v>
      </c>
    </row>
    <row r="556" spans="1:9" ht="16.5">
      <c r="A556" s="1840" t="s">
        <v>1257</v>
      </c>
      <c r="B556" s="1841" t="s">
        <v>7246</v>
      </c>
      <c r="C556" s="1842" t="s">
        <v>6757</v>
      </c>
      <c r="D556" s="1852"/>
      <c r="E556" s="1852"/>
      <c r="F556" s="1853">
        <f t="shared" si="17"/>
        <v>0</v>
      </c>
      <c r="G556" s="1843">
        <f t="shared" si="16"/>
        <v>0</v>
      </c>
      <c r="H556" s="1173">
        <v>0.40239999999999998</v>
      </c>
      <c r="I556" s="3121" t="s">
        <v>0</v>
      </c>
    </row>
    <row r="557" spans="1:9" ht="16.5">
      <c r="A557" s="1840" t="s">
        <v>1258</v>
      </c>
      <c r="B557" s="1841" t="s">
        <v>7247</v>
      </c>
      <c r="C557" s="1842" t="s">
        <v>6757</v>
      </c>
      <c r="D557" s="1852"/>
      <c r="E557" s="1852"/>
      <c r="F557" s="1853">
        <f t="shared" si="17"/>
        <v>0</v>
      </c>
      <c r="G557" s="1843">
        <f t="shared" si="16"/>
        <v>0</v>
      </c>
      <c r="H557" s="1173">
        <v>0.26740000000000003</v>
      </c>
      <c r="I557" s="3121" t="s">
        <v>0</v>
      </c>
    </row>
    <row r="558" spans="1:9" ht="16.5">
      <c r="A558" s="1840" t="s">
        <v>1259</v>
      </c>
      <c r="B558" s="1841" t="s">
        <v>7248</v>
      </c>
      <c r="C558" s="1842" t="s">
        <v>6757</v>
      </c>
      <c r="D558" s="1852"/>
      <c r="E558" s="1852"/>
      <c r="F558" s="1853">
        <f t="shared" si="17"/>
        <v>0</v>
      </c>
      <c r="G558" s="1843">
        <f t="shared" si="16"/>
        <v>0</v>
      </c>
      <c r="H558" s="1173">
        <v>0.36980000000000002</v>
      </c>
      <c r="I558" s="3121" t="s">
        <v>0</v>
      </c>
    </row>
    <row r="559" spans="1:9" ht="16.5">
      <c r="A559" s="1840" t="s">
        <v>1260</v>
      </c>
      <c r="B559" s="1841" t="s">
        <v>7249</v>
      </c>
      <c r="C559" s="1842" t="s">
        <v>6757</v>
      </c>
      <c r="D559" s="1852"/>
      <c r="E559" s="1852"/>
      <c r="F559" s="1853">
        <f t="shared" si="17"/>
        <v>0</v>
      </c>
      <c r="G559" s="1843">
        <f t="shared" si="16"/>
        <v>0</v>
      </c>
      <c r="H559" s="1173">
        <v>0.1893</v>
      </c>
      <c r="I559" s="3121" t="s">
        <v>0</v>
      </c>
    </row>
    <row r="560" spans="1:9" ht="16.5">
      <c r="A560" s="1840" t="s">
        <v>1261</v>
      </c>
      <c r="B560" s="1841" t="s">
        <v>7250</v>
      </c>
      <c r="C560" s="1842" t="s">
        <v>6757</v>
      </c>
      <c r="D560" s="1852"/>
      <c r="E560" s="1852"/>
      <c r="F560" s="1853">
        <f t="shared" si="17"/>
        <v>0</v>
      </c>
      <c r="G560" s="1843">
        <f t="shared" si="16"/>
        <v>0</v>
      </c>
      <c r="H560" s="1173">
        <v>0.4158</v>
      </c>
      <c r="I560" s="3121" t="s">
        <v>0</v>
      </c>
    </row>
    <row r="561" spans="1:9" ht="16.5">
      <c r="A561" s="1840" t="s">
        <v>1262</v>
      </c>
      <c r="B561" s="1841" t="s">
        <v>7251</v>
      </c>
      <c r="C561" s="1842" t="s">
        <v>6757</v>
      </c>
      <c r="D561" s="1852"/>
      <c r="E561" s="1852"/>
      <c r="F561" s="1853">
        <f t="shared" si="17"/>
        <v>0</v>
      </c>
      <c r="G561" s="1843">
        <f t="shared" si="16"/>
        <v>0</v>
      </c>
      <c r="H561" s="1173">
        <v>0.42780000000000001</v>
      </c>
      <c r="I561" s="3121" t="s">
        <v>0</v>
      </c>
    </row>
    <row r="562" spans="1:9" ht="16.5">
      <c r="A562" s="1840" t="s">
        <v>1263</v>
      </c>
      <c r="B562" s="1841" t="s">
        <v>7252</v>
      </c>
      <c r="C562" s="1842" t="s">
        <v>6757</v>
      </c>
      <c r="D562" s="1852"/>
      <c r="E562" s="1852"/>
      <c r="F562" s="1853">
        <f t="shared" si="17"/>
        <v>0</v>
      </c>
      <c r="G562" s="1843">
        <f t="shared" si="16"/>
        <v>0</v>
      </c>
      <c r="H562" s="1173">
        <v>5.67E-2</v>
      </c>
      <c r="I562" s="3121" t="s">
        <v>0</v>
      </c>
    </row>
    <row r="563" spans="1:9" ht="16.5">
      <c r="A563" s="1840" t="s">
        <v>1264</v>
      </c>
      <c r="B563" s="1841" t="s">
        <v>7253</v>
      </c>
      <c r="C563" s="1842" t="s">
        <v>6757</v>
      </c>
      <c r="D563" s="1852"/>
      <c r="E563" s="1852"/>
      <c r="F563" s="1853">
        <f t="shared" si="17"/>
        <v>0</v>
      </c>
      <c r="G563" s="1843">
        <f t="shared" si="16"/>
        <v>0</v>
      </c>
      <c r="H563" s="1173">
        <v>0.24199999999999999</v>
      </c>
      <c r="I563" s="3121" t="s">
        <v>0</v>
      </c>
    </row>
    <row r="564" spans="1:9" ht="16.5">
      <c r="A564" s="1840" t="s">
        <v>1265</v>
      </c>
      <c r="B564" s="1841" t="s">
        <v>7254</v>
      </c>
      <c r="C564" s="1842" t="s">
        <v>6757</v>
      </c>
      <c r="D564" s="1852"/>
      <c r="E564" s="1852"/>
      <c r="F564" s="1853">
        <f t="shared" si="17"/>
        <v>0</v>
      </c>
      <c r="G564" s="1843">
        <f t="shared" si="16"/>
        <v>0</v>
      </c>
      <c r="H564" s="1173">
        <v>0.30909999999999999</v>
      </c>
      <c r="I564" s="3121" t="s">
        <v>0</v>
      </c>
    </row>
    <row r="565" spans="1:9" ht="16.5">
      <c r="A565" s="1840" t="s">
        <v>1266</v>
      </c>
      <c r="B565" s="1841" t="s">
        <v>7255</v>
      </c>
      <c r="C565" s="1842" t="s">
        <v>6757</v>
      </c>
      <c r="D565" s="1852"/>
      <c r="E565" s="1852"/>
      <c r="F565" s="1853">
        <f t="shared" si="17"/>
        <v>0</v>
      </c>
      <c r="G565" s="1843">
        <f t="shared" si="16"/>
        <v>0</v>
      </c>
      <c r="H565" s="1173">
        <v>0.16520000000000001</v>
      </c>
      <c r="I565" s="3121" t="s">
        <v>0</v>
      </c>
    </row>
    <row r="566" spans="1:9" ht="16.5">
      <c r="A566" s="1840" t="s">
        <v>1267</v>
      </c>
      <c r="B566" s="1841" t="s">
        <v>7256</v>
      </c>
      <c r="C566" s="1842" t="s">
        <v>6757</v>
      </c>
      <c r="D566" s="1852"/>
      <c r="E566" s="1852"/>
      <c r="F566" s="1853">
        <f t="shared" si="17"/>
        <v>0</v>
      </c>
      <c r="G566" s="1843">
        <f t="shared" si="16"/>
        <v>0</v>
      </c>
      <c r="H566" s="1173">
        <v>0.52029999999999998</v>
      </c>
      <c r="I566" s="3121" t="s">
        <v>0</v>
      </c>
    </row>
    <row r="567" spans="1:9" ht="16.5">
      <c r="A567" s="1840" t="s">
        <v>1268</v>
      </c>
      <c r="B567" s="1841" t="s">
        <v>7257</v>
      </c>
      <c r="C567" s="1842" t="s">
        <v>6757</v>
      </c>
      <c r="D567" s="1852"/>
      <c r="E567" s="1852"/>
      <c r="F567" s="1853">
        <f t="shared" si="17"/>
        <v>0</v>
      </c>
      <c r="G567" s="1843">
        <f t="shared" si="16"/>
        <v>0</v>
      </c>
      <c r="H567" s="1173">
        <v>0.50270000000000004</v>
      </c>
      <c r="I567" s="3121" t="s">
        <v>0</v>
      </c>
    </row>
    <row r="568" spans="1:9" ht="16.5">
      <c r="A568" s="1840" t="s">
        <v>1269</v>
      </c>
      <c r="B568" s="1841" t="s">
        <v>7258</v>
      </c>
      <c r="C568" s="1842" t="s">
        <v>6757</v>
      </c>
      <c r="D568" s="1852"/>
      <c r="E568" s="1852"/>
      <c r="F568" s="1853">
        <f t="shared" si="17"/>
        <v>0</v>
      </c>
      <c r="G568" s="1843">
        <f t="shared" si="16"/>
        <v>0</v>
      </c>
      <c r="H568" s="1173">
        <v>1.2001999999999999</v>
      </c>
      <c r="I568" s="3121" t="s">
        <v>0</v>
      </c>
    </row>
    <row r="569" spans="1:9" ht="16.5">
      <c r="A569" s="1840" t="s">
        <v>1270</v>
      </c>
      <c r="B569" s="1841" t="s">
        <v>7259</v>
      </c>
      <c r="C569" s="1842" t="s">
        <v>6757</v>
      </c>
      <c r="D569" s="1852"/>
      <c r="E569" s="1852"/>
      <c r="F569" s="1853">
        <f t="shared" si="17"/>
        <v>0</v>
      </c>
      <c r="G569" s="1843">
        <f t="shared" si="16"/>
        <v>0</v>
      </c>
      <c r="H569" s="1173">
        <v>0.49619999999999997</v>
      </c>
      <c r="I569" s="3121" t="s">
        <v>0</v>
      </c>
    </row>
    <row r="570" spans="1:9" ht="16.5">
      <c r="A570" s="1840" t="s">
        <v>1271</v>
      </c>
      <c r="B570" s="1841" t="s">
        <v>7260</v>
      </c>
      <c r="C570" s="1842" t="s">
        <v>6757</v>
      </c>
      <c r="D570" s="1852"/>
      <c r="E570" s="1852"/>
      <c r="F570" s="1853">
        <f t="shared" si="17"/>
        <v>0</v>
      </c>
      <c r="G570" s="1843">
        <f t="shared" si="16"/>
        <v>0</v>
      </c>
      <c r="H570" s="1173">
        <v>0.20849999999999999</v>
      </c>
      <c r="I570" s="3121" t="s">
        <v>0</v>
      </c>
    </row>
    <row r="571" spans="1:9" ht="16.5">
      <c r="A571" s="1840" t="s">
        <v>3198</v>
      </c>
      <c r="B571" s="1841" t="s">
        <v>7261</v>
      </c>
      <c r="C571" s="1842" t="s">
        <v>6757</v>
      </c>
      <c r="D571" s="1852"/>
      <c r="E571" s="1852"/>
      <c r="F571" s="1853">
        <f t="shared" si="17"/>
        <v>0</v>
      </c>
      <c r="G571" s="1843">
        <f t="shared" si="16"/>
        <v>0</v>
      </c>
      <c r="H571" s="1173">
        <v>0.24210000000000001</v>
      </c>
      <c r="I571" s="3121" t="s">
        <v>0</v>
      </c>
    </row>
    <row r="572" spans="1:9" ht="16.5">
      <c r="A572" s="1840" t="s">
        <v>1272</v>
      </c>
      <c r="B572" s="1841" t="s">
        <v>7262</v>
      </c>
      <c r="C572" s="1842" t="s">
        <v>6757</v>
      </c>
      <c r="D572" s="1852"/>
      <c r="E572" s="1852"/>
      <c r="F572" s="1853">
        <f t="shared" si="17"/>
        <v>0</v>
      </c>
      <c r="G572" s="1843">
        <f t="shared" si="16"/>
        <v>0</v>
      </c>
      <c r="H572" s="1173">
        <v>0.52929999999999999</v>
      </c>
      <c r="I572" s="3121" t="s">
        <v>0</v>
      </c>
    </row>
    <row r="573" spans="1:9" ht="16.5">
      <c r="A573" s="1840" t="s">
        <v>1273</v>
      </c>
      <c r="B573" s="1841" t="s">
        <v>7263</v>
      </c>
      <c r="C573" s="1842" t="s">
        <v>6757</v>
      </c>
      <c r="D573" s="1852"/>
      <c r="E573" s="1852"/>
      <c r="F573" s="1853">
        <f t="shared" si="17"/>
        <v>0</v>
      </c>
      <c r="G573" s="1843">
        <f t="shared" si="16"/>
        <v>0</v>
      </c>
      <c r="H573" s="1173">
        <v>0.58109999999999995</v>
      </c>
      <c r="I573" s="3121" t="s">
        <v>0</v>
      </c>
    </row>
    <row r="574" spans="1:9" ht="16.5">
      <c r="A574" s="1840" t="s">
        <v>1274</v>
      </c>
      <c r="B574" s="1841" t="s">
        <v>7264</v>
      </c>
      <c r="C574" s="1842" t="s">
        <v>6757</v>
      </c>
      <c r="D574" s="1852"/>
      <c r="E574" s="1852"/>
      <c r="F574" s="1853">
        <f t="shared" si="17"/>
        <v>0</v>
      </c>
      <c r="G574" s="1843">
        <f t="shared" si="16"/>
        <v>0</v>
      </c>
      <c r="H574" s="1173">
        <v>0.59150000000000003</v>
      </c>
      <c r="I574" s="3121" t="s">
        <v>0</v>
      </c>
    </row>
    <row r="575" spans="1:9" ht="16.5">
      <c r="A575" s="1840" t="s">
        <v>1275</v>
      </c>
      <c r="B575" s="1841" t="s">
        <v>7265</v>
      </c>
      <c r="C575" s="1842" t="s">
        <v>6757</v>
      </c>
      <c r="D575" s="1852"/>
      <c r="E575" s="1852"/>
      <c r="F575" s="1853">
        <f t="shared" si="17"/>
        <v>0</v>
      </c>
      <c r="G575" s="1843">
        <f t="shared" si="16"/>
        <v>0</v>
      </c>
      <c r="H575" s="1173">
        <v>0.49909999999999999</v>
      </c>
      <c r="I575" s="3121" t="s">
        <v>0</v>
      </c>
    </row>
    <row r="576" spans="1:9" ht="16.5">
      <c r="A576" s="1840" t="s">
        <v>1276</v>
      </c>
      <c r="B576" s="1841" t="s">
        <v>7266</v>
      </c>
      <c r="C576" s="1842" t="s">
        <v>6757</v>
      </c>
      <c r="D576" s="1852"/>
      <c r="E576" s="1852"/>
      <c r="F576" s="1853">
        <f t="shared" si="17"/>
        <v>0</v>
      </c>
      <c r="G576" s="1843">
        <f t="shared" si="16"/>
        <v>0</v>
      </c>
      <c r="H576" s="1173">
        <v>0.94030000000000002</v>
      </c>
      <c r="I576" s="3121" t="s">
        <v>0</v>
      </c>
    </row>
    <row r="577" spans="1:9" ht="16.5">
      <c r="A577" s="1840" t="s">
        <v>1277</v>
      </c>
      <c r="B577" s="1841" t="s">
        <v>7267</v>
      </c>
      <c r="C577" s="1842" t="s">
        <v>6757</v>
      </c>
      <c r="D577" s="1852"/>
      <c r="E577" s="1852"/>
      <c r="F577" s="1853">
        <f t="shared" si="17"/>
        <v>0</v>
      </c>
      <c r="G577" s="1843">
        <f t="shared" si="16"/>
        <v>0</v>
      </c>
      <c r="H577" s="1173">
        <v>0.75890000000000002</v>
      </c>
      <c r="I577" s="3121" t="s">
        <v>0</v>
      </c>
    </row>
    <row r="578" spans="1:9" ht="16.5">
      <c r="A578" s="1840" t="s">
        <v>1278</v>
      </c>
      <c r="B578" s="1841" t="s">
        <v>7268</v>
      </c>
      <c r="C578" s="1842" t="s">
        <v>6757</v>
      </c>
      <c r="D578" s="1852"/>
      <c r="E578" s="1852"/>
      <c r="F578" s="1853">
        <f t="shared" si="17"/>
        <v>0</v>
      </c>
      <c r="G578" s="1843">
        <f t="shared" si="16"/>
        <v>0</v>
      </c>
      <c r="H578" s="1173">
        <v>0.70120000000000005</v>
      </c>
      <c r="I578" s="3121" t="s">
        <v>0</v>
      </c>
    </row>
    <row r="579" spans="1:9" ht="16.5">
      <c r="A579" s="1840" t="s">
        <v>1279</v>
      </c>
      <c r="B579" s="1841" t="s">
        <v>7269</v>
      </c>
      <c r="C579" s="1842" t="s">
        <v>6757</v>
      </c>
      <c r="D579" s="1852"/>
      <c r="E579" s="1852"/>
      <c r="F579" s="1853">
        <f t="shared" si="17"/>
        <v>0</v>
      </c>
      <c r="G579" s="1843">
        <f t="shared" si="16"/>
        <v>0</v>
      </c>
      <c r="H579" s="1173">
        <v>0.3931</v>
      </c>
      <c r="I579" s="3121" t="s">
        <v>0</v>
      </c>
    </row>
    <row r="580" spans="1:9" ht="16.5">
      <c r="A580" s="1840" t="s">
        <v>1280</v>
      </c>
      <c r="B580" s="1841" t="s">
        <v>7270</v>
      </c>
      <c r="C580" s="1842" t="s">
        <v>6757</v>
      </c>
      <c r="D580" s="1852"/>
      <c r="E580" s="1852"/>
      <c r="F580" s="1853">
        <f t="shared" si="17"/>
        <v>0</v>
      </c>
      <c r="G580" s="1843">
        <f t="shared" ref="G580:G643" si="18">IF($F$1334=0,0,F580/$F$1334)</f>
        <v>0</v>
      </c>
      <c r="H580" s="1173">
        <v>1.1860999999999999</v>
      </c>
      <c r="I580" s="3121" t="s">
        <v>0</v>
      </c>
    </row>
    <row r="581" spans="1:9" ht="16.5">
      <c r="A581" s="1840" t="s">
        <v>1281</v>
      </c>
      <c r="B581" s="1841" t="s">
        <v>7271</v>
      </c>
      <c r="C581" s="1842" t="s">
        <v>6757</v>
      </c>
      <c r="D581" s="1852"/>
      <c r="E581" s="1852"/>
      <c r="F581" s="1853">
        <f t="shared" ref="F581:F644" si="19">D581*E581</f>
        <v>0</v>
      </c>
      <c r="G581" s="1843">
        <f t="shared" si="18"/>
        <v>0</v>
      </c>
      <c r="H581" s="1173">
        <v>0.78159999999999996</v>
      </c>
      <c r="I581" s="3121" t="s">
        <v>0</v>
      </c>
    </row>
    <row r="582" spans="1:9" ht="16.5">
      <c r="A582" s="1840" t="s">
        <v>1282</v>
      </c>
      <c r="B582" s="1841" t="s">
        <v>7272</v>
      </c>
      <c r="C582" s="1842" t="s">
        <v>6757</v>
      </c>
      <c r="D582" s="1852"/>
      <c r="E582" s="1852"/>
      <c r="F582" s="1853">
        <f t="shared" si="19"/>
        <v>0</v>
      </c>
      <c r="G582" s="1843">
        <f t="shared" si="18"/>
        <v>0</v>
      </c>
      <c r="H582" s="1173">
        <v>0.58189999999999997</v>
      </c>
      <c r="I582" s="3121" t="s">
        <v>0</v>
      </c>
    </row>
    <row r="583" spans="1:9" ht="16.5">
      <c r="A583" s="1840" t="s">
        <v>1283</v>
      </c>
      <c r="B583" s="1841" t="s">
        <v>7273</v>
      </c>
      <c r="C583" s="1842" t="s">
        <v>6757</v>
      </c>
      <c r="D583" s="1852"/>
      <c r="E583" s="1852"/>
      <c r="F583" s="1853">
        <f t="shared" si="19"/>
        <v>0</v>
      </c>
      <c r="G583" s="1843">
        <f t="shared" si="18"/>
        <v>0</v>
      </c>
      <c r="H583" s="1173">
        <v>0.90210000000000001</v>
      </c>
      <c r="I583" s="3121" t="s">
        <v>0</v>
      </c>
    </row>
    <row r="584" spans="1:9" ht="16.5">
      <c r="A584" s="1840" t="s">
        <v>1284</v>
      </c>
      <c r="B584" s="1841" t="s">
        <v>7274</v>
      </c>
      <c r="C584" s="1842" t="s">
        <v>6757</v>
      </c>
      <c r="D584" s="1852"/>
      <c r="E584" s="1852"/>
      <c r="F584" s="1853">
        <f t="shared" si="19"/>
        <v>0</v>
      </c>
      <c r="G584" s="1843">
        <f t="shared" si="18"/>
        <v>0</v>
      </c>
      <c r="H584" s="1173">
        <v>1.3346</v>
      </c>
      <c r="I584" s="3121" t="s">
        <v>0</v>
      </c>
    </row>
    <row r="585" spans="1:9" ht="16.5">
      <c r="A585" s="1840" t="s">
        <v>1285</v>
      </c>
      <c r="B585" s="1841" t="s">
        <v>7275</v>
      </c>
      <c r="C585" s="1842" t="s">
        <v>6757</v>
      </c>
      <c r="D585" s="1852"/>
      <c r="E585" s="1852"/>
      <c r="F585" s="1853">
        <f t="shared" si="19"/>
        <v>0</v>
      </c>
      <c r="G585" s="1843">
        <f t="shared" si="18"/>
        <v>0</v>
      </c>
      <c r="H585" s="1173">
        <v>0.35520000000000002</v>
      </c>
      <c r="I585" s="3121" t="s">
        <v>0</v>
      </c>
    </row>
    <row r="586" spans="1:9" ht="16.5">
      <c r="A586" s="1840" t="s">
        <v>1286</v>
      </c>
      <c r="B586" s="1841" t="s">
        <v>7276</v>
      </c>
      <c r="C586" s="1842" t="s">
        <v>6757</v>
      </c>
      <c r="D586" s="1852"/>
      <c r="E586" s="1852"/>
      <c r="F586" s="1853">
        <f t="shared" si="19"/>
        <v>0</v>
      </c>
      <c r="G586" s="1843">
        <f t="shared" si="18"/>
        <v>0</v>
      </c>
      <c r="H586" s="1173">
        <v>0.87870000000000004</v>
      </c>
      <c r="I586" s="3121" t="s">
        <v>0</v>
      </c>
    </row>
    <row r="587" spans="1:9" ht="16.5">
      <c r="A587" s="1840" t="s">
        <v>1287</v>
      </c>
      <c r="B587" s="1841" t="s">
        <v>7277</v>
      </c>
      <c r="C587" s="1842" t="s">
        <v>6757</v>
      </c>
      <c r="D587" s="1852"/>
      <c r="E587" s="1852"/>
      <c r="F587" s="1853">
        <f t="shared" si="19"/>
        <v>0</v>
      </c>
      <c r="G587" s="1843">
        <f t="shared" si="18"/>
        <v>0</v>
      </c>
      <c r="H587" s="1173">
        <v>0.67979999999999996</v>
      </c>
      <c r="I587" s="3121" t="s">
        <v>0</v>
      </c>
    </row>
    <row r="588" spans="1:9" ht="16.5">
      <c r="A588" s="1840" t="s">
        <v>1288</v>
      </c>
      <c r="B588" s="1841" t="s">
        <v>7278</v>
      </c>
      <c r="C588" s="1842" t="s">
        <v>6757</v>
      </c>
      <c r="D588" s="1852"/>
      <c r="E588" s="1852"/>
      <c r="F588" s="1853">
        <f t="shared" si="19"/>
        <v>0</v>
      </c>
      <c r="G588" s="1843">
        <f t="shared" si="18"/>
        <v>0</v>
      </c>
      <c r="H588" s="1173">
        <v>0.62119999999999997</v>
      </c>
      <c r="I588" s="3121" t="s">
        <v>0</v>
      </c>
    </row>
    <row r="589" spans="1:9" ht="16.5">
      <c r="A589" s="1840" t="s">
        <v>1289</v>
      </c>
      <c r="B589" s="1841" t="s">
        <v>7279</v>
      </c>
      <c r="C589" s="1842" t="s">
        <v>6757</v>
      </c>
      <c r="D589" s="1852"/>
      <c r="E589" s="1852"/>
      <c r="F589" s="1853">
        <f t="shared" si="19"/>
        <v>0</v>
      </c>
      <c r="G589" s="1843">
        <f t="shared" si="18"/>
        <v>0</v>
      </c>
      <c r="H589" s="1173">
        <v>0.6069</v>
      </c>
      <c r="I589" s="3121" t="s">
        <v>0</v>
      </c>
    </row>
    <row r="590" spans="1:9" ht="16.5">
      <c r="A590" s="1840" t="s">
        <v>1290</v>
      </c>
      <c r="B590" s="1841" t="s">
        <v>7280</v>
      </c>
      <c r="C590" s="1842" t="s">
        <v>6757</v>
      </c>
      <c r="D590" s="1852"/>
      <c r="E590" s="1852"/>
      <c r="F590" s="1853">
        <f t="shared" si="19"/>
        <v>0</v>
      </c>
      <c r="G590" s="1843">
        <f t="shared" si="18"/>
        <v>0</v>
      </c>
      <c r="H590" s="1173">
        <v>0.52539999999999998</v>
      </c>
      <c r="I590" s="3121" t="s">
        <v>0</v>
      </c>
    </row>
    <row r="591" spans="1:9" ht="16.5">
      <c r="A591" s="1840" t="s">
        <v>1291</v>
      </c>
      <c r="B591" s="1841" t="s">
        <v>7281</v>
      </c>
      <c r="C591" s="1842" t="s">
        <v>6757</v>
      </c>
      <c r="D591" s="1852"/>
      <c r="E591" s="1852"/>
      <c r="F591" s="1853">
        <f t="shared" si="19"/>
        <v>0</v>
      </c>
      <c r="G591" s="1843">
        <f t="shared" si="18"/>
        <v>0</v>
      </c>
      <c r="H591" s="1173">
        <v>0.55279999999999996</v>
      </c>
      <c r="I591" s="3121" t="s">
        <v>0</v>
      </c>
    </row>
    <row r="592" spans="1:9" ht="16.5">
      <c r="A592" s="1840" t="s">
        <v>1292</v>
      </c>
      <c r="B592" s="1841" t="s">
        <v>7282</v>
      </c>
      <c r="C592" s="1842" t="s">
        <v>6757</v>
      </c>
      <c r="D592" s="1852"/>
      <c r="E592" s="1852"/>
      <c r="F592" s="1853">
        <f t="shared" si="19"/>
        <v>0</v>
      </c>
      <c r="G592" s="1843">
        <f t="shared" si="18"/>
        <v>0</v>
      </c>
      <c r="H592" s="1173">
        <v>0.35859999999999997</v>
      </c>
      <c r="I592" s="3121" t="s">
        <v>0</v>
      </c>
    </row>
    <row r="593" spans="1:9" ht="16.5">
      <c r="A593" s="1840" t="s">
        <v>1293</v>
      </c>
      <c r="B593" s="1841" t="s">
        <v>7283</v>
      </c>
      <c r="C593" s="1842" t="s">
        <v>6757</v>
      </c>
      <c r="D593" s="1852"/>
      <c r="E593" s="1852"/>
      <c r="F593" s="1853">
        <f t="shared" si="19"/>
        <v>0</v>
      </c>
      <c r="G593" s="1843">
        <f t="shared" si="18"/>
        <v>0</v>
      </c>
      <c r="H593" s="1173">
        <v>0.58189999999999997</v>
      </c>
      <c r="I593" s="3121" t="s">
        <v>0</v>
      </c>
    </row>
    <row r="594" spans="1:9" ht="16.5">
      <c r="A594" s="1840" t="s">
        <v>1294</v>
      </c>
      <c r="B594" s="1841" t="s">
        <v>7284</v>
      </c>
      <c r="C594" s="1842" t="s">
        <v>6757</v>
      </c>
      <c r="D594" s="1852"/>
      <c r="E594" s="1852"/>
      <c r="F594" s="1853">
        <f t="shared" si="19"/>
        <v>0</v>
      </c>
      <c r="G594" s="1843">
        <f t="shared" si="18"/>
        <v>0</v>
      </c>
      <c r="H594" s="1173">
        <v>0.36299999999999999</v>
      </c>
      <c r="I594" s="3121" t="s">
        <v>0</v>
      </c>
    </row>
    <row r="595" spans="1:9" ht="16.5">
      <c r="A595" s="1840" t="s">
        <v>1295</v>
      </c>
      <c r="B595" s="1841" t="s">
        <v>7285</v>
      </c>
      <c r="C595" s="1842" t="s">
        <v>6757</v>
      </c>
      <c r="D595" s="1852"/>
      <c r="E595" s="1852"/>
      <c r="F595" s="1853">
        <f t="shared" si="19"/>
        <v>0</v>
      </c>
      <c r="G595" s="1843">
        <f t="shared" si="18"/>
        <v>0</v>
      </c>
      <c r="H595" s="1173">
        <v>0.59960000000000002</v>
      </c>
      <c r="I595" s="3121" t="s">
        <v>0</v>
      </c>
    </row>
    <row r="596" spans="1:9" ht="16.5">
      <c r="A596" s="1840" t="s">
        <v>1296</v>
      </c>
      <c r="B596" s="1841" t="s">
        <v>7286</v>
      </c>
      <c r="C596" s="1842" t="s">
        <v>6757</v>
      </c>
      <c r="D596" s="1852"/>
      <c r="E596" s="1852"/>
      <c r="F596" s="1853">
        <f t="shared" si="19"/>
        <v>0</v>
      </c>
      <c r="G596" s="1843">
        <f t="shared" si="18"/>
        <v>0</v>
      </c>
      <c r="H596" s="1173">
        <v>0.93759999999999999</v>
      </c>
      <c r="I596" s="3121" t="s">
        <v>0</v>
      </c>
    </row>
    <row r="597" spans="1:9" ht="16.5">
      <c r="A597" s="1840" t="s">
        <v>1297</v>
      </c>
      <c r="B597" s="1841" t="s">
        <v>7287</v>
      </c>
      <c r="C597" s="1842" t="s">
        <v>6757</v>
      </c>
      <c r="D597" s="1852"/>
      <c r="E597" s="1852"/>
      <c r="F597" s="1853">
        <f t="shared" si="19"/>
        <v>0</v>
      </c>
      <c r="G597" s="1843">
        <f t="shared" si="18"/>
        <v>0</v>
      </c>
      <c r="H597" s="1173">
        <v>0.6159</v>
      </c>
      <c r="I597" s="3121" t="s">
        <v>0</v>
      </c>
    </row>
    <row r="598" spans="1:9" ht="16.5">
      <c r="A598" s="1840" t="s">
        <v>1298</v>
      </c>
      <c r="B598" s="1841" t="s">
        <v>7288</v>
      </c>
      <c r="C598" s="1842" t="s">
        <v>6757</v>
      </c>
      <c r="D598" s="1852"/>
      <c r="E598" s="1852"/>
      <c r="F598" s="1853">
        <f t="shared" si="19"/>
        <v>0</v>
      </c>
      <c r="G598" s="1843">
        <f t="shared" si="18"/>
        <v>0</v>
      </c>
      <c r="H598" s="1173">
        <v>0.75760000000000005</v>
      </c>
      <c r="I598" s="3121" t="s">
        <v>0</v>
      </c>
    </row>
    <row r="599" spans="1:9" ht="16.5">
      <c r="A599" s="1840" t="s">
        <v>1299</v>
      </c>
      <c r="B599" s="1841" t="s">
        <v>7289</v>
      </c>
      <c r="C599" s="1842" t="s">
        <v>6757</v>
      </c>
      <c r="D599" s="1852"/>
      <c r="E599" s="1852"/>
      <c r="F599" s="1853">
        <f t="shared" si="19"/>
        <v>0</v>
      </c>
      <c r="G599" s="1843">
        <f t="shared" si="18"/>
        <v>0</v>
      </c>
      <c r="H599" s="1173">
        <v>0.62109999999999999</v>
      </c>
      <c r="I599" s="3121" t="s">
        <v>0</v>
      </c>
    </row>
    <row r="600" spans="1:9" ht="16.5">
      <c r="A600" s="1840" t="s">
        <v>1300</v>
      </c>
      <c r="B600" s="1841" t="s">
        <v>7290</v>
      </c>
      <c r="C600" s="1842" t="s">
        <v>6757</v>
      </c>
      <c r="D600" s="1852"/>
      <c r="E600" s="1852"/>
      <c r="F600" s="1853">
        <f t="shared" si="19"/>
        <v>0</v>
      </c>
      <c r="G600" s="1843">
        <f t="shared" si="18"/>
        <v>0</v>
      </c>
      <c r="H600" s="1173">
        <v>0.57879999999999998</v>
      </c>
      <c r="I600" s="3121" t="s">
        <v>0</v>
      </c>
    </row>
    <row r="601" spans="1:9" ht="16.5">
      <c r="A601" s="1840" t="s">
        <v>1301</v>
      </c>
      <c r="B601" s="1841" t="s">
        <v>7291</v>
      </c>
      <c r="C601" s="1842" t="s">
        <v>6757</v>
      </c>
      <c r="D601" s="1852"/>
      <c r="E601" s="1852"/>
      <c r="F601" s="1853">
        <f t="shared" si="19"/>
        <v>0</v>
      </c>
      <c r="G601" s="1843">
        <f t="shared" si="18"/>
        <v>0</v>
      </c>
      <c r="H601" s="1173">
        <v>0.95</v>
      </c>
      <c r="I601" s="3121" t="s">
        <v>0</v>
      </c>
    </row>
    <row r="602" spans="1:9" ht="16.5">
      <c r="A602" s="1840" t="s">
        <v>1302</v>
      </c>
      <c r="B602" s="1841" t="s">
        <v>7292</v>
      </c>
      <c r="C602" s="1842" t="s">
        <v>6757</v>
      </c>
      <c r="D602" s="1852"/>
      <c r="E602" s="1852"/>
      <c r="F602" s="1853">
        <f t="shared" si="19"/>
        <v>0</v>
      </c>
      <c r="G602" s="1843">
        <f t="shared" si="18"/>
        <v>0</v>
      </c>
      <c r="H602" s="1173">
        <v>0.74119999999999997</v>
      </c>
      <c r="I602" s="3121" t="s">
        <v>0</v>
      </c>
    </row>
    <row r="603" spans="1:9" ht="16.5">
      <c r="A603" s="1840" t="s">
        <v>1303</v>
      </c>
      <c r="B603" s="1841" t="s">
        <v>7293</v>
      </c>
      <c r="C603" s="1842" t="s">
        <v>6757</v>
      </c>
      <c r="D603" s="1852"/>
      <c r="E603" s="1852"/>
      <c r="F603" s="1853">
        <f t="shared" si="19"/>
        <v>0</v>
      </c>
      <c r="G603" s="1843">
        <f t="shared" si="18"/>
        <v>0</v>
      </c>
      <c r="H603" s="1173">
        <v>1.1561999999999999</v>
      </c>
      <c r="I603" s="3121" t="s">
        <v>0</v>
      </c>
    </row>
    <row r="604" spans="1:9" ht="16.5">
      <c r="A604" s="1840" t="s">
        <v>1304</v>
      </c>
      <c r="B604" s="1841" t="s">
        <v>7294</v>
      </c>
      <c r="C604" s="1842" t="s">
        <v>6757</v>
      </c>
      <c r="D604" s="1852"/>
      <c r="E604" s="1852"/>
      <c r="F604" s="1853">
        <f t="shared" si="19"/>
        <v>0</v>
      </c>
      <c r="G604" s="1843">
        <f t="shared" si="18"/>
        <v>0</v>
      </c>
      <c r="H604" s="1173">
        <v>0.51519999999999999</v>
      </c>
      <c r="I604" s="3121" t="s">
        <v>0</v>
      </c>
    </row>
    <row r="605" spans="1:9" ht="16.5">
      <c r="A605" s="1840" t="s">
        <v>1305</v>
      </c>
      <c r="B605" s="1841" t="s">
        <v>7295</v>
      </c>
      <c r="C605" s="1842" t="s">
        <v>6757</v>
      </c>
      <c r="D605" s="1852"/>
      <c r="E605" s="1852"/>
      <c r="F605" s="1853">
        <f t="shared" si="19"/>
        <v>0</v>
      </c>
      <c r="G605" s="1843">
        <f t="shared" si="18"/>
        <v>0</v>
      </c>
      <c r="H605" s="1173">
        <v>0.22869999999999999</v>
      </c>
      <c r="I605" s="3121" t="s">
        <v>0</v>
      </c>
    </row>
    <row r="606" spans="1:9" ht="16.5">
      <c r="A606" s="1840" t="s">
        <v>1306</v>
      </c>
      <c r="B606" s="1841" t="s">
        <v>7296</v>
      </c>
      <c r="C606" s="1842" t="s">
        <v>6757</v>
      </c>
      <c r="D606" s="1852"/>
      <c r="E606" s="1852"/>
      <c r="F606" s="1853">
        <f t="shared" si="19"/>
        <v>0</v>
      </c>
      <c r="G606" s="1843">
        <f t="shared" si="18"/>
        <v>0</v>
      </c>
      <c r="H606" s="1173">
        <v>0.6875</v>
      </c>
      <c r="I606" s="3121" t="s">
        <v>0</v>
      </c>
    </row>
    <row r="607" spans="1:9" ht="16.5">
      <c r="A607" s="1840" t="s">
        <v>1307</v>
      </c>
      <c r="B607" s="1841" t="s">
        <v>7297</v>
      </c>
      <c r="C607" s="1842" t="s">
        <v>6757</v>
      </c>
      <c r="D607" s="1852"/>
      <c r="E607" s="1852"/>
      <c r="F607" s="1853">
        <f t="shared" si="19"/>
        <v>0</v>
      </c>
      <c r="G607" s="1843">
        <f t="shared" si="18"/>
        <v>0</v>
      </c>
      <c r="H607" s="1173">
        <v>0.67310000000000003</v>
      </c>
      <c r="I607" s="3121" t="s">
        <v>0</v>
      </c>
    </row>
    <row r="608" spans="1:9" ht="16.5">
      <c r="A608" s="1840" t="s">
        <v>1308</v>
      </c>
      <c r="B608" s="1841" t="s">
        <v>7298</v>
      </c>
      <c r="C608" s="1842" t="s">
        <v>6757</v>
      </c>
      <c r="D608" s="1852"/>
      <c r="E608" s="1852"/>
      <c r="F608" s="1853">
        <f t="shared" si="19"/>
        <v>0</v>
      </c>
      <c r="G608" s="1843">
        <f t="shared" si="18"/>
        <v>0</v>
      </c>
      <c r="H608" s="1173">
        <v>0.51190000000000002</v>
      </c>
      <c r="I608" s="3121" t="s">
        <v>0</v>
      </c>
    </row>
    <row r="609" spans="1:9" ht="16.5">
      <c r="A609" s="1840" t="s">
        <v>1309</v>
      </c>
      <c r="B609" s="1841" t="s">
        <v>7299</v>
      </c>
      <c r="C609" s="1842" t="s">
        <v>6757</v>
      </c>
      <c r="D609" s="1852"/>
      <c r="E609" s="1852"/>
      <c r="F609" s="1853">
        <f t="shared" si="19"/>
        <v>0</v>
      </c>
      <c r="G609" s="1843">
        <f t="shared" si="18"/>
        <v>0</v>
      </c>
      <c r="H609" s="1173">
        <v>0.81169999999999998</v>
      </c>
      <c r="I609" s="3121" t="s">
        <v>0</v>
      </c>
    </row>
    <row r="610" spans="1:9" ht="16.5">
      <c r="A610" s="1840" t="s">
        <v>1310</v>
      </c>
      <c r="B610" s="1841" t="s">
        <v>7300</v>
      </c>
      <c r="C610" s="1842" t="s">
        <v>6757</v>
      </c>
      <c r="D610" s="1852"/>
      <c r="E610" s="1852"/>
      <c r="F610" s="1853">
        <f t="shared" si="19"/>
        <v>0</v>
      </c>
      <c r="G610" s="1843">
        <f t="shared" si="18"/>
        <v>0</v>
      </c>
      <c r="H610" s="1173">
        <v>6.0400000000000002E-2</v>
      </c>
      <c r="I610" s="3121" t="s">
        <v>0</v>
      </c>
    </row>
    <row r="611" spans="1:9" ht="16.5">
      <c r="A611" s="1840" t="s">
        <v>1311</v>
      </c>
      <c r="B611" s="1841" t="s">
        <v>7301</v>
      </c>
      <c r="C611" s="1842" t="s">
        <v>6757</v>
      </c>
      <c r="D611" s="1852"/>
      <c r="E611" s="1852"/>
      <c r="F611" s="1853">
        <f t="shared" si="19"/>
        <v>0</v>
      </c>
      <c r="G611" s="1843">
        <f t="shared" si="18"/>
        <v>0</v>
      </c>
      <c r="H611" s="1173">
        <v>0.65390000000000004</v>
      </c>
      <c r="I611" s="3121" t="s">
        <v>0</v>
      </c>
    </row>
    <row r="612" spans="1:9" ht="16.5">
      <c r="A612" s="1840" t="s">
        <v>1312</v>
      </c>
      <c r="B612" s="1841" t="s">
        <v>7302</v>
      </c>
      <c r="C612" s="1842" t="s">
        <v>6757</v>
      </c>
      <c r="D612" s="1852"/>
      <c r="E612" s="1852"/>
      <c r="F612" s="1853">
        <f t="shared" si="19"/>
        <v>0</v>
      </c>
      <c r="G612" s="1843">
        <f t="shared" si="18"/>
        <v>0</v>
      </c>
      <c r="H612" s="1173">
        <v>0.7873</v>
      </c>
      <c r="I612" s="3121" t="s">
        <v>0</v>
      </c>
    </row>
    <row r="613" spans="1:9" ht="16.5">
      <c r="A613" s="1840" t="s">
        <v>1313</v>
      </c>
      <c r="B613" s="1841" t="s">
        <v>7303</v>
      </c>
      <c r="C613" s="1842" t="s">
        <v>6757</v>
      </c>
      <c r="D613" s="1852"/>
      <c r="E613" s="1852"/>
      <c r="F613" s="1853">
        <f t="shared" si="19"/>
        <v>0</v>
      </c>
      <c r="G613" s="1843">
        <f t="shared" si="18"/>
        <v>0</v>
      </c>
      <c r="H613" s="1173">
        <v>0.79690000000000005</v>
      </c>
      <c r="I613" s="3121" t="s">
        <v>0</v>
      </c>
    </row>
    <row r="614" spans="1:9" ht="16.5">
      <c r="A614" s="1840" t="s">
        <v>1314</v>
      </c>
      <c r="B614" s="1841" t="s">
        <v>7304</v>
      </c>
      <c r="C614" s="1842" t="s">
        <v>6757</v>
      </c>
      <c r="D614" s="1852"/>
      <c r="E614" s="1852"/>
      <c r="F614" s="1853">
        <f t="shared" si="19"/>
        <v>0</v>
      </c>
      <c r="G614" s="1843">
        <f t="shared" si="18"/>
        <v>0</v>
      </c>
      <c r="H614" s="1173">
        <v>0.69220000000000004</v>
      </c>
      <c r="I614" s="3121" t="s">
        <v>0</v>
      </c>
    </row>
    <row r="615" spans="1:9" ht="16.5">
      <c r="A615" s="1840" t="s">
        <v>1315</v>
      </c>
      <c r="B615" s="1841" t="s">
        <v>7305</v>
      </c>
      <c r="C615" s="1842" t="s">
        <v>6757</v>
      </c>
      <c r="D615" s="1852"/>
      <c r="E615" s="1852"/>
      <c r="F615" s="1853">
        <f t="shared" si="19"/>
        <v>0</v>
      </c>
      <c r="G615" s="1843">
        <f t="shared" si="18"/>
        <v>0</v>
      </c>
      <c r="H615" s="1173">
        <v>0.54879999999999995</v>
      </c>
      <c r="I615" s="3121" t="s">
        <v>0</v>
      </c>
    </row>
    <row r="616" spans="1:9" ht="16.5">
      <c r="A616" s="1840" t="s">
        <v>1316</v>
      </c>
      <c r="B616" s="1841" t="s">
        <v>7306</v>
      </c>
      <c r="C616" s="1842" t="s">
        <v>6757</v>
      </c>
      <c r="D616" s="1852"/>
      <c r="E616" s="1852"/>
      <c r="F616" s="1853">
        <f t="shared" si="19"/>
        <v>0</v>
      </c>
      <c r="G616" s="1843">
        <f t="shared" si="18"/>
        <v>0</v>
      </c>
      <c r="H616" s="1173">
        <v>0.60029999999999994</v>
      </c>
      <c r="I616" s="3121" t="s">
        <v>0</v>
      </c>
    </row>
    <row r="617" spans="1:9" ht="16.5">
      <c r="A617" s="1840" t="s">
        <v>1317</v>
      </c>
      <c r="B617" s="1841" t="s">
        <v>7307</v>
      </c>
      <c r="C617" s="1842" t="s">
        <v>6757</v>
      </c>
      <c r="D617" s="1852"/>
      <c r="E617" s="1852"/>
      <c r="F617" s="1853">
        <f t="shared" si="19"/>
        <v>0</v>
      </c>
      <c r="G617" s="1843">
        <f t="shared" si="18"/>
        <v>0</v>
      </c>
      <c r="H617" s="1173">
        <v>0.38190000000000002</v>
      </c>
      <c r="I617" s="3121" t="s">
        <v>0</v>
      </c>
    </row>
    <row r="618" spans="1:9" ht="16.5">
      <c r="A618" s="1840" t="s">
        <v>1318</v>
      </c>
      <c r="B618" s="1841" t="s">
        <v>7308</v>
      </c>
      <c r="C618" s="1842" t="s">
        <v>6757</v>
      </c>
      <c r="D618" s="1852"/>
      <c r="E618" s="1852"/>
      <c r="F618" s="1853">
        <f t="shared" si="19"/>
        <v>0</v>
      </c>
      <c r="G618" s="1843">
        <f t="shared" si="18"/>
        <v>0</v>
      </c>
      <c r="H618" s="1173">
        <v>0.19259999999999999</v>
      </c>
      <c r="I618" s="3121" t="s">
        <v>0</v>
      </c>
    </row>
    <row r="619" spans="1:9" ht="16.5">
      <c r="A619" s="1840" t="s">
        <v>1319</v>
      </c>
      <c r="B619" s="1841" t="s">
        <v>7309</v>
      </c>
      <c r="C619" s="1842" t="s">
        <v>6757</v>
      </c>
      <c r="D619" s="1852"/>
      <c r="E619" s="1852"/>
      <c r="F619" s="1853">
        <f t="shared" si="19"/>
        <v>0</v>
      </c>
      <c r="G619" s="1843">
        <f t="shared" si="18"/>
        <v>0</v>
      </c>
      <c r="H619" s="1173">
        <v>0.83609999999999995</v>
      </c>
      <c r="I619" s="3121" t="s">
        <v>0</v>
      </c>
    </row>
    <row r="620" spans="1:9" ht="16.5">
      <c r="A620" s="1840" t="s">
        <v>1320</v>
      </c>
      <c r="B620" s="1841" t="s">
        <v>7310</v>
      </c>
      <c r="C620" s="1842" t="s">
        <v>6757</v>
      </c>
      <c r="D620" s="1852"/>
      <c r="E620" s="1852"/>
      <c r="F620" s="1853">
        <f t="shared" si="19"/>
        <v>0</v>
      </c>
      <c r="G620" s="1843">
        <f t="shared" si="18"/>
        <v>0</v>
      </c>
      <c r="H620" s="1173">
        <v>0.54449999999999998</v>
      </c>
      <c r="I620" s="3121" t="s">
        <v>0</v>
      </c>
    </row>
    <row r="621" spans="1:9" ht="16.5">
      <c r="A621" s="1840" t="s">
        <v>1321</v>
      </c>
      <c r="B621" s="1841" t="s">
        <v>7311</v>
      </c>
      <c r="C621" s="1842" t="s">
        <v>6757</v>
      </c>
      <c r="D621" s="1852"/>
      <c r="E621" s="1852"/>
      <c r="F621" s="1853">
        <f t="shared" si="19"/>
        <v>0</v>
      </c>
      <c r="G621" s="1843">
        <f t="shared" si="18"/>
        <v>0</v>
      </c>
      <c r="H621" s="1173">
        <v>0.65280000000000005</v>
      </c>
      <c r="I621" s="3121" t="s">
        <v>0</v>
      </c>
    </row>
    <row r="622" spans="1:9" ht="16.5">
      <c r="A622" s="1840" t="s">
        <v>1322</v>
      </c>
      <c r="B622" s="1841" t="s">
        <v>7312</v>
      </c>
      <c r="C622" s="1842" t="s">
        <v>6757</v>
      </c>
      <c r="D622" s="1852"/>
      <c r="E622" s="1852"/>
      <c r="F622" s="1853">
        <f t="shared" si="19"/>
        <v>0</v>
      </c>
      <c r="G622" s="1843">
        <f t="shared" si="18"/>
        <v>0</v>
      </c>
      <c r="H622" s="1173">
        <v>0.60440000000000005</v>
      </c>
      <c r="I622" s="3121" t="s">
        <v>0</v>
      </c>
    </row>
    <row r="623" spans="1:9" ht="16.5">
      <c r="A623" s="1840" t="s">
        <v>1323</v>
      </c>
      <c r="B623" s="1841" t="s">
        <v>7313</v>
      </c>
      <c r="C623" s="1842" t="s">
        <v>6757</v>
      </c>
      <c r="D623" s="1852"/>
      <c r="E623" s="1852"/>
      <c r="F623" s="1853">
        <f t="shared" si="19"/>
        <v>0</v>
      </c>
      <c r="G623" s="1843">
        <f t="shared" si="18"/>
        <v>0</v>
      </c>
      <c r="H623" s="1173">
        <v>0.72099999999999997</v>
      </c>
      <c r="I623" s="3121" t="s">
        <v>0</v>
      </c>
    </row>
    <row r="624" spans="1:9" ht="16.5">
      <c r="A624" s="1840" t="s">
        <v>1324</v>
      </c>
      <c r="B624" s="1841" t="s">
        <v>7314</v>
      </c>
      <c r="C624" s="1842" t="s">
        <v>6757</v>
      </c>
      <c r="D624" s="1852"/>
      <c r="E624" s="1852"/>
      <c r="F624" s="1853">
        <f t="shared" si="19"/>
        <v>0</v>
      </c>
      <c r="G624" s="1843">
        <f t="shared" si="18"/>
        <v>0</v>
      </c>
      <c r="H624" s="1173">
        <v>0.90529999999999999</v>
      </c>
      <c r="I624" s="3121" t="s">
        <v>0</v>
      </c>
    </row>
    <row r="625" spans="1:9" ht="16.5">
      <c r="A625" s="1840" t="s">
        <v>1325</v>
      </c>
      <c r="B625" s="1841" t="s">
        <v>7315</v>
      </c>
      <c r="C625" s="1842" t="s">
        <v>6757</v>
      </c>
      <c r="D625" s="1852"/>
      <c r="E625" s="1852"/>
      <c r="F625" s="1853">
        <f t="shared" si="19"/>
        <v>0</v>
      </c>
      <c r="G625" s="1843">
        <f t="shared" si="18"/>
        <v>0</v>
      </c>
      <c r="H625" s="1173">
        <v>0.66930000000000001</v>
      </c>
      <c r="I625" s="3121" t="s">
        <v>0</v>
      </c>
    </row>
    <row r="626" spans="1:9" ht="16.5">
      <c r="A626" s="1840" t="s">
        <v>1326</v>
      </c>
      <c r="B626" s="1841" t="s">
        <v>7316</v>
      </c>
      <c r="C626" s="1842" t="s">
        <v>6757</v>
      </c>
      <c r="D626" s="1852"/>
      <c r="E626" s="1852"/>
      <c r="F626" s="1853">
        <f t="shared" si="19"/>
        <v>0</v>
      </c>
      <c r="G626" s="1843">
        <f t="shared" si="18"/>
        <v>0</v>
      </c>
      <c r="H626" s="1173">
        <v>0.52180000000000004</v>
      </c>
      <c r="I626" s="3121" t="s">
        <v>0</v>
      </c>
    </row>
    <row r="627" spans="1:9" ht="16.5">
      <c r="A627" s="1840" t="s">
        <v>2058</v>
      </c>
      <c r="B627" s="1841" t="s">
        <v>7317</v>
      </c>
      <c r="C627" s="1842" t="s">
        <v>6757</v>
      </c>
      <c r="D627" s="1852"/>
      <c r="E627" s="1852"/>
      <c r="F627" s="1853">
        <f t="shared" si="19"/>
        <v>0</v>
      </c>
      <c r="G627" s="1843">
        <f t="shared" si="18"/>
        <v>0</v>
      </c>
      <c r="H627" s="1173">
        <v>0.5635</v>
      </c>
      <c r="I627" s="3121" t="s">
        <v>0</v>
      </c>
    </row>
    <row r="628" spans="1:9" ht="16.5">
      <c r="A628" s="1840" t="s">
        <v>1327</v>
      </c>
      <c r="B628" s="1841" t="s">
        <v>7318</v>
      </c>
      <c r="C628" s="1842" t="s">
        <v>6757</v>
      </c>
      <c r="D628" s="1852"/>
      <c r="E628" s="1852"/>
      <c r="F628" s="1853">
        <f t="shared" si="19"/>
        <v>0</v>
      </c>
      <c r="G628" s="1843">
        <f t="shared" si="18"/>
        <v>0</v>
      </c>
      <c r="H628" s="1173">
        <v>0.84570000000000001</v>
      </c>
      <c r="I628" s="3121" t="s">
        <v>0</v>
      </c>
    </row>
    <row r="629" spans="1:9" ht="16.5">
      <c r="A629" s="1840" t="s">
        <v>1328</v>
      </c>
      <c r="B629" s="1841" t="s">
        <v>7319</v>
      </c>
      <c r="C629" s="1842" t="s">
        <v>6757</v>
      </c>
      <c r="D629" s="1852"/>
      <c r="E629" s="1852"/>
      <c r="F629" s="1853">
        <f t="shared" si="19"/>
        <v>0</v>
      </c>
      <c r="G629" s="1843">
        <f t="shared" si="18"/>
        <v>0</v>
      </c>
      <c r="H629" s="1173">
        <v>0.1968</v>
      </c>
      <c r="I629" s="3121" t="s">
        <v>0</v>
      </c>
    </row>
    <row r="630" spans="1:9" ht="16.5">
      <c r="A630" s="1840" t="s">
        <v>1964</v>
      </c>
      <c r="B630" s="1841" t="s">
        <v>7320</v>
      </c>
      <c r="C630" s="1842" t="s">
        <v>6757</v>
      </c>
      <c r="D630" s="1852"/>
      <c r="E630" s="1852"/>
      <c r="F630" s="1853">
        <f t="shared" si="19"/>
        <v>0</v>
      </c>
      <c r="G630" s="1843">
        <f t="shared" si="18"/>
        <v>0</v>
      </c>
      <c r="H630" s="1173">
        <v>0.61319999999999997</v>
      </c>
      <c r="I630" s="3121" t="s">
        <v>0</v>
      </c>
    </row>
    <row r="631" spans="1:9" ht="16.5">
      <c r="A631" s="1840" t="s">
        <v>1329</v>
      </c>
      <c r="B631" s="1841" t="s">
        <v>7321</v>
      </c>
      <c r="C631" s="1842" t="s">
        <v>6757</v>
      </c>
      <c r="D631" s="1852"/>
      <c r="E631" s="1852"/>
      <c r="F631" s="1853">
        <f t="shared" si="19"/>
        <v>0</v>
      </c>
      <c r="G631" s="1843">
        <f t="shared" si="18"/>
        <v>0</v>
      </c>
      <c r="H631" s="1173">
        <v>0.87929999999999997</v>
      </c>
      <c r="I631" s="3121" t="s">
        <v>0</v>
      </c>
    </row>
    <row r="632" spans="1:9" ht="16.5">
      <c r="A632" s="1840" t="s">
        <v>1330</v>
      </c>
      <c r="B632" s="1841" t="s">
        <v>7322</v>
      </c>
      <c r="C632" s="1842" t="s">
        <v>6757</v>
      </c>
      <c r="D632" s="1852"/>
      <c r="E632" s="1852"/>
      <c r="F632" s="1853">
        <f t="shared" si="19"/>
        <v>0</v>
      </c>
      <c r="G632" s="1843">
        <f t="shared" si="18"/>
        <v>0</v>
      </c>
      <c r="H632" s="1173">
        <v>0.27189999999999998</v>
      </c>
      <c r="I632" s="3121" t="s">
        <v>0</v>
      </c>
    </row>
    <row r="633" spans="1:9" ht="16.5">
      <c r="A633" s="1840" t="s">
        <v>1331</v>
      </c>
      <c r="B633" s="1841" t="s">
        <v>7323</v>
      </c>
      <c r="C633" s="1842" t="s">
        <v>6757</v>
      </c>
      <c r="D633" s="1852"/>
      <c r="E633" s="1852"/>
      <c r="F633" s="1853">
        <f t="shared" si="19"/>
        <v>0</v>
      </c>
      <c r="G633" s="1843">
        <f t="shared" si="18"/>
        <v>0</v>
      </c>
      <c r="H633" s="1173">
        <v>0.95050000000000001</v>
      </c>
      <c r="I633" s="3121" t="s">
        <v>0</v>
      </c>
    </row>
    <row r="634" spans="1:9" ht="16.5">
      <c r="A634" s="1840" t="s">
        <v>6089</v>
      </c>
      <c r="B634" s="1841" t="s">
        <v>7324</v>
      </c>
      <c r="C634" s="1842" t="s">
        <v>6757</v>
      </c>
      <c r="D634" s="1852"/>
      <c r="E634" s="1852"/>
      <c r="F634" s="1853">
        <f t="shared" si="19"/>
        <v>0</v>
      </c>
      <c r="G634" s="1843">
        <f t="shared" si="18"/>
        <v>0</v>
      </c>
      <c r="H634" s="1173">
        <v>1</v>
      </c>
      <c r="I634" s="3121" t="s">
        <v>6890</v>
      </c>
    </row>
    <row r="635" spans="1:9" ht="16.5">
      <c r="A635" s="1840" t="s">
        <v>1332</v>
      </c>
      <c r="B635" s="1841" t="s">
        <v>7325</v>
      </c>
      <c r="C635" s="1842" t="s">
        <v>6757</v>
      </c>
      <c r="D635" s="1852"/>
      <c r="E635" s="1852"/>
      <c r="F635" s="1853">
        <f t="shared" si="19"/>
        <v>0</v>
      </c>
      <c r="G635" s="1843">
        <f t="shared" si="18"/>
        <v>0</v>
      </c>
      <c r="H635" s="1173">
        <v>0.76580000000000004</v>
      </c>
      <c r="I635" s="3121" t="s">
        <v>0</v>
      </c>
    </row>
    <row r="636" spans="1:9" ht="16.5">
      <c r="A636" s="1840" t="s">
        <v>1333</v>
      </c>
      <c r="B636" s="1841" t="s">
        <v>7326</v>
      </c>
      <c r="C636" s="1842" t="s">
        <v>6757</v>
      </c>
      <c r="D636" s="1852"/>
      <c r="E636" s="1852"/>
      <c r="F636" s="1853">
        <f t="shared" si="19"/>
        <v>0</v>
      </c>
      <c r="G636" s="1843">
        <f t="shared" si="18"/>
        <v>0</v>
      </c>
      <c r="H636" s="1173">
        <v>0.44679999999999997</v>
      </c>
      <c r="I636" s="3121" t="s">
        <v>0</v>
      </c>
    </row>
    <row r="637" spans="1:9" ht="16.5">
      <c r="A637" s="1840" t="s">
        <v>1334</v>
      </c>
      <c r="B637" s="1841" t="s">
        <v>7327</v>
      </c>
      <c r="C637" s="1842" t="s">
        <v>6757</v>
      </c>
      <c r="D637" s="1852"/>
      <c r="E637" s="1852"/>
      <c r="F637" s="1853">
        <f t="shared" si="19"/>
        <v>0</v>
      </c>
      <c r="G637" s="1843">
        <f t="shared" si="18"/>
        <v>0</v>
      </c>
      <c r="H637" s="1173">
        <v>0.67469999999999997</v>
      </c>
      <c r="I637" s="3121" t="s">
        <v>0</v>
      </c>
    </row>
    <row r="638" spans="1:9" ht="16.5">
      <c r="A638" s="1840" t="s">
        <v>1335</v>
      </c>
      <c r="B638" s="1841" t="s">
        <v>7328</v>
      </c>
      <c r="C638" s="1842" t="s">
        <v>6757</v>
      </c>
      <c r="D638" s="1852"/>
      <c r="E638" s="1852"/>
      <c r="F638" s="1853">
        <f t="shared" si="19"/>
        <v>0</v>
      </c>
      <c r="G638" s="1843">
        <f t="shared" si="18"/>
        <v>0</v>
      </c>
      <c r="H638" s="1173">
        <v>1.1657999999999999</v>
      </c>
      <c r="I638" s="3121" t="s">
        <v>0</v>
      </c>
    </row>
    <row r="639" spans="1:9" ht="16.5">
      <c r="A639" s="1840" t="s">
        <v>1336</v>
      </c>
      <c r="B639" s="1841" t="s">
        <v>7329</v>
      </c>
      <c r="C639" s="1842" t="s">
        <v>6757</v>
      </c>
      <c r="D639" s="1852"/>
      <c r="E639" s="1852"/>
      <c r="F639" s="1853">
        <f t="shared" si="19"/>
        <v>0</v>
      </c>
      <c r="G639" s="1843">
        <f t="shared" si="18"/>
        <v>0</v>
      </c>
      <c r="H639" s="1173">
        <v>0.68300000000000005</v>
      </c>
      <c r="I639" s="3121" t="s">
        <v>0</v>
      </c>
    </row>
    <row r="640" spans="1:9" ht="16.5">
      <c r="A640" s="1840" t="s">
        <v>1337</v>
      </c>
      <c r="B640" s="1841" t="s">
        <v>7330</v>
      </c>
      <c r="C640" s="1842" t="s">
        <v>6757</v>
      </c>
      <c r="D640" s="1852"/>
      <c r="E640" s="1852"/>
      <c r="F640" s="1853">
        <f t="shared" si="19"/>
        <v>0</v>
      </c>
      <c r="G640" s="1843">
        <f t="shared" si="18"/>
        <v>0</v>
      </c>
      <c r="H640" s="1173">
        <v>0.66690000000000005</v>
      </c>
      <c r="I640" s="3121" t="s">
        <v>0</v>
      </c>
    </row>
    <row r="641" spans="1:9" ht="16.5">
      <c r="A641" s="1840" t="s">
        <v>1338</v>
      </c>
      <c r="B641" s="1841" t="s">
        <v>7331</v>
      </c>
      <c r="C641" s="1842" t="s">
        <v>6757</v>
      </c>
      <c r="D641" s="1852"/>
      <c r="E641" s="1852"/>
      <c r="F641" s="1853">
        <f t="shared" si="19"/>
        <v>0</v>
      </c>
      <c r="G641" s="1843">
        <f t="shared" si="18"/>
        <v>0</v>
      </c>
      <c r="H641" s="1173">
        <v>0.56659999999999999</v>
      </c>
      <c r="I641" s="3121" t="s">
        <v>0</v>
      </c>
    </row>
    <row r="642" spans="1:9" ht="16.5">
      <c r="A642" s="1840" t="s">
        <v>1339</v>
      </c>
      <c r="B642" s="1841" t="s">
        <v>7332</v>
      </c>
      <c r="C642" s="1842" t="s">
        <v>6757</v>
      </c>
      <c r="D642" s="1852"/>
      <c r="E642" s="1852"/>
      <c r="F642" s="1853">
        <f t="shared" si="19"/>
        <v>0</v>
      </c>
      <c r="G642" s="1843">
        <f t="shared" si="18"/>
        <v>0</v>
      </c>
      <c r="H642" s="1173">
        <v>0.72370000000000001</v>
      </c>
      <c r="I642" s="3121" t="s">
        <v>0</v>
      </c>
    </row>
    <row r="643" spans="1:9" ht="16.5">
      <c r="A643" s="1840" t="s">
        <v>1340</v>
      </c>
      <c r="B643" s="1841" t="s">
        <v>7333</v>
      </c>
      <c r="C643" s="1842" t="s">
        <v>6757</v>
      </c>
      <c r="D643" s="1852"/>
      <c r="E643" s="1852"/>
      <c r="F643" s="1853">
        <f t="shared" si="19"/>
        <v>0</v>
      </c>
      <c r="G643" s="1843">
        <f t="shared" si="18"/>
        <v>0</v>
      </c>
      <c r="H643" s="1173">
        <v>0.47620000000000001</v>
      </c>
      <c r="I643" s="3121" t="s">
        <v>0</v>
      </c>
    </row>
    <row r="644" spans="1:9" ht="16.5">
      <c r="A644" s="1840" t="s">
        <v>1341</v>
      </c>
      <c r="B644" s="1841" t="s">
        <v>7334</v>
      </c>
      <c r="C644" s="1842" t="s">
        <v>6757</v>
      </c>
      <c r="D644" s="1852"/>
      <c r="E644" s="1852"/>
      <c r="F644" s="1853">
        <f t="shared" si="19"/>
        <v>0</v>
      </c>
      <c r="G644" s="1843">
        <f t="shared" ref="G644:G707" si="20">IF($F$1334=0,0,F644/$F$1334)</f>
        <v>0</v>
      </c>
      <c r="H644" s="1173">
        <v>0.34560000000000002</v>
      </c>
      <c r="I644" s="3121" t="s">
        <v>0</v>
      </c>
    </row>
    <row r="645" spans="1:9" ht="16.5">
      <c r="A645" s="1840" t="s">
        <v>1342</v>
      </c>
      <c r="B645" s="1841" t="s">
        <v>7335</v>
      </c>
      <c r="C645" s="1842" t="s">
        <v>6757</v>
      </c>
      <c r="D645" s="1852"/>
      <c r="E645" s="1852"/>
      <c r="F645" s="1853">
        <f t="shared" ref="F645:F708" si="21">D645*E645</f>
        <v>0</v>
      </c>
      <c r="G645" s="1843">
        <f t="shared" si="20"/>
        <v>0</v>
      </c>
      <c r="H645" s="1173">
        <v>1.0786</v>
      </c>
      <c r="I645" s="3121" t="s">
        <v>0</v>
      </c>
    </row>
    <row r="646" spans="1:9" ht="16.5">
      <c r="A646" s="1840" t="s">
        <v>1343</v>
      </c>
      <c r="B646" s="1841" t="s">
        <v>7336</v>
      </c>
      <c r="C646" s="1842" t="s">
        <v>6757</v>
      </c>
      <c r="D646" s="1852"/>
      <c r="E646" s="1852"/>
      <c r="F646" s="1853">
        <f t="shared" si="21"/>
        <v>0</v>
      </c>
      <c r="G646" s="1843">
        <f t="shared" si="20"/>
        <v>0</v>
      </c>
      <c r="H646" s="1173">
        <v>0.5847</v>
      </c>
      <c r="I646" s="3121" t="s">
        <v>0</v>
      </c>
    </row>
    <row r="647" spans="1:9" ht="16.5">
      <c r="A647" s="1840" t="s">
        <v>1344</v>
      </c>
      <c r="B647" s="1841" t="s">
        <v>7337</v>
      </c>
      <c r="C647" s="1842" t="s">
        <v>6757</v>
      </c>
      <c r="D647" s="1852"/>
      <c r="E647" s="1852"/>
      <c r="F647" s="1853">
        <f t="shared" si="21"/>
        <v>0</v>
      </c>
      <c r="G647" s="1843">
        <f t="shared" si="20"/>
        <v>0</v>
      </c>
      <c r="H647" s="1173">
        <v>0.82020000000000004</v>
      </c>
      <c r="I647" s="3121" t="s">
        <v>0</v>
      </c>
    </row>
    <row r="648" spans="1:9" ht="16.5">
      <c r="A648" s="1840" t="s">
        <v>1345</v>
      </c>
      <c r="B648" s="1841" t="s">
        <v>7338</v>
      </c>
      <c r="C648" s="1842" t="s">
        <v>6757</v>
      </c>
      <c r="D648" s="1852"/>
      <c r="E648" s="1852"/>
      <c r="F648" s="1853">
        <f t="shared" si="21"/>
        <v>0</v>
      </c>
      <c r="G648" s="1843">
        <f t="shared" si="20"/>
        <v>0</v>
      </c>
      <c r="H648" s="1173">
        <v>0.74250000000000005</v>
      </c>
      <c r="I648" s="3121" t="s">
        <v>0</v>
      </c>
    </row>
    <row r="649" spans="1:9" ht="16.5">
      <c r="A649" s="1840" t="s">
        <v>1346</v>
      </c>
      <c r="B649" s="1841" t="s">
        <v>7339</v>
      </c>
      <c r="C649" s="1842" t="s">
        <v>6757</v>
      </c>
      <c r="D649" s="1852"/>
      <c r="E649" s="1852"/>
      <c r="F649" s="1853">
        <f t="shared" si="21"/>
        <v>0</v>
      </c>
      <c r="G649" s="1843">
        <f t="shared" si="20"/>
        <v>0</v>
      </c>
      <c r="H649" s="1173">
        <v>0.84299999999999997</v>
      </c>
      <c r="I649" s="3121" t="s">
        <v>0</v>
      </c>
    </row>
    <row r="650" spans="1:9" ht="16.5">
      <c r="A650" s="1840" t="s">
        <v>1347</v>
      </c>
      <c r="B650" s="1841" t="s">
        <v>7340</v>
      </c>
      <c r="C650" s="1842" t="s">
        <v>6757</v>
      </c>
      <c r="D650" s="1852"/>
      <c r="E650" s="1852"/>
      <c r="F650" s="1853">
        <f t="shared" si="21"/>
        <v>0</v>
      </c>
      <c r="G650" s="1843">
        <f t="shared" si="20"/>
        <v>0</v>
      </c>
      <c r="H650" s="1173">
        <v>0.95169999999999999</v>
      </c>
      <c r="I650" s="3121" t="s">
        <v>0</v>
      </c>
    </row>
    <row r="651" spans="1:9" ht="16.5">
      <c r="A651" s="1840" t="s">
        <v>1348</v>
      </c>
      <c r="B651" s="1841" t="s">
        <v>7341</v>
      </c>
      <c r="C651" s="1842" t="s">
        <v>6757</v>
      </c>
      <c r="D651" s="1852"/>
      <c r="E651" s="1852"/>
      <c r="F651" s="1853">
        <f t="shared" si="21"/>
        <v>0</v>
      </c>
      <c r="G651" s="1843">
        <f t="shared" si="20"/>
        <v>0</v>
      </c>
      <c r="H651" s="1173">
        <v>0.61980000000000002</v>
      </c>
      <c r="I651" s="3121" t="s">
        <v>0</v>
      </c>
    </row>
    <row r="652" spans="1:9" ht="16.5">
      <c r="A652" s="1840" t="s">
        <v>1349</v>
      </c>
      <c r="B652" s="1841" t="s">
        <v>7342</v>
      </c>
      <c r="C652" s="1842" t="s">
        <v>6757</v>
      </c>
      <c r="D652" s="1852"/>
      <c r="E652" s="1852"/>
      <c r="F652" s="1853">
        <f t="shared" si="21"/>
        <v>0</v>
      </c>
      <c r="G652" s="1843">
        <f t="shared" si="20"/>
        <v>0</v>
      </c>
      <c r="H652" s="1173">
        <v>0.75039999999999996</v>
      </c>
      <c r="I652" s="3121" t="s">
        <v>0</v>
      </c>
    </row>
    <row r="653" spans="1:9" ht="16.5">
      <c r="A653" s="1840" t="s">
        <v>1350</v>
      </c>
      <c r="B653" s="1841" t="s">
        <v>7343</v>
      </c>
      <c r="C653" s="1842" t="s">
        <v>6757</v>
      </c>
      <c r="D653" s="1852"/>
      <c r="E653" s="1852"/>
      <c r="F653" s="1853">
        <f t="shared" si="21"/>
        <v>0</v>
      </c>
      <c r="G653" s="1843">
        <f t="shared" si="20"/>
        <v>0</v>
      </c>
      <c r="H653" s="1173">
        <v>1.0511999999999999</v>
      </c>
      <c r="I653" s="3121" t="s">
        <v>0</v>
      </c>
    </row>
    <row r="654" spans="1:9" ht="16.5">
      <c r="A654" s="1840" t="s">
        <v>1351</v>
      </c>
      <c r="B654" s="1841" t="s">
        <v>7344</v>
      </c>
      <c r="C654" s="1842" t="s">
        <v>6757</v>
      </c>
      <c r="D654" s="1852"/>
      <c r="E654" s="1852"/>
      <c r="F654" s="1853">
        <f t="shared" si="21"/>
        <v>0</v>
      </c>
      <c r="G654" s="1843">
        <f t="shared" si="20"/>
        <v>0</v>
      </c>
      <c r="H654" s="1173">
        <v>0.61899999999999999</v>
      </c>
      <c r="I654" s="3121" t="s">
        <v>0</v>
      </c>
    </row>
    <row r="655" spans="1:9" ht="16.5">
      <c r="A655" s="1840" t="s">
        <v>1352</v>
      </c>
      <c r="B655" s="1841" t="s">
        <v>7345</v>
      </c>
      <c r="C655" s="1842" t="s">
        <v>6757</v>
      </c>
      <c r="D655" s="1852"/>
      <c r="E655" s="1852"/>
      <c r="F655" s="1853">
        <f t="shared" si="21"/>
        <v>0</v>
      </c>
      <c r="G655" s="1843">
        <f t="shared" si="20"/>
        <v>0</v>
      </c>
      <c r="H655" s="1173">
        <v>0.58579999999999999</v>
      </c>
      <c r="I655" s="3121" t="s">
        <v>0</v>
      </c>
    </row>
    <row r="656" spans="1:9" ht="16.5">
      <c r="A656" s="1840" t="s">
        <v>1353</v>
      </c>
      <c r="B656" s="1841" t="s">
        <v>7346</v>
      </c>
      <c r="C656" s="1842" t="s">
        <v>6757</v>
      </c>
      <c r="D656" s="1852"/>
      <c r="E656" s="1852"/>
      <c r="F656" s="1853">
        <f t="shared" si="21"/>
        <v>0</v>
      </c>
      <c r="G656" s="1843">
        <f t="shared" si="20"/>
        <v>0</v>
      </c>
      <c r="H656" s="1173">
        <v>0.52280000000000004</v>
      </c>
      <c r="I656" s="3121" t="s">
        <v>0</v>
      </c>
    </row>
    <row r="657" spans="1:9" ht="16.5">
      <c r="A657" s="1840" t="s">
        <v>1354</v>
      </c>
      <c r="B657" s="1841" t="s">
        <v>7347</v>
      </c>
      <c r="C657" s="1842" t="s">
        <v>6757</v>
      </c>
      <c r="D657" s="1852"/>
      <c r="E657" s="1852"/>
      <c r="F657" s="1853">
        <f t="shared" si="21"/>
        <v>0</v>
      </c>
      <c r="G657" s="1843">
        <f t="shared" si="20"/>
        <v>0</v>
      </c>
      <c r="H657" s="1173">
        <v>0.88239999999999996</v>
      </c>
      <c r="I657" s="3121" t="s">
        <v>0</v>
      </c>
    </row>
    <row r="658" spans="1:9" ht="16.5">
      <c r="A658" s="1840" t="s">
        <v>1355</v>
      </c>
      <c r="B658" s="1841" t="s">
        <v>7348</v>
      </c>
      <c r="C658" s="1842" t="s">
        <v>6757</v>
      </c>
      <c r="D658" s="1852"/>
      <c r="E658" s="1852"/>
      <c r="F658" s="1853">
        <f t="shared" si="21"/>
        <v>0</v>
      </c>
      <c r="G658" s="1843">
        <f t="shared" si="20"/>
        <v>0</v>
      </c>
      <c r="H658" s="1173">
        <v>1.1048</v>
      </c>
      <c r="I658" s="3121" t="s">
        <v>0</v>
      </c>
    </row>
    <row r="659" spans="1:9" ht="16.5">
      <c r="A659" s="1840" t="s">
        <v>3281</v>
      </c>
      <c r="B659" s="1841" t="s">
        <v>7349</v>
      </c>
      <c r="C659" s="1842" t="s">
        <v>6757</v>
      </c>
      <c r="D659" s="1852"/>
      <c r="E659" s="1852"/>
      <c r="F659" s="1853">
        <f t="shared" si="21"/>
        <v>0</v>
      </c>
      <c r="G659" s="1843">
        <f t="shared" si="20"/>
        <v>0</v>
      </c>
      <c r="H659" s="1173">
        <v>0.79520000000000002</v>
      </c>
      <c r="I659" s="3121" t="s">
        <v>0</v>
      </c>
    </row>
    <row r="660" spans="1:9" ht="16.5">
      <c r="A660" s="1840" t="s">
        <v>1356</v>
      </c>
      <c r="B660" s="1841" t="s">
        <v>7350</v>
      </c>
      <c r="C660" s="1842" t="s">
        <v>6757</v>
      </c>
      <c r="D660" s="1852"/>
      <c r="E660" s="1852"/>
      <c r="F660" s="1853">
        <f t="shared" si="21"/>
        <v>0</v>
      </c>
      <c r="G660" s="1843">
        <f t="shared" si="20"/>
        <v>0</v>
      </c>
      <c r="H660" s="1173">
        <v>1.1689000000000001</v>
      </c>
      <c r="I660" s="3121" t="s">
        <v>0</v>
      </c>
    </row>
    <row r="661" spans="1:9" ht="16.5">
      <c r="A661" s="1840" t="s">
        <v>1357</v>
      </c>
      <c r="B661" s="1841" t="s">
        <v>7351</v>
      </c>
      <c r="C661" s="1842" t="s">
        <v>6757</v>
      </c>
      <c r="D661" s="1852"/>
      <c r="E661" s="1852"/>
      <c r="F661" s="1853">
        <f t="shared" si="21"/>
        <v>0</v>
      </c>
      <c r="G661" s="1843">
        <f t="shared" si="20"/>
        <v>0</v>
      </c>
      <c r="H661" s="1173">
        <v>0.76929999999999998</v>
      </c>
      <c r="I661" s="3121" t="s">
        <v>0</v>
      </c>
    </row>
    <row r="662" spans="1:9" ht="16.5">
      <c r="A662" s="1840" t="s">
        <v>1358</v>
      </c>
      <c r="B662" s="1841" t="s">
        <v>7352</v>
      </c>
      <c r="C662" s="1842" t="s">
        <v>6757</v>
      </c>
      <c r="D662" s="1852"/>
      <c r="E662" s="1852"/>
      <c r="F662" s="1853">
        <f t="shared" si="21"/>
        <v>0</v>
      </c>
      <c r="G662" s="1843">
        <f t="shared" si="20"/>
        <v>0</v>
      </c>
      <c r="H662" s="1173">
        <v>0.55959999999999999</v>
      </c>
      <c r="I662" s="3121" t="s">
        <v>0</v>
      </c>
    </row>
    <row r="663" spans="1:9" ht="16.5">
      <c r="A663" s="1840" t="s">
        <v>1359</v>
      </c>
      <c r="B663" s="1841" t="s">
        <v>7353</v>
      </c>
      <c r="C663" s="1842" t="s">
        <v>6757</v>
      </c>
      <c r="D663" s="1852"/>
      <c r="E663" s="1852"/>
      <c r="F663" s="1853">
        <f t="shared" si="21"/>
        <v>0</v>
      </c>
      <c r="G663" s="1843">
        <f t="shared" si="20"/>
        <v>0</v>
      </c>
      <c r="H663" s="1173">
        <v>0.34039999999999998</v>
      </c>
      <c r="I663" s="3121" t="s">
        <v>0</v>
      </c>
    </row>
    <row r="664" spans="1:9" ht="16.5">
      <c r="A664" s="1840" t="s">
        <v>1360</v>
      </c>
      <c r="B664" s="1841" t="s">
        <v>7354</v>
      </c>
      <c r="C664" s="1842" t="s">
        <v>6757</v>
      </c>
      <c r="D664" s="1852"/>
      <c r="E664" s="1852"/>
      <c r="F664" s="1853">
        <f t="shared" si="21"/>
        <v>0</v>
      </c>
      <c r="G664" s="1843">
        <f t="shared" si="20"/>
        <v>0</v>
      </c>
      <c r="H664" s="1173">
        <v>0.57330000000000003</v>
      </c>
      <c r="I664" s="3121" t="s">
        <v>0</v>
      </c>
    </row>
    <row r="665" spans="1:9" ht="16.5">
      <c r="A665" s="1840" t="s">
        <v>1361</v>
      </c>
      <c r="B665" s="1841" t="s">
        <v>7355</v>
      </c>
      <c r="C665" s="1842" t="s">
        <v>6757</v>
      </c>
      <c r="D665" s="1852"/>
      <c r="E665" s="1852"/>
      <c r="F665" s="1853">
        <f t="shared" si="21"/>
        <v>0</v>
      </c>
      <c r="G665" s="1843">
        <f t="shared" si="20"/>
        <v>0</v>
      </c>
      <c r="H665" s="1173">
        <v>0.67290000000000005</v>
      </c>
      <c r="I665" s="3121" t="s">
        <v>0</v>
      </c>
    </row>
    <row r="666" spans="1:9" ht="16.5">
      <c r="A666" s="1840" t="s">
        <v>1362</v>
      </c>
      <c r="B666" s="1841" t="s">
        <v>7356</v>
      </c>
      <c r="C666" s="1842" t="s">
        <v>6757</v>
      </c>
      <c r="D666" s="1852"/>
      <c r="E666" s="1852"/>
      <c r="F666" s="1853">
        <f t="shared" si="21"/>
        <v>0</v>
      </c>
      <c r="G666" s="1843">
        <f t="shared" si="20"/>
        <v>0</v>
      </c>
      <c r="H666" s="1173">
        <v>1.0065</v>
      </c>
      <c r="I666" s="3121" t="s">
        <v>0</v>
      </c>
    </row>
    <row r="667" spans="1:9" ht="16.5">
      <c r="A667" s="1840" t="s">
        <v>1363</v>
      </c>
      <c r="B667" s="1841" t="s">
        <v>7357</v>
      </c>
      <c r="C667" s="1842" t="s">
        <v>6757</v>
      </c>
      <c r="D667" s="1852"/>
      <c r="E667" s="1852"/>
      <c r="F667" s="1853">
        <f t="shared" si="21"/>
        <v>0</v>
      </c>
      <c r="G667" s="1843">
        <f t="shared" si="20"/>
        <v>0</v>
      </c>
      <c r="H667" s="1173">
        <v>0.59319999999999995</v>
      </c>
      <c r="I667" s="3121" t="s">
        <v>0</v>
      </c>
    </row>
    <row r="668" spans="1:9" ht="16.5">
      <c r="A668" s="1840" t="s">
        <v>1364</v>
      </c>
      <c r="B668" s="1841" t="s">
        <v>7358</v>
      </c>
      <c r="C668" s="1842" t="s">
        <v>6757</v>
      </c>
      <c r="D668" s="1852"/>
      <c r="E668" s="1852"/>
      <c r="F668" s="1853">
        <f t="shared" si="21"/>
        <v>0</v>
      </c>
      <c r="G668" s="1843">
        <f t="shared" si="20"/>
        <v>0</v>
      </c>
      <c r="H668" s="1173">
        <v>0.2853</v>
      </c>
      <c r="I668" s="3121" t="s">
        <v>0</v>
      </c>
    </row>
    <row r="669" spans="1:9" ht="16.5">
      <c r="A669" s="1840" t="s">
        <v>1365</v>
      </c>
      <c r="B669" s="1841" t="s">
        <v>7359</v>
      </c>
      <c r="C669" s="1842" t="s">
        <v>6757</v>
      </c>
      <c r="D669" s="1852"/>
      <c r="E669" s="1852"/>
      <c r="F669" s="1853">
        <f t="shared" si="21"/>
        <v>0</v>
      </c>
      <c r="G669" s="1843">
        <f t="shared" si="20"/>
        <v>0</v>
      </c>
      <c r="H669" s="1173">
        <v>0.87270000000000003</v>
      </c>
      <c r="I669" s="3121" t="s">
        <v>0</v>
      </c>
    </row>
    <row r="670" spans="1:9" ht="16.5">
      <c r="A670" s="1840" t="s">
        <v>1366</v>
      </c>
      <c r="B670" s="1841" t="s">
        <v>7360</v>
      </c>
      <c r="C670" s="1842" t="s">
        <v>6757</v>
      </c>
      <c r="D670" s="1852"/>
      <c r="E670" s="1852"/>
      <c r="F670" s="1853">
        <f t="shared" si="21"/>
        <v>0</v>
      </c>
      <c r="G670" s="1843">
        <f t="shared" si="20"/>
        <v>0</v>
      </c>
      <c r="H670" s="1173">
        <v>0.7994</v>
      </c>
      <c r="I670" s="3121" t="s">
        <v>0</v>
      </c>
    </row>
    <row r="671" spans="1:9" ht="16.5">
      <c r="A671" s="1840" t="s">
        <v>1367</v>
      </c>
      <c r="B671" s="1841" t="s">
        <v>7361</v>
      </c>
      <c r="C671" s="1842" t="s">
        <v>6757</v>
      </c>
      <c r="D671" s="1852"/>
      <c r="E671" s="1852"/>
      <c r="F671" s="1853">
        <f t="shared" si="21"/>
        <v>0</v>
      </c>
      <c r="G671" s="1843">
        <f t="shared" si="20"/>
        <v>0</v>
      </c>
      <c r="H671" s="1173">
        <v>1.4161999999999999</v>
      </c>
      <c r="I671" s="3121" t="s">
        <v>0</v>
      </c>
    </row>
    <row r="672" spans="1:9" ht="16.5">
      <c r="A672" s="1840" t="s">
        <v>1368</v>
      </c>
      <c r="B672" s="1841" t="s">
        <v>7362</v>
      </c>
      <c r="C672" s="1842" t="s">
        <v>6757</v>
      </c>
      <c r="D672" s="1852"/>
      <c r="E672" s="1852"/>
      <c r="F672" s="1853">
        <f t="shared" si="21"/>
        <v>0</v>
      </c>
      <c r="G672" s="1843">
        <f t="shared" si="20"/>
        <v>0</v>
      </c>
      <c r="H672" s="1173">
        <v>0.66749999999999998</v>
      </c>
      <c r="I672" s="3121" t="s">
        <v>0</v>
      </c>
    </row>
    <row r="673" spans="1:9" ht="16.5">
      <c r="A673" s="1840" t="s">
        <v>1965</v>
      </c>
      <c r="B673" s="1841" t="s">
        <v>7363</v>
      </c>
      <c r="C673" s="1842" t="s">
        <v>6757</v>
      </c>
      <c r="D673" s="1852"/>
      <c r="E673" s="1852"/>
      <c r="F673" s="1853">
        <f t="shared" si="21"/>
        <v>0</v>
      </c>
      <c r="G673" s="1843">
        <f t="shared" si="20"/>
        <v>0</v>
      </c>
      <c r="H673" s="1173">
        <v>0.40150000000000002</v>
      </c>
      <c r="I673" s="3121" t="s">
        <v>0</v>
      </c>
    </row>
    <row r="674" spans="1:9" ht="16.5">
      <c r="A674" s="1840" t="s">
        <v>1369</v>
      </c>
      <c r="B674" s="1841" t="s">
        <v>7364</v>
      </c>
      <c r="C674" s="1842" t="s">
        <v>6757</v>
      </c>
      <c r="D674" s="1852"/>
      <c r="E674" s="1852"/>
      <c r="F674" s="1853">
        <f t="shared" si="21"/>
        <v>0</v>
      </c>
      <c r="G674" s="1843">
        <f t="shared" si="20"/>
        <v>0</v>
      </c>
      <c r="H674" s="1173">
        <v>0.74390000000000001</v>
      </c>
      <c r="I674" s="3121" t="s">
        <v>0</v>
      </c>
    </row>
    <row r="675" spans="1:9" ht="16.5">
      <c r="A675" s="1840" t="s">
        <v>1370</v>
      </c>
      <c r="B675" s="1841" t="s">
        <v>7365</v>
      </c>
      <c r="C675" s="1842" t="s">
        <v>6757</v>
      </c>
      <c r="D675" s="1852"/>
      <c r="E675" s="1852"/>
      <c r="F675" s="1853">
        <f t="shared" si="21"/>
        <v>0</v>
      </c>
      <c r="G675" s="1843">
        <f t="shared" si="20"/>
        <v>0</v>
      </c>
      <c r="H675" s="1173">
        <v>0.56269999999999998</v>
      </c>
      <c r="I675" s="3121" t="s">
        <v>0</v>
      </c>
    </row>
    <row r="676" spans="1:9" ht="16.5">
      <c r="A676" s="1840" t="s">
        <v>1371</v>
      </c>
      <c r="B676" s="1841" t="s">
        <v>7366</v>
      </c>
      <c r="C676" s="1842" t="s">
        <v>6757</v>
      </c>
      <c r="D676" s="1852"/>
      <c r="E676" s="1852"/>
      <c r="F676" s="1853">
        <f t="shared" si="21"/>
        <v>0</v>
      </c>
      <c r="G676" s="1843">
        <f t="shared" si="20"/>
        <v>0</v>
      </c>
      <c r="H676" s="1173">
        <v>0.47910000000000003</v>
      </c>
      <c r="I676" s="3121" t="s">
        <v>0</v>
      </c>
    </row>
    <row r="677" spans="1:9" ht="16.5">
      <c r="A677" s="1840" t="s">
        <v>1372</v>
      </c>
      <c r="B677" s="1841" t="s">
        <v>7367</v>
      </c>
      <c r="C677" s="1842" t="s">
        <v>6757</v>
      </c>
      <c r="D677" s="1852"/>
      <c r="E677" s="1852"/>
      <c r="F677" s="1853">
        <f t="shared" si="21"/>
        <v>0</v>
      </c>
      <c r="G677" s="1843">
        <f t="shared" si="20"/>
        <v>0</v>
      </c>
      <c r="H677" s="1173">
        <v>1.0145</v>
      </c>
      <c r="I677" s="3121" t="s">
        <v>0</v>
      </c>
    </row>
    <row r="678" spans="1:9" ht="16.5">
      <c r="A678" s="1840" t="s">
        <v>1373</v>
      </c>
      <c r="B678" s="1841" t="s">
        <v>7368</v>
      </c>
      <c r="C678" s="1842" t="s">
        <v>6757</v>
      </c>
      <c r="D678" s="1852"/>
      <c r="E678" s="1852"/>
      <c r="F678" s="1853">
        <f t="shared" si="21"/>
        <v>0</v>
      </c>
      <c r="G678" s="1843">
        <f t="shared" si="20"/>
        <v>0</v>
      </c>
      <c r="H678" s="1173">
        <v>0.40179999999999999</v>
      </c>
      <c r="I678" s="3121" t="s">
        <v>0</v>
      </c>
    </row>
    <row r="679" spans="1:9" ht="16.5">
      <c r="A679" s="1840" t="s">
        <v>1374</v>
      </c>
      <c r="B679" s="1841" t="s">
        <v>7369</v>
      </c>
      <c r="C679" s="1842" t="s">
        <v>6757</v>
      </c>
      <c r="D679" s="1852"/>
      <c r="E679" s="1852"/>
      <c r="F679" s="1853">
        <f t="shared" si="21"/>
        <v>0</v>
      </c>
      <c r="G679" s="1843">
        <f t="shared" si="20"/>
        <v>0</v>
      </c>
      <c r="H679" s="1173">
        <v>1.1036999999999999</v>
      </c>
      <c r="I679" s="3121" t="s">
        <v>0</v>
      </c>
    </row>
    <row r="680" spans="1:9" ht="16.5">
      <c r="A680" s="1840" t="s">
        <v>1375</v>
      </c>
      <c r="B680" s="1841" t="s">
        <v>7370</v>
      </c>
      <c r="C680" s="1842" t="s">
        <v>6757</v>
      </c>
      <c r="D680" s="1852"/>
      <c r="E680" s="1852"/>
      <c r="F680" s="1853">
        <f t="shared" si="21"/>
        <v>0</v>
      </c>
      <c r="G680" s="1843">
        <f t="shared" si="20"/>
        <v>0</v>
      </c>
      <c r="H680" s="1173">
        <v>0.88370000000000004</v>
      </c>
      <c r="I680" s="3121" t="s">
        <v>0</v>
      </c>
    </row>
    <row r="681" spans="1:9" ht="16.5">
      <c r="A681" s="1840" t="s">
        <v>1376</v>
      </c>
      <c r="B681" s="1841" t="s">
        <v>7371</v>
      </c>
      <c r="C681" s="1842" t="s">
        <v>6757</v>
      </c>
      <c r="D681" s="1852"/>
      <c r="E681" s="1852"/>
      <c r="F681" s="1853">
        <f t="shared" si="21"/>
        <v>0</v>
      </c>
      <c r="G681" s="1843">
        <f t="shared" si="20"/>
        <v>0</v>
      </c>
      <c r="H681" s="1173">
        <v>0.59319999999999995</v>
      </c>
      <c r="I681" s="3121" t="s">
        <v>0</v>
      </c>
    </row>
    <row r="682" spans="1:9" ht="16.5">
      <c r="A682" s="1840" t="s">
        <v>3282</v>
      </c>
      <c r="B682" s="1841" t="s">
        <v>7372</v>
      </c>
      <c r="C682" s="1842" t="s">
        <v>6757</v>
      </c>
      <c r="D682" s="1852"/>
      <c r="E682" s="1852"/>
      <c r="F682" s="1853">
        <f t="shared" si="21"/>
        <v>0</v>
      </c>
      <c r="G682" s="1843">
        <f t="shared" si="20"/>
        <v>0</v>
      </c>
      <c r="H682" s="1173">
        <v>0.79549999999999998</v>
      </c>
      <c r="I682" s="3121" t="s">
        <v>0</v>
      </c>
    </row>
    <row r="683" spans="1:9" ht="16.5">
      <c r="A683" s="1840" t="s">
        <v>1377</v>
      </c>
      <c r="B683" s="1841" t="s">
        <v>7373</v>
      </c>
      <c r="C683" s="1842" t="s">
        <v>6757</v>
      </c>
      <c r="D683" s="1852"/>
      <c r="E683" s="1852"/>
      <c r="F683" s="1853">
        <f t="shared" si="21"/>
        <v>0</v>
      </c>
      <c r="G683" s="1843">
        <f t="shared" si="20"/>
        <v>0</v>
      </c>
      <c r="H683" s="1173">
        <v>0.82689999999999997</v>
      </c>
      <c r="I683" s="3121" t="s">
        <v>0</v>
      </c>
    </row>
    <row r="684" spans="1:9" ht="16.5">
      <c r="A684" s="1840" t="s">
        <v>1378</v>
      </c>
      <c r="B684" s="1841" t="s">
        <v>7374</v>
      </c>
      <c r="C684" s="1842" t="s">
        <v>6757</v>
      </c>
      <c r="D684" s="1852"/>
      <c r="E684" s="1852"/>
      <c r="F684" s="1853">
        <f t="shared" si="21"/>
        <v>0</v>
      </c>
      <c r="G684" s="1843">
        <f t="shared" si="20"/>
        <v>0</v>
      </c>
      <c r="H684" s="1173">
        <v>0.59460000000000002</v>
      </c>
      <c r="I684" s="3121" t="s">
        <v>0</v>
      </c>
    </row>
    <row r="685" spans="1:9" ht="16.5">
      <c r="A685" s="1840" t="s">
        <v>1379</v>
      </c>
      <c r="B685" s="1841" t="s">
        <v>7375</v>
      </c>
      <c r="C685" s="1842" t="s">
        <v>6757</v>
      </c>
      <c r="D685" s="1852"/>
      <c r="E685" s="1852"/>
      <c r="F685" s="1853">
        <f t="shared" si="21"/>
        <v>0</v>
      </c>
      <c r="G685" s="1843">
        <f t="shared" si="20"/>
        <v>0</v>
      </c>
      <c r="H685" s="1173">
        <v>0.58360000000000001</v>
      </c>
      <c r="I685" s="3121" t="s">
        <v>0</v>
      </c>
    </row>
    <row r="686" spans="1:9" ht="16.5">
      <c r="A686" s="1840" t="s">
        <v>1380</v>
      </c>
      <c r="B686" s="1841" t="s">
        <v>7376</v>
      </c>
      <c r="C686" s="1842" t="s">
        <v>6757</v>
      </c>
      <c r="D686" s="1852"/>
      <c r="E686" s="1852"/>
      <c r="F686" s="1853">
        <f t="shared" si="21"/>
        <v>0</v>
      </c>
      <c r="G686" s="1843">
        <f t="shared" si="20"/>
        <v>0</v>
      </c>
      <c r="H686" s="1173">
        <v>0.68730000000000002</v>
      </c>
      <c r="I686" s="3121" t="s">
        <v>0</v>
      </c>
    </row>
    <row r="687" spans="1:9" ht="16.5">
      <c r="A687" s="1840" t="s">
        <v>1381</v>
      </c>
      <c r="B687" s="1841" t="s">
        <v>7377</v>
      </c>
      <c r="C687" s="1842" t="s">
        <v>6757</v>
      </c>
      <c r="D687" s="1852"/>
      <c r="E687" s="1852"/>
      <c r="F687" s="1853">
        <f t="shared" si="21"/>
        <v>0</v>
      </c>
      <c r="G687" s="1843">
        <f t="shared" si="20"/>
        <v>0</v>
      </c>
      <c r="H687" s="1173">
        <v>0.74529999999999996</v>
      </c>
      <c r="I687" s="3121" t="s">
        <v>0</v>
      </c>
    </row>
    <row r="688" spans="1:9" ht="16.5">
      <c r="A688" s="1840" t="s">
        <v>1382</v>
      </c>
      <c r="B688" s="1841" t="s">
        <v>7378</v>
      </c>
      <c r="C688" s="1842" t="s">
        <v>6757</v>
      </c>
      <c r="D688" s="1852"/>
      <c r="E688" s="1852"/>
      <c r="F688" s="1853">
        <f t="shared" si="21"/>
        <v>0</v>
      </c>
      <c r="G688" s="1843">
        <f t="shared" si="20"/>
        <v>0</v>
      </c>
      <c r="H688" s="1173">
        <v>0.67710000000000004</v>
      </c>
      <c r="I688" s="3121" t="s">
        <v>0</v>
      </c>
    </row>
    <row r="689" spans="1:9" ht="16.5">
      <c r="A689" s="1840" t="s">
        <v>1383</v>
      </c>
      <c r="B689" s="1841" t="s">
        <v>7379</v>
      </c>
      <c r="C689" s="1842" t="s">
        <v>6757</v>
      </c>
      <c r="D689" s="1852"/>
      <c r="E689" s="1852"/>
      <c r="F689" s="1853">
        <f t="shared" si="21"/>
        <v>0</v>
      </c>
      <c r="G689" s="1843">
        <f t="shared" si="20"/>
        <v>0</v>
      </c>
      <c r="H689" s="1173">
        <v>0.86060000000000003</v>
      </c>
      <c r="I689" s="3121" t="s">
        <v>0</v>
      </c>
    </row>
    <row r="690" spans="1:9" ht="16.5">
      <c r="A690" s="1840" t="s">
        <v>2196</v>
      </c>
      <c r="B690" s="1841" t="s">
        <v>7380</v>
      </c>
      <c r="C690" s="1842" t="s">
        <v>6757</v>
      </c>
      <c r="D690" s="1852"/>
      <c r="E690" s="1852"/>
      <c r="F690" s="1853">
        <f t="shared" si="21"/>
        <v>0</v>
      </c>
      <c r="G690" s="1843">
        <f t="shared" si="20"/>
        <v>0</v>
      </c>
      <c r="H690" s="1173">
        <v>0.62009999999999998</v>
      </c>
      <c r="I690" s="3121" t="s">
        <v>0</v>
      </c>
    </row>
    <row r="691" spans="1:9" ht="16.5">
      <c r="A691" s="1840" t="s">
        <v>1384</v>
      </c>
      <c r="B691" s="1841" t="s">
        <v>7381</v>
      </c>
      <c r="C691" s="1842" t="s">
        <v>6757</v>
      </c>
      <c r="D691" s="1852"/>
      <c r="E691" s="1852"/>
      <c r="F691" s="1853">
        <f t="shared" si="21"/>
        <v>0</v>
      </c>
      <c r="G691" s="1843">
        <f t="shared" si="20"/>
        <v>0</v>
      </c>
      <c r="H691" s="1173">
        <v>1.0475000000000001</v>
      </c>
      <c r="I691" s="3121" t="s">
        <v>0</v>
      </c>
    </row>
    <row r="692" spans="1:9" ht="16.5">
      <c r="A692" s="1840" t="s">
        <v>1385</v>
      </c>
      <c r="B692" s="1841" t="s">
        <v>7382</v>
      </c>
      <c r="C692" s="1842" t="s">
        <v>6757</v>
      </c>
      <c r="D692" s="1852"/>
      <c r="E692" s="1852"/>
      <c r="F692" s="1853">
        <f t="shared" si="21"/>
        <v>0</v>
      </c>
      <c r="G692" s="1843">
        <f t="shared" si="20"/>
        <v>0</v>
      </c>
      <c r="H692" s="1173">
        <v>1.0249999999999999</v>
      </c>
      <c r="I692" s="3121" t="s">
        <v>0</v>
      </c>
    </row>
    <row r="693" spans="1:9" ht="16.5">
      <c r="A693" s="1840" t="s">
        <v>1386</v>
      </c>
      <c r="B693" s="1841" t="s">
        <v>7383</v>
      </c>
      <c r="C693" s="1842" t="s">
        <v>6757</v>
      </c>
      <c r="D693" s="1852"/>
      <c r="E693" s="1852"/>
      <c r="F693" s="1853">
        <f t="shared" si="21"/>
        <v>0</v>
      </c>
      <c r="G693" s="1843">
        <f t="shared" si="20"/>
        <v>0</v>
      </c>
      <c r="H693" s="1173">
        <v>0.94910000000000005</v>
      </c>
      <c r="I693" s="3121" t="s">
        <v>0</v>
      </c>
    </row>
    <row r="694" spans="1:9" ht="16.5">
      <c r="A694" s="1840" t="s">
        <v>1387</v>
      </c>
      <c r="B694" s="1841" t="s">
        <v>7384</v>
      </c>
      <c r="C694" s="1842" t="s">
        <v>6757</v>
      </c>
      <c r="D694" s="1852"/>
      <c r="E694" s="1852"/>
      <c r="F694" s="1853">
        <f t="shared" si="21"/>
        <v>0</v>
      </c>
      <c r="G694" s="1843">
        <f t="shared" si="20"/>
        <v>0</v>
      </c>
      <c r="H694" s="1173">
        <v>0.67569999999999997</v>
      </c>
      <c r="I694" s="3121" t="s">
        <v>0</v>
      </c>
    </row>
    <row r="695" spans="1:9" ht="16.5">
      <c r="A695" s="1840" t="s">
        <v>1388</v>
      </c>
      <c r="B695" s="1841" t="s">
        <v>3283</v>
      </c>
      <c r="C695" s="1842" t="s">
        <v>6757</v>
      </c>
      <c r="D695" s="1852"/>
      <c r="E695" s="1852"/>
      <c r="F695" s="1853">
        <f t="shared" si="21"/>
        <v>0</v>
      </c>
      <c r="G695" s="1843">
        <f t="shared" si="20"/>
        <v>0</v>
      </c>
      <c r="H695" s="1173">
        <v>0.90229999999999999</v>
      </c>
      <c r="I695" s="3121" t="s">
        <v>0</v>
      </c>
    </row>
    <row r="696" spans="1:9" ht="16.5">
      <c r="A696" s="1840" t="s">
        <v>1389</v>
      </c>
      <c r="B696" s="1841" t="s">
        <v>7385</v>
      </c>
      <c r="C696" s="1842" t="s">
        <v>6757</v>
      </c>
      <c r="D696" s="1852"/>
      <c r="E696" s="1852"/>
      <c r="F696" s="1853">
        <f t="shared" si="21"/>
        <v>0</v>
      </c>
      <c r="G696" s="1843">
        <f t="shared" si="20"/>
        <v>0</v>
      </c>
      <c r="H696" s="1173">
        <v>0.49430000000000002</v>
      </c>
      <c r="I696" s="3121" t="s">
        <v>0</v>
      </c>
    </row>
    <row r="697" spans="1:9" ht="16.5">
      <c r="A697" s="1840" t="s">
        <v>1390</v>
      </c>
      <c r="B697" s="1841" t="s">
        <v>7386</v>
      </c>
      <c r="C697" s="1842" t="s">
        <v>6757</v>
      </c>
      <c r="D697" s="1852"/>
      <c r="E697" s="1852"/>
      <c r="F697" s="1853">
        <f t="shared" si="21"/>
        <v>0</v>
      </c>
      <c r="G697" s="1843">
        <f t="shared" si="20"/>
        <v>0</v>
      </c>
      <c r="H697" s="1173">
        <v>0.25159999999999999</v>
      </c>
      <c r="I697" s="3121" t="s">
        <v>0</v>
      </c>
    </row>
    <row r="698" spans="1:9" ht="16.5">
      <c r="A698" s="1840" t="s">
        <v>1391</v>
      </c>
      <c r="B698" s="1841" t="s">
        <v>7387</v>
      </c>
      <c r="C698" s="1842" t="s">
        <v>6757</v>
      </c>
      <c r="D698" s="1852"/>
      <c r="E698" s="1852"/>
      <c r="F698" s="1853">
        <f t="shared" si="21"/>
        <v>0</v>
      </c>
      <c r="G698" s="1843">
        <f t="shared" si="20"/>
        <v>0</v>
      </c>
      <c r="H698" s="1173">
        <v>0.79349999999999998</v>
      </c>
      <c r="I698" s="3121" t="s">
        <v>0</v>
      </c>
    </row>
    <row r="699" spans="1:9" ht="16.5">
      <c r="A699" s="1840" t="s">
        <v>1392</v>
      </c>
      <c r="B699" s="1841" t="s">
        <v>7388</v>
      </c>
      <c r="C699" s="1842" t="s">
        <v>6757</v>
      </c>
      <c r="D699" s="1852"/>
      <c r="E699" s="1852"/>
      <c r="F699" s="1853">
        <f t="shared" si="21"/>
        <v>0</v>
      </c>
      <c r="G699" s="1843">
        <f t="shared" si="20"/>
        <v>0</v>
      </c>
      <c r="H699" s="1173">
        <v>0.68910000000000005</v>
      </c>
      <c r="I699" s="3121" t="s">
        <v>0</v>
      </c>
    </row>
    <row r="700" spans="1:9" ht="16.5">
      <c r="A700" s="1840" t="s">
        <v>1393</v>
      </c>
      <c r="B700" s="1841" t="s">
        <v>7389</v>
      </c>
      <c r="C700" s="1842" t="s">
        <v>6757</v>
      </c>
      <c r="D700" s="1852"/>
      <c r="E700" s="1852"/>
      <c r="F700" s="1853">
        <f t="shared" si="21"/>
        <v>0</v>
      </c>
      <c r="G700" s="1843">
        <f t="shared" si="20"/>
        <v>0</v>
      </c>
      <c r="H700" s="1173">
        <v>0.47989999999999999</v>
      </c>
      <c r="I700" s="3121" t="s">
        <v>0</v>
      </c>
    </row>
    <row r="701" spans="1:9" ht="16.5">
      <c r="A701" s="1840" t="s">
        <v>1394</v>
      </c>
      <c r="B701" s="1841" t="s">
        <v>7390</v>
      </c>
      <c r="C701" s="1842" t="s">
        <v>6757</v>
      </c>
      <c r="D701" s="1852"/>
      <c r="E701" s="1852"/>
      <c r="F701" s="1853">
        <f t="shared" si="21"/>
        <v>0</v>
      </c>
      <c r="G701" s="1843">
        <f t="shared" si="20"/>
        <v>0</v>
      </c>
      <c r="H701" s="1173">
        <v>0.39750000000000002</v>
      </c>
      <c r="I701" s="3121" t="s">
        <v>0</v>
      </c>
    </row>
    <row r="702" spans="1:9" ht="16.5">
      <c r="A702" s="1840" t="s">
        <v>1395</v>
      </c>
      <c r="B702" s="1841" t="s">
        <v>7391</v>
      </c>
      <c r="C702" s="1842" t="s">
        <v>6757</v>
      </c>
      <c r="D702" s="1852"/>
      <c r="E702" s="1852"/>
      <c r="F702" s="1853">
        <f t="shared" si="21"/>
        <v>0</v>
      </c>
      <c r="G702" s="1843">
        <f t="shared" si="20"/>
        <v>0</v>
      </c>
      <c r="H702" s="1173">
        <v>0.62119999999999997</v>
      </c>
      <c r="I702" s="3121" t="s">
        <v>0</v>
      </c>
    </row>
    <row r="703" spans="1:9" ht="16.5">
      <c r="A703" s="1840" t="s">
        <v>1396</v>
      </c>
      <c r="B703" s="1841" t="s">
        <v>7392</v>
      </c>
      <c r="C703" s="1842" t="s">
        <v>6757</v>
      </c>
      <c r="D703" s="1852"/>
      <c r="E703" s="1852"/>
      <c r="F703" s="1853">
        <f t="shared" si="21"/>
        <v>0</v>
      </c>
      <c r="G703" s="1843">
        <f t="shared" si="20"/>
        <v>0</v>
      </c>
      <c r="H703" s="1173">
        <v>0.28660000000000002</v>
      </c>
      <c r="I703" s="3121" t="s">
        <v>0</v>
      </c>
    </row>
    <row r="704" spans="1:9" ht="16.5">
      <c r="A704" s="1840" t="s">
        <v>1397</v>
      </c>
      <c r="B704" s="1841" t="s">
        <v>7393</v>
      </c>
      <c r="C704" s="1842" t="s">
        <v>6757</v>
      </c>
      <c r="D704" s="1852"/>
      <c r="E704" s="1852"/>
      <c r="F704" s="1853">
        <f t="shared" si="21"/>
        <v>0</v>
      </c>
      <c r="G704" s="1843">
        <f t="shared" si="20"/>
        <v>0</v>
      </c>
      <c r="H704" s="1173">
        <v>0.87419999999999998</v>
      </c>
      <c r="I704" s="3121" t="s">
        <v>0</v>
      </c>
    </row>
    <row r="705" spans="1:9" ht="16.5">
      <c r="A705" s="1840" t="s">
        <v>1398</v>
      </c>
      <c r="B705" s="1841" t="s">
        <v>7394</v>
      </c>
      <c r="C705" s="1842" t="s">
        <v>6757</v>
      </c>
      <c r="D705" s="1852"/>
      <c r="E705" s="1852"/>
      <c r="F705" s="1853">
        <f t="shared" si="21"/>
        <v>0</v>
      </c>
      <c r="G705" s="1843">
        <f t="shared" si="20"/>
        <v>0</v>
      </c>
      <c r="H705" s="1173">
        <v>0.85119999999999996</v>
      </c>
      <c r="I705" s="3121" t="s">
        <v>0</v>
      </c>
    </row>
    <row r="706" spans="1:9" ht="16.5">
      <c r="A706" s="1840" t="s">
        <v>1399</v>
      </c>
      <c r="B706" s="1841" t="s">
        <v>7395</v>
      </c>
      <c r="C706" s="1842" t="s">
        <v>6757</v>
      </c>
      <c r="D706" s="1852"/>
      <c r="E706" s="1852"/>
      <c r="F706" s="1853">
        <f t="shared" si="21"/>
        <v>0</v>
      </c>
      <c r="G706" s="1843">
        <f t="shared" si="20"/>
        <v>0</v>
      </c>
      <c r="H706" s="1173">
        <v>1.3935999999999999</v>
      </c>
      <c r="I706" s="3121" t="s">
        <v>0</v>
      </c>
    </row>
    <row r="707" spans="1:9" ht="16.5">
      <c r="A707" s="1840" t="s">
        <v>1400</v>
      </c>
      <c r="B707" s="1841" t="s">
        <v>7396</v>
      </c>
      <c r="C707" s="1842" t="s">
        <v>6757</v>
      </c>
      <c r="D707" s="1852"/>
      <c r="E707" s="1852"/>
      <c r="F707" s="1853">
        <f t="shared" si="21"/>
        <v>0</v>
      </c>
      <c r="G707" s="1843">
        <f t="shared" si="20"/>
        <v>0</v>
      </c>
      <c r="H707" s="1173">
        <v>0.70889999999999997</v>
      </c>
      <c r="I707" s="3121" t="s">
        <v>0</v>
      </c>
    </row>
    <row r="708" spans="1:9" ht="16.5">
      <c r="A708" s="1840" t="s">
        <v>3199</v>
      </c>
      <c r="B708" s="1841" t="s">
        <v>7397</v>
      </c>
      <c r="C708" s="1842" t="s">
        <v>6757</v>
      </c>
      <c r="D708" s="1852"/>
      <c r="E708" s="1852"/>
      <c r="F708" s="1853">
        <f t="shared" si="21"/>
        <v>0</v>
      </c>
      <c r="G708" s="1843">
        <f t="shared" ref="G708:G771" si="22">IF($F$1334=0,0,F708/$F$1334)</f>
        <v>0</v>
      </c>
      <c r="H708" s="1173">
        <v>0.72330000000000005</v>
      </c>
      <c r="I708" s="3121" t="s">
        <v>0</v>
      </c>
    </row>
    <row r="709" spans="1:9" ht="16.5">
      <c r="A709" s="1840" t="s">
        <v>3284</v>
      </c>
      <c r="B709" s="1841" t="s">
        <v>7398</v>
      </c>
      <c r="C709" s="1842" t="s">
        <v>6757</v>
      </c>
      <c r="D709" s="1852"/>
      <c r="E709" s="1852"/>
      <c r="F709" s="1853">
        <f t="shared" ref="F709:F772" si="23">D709*E709</f>
        <v>0</v>
      </c>
      <c r="G709" s="1843">
        <f t="shared" si="22"/>
        <v>0</v>
      </c>
      <c r="H709" s="1173">
        <v>0.87319999999999998</v>
      </c>
      <c r="I709" s="3121" t="s">
        <v>0</v>
      </c>
    </row>
    <row r="710" spans="1:9" ht="16.5">
      <c r="A710" s="1840" t="s">
        <v>6090</v>
      </c>
      <c r="B710" s="1841" t="s">
        <v>7399</v>
      </c>
      <c r="C710" s="1842" t="s">
        <v>6757</v>
      </c>
      <c r="D710" s="1852"/>
      <c r="E710" s="1852"/>
      <c r="F710" s="1853">
        <f t="shared" si="23"/>
        <v>0</v>
      </c>
      <c r="G710" s="1843">
        <f t="shared" si="22"/>
        <v>0</v>
      </c>
      <c r="H710" s="1173">
        <v>1</v>
      </c>
      <c r="I710" s="3121" t="s">
        <v>6890</v>
      </c>
    </row>
    <row r="711" spans="1:9" ht="16.5">
      <c r="A711" s="1840" t="s">
        <v>1401</v>
      </c>
      <c r="B711" s="1841" t="s">
        <v>7400</v>
      </c>
      <c r="C711" s="1842" t="s">
        <v>6757</v>
      </c>
      <c r="D711" s="1852"/>
      <c r="E711" s="1852"/>
      <c r="F711" s="1853">
        <f t="shared" si="23"/>
        <v>0</v>
      </c>
      <c r="G711" s="1843">
        <f t="shared" si="22"/>
        <v>0</v>
      </c>
      <c r="H711" s="1173">
        <v>0.1676</v>
      </c>
      <c r="I711" s="3121" t="s">
        <v>0</v>
      </c>
    </row>
    <row r="712" spans="1:9" ht="16.5">
      <c r="A712" s="1840" t="s">
        <v>1402</v>
      </c>
      <c r="B712" s="1841" t="s">
        <v>7401</v>
      </c>
      <c r="C712" s="1842" t="s">
        <v>6757</v>
      </c>
      <c r="D712" s="1852"/>
      <c r="E712" s="1852"/>
      <c r="F712" s="1853">
        <f t="shared" si="23"/>
        <v>0</v>
      </c>
      <c r="G712" s="1843">
        <f t="shared" si="22"/>
        <v>0</v>
      </c>
      <c r="H712" s="1173">
        <v>0.23130000000000001</v>
      </c>
      <c r="I712" s="3121" t="s">
        <v>0</v>
      </c>
    </row>
    <row r="713" spans="1:9" ht="16.5">
      <c r="A713" s="1840" t="s">
        <v>1403</v>
      </c>
      <c r="B713" s="1841" t="s">
        <v>7402</v>
      </c>
      <c r="C713" s="1842" t="s">
        <v>6757</v>
      </c>
      <c r="D713" s="1852"/>
      <c r="E713" s="1852"/>
      <c r="F713" s="1853">
        <f t="shared" si="23"/>
        <v>0</v>
      </c>
      <c r="G713" s="1843">
        <f t="shared" si="22"/>
        <v>0</v>
      </c>
      <c r="H713" s="1173">
        <v>0.40570000000000001</v>
      </c>
      <c r="I713" s="3121" t="s">
        <v>0</v>
      </c>
    </row>
    <row r="714" spans="1:9" ht="16.5">
      <c r="A714" s="1840" t="s">
        <v>1404</v>
      </c>
      <c r="B714" s="1841" t="s">
        <v>7403</v>
      </c>
      <c r="C714" s="1842" t="s">
        <v>6757</v>
      </c>
      <c r="D714" s="1852"/>
      <c r="E714" s="1852"/>
      <c r="F714" s="1853">
        <f t="shared" si="23"/>
        <v>0</v>
      </c>
      <c r="G714" s="1843">
        <f t="shared" si="22"/>
        <v>0</v>
      </c>
      <c r="H714" s="1173">
        <v>0.25409999999999999</v>
      </c>
      <c r="I714" s="3121" t="s">
        <v>0</v>
      </c>
    </row>
    <row r="715" spans="1:9" ht="16.5">
      <c r="A715" s="1840" t="s">
        <v>1405</v>
      </c>
      <c r="B715" s="1841" t="s">
        <v>7404</v>
      </c>
      <c r="C715" s="1842" t="s">
        <v>6757</v>
      </c>
      <c r="D715" s="1852"/>
      <c r="E715" s="1852"/>
      <c r="F715" s="1853">
        <f t="shared" si="23"/>
        <v>0</v>
      </c>
      <c r="G715" s="1843">
        <f t="shared" si="22"/>
        <v>0</v>
      </c>
      <c r="H715" s="1173">
        <v>0.33529999999999999</v>
      </c>
      <c r="I715" s="3121" t="s">
        <v>0</v>
      </c>
    </row>
    <row r="716" spans="1:9" ht="16.5">
      <c r="A716" s="1840" t="s">
        <v>1406</v>
      </c>
      <c r="B716" s="1841" t="s">
        <v>7405</v>
      </c>
      <c r="C716" s="1842" t="s">
        <v>6757</v>
      </c>
      <c r="D716" s="1852"/>
      <c r="E716" s="1852"/>
      <c r="F716" s="1853">
        <f t="shared" si="23"/>
        <v>0</v>
      </c>
      <c r="G716" s="1843">
        <f t="shared" si="22"/>
        <v>0</v>
      </c>
      <c r="H716" s="1173">
        <v>0.33979999999999999</v>
      </c>
      <c r="I716" s="3121" t="s">
        <v>0</v>
      </c>
    </row>
    <row r="717" spans="1:9" ht="16.5">
      <c r="A717" s="1840" t="s">
        <v>1407</v>
      </c>
      <c r="B717" s="1841" t="s">
        <v>7406</v>
      </c>
      <c r="C717" s="1842" t="s">
        <v>6757</v>
      </c>
      <c r="D717" s="1852"/>
      <c r="E717" s="1852"/>
      <c r="F717" s="1853">
        <f t="shared" si="23"/>
        <v>0</v>
      </c>
      <c r="G717" s="1843">
        <f t="shared" si="22"/>
        <v>0</v>
      </c>
      <c r="H717" s="1173">
        <v>0.56769999999999998</v>
      </c>
      <c r="I717" s="3121" t="s">
        <v>0</v>
      </c>
    </row>
    <row r="718" spans="1:9" ht="16.5">
      <c r="A718" s="1840" t="s">
        <v>1408</v>
      </c>
      <c r="B718" s="1841" t="s">
        <v>7407</v>
      </c>
      <c r="C718" s="1842" t="s">
        <v>6757</v>
      </c>
      <c r="D718" s="1852"/>
      <c r="E718" s="1852"/>
      <c r="F718" s="1853">
        <f t="shared" si="23"/>
        <v>0</v>
      </c>
      <c r="G718" s="1843">
        <f t="shared" si="22"/>
        <v>0</v>
      </c>
      <c r="H718" s="1173">
        <v>0.16209999999999999</v>
      </c>
      <c r="I718" s="3121" t="s">
        <v>0</v>
      </c>
    </row>
    <row r="719" spans="1:9" ht="16.5">
      <c r="A719" s="1840" t="s">
        <v>1409</v>
      </c>
      <c r="B719" s="1841" t="s">
        <v>7408</v>
      </c>
      <c r="C719" s="1842" t="s">
        <v>6757</v>
      </c>
      <c r="D719" s="1852"/>
      <c r="E719" s="1852"/>
      <c r="F719" s="1853">
        <f t="shared" si="23"/>
        <v>0</v>
      </c>
      <c r="G719" s="1843">
        <f t="shared" si="22"/>
        <v>0</v>
      </c>
      <c r="H719" s="1173">
        <v>0.51910000000000001</v>
      </c>
      <c r="I719" s="3121" t="s">
        <v>0</v>
      </c>
    </row>
    <row r="720" spans="1:9" ht="16.5">
      <c r="A720" s="1840" t="s">
        <v>1410</v>
      </c>
      <c r="B720" s="1841" t="s">
        <v>7409</v>
      </c>
      <c r="C720" s="1842" t="s">
        <v>6757</v>
      </c>
      <c r="D720" s="1852"/>
      <c r="E720" s="1852"/>
      <c r="F720" s="1853">
        <f t="shared" si="23"/>
        <v>0</v>
      </c>
      <c r="G720" s="1843">
        <f t="shared" si="22"/>
        <v>0</v>
      </c>
      <c r="H720" s="1173">
        <v>0.57320000000000004</v>
      </c>
      <c r="I720" s="3121" t="s">
        <v>0</v>
      </c>
    </row>
    <row r="721" spans="1:9" ht="16.5">
      <c r="A721" s="1840" t="s">
        <v>1411</v>
      </c>
      <c r="B721" s="1841" t="s">
        <v>7410</v>
      </c>
      <c r="C721" s="1842" t="s">
        <v>6757</v>
      </c>
      <c r="D721" s="1852"/>
      <c r="E721" s="1852"/>
      <c r="F721" s="1853">
        <f t="shared" si="23"/>
        <v>0</v>
      </c>
      <c r="G721" s="1843">
        <f t="shared" si="22"/>
        <v>0</v>
      </c>
      <c r="H721" s="1173">
        <v>0.19409999999999999</v>
      </c>
      <c r="I721" s="3121" t="s">
        <v>0</v>
      </c>
    </row>
    <row r="722" spans="1:9" ht="16.5">
      <c r="A722" s="1840" t="s">
        <v>1412</v>
      </c>
      <c r="B722" s="1841" t="s">
        <v>7411</v>
      </c>
      <c r="C722" s="1842" t="s">
        <v>6757</v>
      </c>
      <c r="D722" s="1852"/>
      <c r="E722" s="1852"/>
      <c r="F722" s="1853">
        <f t="shared" si="23"/>
        <v>0</v>
      </c>
      <c r="G722" s="1843">
        <f t="shared" si="22"/>
        <v>0</v>
      </c>
      <c r="H722" s="1173">
        <v>0.59830000000000005</v>
      </c>
      <c r="I722" s="3121" t="s">
        <v>0</v>
      </c>
    </row>
    <row r="723" spans="1:9" ht="16.5">
      <c r="A723" s="1840" t="s">
        <v>1413</v>
      </c>
      <c r="B723" s="1841" t="s">
        <v>7412</v>
      </c>
      <c r="C723" s="1842" t="s">
        <v>6757</v>
      </c>
      <c r="D723" s="1852"/>
      <c r="E723" s="1852"/>
      <c r="F723" s="1853">
        <f t="shared" si="23"/>
        <v>0</v>
      </c>
      <c r="G723" s="1843">
        <f t="shared" si="22"/>
        <v>0</v>
      </c>
      <c r="H723" s="1173">
        <v>0.46400000000000002</v>
      </c>
      <c r="I723" s="3121" t="s">
        <v>0</v>
      </c>
    </row>
    <row r="724" spans="1:9" ht="16.5">
      <c r="A724" s="1840" t="s">
        <v>1414</v>
      </c>
      <c r="B724" s="1841" t="s">
        <v>7413</v>
      </c>
      <c r="C724" s="1842" t="s">
        <v>6757</v>
      </c>
      <c r="D724" s="1852"/>
      <c r="E724" s="1852"/>
      <c r="F724" s="1853">
        <f t="shared" si="23"/>
        <v>0</v>
      </c>
      <c r="G724" s="1843">
        <f t="shared" si="22"/>
        <v>0</v>
      </c>
      <c r="H724" s="1173">
        <v>0.2419</v>
      </c>
      <c r="I724" s="3121" t="s">
        <v>0</v>
      </c>
    </row>
    <row r="725" spans="1:9" ht="16.5">
      <c r="A725" s="1840" t="s">
        <v>1415</v>
      </c>
      <c r="B725" s="1841" t="s">
        <v>7414</v>
      </c>
      <c r="C725" s="1842" t="s">
        <v>6757</v>
      </c>
      <c r="D725" s="1852"/>
      <c r="E725" s="1852"/>
      <c r="F725" s="1853">
        <f t="shared" si="23"/>
        <v>0</v>
      </c>
      <c r="G725" s="1843">
        <f t="shared" si="22"/>
        <v>0</v>
      </c>
      <c r="H725" s="1173">
        <v>0.2722</v>
      </c>
      <c r="I725" s="3121" t="s">
        <v>0</v>
      </c>
    </row>
    <row r="726" spans="1:9" ht="16.5">
      <c r="A726" s="1840" t="s">
        <v>1416</v>
      </c>
      <c r="B726" s="1841" t="s">
        <v>7415</v>
      </c>
      <c r="C726" s="1842" t="s">
        <v>6757</v>
      </c>
      <c r="D726" s="1852"/>
      <c r="E726" s="1852"/>
      <c r="F726" s="1853">
        <f t="shared" si="23"/>
        <v>0</v>
      </c>
      <c r="G726" s="1843">
        <f t="shared" si="22"/>
        <v>0</v>
      </c>
      <c r="H726" s="1173">
        <v>0.40770000000000001</v>
      </c>
      <c r="I726" s="3121" t="s">
        <v>0</v>
      </c>
    </row>
    <row r="727" spans="1:9" ht="16.5">
      <c r="A727" s="1840" t="s">
        <v>3200</v>
      </c>
      <c r="B727" s="1841" t="s">
        <v>7416</v>
      </c>
      <c r="C727" s="1842" t="s">
        <v>6757</v>
      </c>
      <c r="D727" s="1852"/>
      <c r="E727" s="1852"/>
      <c r="F727" s="1853">
        <f t="shared" si="23"/>
        <v>0</v>
      </c>
      <c r="G727" s="1843">
        <f t="shared" si="22"/>
        <v>0</v>
      </c>
      <c r="H727" s="1173">
        <v>0.2596</v>
      </c>
      <c r="I727" s="3121" t="s">
        <v>0</v>
      </c>
    </row>
    <row r="728" spans="1:9" ht="16.5">
      <c r="A728" s="1840" t="s">
        <v>1417</v>
      </c>
      <c r="B728" s="1841" t="s">
        <v>7417</v>
      </c>
      <c r="C728" s="1842" t="s">
        <v>6757</v>
      </c>
      <c r="D728" s="1852"/>
      <c r="E728" s="1852"/>
      <c r="F728" s="1853">
        <f t="shared" si="23"/>
        <v>0</v>
      </c>
      <c r="G728" s="1843">
        <f t="shared" si="22"/>
        <v>0</v>
      </c>
      <c r="H728" s="1173">
        <v>0.73270000000000002</v>
      </c>
      <c r="I728" s="3121" t="s">
        <v>0</v>
      </c>
    </row>
    <row r="729" spans="1:9" ht="16.5">
      <c r="A729" s="1840" t="s">
        <v>1418</v>
      </c>
      <c r="B729" s="1841" t="s">
        <v>7418</v>
      </c>
      <c r="C729" s="1842" t="s">
        <v>6757</v>
      </c>
      <c r="D729" s="1852"/>
      <c r="E729" s="1852"/>
      <c r="F729" s="1853">
        <f t="shared" si="23"/>
        <v>0</v>
      </c>
      <c r="G729" s="1843">
        <f t="shared" si="22"/>
        <v>0</v>
      </c>
      <c r="H729" s="1173">
        <v>0.58479999999999999</v>
      </c>
      <c r="I729" s="3121" t="s">
        <v>0</v>
      </c>
    </row>
    <row r="730" spans="1:9" ht="16.5">
      <c r="A730" s="1840" t="s">
        <v>1419</v>
      </c>
      <c r="B730" s="1841" t="s">
        <v>7419</v>
      </c>
      <c r="C730" s="1842" t="s">
        <v>6757</v>
      </c>
      <c r="D730" s="1852"/>
      <c r="E730" s="1852"/>
      <c r="F730" s="1853">
        <f t="shared" si="23"/>
        <v>0</v>
      </c>
      <c r="G730" s="1843">
        <f t="shared" si="22"/>
        <v>0</v>
      </c>
      <c r="H730" s="1173">
        <v>0.53010000000000002</v>
      </c>
      <c r="I730" s="3121" t="s">
        <v>0</v>
      </c>
    </row>
    <row r="731" spans="1:9" ht="16.5">
      <c r="A731" s="1840" t="s">
        <v>1420</v>
      </c>
      <c r="B731" s="1841" t="s">
        <v>7420</v>
      </c>
      <c r="C731" s="1842" t="s">
        <v>6757</v>
      </c>
      <c r="D731" s="1852"/>
      <c r="E731" s="1852"/>
      <c r="F731" s="1853">
        <f t="shared" si="23"/>
        <v>0</v>
      </c>
      <c r="G731" s="1843">
        <f t="shared" si="22"/>
        <v>0</v>
      </c>
      <c r="H731" s="1173">
        <v>0.81389999999999996</v>
      </c>
      <c r="I731" s="3121" t="s">
        <v>0</v>
      </c>
    </row>
    <row r="732" spans="1:9" ht="16.5">
      <c r="A732" s="1840" t="s">
        <v>1421</v>
      </c>
      <c r="B732" s="1841" t="s">
        <v>7421</v>
      </c>
      <c r="C732" s="1842" t="s">
        <v>6757</v>
      </c>
      <c r="D732" s="1852"/>
      <c r="E732" s="1852"/>
      <c r="F732" s="1853">
        <f t="shared" si="23"/>
        <v>0</v>
      </c>
      <c r="G732" s="1843">
        <f t="shared" si="22"/>
        <v>0</v>
      </c>
      <c r="H732" s="1173">
        <v>0.97370000000000001</v>
      </c>
      <c r="I732" s="3121" t="s">
        <v>0</v>
      </c>
    </row>
    <row r="733" spans="1:9" ht="16.5">
      <c r="A733" s="1840" t="s">
        <v>1422</v>
      </c>
      <c r="B733" s="1841" t="s">
        <v>7422</v>
      </c>
      <c r="C733" s="1842" t="s">
        <v>6757</v>
      </c>
      <c r="D733" s="1852"/>
      <c r="E733" s="1852"/>
      <c r="F733" s="1853">
        <f t="shared" si="23"/>
        <v>0</v>
      </c>
      <c r="G733" s="1843">
        <f t="shared" si="22"/>
        <v>0</v>
      </c>
      <c r="H733" s="1173">
        <v>0.61099999999999999</v>
      </c>
      <c r="I733" s="3121" t="s">
        <v>0</v>
      </c>
    </row>
    <row r="734" spans="1:9" ht="16.5">
      <c r="A734" s="1840" t="s">
        <v>1423</v>
      </c>
      <c r="B734" s="1841" t="s">
        <v>7423</v>
      </c>
      <c r="C734" s="1842" t="s">
        <v>6757</v>
      </c>
      <c r="D734" s="1852"/>
      <c r="E734" s="1852"/>
      <c r="F734" s="1853">
        <f t="shared" si="23"/>
        <v>0</v>
      </c>
      <c r="G734" s="1843">
        <f t="shared" si="22"/>
        <v>0</v>
      </c>
      <c r="H734" s="1173">
        <v>0.3241</v>
      </c>
      <c r="I734" s="3121" t="s">
        <v>0</v>
      </c>
    </row>
    <row r="735" spans="1:9" ht="16.5">
      <c r="A735" s="1840" t="s">
        <v>1424</v>
      </c>
      <c r="B735" s="1841" t="s">
        <v>7424</v>
      </c>
      <c r="C735" s="1842" t="s">
        <v>6757</v>
      </c>
      <c r="D735" s="1852"/>
      <c r="E735" s="1852"/>
      <c r="F735" s="1853">
        <f t="shared" si="23"/>
        <v>0</v>
      </c>
      <c r="G735" s="1843">
        <f t="shared" si="22"/>
        <v>0</v>
      </c>
      <c r="H735" s="1173">
        <v>0.59299999999999997</v>
      </c>
      <c r="I735" s="3121" t="s">
        <v>0</v>
      </c>
    </row>
    <row r="736" spans="1:9" ht="16.5">
      <c r="A736" s="1840" t="s">
        <v>1425</v>
      </c>
      <c r="B736" s="1841" t="s">
        <v>7425</v>
      </c>
      <c r="C736" s="1842" t="s">
        <v>6757</v>
      </c>
      <c r="D736" s="1852"/>
      <c r="E736" s="1852"/>
      <c r="F736" s="1853">
        <f t="shared" si="23"/>
        <v>0</v>
      </c>
      <c r="G736" s="1843">
        <f t="shared" si="22"/>
        <v>0</v>
      </c>
      <c r="H736" s="1173">
        <v>0.31180000000000002</v>
      </c>
      <c r="I736" s="3121" t="s">
        <v>0</v>
      </c>
    </row>
    <row r="737" spans="1:9" ht="16.5">
      <c r="A737" s="1840" t="s">
        <v>1426</v>
      </c>
      <c r="B737" s="1841" t="s">
        <v>7426</v>
      </c>
      <c r="C737" s="1842" t="s">
        <v>6757</v>
      </c>
      <c r="D737" s="1852"/>
      <c r="E737" s="1852"/>
      <c r="F737" s="1853">
        <f t="shared" si="23"/>
        <v>0</v>
      </c>
      <c r="G737" s="1843">
        <f t="shared" si="22"/>
        <v>0</v>
      </c>
      <c r="H737" s="1173">
        <v>0.26350000000000001</v>
      </c>
      <c r="I737" s="3121" t="s">
        <v>0</v>
      </c>
    </row>
    <row r="738" spans="1:9" ht="16.5">
      <c r="A738" s="1840" t="s">
        <v>1427</v>
      </c>
      <c r="B738" s="1841" t="s">
        <v>7427</v>
      </c>
      <c r="C738" s="1842" t="s">
        <v>6757</v>
      </c>
      <c r="D738" s="1852"/>
      <c r="E738" s="1852"/>
      <c r="F738" s="1853">
        <f t="shared" si="23"/>
        <v>0</v>
      </c>
      <c r="G738" s="1843">
        <f t="shared" si="22"/>
        <v>0</v>
      </c>
      <c r="H738" s="1173">
        <v>0.6038</v>
      </c>
      <c r="I738" s="3121" t="s">
        <v>0</v>
      </c>
    </row>
    <row r="739" spans="1:9" ht="16.5">
      <c r="A739" s="1840" t="s">
        <v>1428</v>
      </c>
      <c r="B739" s="1841" t="s">
        <v>7428</v>
      </c>
      <c r="C739" s="1842" t="s">
        <v>6757</v>
      </c>
      <c r="D739" s="1852"/>
      <c r="E739" s="1852"/>
      <c r="F739" s="1853">
        <f t="shared" si="23"/>
        <v>0</v>
      </c>
      <c r="G739" s="1843">
        <f t="shared" si="22"/>
        <v>0</v>
      </c>
      <c r="H739" s="1173">
        <v>0.49759999999999999</v>
      </c>
      <c r="I739" s="3121" t="s">
        <v>0</v>
      </c>
    </row>
    <row r="740" spans="1:9" ht="16.5">
      <c r="A740" s="1840" t="s">
        <v>1429</v>
      </c>
      <c r="B740" s="1841" t="s">
        <v>7429</v>
      </c>
      <c r="C740" s="1842" t="s">
        <v>6757</v>
      </c>
      <c r="D740" s="1852"/>
      <c r="E740" s="1852"/>
      <c r="F740" s="1853">
        <f t="shared" si="23"/>
        <v>0</v>
      </c>
      <c r="G740" s="1843">
        <f t="shared" si="22"/>
        <v>0</v>
      </c>
      <c r="H740" s="1173">
        <v>0.79079999999999995</v>
      </c>
      <c r="I740" s="3121" t="s">
        <v>0</v>
      </c>
    </row>
    <row r="741" spans="1:9" ht="16.5">
      <c r="A741" s="1840" t="s">
        <v>3557</v>
      </c>
      <c r="B741" s="1841" t="s">
        <v>7430</v>
      </c>
      <c r="C741" s="1842" t="s">
        <v>6757</v>
      </c>
      <c r="D741" s="1852"/>
      <c r="E741" s="1852"/>
      <c r="F741" s="1853">
        <f t="shared" si="23"/>
        <v>0</v>
      </c>
      <c r="G741" s="1843">
        <f t="shared" si="22"/>
        <v>0</v>
      </c>
      <c r="H741" s="1173">
        <v>0.1845</v>
      </c>
      <c r="I741" s="3121" t="s">
        <v>0</v>
      </c>
    </row>
    <row r="742" spans="1:9" ht="16.5">
      <c r="A742" s="1840" t="s">
        <v>1430</v>
      </c>
      <c r="B742" s="1841" t="s">
        <v>7431</v>
      </c>
      <c r="C742" s="1842" t="s">
        <v>6757</v>
      </c>
      <c r="D742" s="1852"/>
      <c r="E742" s="1852"/>
      <c r="F742" s="1853">
        <f t="shared" si="23"/>
        <v>0</v>
      </c>
      <c r="G742" s="1843">
        <f t="shared" si="22"/>
        <v>0</v>
      </c>
      <c r="H742" s="1173">
        <v>0.86660000000000004</v>
      </c>
      <c r="I742" s="3121" t="s">
        <v>0</v>
      </c>
    </row>
    <row r="743" spans="1:9" ht="16.5">
      <c r="A743" s="1840" t="s">
        <v>1431</v>
      </c>
      <c r="B743" s="1841" t="s">
        <v>7432</v>
      </c>
      <c r="C743" s="1842" t="s">
        <v>6757</v>
      </c>
      <c r="D743" s="1852"/>
      <c r="E743" s="1852"/>
      <c r="F743" s="1853">
        <f t="shared" si="23"/>
        <v>0</v>
      </c>
      <c r="G743" s="1843">
        <f t="shared" si="22"/>
        <v>0</v>
      </c>
      <c r="H743" s="1173">
        <v>0.48</v>
      </c>
      <c r="I743" s="3121" t="s">
        <v>0</v>
      </c>
    </row>
    <row r="744" spans="1:9" ht="16.5">
      <c r="A744" s="1840" t="s">
        <v>1432</v>
      </c>
      <c r="B744" s="1841" t="s">
        <v>7433</v>
      </c>
      <c r="C744" s="1842" t="s">
        <v>6757</v>
      </c>
      <c r="D744" s="1852"/>
      <c r="E744" s="1852"/>
      <c r="F744" s="1853">
        <f t="shared" si="23"/>
        <v>0</v>
      </c>
      <c r="G744" s="1843">
        <f t="shared" si="22"/>
        <v>0</v>
      </c>
      <c r="H744" s="1173">
        <v>0.95989999999999998</v>
      </c>
      <c r="I744" s="3121" t="s">
        <v>0</v>
      </c>
    </row>
    <row r="745" spans="1:9" ht="16.5">
      <c r="A745" s="1840" t="s">
        <v>1966</v>
      </c>
      <c r="B745" s="1841" t="s">
        <v>7434</v>
      </c>
      <c r="C745" s="1842" t="s">
        <v>6757</v>
      </c>
      <c r="D745" s="1852"/>
      <c r="E745" s="1852"/>
      <c r="F745" s="1853">
        <f t="shared" si="23"/>
        <v>0</v>
      </c>
      <c r="G745" s="1843">
        <f t="shared" si="22"/>
        <v>0</v>
      </c>
      <c r="H745" s="1173">
        <v>0.43209999999999998</v>
      </c>
      <c r="I745" s="3121" t="s">
        <v>0</v>
      </c>
    </row>
    <row r="746" spans="1:9" ht="16.5">
      <c r="A746" s="1840" t="s">
        <v>3285</v>
      </c>
      <c r="B746" s="1841" t="s">
        <v>7435</v>
      </c>
      <c r="C746" s="1842" t="s">
        <v>6757</v>
      </c>
      <c r="D746" s="1852"/>
      <c r="E746" s="1852"/>
      <c r="F746" s="1853">
        <f t="shared" si="23"/>
        <v>0</v>
      </c>
      <c r="G746" s="1843">
        <f t="shared" si="22"/>
        <v>0</v>
      </c>
      <c r="H746" s="1173">
        <v>0.73770000000000002</v>
      </c>
      <c r="I746" s="3121" t="s">
        <v>0</v>
      </c>
    </row>
    <row r="747" spans="1:9" ht="16.5">
      <c r="A747" s="1840" t="s">
        <v>6091</v>
      </c>
      <c r="B747" s="1841" t="s">
        <v>7436</v>
      </c>
      <c r="C747" s="1842" t="s">
        <v>6757</v>
      </c>
      <c r="D747" s="1852"/>
      <c r="E747" s="1852"/>
      <c r="F747" s="1853">
        <f t="shared" si="23"/>
        <v>0</v>
      </c>
      <c r="G747" s="1843">
        <f t="shared" si="22"/>
        <v>0</v>
      </c>
      <c r="H747" s="1173">
        <v>1</v>
      </c>
      <c r="I747" s="3121" t="s">
        <v>6890</v>
      </c>
    </row>
    <row r="748" spans="1:9" ht="16.5">
      <c r="A748" s="1840" t="s">
        <v>1433</v>
      </c>
      <c r="B748" s="1841" t="s">
        <v>7437</v>
      </c>
      <c r="C748" s="1842" t="s">
        <v>6757</v>
      </c>
      <c r="D748" s="1852"/>
      <c r="E748" s="1852"/>
      <c r="F748" s="1853">
        <f t="shared" si="23"/>
        <v>0</v>
      </c>
      <c r="G748" s="1843">
        <f t="shared" si="22"/>
        <v>0</v>
      </c>
      <c r="H748" s="1173">
        <v>0.62270000000000003</v>
      </c>
      <c r="I748" s="3121" t="s">
        <v>0</v>
      </c>
    </row>
    <row r="749" spans="1:9" ht="16.5">
      <c r="A749" s="1840" t="s">
        <v>1434</v>
      </c>
      <c r="B749" s="1841" t="s">
        <v>7438</v>
      </c>
      <c r="C749" s="1842" t="s">
        <v>6757</v>
      </c>
      <c r="D749" s="1852"/>
      <c r="E749" s="1852"/>
      <c r="F749" s="1853">
        <f t="shared" si="23"/>
        <v>0</v>
      </c>
      <c r="G749" s="1843">
        <f t="shared" si="22"/>
        <v>0</v>
      </c>
      <c r="H749" s="1173">
        <v>0.5615</v>
      </c>
      <c r="I749" s="3121" t="s">
        <v>0</v>
      </c>
    </row>
    <row r="750" spans="1:9" ht="16.5">
      <c r="A750" s="1840" t="s">
        <v>2303</v>
      </c>
      <c r="B750" s="1841" t="s">
        <v>7439</v>
      </c>
      <c r="C750" s="1842" t="s">
        <v>6757</v>
      </c>
      <c r="D750" s="1852"/>
      <c r="E750" s="1852"/>
      <c r="F750" s="1853">
        <f t="shared" si="23"/>
        <v>0</v>
      </c>
      <c r="G750" s="1843">
        <f t="shared" si="22"/>
        <v>0</v>
      </c>
      <c r="H750" s="1173">
        <v>0.30209999999999998</v>
      </c>
      <c r="I750" s="3121" t="s">
        <v>0</v>
      </c>
    </row>
    <row r="751" spans="1:9" ht="16.5">
      <c r="A751" s="1840" t="s">
        <v>1435</v>
      </c>
      <c r="B751" s="1841" t="s">
        <v>7440</v>
      </c>
      <c r="C751" s="1842" t="s">
        <v>6757</v>
      </c>
      <c r="D751" s="1852"/>
      <c r="E751" s="1852"/>
      <c r="F751" s="1853">
        <f t="shared" si="23"/>
        <v>0</v>
      </c>
      <c r="G751" s="1843">
        <f t="shared" si="22"/>
        <v>0</v>
      </c>
      <c r="H751" s="1173">
        <v>0.28860000000000002</v>
      </c>
      <c r="I751" s="3121" t="s">
        <v>0</v>
      </c>
    </row>
    <row r="752" spans="1:9" ht="16.5">
      <c r="A752" s="1840" t="s">
        <v>1436</v>
      </c>
      <c r="B752" s="1841" t="s">
        <v>7441</v>
      </c>
      <c r="C752" s="1842" t="s">
        <v>6757</v>
      </c>
      <c r="D752" s="1852"/>
      <c r="E752" s="1852"/>
      <c r="F752" s="1853">
        <f t="shared" si="23"/>
        <v>0</v>
      </c>
      <c r="G752" s="1843">
        <f t="shared" si="22"/>
        <v>0</v>
      </c>
      <c r="H752" s="1173">
        <v>0.60089999999999999</v>
      </c>
      <c r="I752" s="3121" t="s">
        <v>0</v>
      </c>
    </row>
    <row r="753" spans="1:9" ht="16.5">
      <c r="A753" s="1840" t="s">
        <v>1437</v>
      </c>
      <c r="B753" s="1841" t="s">
        <v>7442</v>
      </c>
      <c r="C753" s="1842" t="s">
        <v>6757</v>
      </c>
      <c r="D753" s="1852"/>
      <c r="E753" s="1852"/>
      <c r="F753" s="1853">
        <f t="shared" si="23"/>
        <v>0</v>
      </c>
      <c r="G753" s="1843">
        <f t="shared" si="22"/>
        <v>0</v>
      </c>
      <c r="H753" s="1173">
        <v>0.56589999999999996</v>
      </c>
      <c r="I753" s="3121" t="s">
        <v>0</v>
      </c>
    </row>
    <row r="754" spans="1:9" ht="16.5">
      <c r="A754" s="1840" t="s">
        <v>1438</v>
      </c>
      <c r="B754" s="1841" t="s">
        <v>7443</v>
      </c>
      <c r="C754" s="1842" t="s">
        <v>6757</v>
      </c>
      <c r="D754" s="1852"/>
      <c r="E754" s="1852"/>
      <c r="F754" s="1853">
        <f t="shared" si="23"/>
        <v>0</v>
      </c>
      <c r="G754" s="1843">
        <f t="shared" si="22"/>
        <v>0</v>
      </c>
      <c r="H754" s="1173">
        <v>0.70709999999999995</v>
      </c>
      <c r="I754" s="3121" t="s">
        <v>0</v>
      </c>
    </row>
    <row r="755" spans="1:9" ht="16.5">
      <c r="A755" s="1840" t="s">
        <v>1439</v>
      </c>
      <c r="B755" s="1841" t="s">
        <v>7444</v>
      </c>
      <c r="C755" s="1842" t="s">
        <v>6757</v>
      </c>
      <c r="D755" s="1852"/>
      <c r="E755" s="1852"/>
      <c r="F755" s="1853">
        <f t="shared" si="23"/>
        <v>0</v>
      </c>
      <c r="G755" s="1843">
        <f t="shared" si="22"/>
        <v>0</v>
      </c>
      <c r="H755" s="1173">
        <v>0.9375</v>
      </c>
      <c r="I755" s="3121" t="s">
        <v>0</v>
      </c>
    </row>
    <row r="756" spans="1:9" ht="16.5">
      <c r="A756" s="1840" t="s">
        <v>1440</v>
      </c>
      <c r="B756" s="1841" t="s">
        <v>7445</v>
      </c>
      <c r="C756" s="1842" t="s">
        <v>6757</v>
      </c>
      <c r="D756" s="1852"/>
      <c r="E756" s="1852"/>
      <c r="F756" s="1853">
        <f t="shared" si="23"/>
        <v>0</v>
      </c>
      <c r="G756" s="1843">
        <f t="shared" si="22"/>
        <v>0</v>
      </c>
      <c r="H756" s="1173">
        <v>0.30020000000000002</v>
      </c>
      <c r="I756" s="3121" t="s">
        <v>0</v>
      </c>
    </row>
    <row r="757" spans="1:9" ht="16.5">
      <c r="A757" s="1840" t="s">
        <v>1441</v>
      </c>
      <c r="B757" s="1841" t="s">
        <v>7446</v>
      </c>
      <c r="C757" s="1842" t="s">
        <v>6757</v>
      </c>
      <c r="D757" s="1852"/>
      <c r="E757" s="1852"/>
      <c r="F757" s="1853">
        <f t="shared" si="23"/>
        <v>0</v>
      </c>
      <c r="G757" s="1843">
        <f t="shared" si="22"/>
        <v>0</v>
      </c>
      <c r="H757" s="1173">
        <v>0.56830000000000003</v>
      </c>
      <c r="I757" s="3121" t="s">
        <v>0</v>
      </c>
    </row>
    <row r="758" spans="1:9" ht="16.5">
      <c r="A758" s="1840" t="s">
        <v>3201</v>
      </c>
      <c r="B758" s="1841" t="s">
        <v>7447</v>
      </c>
      <c r="C758" s="1842" t="s">
        <v>6757</v>
      </c>
      <c r="D758" s="1852"/>
      <c r="E758" s="1852"/>
      <c r="F758" s="1853">
        <f t="shared" si="23"/>
        <v>0</v>
      </c>
      <c r="G758" s="1843">
        <f t="shared" si="22"/>
        <v>0</v>
      </c>
      <c r="H758" s="1173">
        <v>0.81759999999999999</v>
      </c>
      <c r="I758" s="3121" t="s">
        <v>0</v>
      </c>
    </row>
    <row r="759" spans="1:9" ht="16.5">
      <c r="A759" s="1840" t="s">
        <v>6092</v>
      </c>
      <c r="B759" s="1841" t="s">
        <v>7448</v>
      </c>
      <c r="C759" s="1842" t="s">
        <v>6757</v>
      </c>
      <c r="D759" s="1852"/>
      <c r="E759" s="1852"/>
      <c r="F759" s="1853">
        <f t="shared" si="23"/>
        <v>0</v>
      </c>
      <c r="G759" s="1843">
        <f t="shared" si="22"/>
        <v>0</v>
      </c>
      <c r="H759" s="1173">
        <v>1</v>
      </c>
      <c r="I759" s="3121" t="s">
        <v>6890</v>
      </c>
    </row>
    <row r="760" spans="1:9" ht="16.5">
      <c r="A760" s="1840" t="s">
        <v>1442</v>
      </c>
      <c r="B760" s="1841" t="s">
        <v>7449</v>
      </c>
      <c r="C760" s="1842" t="s">
        <v>6757</v>
      </c>
      <c r="D760" s="1852"/>
      <c r="E760" s="1852"/>
      <c r="F760" s="1853">
        <f t="shared" si="23"/>
        <v>0</v>
      </c>
      <c r="G760" s="1843">
        <f t="shared" si="22"/>
        <v>0</v>
      </c>
      <c r="H760" s="1173">
        <v>0.52380000000000004</v>
      </c>
      <c r="I760" s="3121" t="s">
        <v>0</v>
      </c>
    </row>
    <row r="761" spans="1:9" ht="16.5">
      <c r="A761" s="1840" t="s">
        <v>1443</v>
      </c>
      <c r="B761" s="1841" t="s">
        <v>7450</v>
      </c>
      <c r="C761" s="1842" t="s">
        <v>6757</v>
      </c>
      <c r="D761" s="1852"/>
      <c r="E761" s="1852"/>
      <c r="F761" s="1853">
        <f t="shared" si="23"/>
        <v>0</v>
      </c>
      <c r="G761" s="1843">
        <f t="shared" si="22"/>
        <v>0</v>
      </c>
      <c r="H761" s="1173">
        <v>5.4399999999999997E-2</v>
      </c>
      <c r="I761" s="3121" t="s">
        <v>0</v>
      </c>
    </row>
    <row r="762" spans="1:9" ht="16.5">
      <c r="A762" s="1840" t="s">
        <v>1444</v>
      </c>
      <c r="B762" s="1841" t="s">
        <v>7451</v>
      </c>
      <c r="C762" s="1842" t="s">
        <v>6757</v>
      </c>
      <c r="D762" s="1852"/>
      <c r="E762" s="1852"/>
      <c r="F762" s="1853">
        <f t="shared" si="23"/>
        <v>0</v>
      </c>
      <c r="G762" s="1843">
        <f t="shared" si="22"/>
        <v>0</v>
      </c>
      <c r="H762" s="1173">
        <v>0.77200000000000002</v>
      </c>
      <c r="I762" s="3121" t="s">
        <v>0</v>
      </c>
    </row>
    <row r="763" spans="1:9" ht="16.5">
      <c r="A763" s="1840" t="s">
        <v>1445</v>
      </c>
      <c r="B763" s="1841" t="s">
        <v>7452</v>
      </c>
      <c r="C763" s="1842" t="s">
        <v>6757</v>
      </c>
      <c r="D763" s="1852"/>
      <c r="E763" s="1852"/>
      <c r="F763" s="1853">
        <f t="shared" si="23"/>
        <v>0</v>
      </c>
      <c r="G763" s="1843">
        <f t="shared" si="22"/>
        <v>0</v>
      </c>
      <c r="H763" s="1173">
        <v>1.042</v>
      </c>
      <c r="I763" s="3121" t="s">
        <v>0</v>
      </c>
    </row>
    <row r="764" spans="1:9" ht="16.5">
      <c r="A764" s="1840" t="s">
        <v>1446</v>
      </c>
      <c r="B764" s="1841" t="s">
        <v>7453</v>
      </c>
      <c r="C764" s="1842" t="s">
        <v>6757</v>
      </c>
      <c r="D764" s="1852"/>
      <c r="E764" s="1852"/>
      <c r="F764" s="1853">
        <f t="shared" si="23"/>
        <v>0</v>
      </c>
      <c r="G764" s="1843">
        <f t="shared" si="22"/>
        <v>0</v>
      </c>
      <c r="H764" s="1173">
        <v>0.41710000000000003</v>
      </c>
      <c r="I764" s="3121" t="s">
        <v>0</v>
      </c>
    </row>
    <row r="765" spans="1:9" ht="16.5">
      <c r="A765" s="1840" t="s">
        <v>1447</v>
      </c>
      <c r="B765" s="1841" t="s">
        <v>7454</v>
      </c>
      <c r="C765" s="1842" t="s">
        <v>6757</v>
      </c>
      <c r="D765" s="1852"/>
      <c r="E765" s="1852"/>
      <c r="F765" s="1853">
        <f t="shared" si="23"/>
        <v>0</v>
      </c>
      <c r="G765" s="1843">
        <f t="shared" si="22"/>
        <v>0</v>
      </c>
      <c r="H765" s="1173">
        <v>0.40279999999999999</v>
      </c>
      <c r="I765" s="3121" t="s">
        <v>0</v>
      </c>
    </row>
    <row r="766" spans="1:9" ht="16.5">
      <c r="A766" s="1840" t="s">
        <v>1448</v>
      </c>
      <c r="B766" s="1841" t="s">
        <v>7455</v>
      </c>
      <c r="C766" s="1842" t="s">
        <v>6757</v>
      </c>
      <c r="D766" s="1852"/>
      <c r="E766" s="1852"/>
      <c r="F766" s="1853">
        <f t="shared" si="23"/>
        <v>0</v>
      </c>
      <c r="G766" s="1843">
        <f t="shared" si="22"/>
        <v>0</v>
      </c>
      <c r="H766" s="1173">
        <v>0.62460000000000004</v>
      </c>
      <c r="I766" s="3121" t="s">
        <v>0</v>
      </c>
    </row>
    <row r="767" spans="1:9" ht="16.5">
      <c r="A767" s="1840" t="s">
        <v>1449</v>
      </c>
      <c r="B767" s="1841" t="s">
        <v>7456</v>
      </c>
      <c r="C767" s="1842" t="s">
        <v>6757</v>
      </c>
      <c r="D767" s="1852"/>
      <c r="E767" s="1852"/>
      <c r="F767" s="1853">
        <f t="shared" si="23"/>
        <v>0</v>
      </c>
      <c r="G767" s="1843">
        <f t="shared" si="22"/>
        <v>0</v>
      </c>
      <c r="H767" s="1173">
        <v>0.67369999999999997</v>
      </c>
      <c r="I767" s="3121" t="s">
        <v>0</v>
      </c>
    </row>
    <row r="768" spans="1:9" ht="16.5">
      <c r="A768" s="1840" t="s">
        <v>1450</v>
      </c>
      <c r="B768" s="1841" t="s">
        <v>7457</v>
      </c>
      <c r="C768" s="1842" t="s">
        <v>6757</v>
      </c>
      <c r="D768" s="1852"/>
      <c r="E768" s="1852"/>
      <c r="F768" s="1853">
        <f t="shared" si="23"/>
        <v>0</v>
      </c>
      <c r="G768" s="1843">
        <f t="shared" si="22"/>
        <v>0</v>
      </c>
      <c r="H768" s="1173">
        <v>0.43990000000000001</v>
      </c>
      <c r="I768" s="3121" t="s">
        <v>0</v>
      </c>
    </row>
    <row r="769" spans="1:9" ht="16.5">
      <c r="A769" s="1840" t="s">
        <v>1451</v>
      </c>
      <c r="B769" s="1841" t="s">
        <v>7458</v>
      </c>
      <c r="C769" s="1842" t="s">
        <v>6757</v>
      </c>
      <c r="D769" s="1852"/>
      <c r="E769" s="1852"/>
      <c r="F769" s="1853">
        <f t="shared" si="23"/>
        <v>0</v>
      </c>
      <c r="G769" s="1843">
        <f t="shared" si="22"/>
        <v>0</v>
      </c>
      <c r="H769" s="1173">
        <v>0.55810000000000004</v>
      </c>
      <c r="I769" s="3121" t="s">
        <v>0</v>
      </c>
    </row>
    <row r="770" spans="1:9" ht="16.5">
      <c r="A770" s="1840" t="s">
        <v>1452</v>
      </c>
      <c r="B770" s="1841" t="s">
        <v>7459</v>
      </c>
      <c r="C770" s="1842" t="s">
        <v>6757</v>
      </c>
      <c r="D770" s="1852"/>
      <c r="E770" s="1852"/>
      <c r="F770" s="1853">
        <f t="shared" si="23"/>
        <v>0</v>
      </c>
      <c r="G770" s="1843">
        <f t="shared" si="22"/>
        <v>0</v>
      </c>
      <c r="H770" s="1173">
        <v>0.48580000000000001</v>
      </c>
      <c r="I770" s="3121" t="s">
        <v>0</v>
      </c>
    </row>
    <row r="771" spans="1:9" ht="16.5">
      <c r="A771" s="1840" t="s">
        <v>1453</v>
      </c>
      <c r="B771" s="1841" t="s">
        <v>7460</v>
      </c>
      <c r="C771" s="1842" t="s">
        <v>6757</v>
      </c>
      <c r="D771" s="1852"/>
      <c r="E771" s="1852"/>
      <c r="F771" s="1853">
        <f t="shared" si="23"/>
        <v>0</v>
      </c>
      <c r="G771" s="1843">
        <f t="shared" si="22"/>
        <v>0</v>
      </c>
      <c r="H771" s="1173">
        <v>0.71750000000000003</v>
      </c>
      <c r="I771" s="3121" t="s">
        <v>0</v>
      </c>
    </row>
    <row r="772" spans="1:9" ht="16.5">
      <c r="A772" s="1840" t="s">
        <v>1454</v>
      </c>
      <c r="B772" s="1841" t="s">
        <v>7461</v>
      </c>
      <c r="C772" s="1842" t="s">
        <v>6757</v>
      </c>
      <c r="D772" s="1852"/>
      <c r="E772" s="1852"/>
      <c r="F772" s="1853">
        <f t="shared" si="23"/>
        <v>0</v>
      </c>
      <c r="G772" s="1843">
        <f t="shared" ref="G772:G835" si="24">IF($F$1334=0,0,F772/$F$1334)</f>
        <v>0</v>
      </c>
      <c r="H772" s="1173">
        <v>0.33360000000000001</v>
      </c>
      <c r="I772" s="3121" t="s">
        <v>0</v>
      </c>
    </row>
    <row r="773" spans="1:9" ht="16.5">
      <c r="A773" s="1840" t="s">
        <v>1455</v>
      </c>
      <c r="B773" s="1841" t="s">
        <v>7462</v>
      </c>
      <c r="C773" s="1842" t="s">
        <v>6757</v>
      </c>
      <c r="D773" s="1852"/>
      <c r="E773" s="1852"/>
      <c r="F773" s="1853">
        <f t="shared" ref="F773:F836" si="25">D773*E773</f>
        <v>0</v>
      </c>
      <c r="G773" s="1843">
        <f t="shared" si="24"/>
        <v>0</v>
      </c>
      <c r="H773" s="1173">
        <v>0.75390000000000001</v>
      </c>
      <c r="I773" s="3121" t="s">
        <v>0</v>
      </c>
    </row>
    <row r="774" spans="1:9" ht="16.5">
      <c r="A774" s="1840" t="s">
        <v>6093</v>
      </c>
      <c r="B774" s="1841" t="s">
        <v>7463</v>
      </c>
      <c r="C774" s="1842" t="s">
        <v>6757</v>
      </c>
      <c r="D774" s="1852"/>
      <c r="E774" s="1852"/>
      <c r="F774" s="1853">
        <f t="shared" si="25"/>
        <v>0</v>
      </c>
      <c r="G774" s="1843">
        <f t="shared" si="24"/>
        <v>0</v>
      </c>
      <c r="H774" s="1173">
        <v>1</v>
      </c>
      <c r="I774" s="3121" t="s">
        <v>6890</v>
      </c>
    </row>
    <row r="775" spans="1:9" ht="16.5">
      <c r="A775" s="1840" t="s">
        <v>1456</v>
      </c>
      <c r="B775" s="1841" t="s">
        <v>7464</v>
      </c>
      <c r="C775" s="1842" t="s">
        <v>6757</v>
      </c>
      <c r="D775" s="1852"/>
      <c r="E775" s="1852"/>
      <c r="F775" s="1853">
        <f t="shared" si="25"/>
        <v>0</v>
      </c>
      <c r="G775" s="1843">
        <f t="shared" si="24"/>
        <v>0</v>
      </c>
      <c r="H775" s="1173">
        <v>0.68710000000000004</v>
      </c>
      <c r="I775" s="3121" t="s">
        <v>0</v>
      </c>
    </row>
    <row r="776" spans="1:9" ht="16.5">
      <c r="A776" s="1840" t="s">
        <v>1457</v>
      </c>
      <c r="B776" s="1841" t="s">
        <v>7465</v>
      </c>
      <c r="C776" s="1842" t="s">
        <v>6757</v>
      </c>
      <c r="D776" s="1852"/>
      <c r="E776" s="1852"/>
      <c r="F776" s="1853">
        <f t="shared" si="25"/>
        <v>0</v>
      </c>
      <c r="G776" s="1843">
        <f t="shared" si="24"/>
        <v>0</v>
      </c>
      <c r="H776" s="1173">
        <v>0.82240000000000002</v>
      </c>
      <c r="I776" s="3121" t="s">
        <v>0</v>
      </c>
    </row>
    <row r="777" spans="1:9" ht="16.5">
      <c r="A777" s="1840" t="s">
        <v>1458</v>
      </c>
      <c r="B777" s="1841" t="s">
        <v>7466</v>
      </c>
      <c r="C777" s="1842" t="s">
        <v>6757</v>
      </c>
      <c r="D777" s="1852"/>
      <c r="E777" s="1852"/>
      <c r="F777" s="1853">
        <f t="shared" si="25"/>
        <v>0</v>
      </c>
      <c r="G777" s="1843">
        <f t="shared" si="24"/>
        <v>0</v>
      </c>
      <c r="H777" s="1173">
        <v>0.74719999999999998</v>
      </c>
      <c r="I777" s="3121" t="s">
        <v>0</v>
      </c>
    </row>
    <row r="778" spans="1:9" ht="16.5">
      <c r="A778" s="1840" t="s">
        <v>1459</v>
      </c>
      <c r="B778" s="1841" t="s">
        <v>7467</v>
      </c>
      <c r="C778" s="1842" t="s">
        <v>6757</v>
      </c>
      <c r="D778" s="1852"/>
      <c r="E778" s="1852"/>
      <c r="F778" s="1853">
        <f t="shared" si="25"/>
        <v>0</v>
      </c>
      <c r="G778" s="1843">
        <f t="shared" si="24"/>
        <v>0</v>
      </c>
      <c r="H778" s="1173">
        <v>0.51900000000000002</v>
      </c>
      <c r="I778" s="3121" t="s">
        <v>0</v>
      </c>
    </row>
    <row r="779" spans="1:9" ht="16.5">
      <c r="A779" s="1840" t="s">
        <v>1460</v>
      </c>
      <c r="B779" s="1841" t="s">
        <v>7468</v>
      </c>
      <c r="C779" s="1842" t="s">
        <v>6757</v>
      </c>
      <c r="D779" s="1852"/>
      <c r="E779" s="1852"/>
      <c r="F779" s="1853">
        <f t="shared" si="25"/>
        <v>0</v>
      </c>
      <c r="G779" s="1843">
        <f t="shared" si="24"/>
        <v>0</v>
      </c>
      <c r="H779" s="1173">
        <v>0.72489999999999999</v>
      </c>
      <c r="I779" s="3121" t="s">
        <v>0</v>
      </c>
    </row>
    <row r="780" spans="1:9" ht="16.5">
      <c r="A780" s="1840" t="s">
        <v>1461</v>
      </c>
      <c r="B780" s="1841" t="s">
        <v>7469</v>
      </c>
      <c r="C780" s="1842" t="s">
        <v>6757</v>
      </c>
      <c r="D780" s="1852"/>
      <c r="E780" s="1852"/>
      <c r="F780" s="1853">
        <f t="shared" si="25"/>
        <v>0</v>
      </c>
      <c r="G780" s="1843">
        <f t="shared" si="24"/>
        <v>0</v>
      </c>
      <c r="H780" s="1173">
        <v>0.79820000000000002</v>
      </c>
      <c r="I780" s="3121" t="s">
        <v>0</v>
      </c>
    </row>
    <row r="781" spans="1:9" ht="16.5">
      <c r="A781" s="1840" t="s">
        <v>1462</v>
      </c>
      <c r="B781" s="1841" t="s">
        <v>7470</v>
      </c>
      <c r="C781" s="1842" t="s">
        <v>6757</v>
      </c>
      <c r="D781" s="1852"/>
      <c r="E781" s="1852"/>
      <c r="F781" s="1853">
        <f t="shared" si="25"/>
        <v>0</v>
      </c>
      <c r="G781" s="1843">
        <f t="shared" si="24"/>
        <v>0</v>
      </c>
      <c r="H781" s="1173">
        <v>0.87370000000000003</v>
      </c>
      <c r="I781" s="3121" t="s">
        <v>0</v>
      </c>
    </row>
    <row r="782" spans="1:9" ht="16.5">
      <c r="A782" s="1840" t="s">
        <v>1463</v>
      </c>
      <c r="B782" s="1841" t="s">
        <v>7471</v>
      </c>
      <c r="C782" s="1842" t="s">
        <v>6757</v>
      </c>
      <c r="D782" s="1852"/>
      <c r="E782" s="1852"/>
      <c r="F782" s="1853">
        <f t="shared" si="25"/>
        <v>0</v>
      </c>
      <c r="G782" s="1843">
        <f t="shared" si="24"/>
        <v>0</v>
      </c>
      <c r="H782" s="1173">
        <v>0.78400000000000003</v>
      </c>
      <c r="I782" s="3121" t="s">
        <v>0</v>
      </c>
    </row>
    <row r="783" spans="1:9" ht="16.5">
      <c r="A783" s="1840" t="s">
        <v>1464</v>
      </c>
      <c r="B783" s="1841" t="s">
        <v>7472</v>
      </c>
      <c r="C783" s="1842" t="s">
        <v>6757</v>
      </c>
      <c r="D783" s="1852"/>
      <c r="E783" s="1852"/>
      <c r="F783" s="1853">
        <f t="shared" si="25"/>
        <v>0</v>
      </c>
      <c r="G783" s="1843">
        <f t="shared" si="24"/>
        <v>0</v>
      </c>
      <c r="H783" s="1173">
        <v>0.6391</v>
      </c>
      <c r="I783" s="3121" t="s">
        <v>0</v>
      </c>
    </row>
    <row r="784" spans="1:9" ht="16.5">
      <c r="A784" s="1840" t="s">
        <v>1465</v>
      </c>
      <c r="B784" s="1841" t="s">
        <v>7473</v>
      </c>
      <c r="C784" s="1842" t="s">
        <v>6757</v>
      </c>
      <c r="D784" s="1852"/>
      <c r="E784" s="1852"/>
      <c r="F784" s="1853">
        <f t="shared" si="25"/>
        <v>0</v>
      </c>
      <c r="G784" s="1843">
        <f t="shared" si="24"/>
        <v>0</v>
      </c>
      <c r="H784" s="1173">
        <v>0.60529999999999995</v>
      </c>
      <c r="I784" s="3121" t="s">
        <v>0</v>
      </c>
    </row>
    <row r="785" spans="1:9" ht="16.5">
      <c r="A785" s="1840" t="s">
        <v>1466</v>
      </c>
      <c r="B785" s="1841" t="s">
        <v>7474</v>
      </c>
      <c r="C785" s="1842" t="s">
        <v>6757</v>
      </c>
      <c r="D785" s="1852"/>
      <c r="E785" s="1852"/>
      <c r="F785" s="1853">
        <f t="shared" si="25"/>
        <v>0</v>
      </c>
      <c r="G785" s="1843">
        <f t="shared" si="24"/>
        <v>0</v>
      </c>
      <c r="H785" s="1173">
        <v>0.58040000000000003</v>
      </c>
      <c r="I785" s="3121" t="s">
        <v>0</v>
      </c>
    </row>
    <row r="786" spans="1:9" ht="16.5">
      <c r="A786" s="1840" t="s">
        <v>1467</v>
      </c>
      <c r="B786" s="1841" t="s">
        <v>7475</v>
      </c>
      <c r="C786" s="1842" t="s">
        <v>6757</v>
      </c>
      <c r="D786" s="1852"/>
      <c r="E786" s="1852"/>
      <c r="F786" s="1853">
        <f t="shared" si="25"/>
        <v>0</v>
      </c>
      <c r="G786" s="1843">
        <f t="shared" si="24"/>
        <v>0</v>
      </c>
      <c r="H786" s="1173">
        <v>0.2898</v>
      </c>
      <c r="I786" s="3121" t="s">
        <v>0</v>
      </c>
    </row>
    <row r="787" spans="1:9" ht="16.5">
      <c r="A787" s="1840" t="s">
        <v>1468</v>
      </c>
      <c r="B787" s="1841" t="s">
        <v>7476</v>
      </c>
      <c r="C787" s="1842" t="s">
        <v>6757</v>
      </c>
      <c r="D787" s="1852"/>
      <c r="E787" s="1852"/>
      <c r="F787" s="1853">
        <f t="shared" si="25"/>
        <v>0</v>
      </c>
      <c r="G787" s="1843">
        <f t="shared" si="24"/>
        <v>0</v>
      </c>
      <c r="H787" s="1173">
        <v>0.154</v>
      </c>
      <c r="I787" s="3121" t="s">
        <v>0</v>
      </c>
    </row>
    <row r="788" spans="1:9" ht="16.5">
      <c r="A788" s="1840" t="s">
        <v>1469</v>
      </c>
      <c r="B788" s="1841" t="s">
        <v>7477</v>
      </c>
      <c r="C788" s="1842" t="s">
        <v>6757</v>
      </c>
      <c r="D788" s="1852"/>
      <c r="E788" s="1852"/>
      <c r="F788" s="1853">
        <f t="shared" si="25"/>
        <v>0</v>
      </c>
      <c r="G788" s="1843">
        <f t="shared" si="24"/>
        <v>0</v>
      </c>
      <c r="H788" s="1173">
        <v>0.59499999999999997</v>
      </c>
      <c r="I788" s="3121" t="s">
        <v>0</v>
      </c>
    </row>
    <row r="789" spans="1:9" ht="16.5">
      <c r="A789" s="1840" t="s">
        <v>1470</v>
      </c>
      <c r="B789" s="1841" t="s">
        <v>7478</v>
      </c>
      <c r="C789" s="1842" t="s">
        <v>6757</v>
      </c>
      <c r="D789" s="1852"/>
      <c r="E789" s="1852"/>
      <c r="F789" s="1853">
        <f t="shared" si="25"/>
        <v>0</v>
      </c>
      <c r="G789" s="1843">
        <f t="shared" si="24"/>
        <v>0</v>
      </c>
      <c r="H789" s="1173">
        <v>0.60040000000000004</v>
      </c>
      <c r="I789" s="3121" t="s">
        <v>0</v>
      </c>
    </row>
    <row r="790" spans="1:9" ht="16.5">
      <c r="A790" s="1840" t="s">
        <v>3202</v>
      </c>
      <c r="B790" s="1841" t="s">
        <v>7479</v>
      </c>
      <c r="C790" s="1842" t="s">
        <v>6757</v>
      </c>
      <c r="D790" s="1852"/>
      <c r="E790" s="1852"/>
      <c r="F790" s="1853">
        <f t="shared" si="25"/>
        <v>0</v>
      </c>
      <c r="G790" s="1843">
        <f t="shared" si="24"/>
        <v>0</v>
      </c>
      <c r="H790" s="1173">
        <v>0.55079999999999996</v>
      </c>
      <c r="I790" s="3121" t="s">
        <v>0</v>
      </c>
    </row>
    <row r="791" spans="1:9" ht="16.5">
      <c r="A791" s="1840" t="s">
        <v>1471</v>
      </c>
      <c r="B791" s="1841" t="s">
        <v>7480</v>
      </c>
      <c r="C791" s="1842" t="s">
        <v>6757</v>
      </c>
      <c r="D791" s="1852"/>
      <c r="E791" s="1852"/>
      <c r="F791" s="1853">
        <f t="shared" si="25"/>
        <v>0</v>
      </c>
      <c r="G791" s="1843">
        <f t="shared" si="24"/>
        <v>0</v>
      </c>
      <c r="H791" s="1173">
        <v>0.75349999999999995</v>
      </c>
      <c r="I791" s="3121" t="s">
        <v>0</v>
      </c>
    </row>
    <row r="792" spans="1:9" ht="16.5">
      <c r="A792" s="1840" t="s">
        <v>1472</v>
      </c>
      <c r="B792" s="1841" t="s">
        <v>7481</v>
      </c>
      <c r="C792" s="1842" t="s">
        <v>6757</v>
      </c>
      <c r="D792" s="1852"/>
      <c r="E792" s="1852"/>
      <c r="F792" s="1853">
        <f t="shared" si="25"/>
        <v>0</v>
      </c>
      <c r="G792" s="1843">
        <f t="shared" si="24"/>
        <v>0</v>
      </c>
      <c r="H792" s="1173">
        <v>1.1016999999999999</v>
      </c>
      <c r="I792" s="3121" t="s">
        <v>0</v>
      </c>
    </row>
    <row r="793" spans="1:9" ht="16.5">
      <c r="A793" s="1840" t="s">
        <v>1473</v>
      </c>
      <c r="B793" s="1841" t="s">
        <v>7482</v>
      </c>
      <c r="C793" s="1842" t="s">
        <v>6757</v>
      </c>
      <c r="D793" s="1852"/>
      <c r="E793" s="1852"/>
      <c r="F793" s="1853">
        <f t="shared" si="25"/>
        <v>0</v>
      </c>
      <c r="G793" s="1843">
        <f t="shared" si="24"/>
        <v>0</v>
      </c>
      <c r="H793" s="1173">
        <v>0.79</v>
      </c>
      <c r="I793" s="3121" t="s">
        <v>0</v>
      </c>
    </row>
    <row r="794" spans="1:9" ht="16.5">
      <c r="A794" s="1840" t="s">
        <v>3286</v>
      </c>
      <c r="B794" s="1841" t="s">
        <v>7483</v>
      </c>
      <c r="C794" s="1842" t="s">
        <v>6757</v>
      </c>
      <c r="D794" s="1852"/>
      <c r="E794" s="1852"/>
      <c r="F794" s="1853">
        <f t="shared" si="25"/>
        <v>0</v>
      </c>
      <c r="G794" s="1843">
        <f t="shared" si="24"/>
        <v>0</v>
      </c>
      <c r="H794" s="1173">
        <v>0.2893</v>
      </c>
      <c r="I794" s="3121" t="s">
        <v>0</v>
      </c>
    </row>
    <row r="795" spans="1:9" ht="16.5">
      <c r="A795" s="1840" t="s">
        <v>1474</v>
      </c>
      <c r="B795" s="1841" t="s">
        <v>7484</v>
      </c>
      <c r="C795" s="1842" t="s">
        <v>6757</v>
      </c>
      <c r="D795" s="1852"/>
      <c r="E795" s="1852"/>
      <c r="F795" s="1853">
        <f t="shared" si="25"/>
        <v>0</v>
      </c>
      <c r="G795" s="1843">
        <f t="shared" si="24"/>
        <v>0</v>
      </c>
      <c r="H795" s="1173">
        <v>0.73950000000000005</v>
      </c>
      <c r="I795" s="3121" t="s">
        <v>0</v>
      </c>
    </row>
    <row r="796" spans="1:9" ht="16.5">
      <c r="A796" s="1840" t="s">
        <v>1475</v>
      </c>
      <c r="B796" s="1841" t="s">
        <v>7485</v>
      </c>
      <c r="C796" s="1842" t="s">
        <v>6757</v>
      </c>
      <c r="D796" s="1852"/>
      <c r="E796" s="1852"/>
      <c r="F796" s="1853">
        <f t="shared" si="25"/>
        <v>0</v>
      </c>
      <c r="G796" s="1843">
        <f t="shared" si="24"/>
        <v>0</v>
      </c>
      <c r="H796" s="1173">
        <v>1.3572</v>
      </c>
      <c r="I796" s="3121" t="s">
        <v>0</v>
      </c>
    </row>
    <row r="797" spans="1:9" ht="16.5">
      <c r="A797" s="1840" t="s">
        <v>1476</v>
      </c>
      <c r="B797" s="1841" t="s">
        <v>7486</v>
      </c>
      <c r="C797" s="1842" t="s">
        <v>6757</v>
      </c>
      <c r="D797" s="1852"/>
      <c r="E797" s="1852"/>
      <c r="F797" s="1853">
        <f t="shared" si="25"/>
        <v>0</v>
      </c>
      <c r="G797" s="1843">
        <f t="shared" si="24"/>
        <v>0</v>
      </c>
      <c r="H797" s="1173">
        <v>0.1356</v>
      </c>
      <c r="I797" s="3121" t="s">
        <v>0</v>
      </c>
    </row>
    <row r="798" spans="1:9" ht="16.5">
      <c r="A798" s="1840" t="s">
        <v>1477</v>
      </c>
      <c r="B798" s="1841" t="s">
        <v>3287</v>
      </c>
      <c r="C798" s="1842" t="s">
        <v>6757</v>
      </c>
      <c r="D798" s="1852"/>
      <c r="E798" s="1852"/>
      <c r="F798" s="1853">
        <f t="shared" si="25"/>
        <v>0</v>
      </c>
      <c r="G798" s="1843">
        <f t="shared" si="24"/>
        <v>0</v>
      </c>
      <c r="H798" s="1173">
        <v>0.74</v>
      </c>
      <c r="I798" s="3121" t="s">
        <v>0</v>
      </c>
    </row>
    <row r="799" spans="1:9" ht="16.5">
      <c r="A799" s="1840" t="s">
        <v>1478</v>
      </c>
      <c r="B799" s="1841" t="s">
        <v>7487</v>
      </c>
      <c r="C799" s="1842" t="s">
        <v>6757</v>
      </c>
      <c r="D799" s="1852"/>
      <c r="E799" s="1852"/>
      <c r="F799" s="1853">
        <f t="shared" si="25"/>
        <v>0</v>
      </c>
      <c r="G799" s="1843">
        <f t="shared" si="24"/>
        <v>0</v>
      </c>
      <c r="H799" s="1173">
        <v>0.53480000000000005</v>
      </c>
      <c r="I799" s="3121" t="s">
        <v>0</v>
      </c>
    </row>
    <row r="800" spans="1:9" ht="16.5">
      <c r="A800" s="1840" t="s">
        <v>1479</v>
      </c>
      <c r="B800" s="1841" t="s">
        <v>7488</v>
      </c>
      <c r="C800" s="1842" t="s">
        <v>6757</v>
      </c>
      <c r="D800" s="1852"/>
      <c r="E800" s="1852"/>
      <c r="F800" s="1853">
        <f t="shared" si="25"/>
        <v>0</v>
      </c>
      <c r="G800" s="1843">
        <f t="shared" si="24"/>
        <v>0</v>
      </c>
      <c r="H800" s="1173">
        <v>0.33679999999999999</v>
      </c>
      <c r="I800" s="3121" t="s">
        <v>0</v>
      </c>
    </row>
    <row r="801" spans="1:9" ht="16.5">
      <c r="A801" s="1840" t="s">
        <v>3558</v>
      </c>
      <c r="B801" s="1841" t="s">
        <v>7489</v>
      </c>
      <c r="C801" s="1842" t="s">
        <v>6757</v>
      </c>
      <c r="D801" s="1852"/>
      <c r="E801" s="1852"/>
      <c r="F801" s="1853">
        <f t="shared" si="25"/>
        <v>0</v>
      </c>
      <c r="G801" s="1843">
        <f t="shared" si="24"/>
        <v>0</v>
      </c>
      <c r="H801" s="1173">
        <v>0.69240000000000002</v>
      </c>
      <c r="I801" s="3121" t="s">
        <v>0</v>
      </c>
    </row>
    <row r="802" spans="1:9" ht="16.5">
      <c r="A802" s="1840" t="s">
        <v>2369</v>
      </c>
      <c r="B802" s="1841" t="s">
        <v>7490</v>
      </c>
      <c r="C802" s="1842" t="s">
        <v>6757</v>
      </c>
      <c r="D802" s="1852"/>
      <c r="E802" s="1852"/>
      <c r="F802" s="1853">
        <f t="shared" si="25"/>
        <v>0</v>
      </c>
      <c r="G802" s="1843">
        <f t="shared" si="24"/>
        <v>0</v>
      </c>
      <c r="H802" s="1173">
        <v>0.50960000000000005</v>
      </c>
      <c r="I802" s="3121" t="s">
        <v>0</v>
      </c>
    </row>
    <row r="803" spans="1:9" ht="16.5">
      <c r="A803" s="1840" t="s">
        <v>1480</v>
      </c>
      <c r="B803" s="1841" t="s">
        <v>7491</v>
      </c>
      <c r="C803" s="1842" t="s">
        <v>6757</v>
      </c>
      <c r="D803" s="1852"/>
      <c r="E803" s="1852"/>
      <c r="F803" s="1853">
        <f t="shared" si="25"/>
        <v>0</v>
      </c>
      <c r="G803" s="1843">
        <f t="shared" si="24"/>
        <v>0</v>
      </c>
      <c r="H803" s="1173">
        <v>0.62060000000000004</v>
      </c>
      <c r="I803" s="3121" t="s">
        <v>0</v>
      </c>
    </row>
    <row r="804" spans="1:9" ht="16.5">
      <c r="A804" s="1840" t="s">
        <v>1481</v>
      </c>
      <c r="B804" s="1841" t="s">
        <v>7492</v>
      </c>
      <c r="C804" s="1842" t="s">
        <v>6757</v>
      </c>
      <c r="D804" s="1852"/>
      <c r="E804" s="1852"/>
      <c r="F804" s="1853">
        <f t="shared" si="25"/>
        <v>0</v>
      </c>
      <c r="G804" s="1843">
        <f t="shared" si="24"/>
        <v>0</v>
      </c>
      <c r="H804" s="1173">
        <v>0.77810000000000001</v>
      </c>
      <c r="I804" s="3121" t="s">
        <v>0</v>
      </c>
    </row>
    <row r="805" spans="1:9" ht="16.5">
      <c r="A805" s="1840" t="s">
        <v>1482</v>
      </c>
      <c r="B805" s="1841" t="s">
        <v>7493</v>
      </c>
      <c r="C805" s="1842" t="s">
        <v>6757</v>
      </c>
      <c r="D805" s="1852"/>
      <c r="E805" s="1852"/>
      <c r="F805" s="1853">
        <f t="shared" si="25"/>
        <v>0</v>
      </c>
      <c r="G805" s="1843">
        <f t="shared" si="24"/>
        <v>0</v>
      </c>
      <c r="H805" s="1173">
        <v>0.59770000000000001</v>
      </c>
      <c r="I805" s="3121" t="s">
        <v>0</v>
      </c>
    </row>
    <row r="806" spans="1:9" ht="16.5">
      <c r="A806" s="1840" t="s">
        <v>1483</v>
      </c>
      <c r="B806" s="1841" t="s">
        <v>7494</v>
      </c>
      <c r="C806" s="1842" t="s">
        <v>6757</v>
      </c>
      <c r="D806" s="1852"/>
      <c r="E806" s="1852"/>
      <c r="F806" s="1853">
        <f t="shared" si="25"/>
        <v>0</v>
      </c>
      <c r="G806" s="1843">
        <f t="shared" si="24"/>
        <v>0</v>
      </c>
      <c r="H806" s="1173">
        <v>0.6462</v>
      </c>
      <c r="I806" s="3121" t="s">
        <v>0</v>
      </c>
    </row>
    <row r="807" spans="1:9" ht="16.5">
      <c r="A807" s="1840" t="s">
        <v>1484</v>
      </c>
      <c r="B807" s="1841" t="s">
        <v>7495</v>
      </c>
      <c r="C807" s="1842" t="s">
        <v>6757</v>
      </c>
      <c r="D807" s="1852"/>
      <c r="E807" s="1852"/>
      <c r="F807" s="1853">
        <f t="shared" si="25"/>
        <v>0</v>
      </c>
      <c r="G807" s="1843">
        <f t="shared" si="24"/>
        <v>0</v>
      </c>
      <c r="H807" s="1173">
        <v>0.90329999999999999</v>
      </c>
      <c r="I807" s="3121" t="s">
        <v>0</v>
      </c>
    </row>
    <row r="808" spans="1:9" ht="16.5">
      <c r="A808" s="1840" t="s">
        <v>1485</v>
      </c>
      <c r="B808" s="1841" t="s">
        <v>7496</v>
      </c>
      <c r="C808" s="1842" t="s">
        <v>6757</v>
      </c>
      <c r="D808" s="1852"/>
      <c r="E808" s="1852"/>
      <c r="F808" s="1853">
        <f t="shared" si="25"/>
        <v>0</v>
      </c>
      <c r="G808" s="1843">
        <f t="shared" si="24"/>
        <v>0</v>
      </c>
      <c r="H808" s="1173">
        <v>0.42059999999999997</v>
      </c>
      <c r="I808" s="3121" t="s">
        <v>0</v>
      </c>
    </row>
    <row r="809" spans="1:9" ht="16.5">
      <c r="A809" s="1840" t="s">
        <v>1486</v>
      </c>
      <c r="B809" s="1841" t="s">
        <v>7497</v>
      </c>
      <c r="C809" s="1842" t="s">
        <v>6757</v>
      </c>
      <c r="D809" s="1852"/>
      <c r="E809" s="1852"/>
      <c r="F809" s="1853">
        <f t="shared" si="25"/>
        <v>0</v>
      </c>
      <c r="G809" s="1843">
        <f t="shared" si="24"/>
        <v>0</v>
      </c>
      <c r="H809" s="1173">
        <v>0.77649999999999997</v>
      </c>
      <c r="I809" s="3121" t="s">
        <v>0</v>
      </c>
    </row>
    <row r="810" spans="1:9" ht="16.5">
      <c r="A810" s="1840" t="s">
        <v>1487</v>
      </c>
      <c r="B810" s="1841" t="s">
        <v>7498</v>
      </c>
      <c r="C810" s="1842" t="s">
        <v>6757</v>
      </c>
      <c r="D810" s="1852"/>
      <c r="E810" s="1852"/>
      <c r="F810" s="1853">
        <f t="shared" si="25"/>
        <v>0</v>
      </c>
      <c r="G810" s="1843">
        <f t="shared" si="24"/>
        <v>0</v>
      </c>
      <c r="H810" s="1173">
        <v>0.4672</v>
      </c>
      <c r="I810" s="3121" t="s">
        <v>0</v>
      </c>
    </row>
    <row r="811" spans="1:9" ht="16.5">
      <c r="A811" s="1840" t="s">
        <v>1488</v>
      </c>
      <c r="B811" s="1841" t="s">
        <v>7499</v>
      </c>
      <c r="C811" s="1842" t="s">
        <v>6757</v>
      </c>
      <c r="D811" s="1852"/>
      <c r="E811" s="1852"/>
      <c r="F811" s="1853">
        <f t="shared" si="25"/>
        <v>0</v>
      </c>
      <c r="G811" s="1843">
        <f t="shared" si="24"/>
        <v>0</v>
      </c>
      <c r="H811" s="1173">
        <v>0.4677</v>
      </c>
      <c r="I811" s="3121" t="s">
        <v>0</v>
      </c>
    </row>
    <row r="812" spans="1:9" ht="16.5">
      <c r="A812" s="1840" t="s">
        <v>1489</v>
      </c>
      <c r="B812" s="1841" t="s">
        <v>7500</v>
      </c>
      <c r="C812" s="1842" t="s">
        <v>6757</v>
      </c>
      <c r="D812" s="1852"/>
      <c r="E812" s="1852"/>
      <c r="F812" s="1853">
        <f t="shared" si="25"/>
        <v>0</v>
      </c>
      <c r="G812" s="1843">
        <f t="shared" si="24"/>
        <v>0</v>
      </c>
      <c r="H812" s="1173">
        <v>0.63</v>
      </c>
      <c r="I812" s="3121" t="s">
        <v>0</v>
      </c>
    </row>
    <row r="813" spans="1:9" ht="16.5">
      <c r="A813" s="1840" t="s">
        <v>1490</v>
      </c>
      <c r="B813" s="1841" t="s">
        <v>7501</v>
      </c>
      <c r="C813" s="1842" t="s">
        <v>6757</v>
      </c>
      <c r="D813" s="1852"/>
      <c r="E813" s="1852"/>
      <c r="F813" s="1853">
        <f t="shared" si="25"/>
        <v>0</v>
      </c>
      <c r="G813" s="1843">
        <f t="shared" si="24"/>
        <v>0</v>
      </c>
      <c r="H813" s="1173">
        <v>0.63790000000000002</v>
      </c>
      <c r="I813" s="3121" t="s">
        <v>0</v>
      </c>
    </row>
    <row r="814" spans="1:9" ht="16.5">
      <c r="A814" s="1840" t="s">
        <v>1491</v>
      </c>
      <c r="B814" s="1841" t="s">
        <v>7502</v>
      </c>
      <c r="C814" s="1842" t="s">
        <v>6757</v>
      </c>
      <c r="D814" s="1852"/>
      <c r="E814" s="1852"/>
      <c r="F814" s="1853">
        <f t="shared" si="25"/>
        <v>0</v>
      </c>
      <c r="G814" s="1843">
        <f t="shared" si="24"/>
        <v>0</v>
      </c>
      <c r="H814" s="1173">
        <v>0.43759999999999999</v>
      </c>
      <c r="I814" s="3121" t="s">
        <v>0</v>
      </c>
    </row>
    <row r="815" spans="1:9" ht="16.5">
      <c r="A815" s="1840" t="s">
        <v>1492</v>
      </c>
      <c r="B815" s="1841" t="s">
        <v>7503</v>
      </c>
      <c r="C815" s="1842" t="s">
        <v>6757</v>
      </c>
      <c r="D815" s="1852"/>
      <c r="E815" s="1852"/>
      <c r="F815" s="1853">
        <f t="shared" si="25"/>
        <v>0</v>
      </c>
      <c r="G815" s="1843">
        <f t="shared" si="24"/>
        <v>0</v>
      </c>
      <c r="H815" s="1173">
        <v>0.47489999999999999</v>
      </c>
      <c r="I815" s="3121" t="s">
        <v>0</v>
      </c>
    </row>
    <row r="816" spans="1:9" ht="16.5">
      <c r="A816" s="1840" t="s">
        <v>1493</v>
      </c>
      <c r="B816" s="1841" t="s">
        <v>7504</v>
      </c>
      <c r="C816" s="1842" t="s">
        <v>6757</v>
      </c>
      <c r="D816" s="1852"/>
      <c r="E816" s="1852"/>
      <c r="F816" s="1853">
        <f t="shared" si="25"/>
        <v>0</v>
      </c>
      <c r="G816" s="1843">
        <f t="shared" si="24"/>
        <v>0</v>
      </c>
      <c r="H816" s="1173">
        <v>0.39479999999999998</v>
      </c>
      <c r="I816" s="3121" t="s">
        <v>0</v>
      </c>
    </row>
    <row r="817" spans="1:9" ht="16.5">
      <c r="A817" s="1840" t="s">
        <v>1967</v>
      </c>
      <c r="B817" s="1841" t="s">
        <v>7505</v>
      </c>
      <c r="C817" s="1842" t="s">
        <v>6757</v>
      </c>
      <c r="D817" s="1852"/>
      <c r="E817" s="1852"/>
      <c r="F817" s="1853">
        <f t="shared" si="25"/>
        <v>0</v>
      </c>
      <c r="G817" s="1843">
        <f t="shared" si="24"/>
        <v>0</v>
      </c>
      <c r="H817" s="1173">
        <v>8.6199999999999999E-2</v>
      </c>
      <c r="I817" s="3121" t="s">
        <v>0</v>
      </c>
    </row>
    <row r="818" spans="1:9" ht="16.5">
      <c r="A818" s="1840" t="s">
        <v>1494</v>
      </c>
      <c r="B818" s="1841" t="s">
        <v>7506</v>
      </c>
      <c r="C818" s="1842" t="s">
        <v>6757</v>
      </c>
      <c r="D818" s="1852"/>
      <c r="E818" s="1852"/>
      <c r="F818" s="1853">
        <f t="shared" si="25"/>
        <v>0</v>
      </c>
      <c r="G818" s="1843">
        <f t="shared" si="24"/>
        <v>0</v>
      </c>
      <c r="H818" s="1173">
        <v>0.66579999999999995</v>
      </c>
      <c r="I818" s="3121" t="s">
        <v>0</v>
      </c>
    </row>
    <row r="819" spans="1:9" ht="16.5">
      <c r="A819" s="1840" t="s">
        <v>1495</v>
      </c>
      <c r="B819" s="1841" t="s">
        <v>7507</v>
      </c>
      <c r="C819" s="1842" t="s">
        <v>6757</v>
      </c>
      <c r="D819" s="1852"/>
      <c r="E819" s="1852"/>
      <c r="F819" s="1853">
        <f t="shared" si="25"/>
        <v>0</v>
      </c>
      <c r="G819" s="1843">
        <f t="shared" si="24"/>
        <v>0</v>
      </c>
      <c r="H819" s="1173">
        <v>0.5353</v>
      </c>
      <c r="I819" s="3121" t="s">
        <v>0</v>
      </c>
    </row>
    <row r="820" spans="1:9" ht="16.5">
      <c r="A820" s="1840" t="s">
        <v>1496</v>
      </c>
      <c r="B820" s="1841" t="s">
        <v>7508</v>
      </c>
      <c r="C820" s="1842" t="s">
        <v>6757</v>
      </c>
      <c r="D820" s="1852"/>
      <c r="E820" s="1852"/>
      <c r="F820" s="1853">
        <f t="shared" si="25"/>
        <v>0</v>
      </c>
      <c r="G820" s="1843">
        <f t="shared" si="24"/>
        <v>0</v>
      </c>
      <c r="H820" s="1173">
        <v>0.48949999999999999</v>
      </c>
      <c r="I820" s="3121" t="s">
        <v>0</v>
      </c>
    </row>
    <row r="821" spans="1:9" ht="16.5">
      <c r="A821" s="1840" t="s">
        <v>1497</v>
      </c>
      <c r="B821" s="1841" t="s">
        <v>7509</v>
      </c>
      <c r="C821" s="1842" t="s">
        <v>6757</v>
      </c>
      <c r="D821" s="1852"/>
      <c r="E821" s="1852"/>
      <c r="F821" s="1853">
        <f t="shared" si="25"/>
        <v>0</v>
      </c>
      <c r="G821" s="1843">
        <f t="shared" si="24"/>
        <v>0</v>
      </c>
      <c r="H821" s="1173">
        <v>0.65380000000000005</v>
      </c>
      <c r="I821" s="3121" t="s">
        <v>0</v>
      </c>
    </row>
    <row r="822" spans="1:9" ht="16.5">
      <c r="A822" s="1840" t="s">
        <v>1498</v>
      </c>
      <c r="B822" s="1841" t="s">
        <v>7510</v>
      </c>
      <c r="C822" s="1842" t="s">
        <v>6757</v>
      </c>
      <c r="D822" s="1852"/>
      <c r="E822" s="1852"/>
      <c r="F822" s="1853">
        <f t="shared" si="25"/>
        <v>0</v>
      </c>
      <c r="G822" s="1843">
        <f t="shared" si="24"/>
        <v>0</v>
      </c>
      <c r="H822" s="1173">
        <v>0.45379999999999998</v>
      </c>
      <c r="I822" s="3121" t="s">
        <v>0</v>
      </c>
    </row>
    <row r="823" spans="1:9" ht="16.5">
      <c r="A823" s="1840" t="s">
        <v>1499</v>
      </c>
      <c r="B823" s="1841" t="s">
        <v>7511</v>
      </c>
      <c r="C823" s="1842" t="s">
        <v>6757</v>
      </c>
      <c r="D823" s="1852"/>
      <c r="E823" s="1852"/>
      <c r="F823" s="1853">
        <f t="shared" si="25"/>
        <v>0</v>
      </c>
      <c r="G823" s="1843">
        <f t="shared" si="24"/>
        <v>0</v>
      </c>
      <c r="H823" s="1173">
        <v>0.37559999999999999</v>
      </c>
      <c r="I823" s="3121" t="s">
        <v>0</v>
      </c>
    </row>
    <row r="824" spans="1:9" ht="16.5">
      <c r="A824" s="1840" t="s">
        <v>1500</v>
      </c>
      <c r="B824" s="1841" t="s">
        <v>7512</v>
      </c>
      <c r="C824" s="1842" t="s">
        <v>6757</v>
      </c>
      <c r="D824" s="1852"/>
      <c r="E824" s="1852"/>
      <c r="F824" s="1853">
        <f t="shared" si="25"/>
        <v>0</v>
      </c>
      <c r="G824" s="1843">
        <f t="shared" si="24"/>
        <v>0</v>
      </c>
      <c r="H824" s="1173">
        <v>0.2024</v>
      </c>
      <c r="I824" s="3121" t="s">
        <v>0</v>
      </c>
    </row>
    <row r="825" spans="1:9" ht="16.5">
      <c r="A825" s="1840" t="s">
        <v>1501</v>
      </c>
      <c r="B825" s="1841" t="s">
        <v>7513</v>
      </c>
      <c r="C825" s="1842" t="s">
        <v>6757</v>
      </c>
      <c r="D825" s="1852"/>
      <c r="E825" s="1852"/>
      <c r="F825" s="1853">
        <f t="shared" si="25"/>
        <v>0</v>
      </c>
      <c r="G825" s="1843">
        <f t="shared" si="24"/>
        <v>0</v>
      </c>
      <c r="H825" s="1173">
        <v>0.57499999999999996</v>
      </c>
      <c r="I825" s="3121" t="s">
        <v>0</v>
      </c>
    </row>
    <row r="826" spans="1:9" ht="16.5">
      <c r="A826" s="1840" t="s">
        <v>1502</v>
      </c>
      <c r="B826" s="1841" t="s">
        <v>7514</v>
      </c>
      <c r="C826" s="1842" t="s">
        <v>6757</v>
      </c>
      <c r="D826" s="1852"/>
      <c r="E826" s="1852"/>
      <c r="F826" s="1853">
        <f t="shared" si="25"/>
        <v>0</v>
      </c>
      <c r="G826" s="1843">
        <f t="shared" si="24"/>
        <v>0</v>
      </c>
      <c r="H826" s="1173">
        <v>0.69710000000000005</v>
      </c>
      <c r="I826" s="3121" t="s">
        <v>0</v>
      </c>
    </row>
    <row r="827" spans="1:9" ht="16.5">
      <c r="A827" s="1840" t="s">
        <v>1503</v>
      </c>
      <c r="B827" s="1841" t="s">
        <v>7515</v>
      </c>
      <c r="C827" s="1842" t="s">
        <v>6757</v>
      </c>
      <c r="D827" s="1852"/>
      <c r="E827" s="1852"/>
      <c r="F827" s="1853">
        <f t="shared" si="25"/>
        <v>0</v>
      </c>
      <c r="G827" s="1843">
        <f t="shared" si="24"/>
        <v>0</v>
      </c>
      <c r="H827" s="1173">
        <v>0.47749999999999998</v>
      </c>
      <c r="I827" s="3121" t="s">
        <v>0</v>
      </c>
    </row>
    <row r="828" spans="1:9" ht="16.5">
      <c r="A828" s="1840" t="s">
        <v>1504</v>
      </c>
      <c r="B828" s="1841" t="s">
        <v>7516</v>
      </c>
      <c r="C828" s="1842" t="s">
        <v>6757</v>
      </c>
      <c r="D828" s="1852"/>
      <c r="E828" s="1852"/>
      <c r="F828" s="1853">
        <f t="shared" si="25"/>
        <v>0</v>
      </c>
      <c r="G828" s="1843">
        <f t="shared" si="24"/>
        <v>0</v>
      </c>
      <c r="H828" s="1173">
        <v>0.52700000000000002</v>
      </c>
      <c r="I828" s="3121" t="s">
        <v>0</v>
      </c>
    </row>
    <row r="829" spans="1:9" ht="16.5">
      <c r="A829" s="1840" t="s">
        <v>1505</v>
      </c>
      <c r="B829" s="1841" t="s">
        <v>7517</v>
      </c>
      <c r="C829" s="1842" t="s">
        <v>6757</v>
      </c>
      <c r="D829" s="1852"/>
      <c r="E829" s="1852"/>
      <c r="F829" s="1853">
        <f t="shared" si="25"/>
        <v>0</v>
      </c>
      <c r="G829" s="1843">
        <f t="shared" si="24"/>
        <v>0</v>
      </c>
      <c r="H829" s="1173">
        <v>0.78359999999999996</v>
      </c>
      <c r="I829" s="3121" t="s">
        <v>0</v>
      </c>
    </row>
    <row r="830" spans="1:9" ht="16.5">
      <c r="A830" s="1840" t="s">
        <v>1506</v>
      </c>
      <c r="B830" s="1841" t="s">
        <v>7518</v>
      </c>
      <c r="C830" s="1842" t="s">
        <v>6757</v>
      </c>
      <c r="D830" s="1852"/>
      <c r="E830" s="1852"/>
      <c r="F830" s="1853">
        <f t="shared" si="25"/>
        <v>0</v>
      </c>
      <c r="G830" s="1843">
        <f t="shared" si="24"/>
        <v>0</v>
      </c>
      <c r="H830" s="1173">
        <v>0.33600000000000002</v>
      </c>
      <c r="I830" s="3121" t="s">
        <v>0</v>
      </c>
    </row>
    <row r="831" spans="1:9" ht="16.5">
      <c r="A831" s="1840" t="s">
        <v>1507</v>
      </c>
      <c r="B831" s="1841" t="s">
        <v>7519</v>
      </c>
      <c r="C831" s="1842" t="s">
        <v>6757</v>
      </c>
      <c r="D831" s="1852"/>
      <c r="E831" s="1852"/>
      <c r="F831" s="1853">
        <f t="shared" si="25"/>
        <v>0</v>
      </c>
      <c r="G831" s="1843">
        <f t="shared" si="24"/>
        <v>0</v>
      </c>
      <c r="H831" s="1173">
        <v>0.61870000000000003</v>
      </c>
      <c r="I831" s="3121" t="s">
        <v>0</v>
      </c>
    </row>
    <row r="832" spans="1:9" ht="16.5">
      <c r="A832" s="1840" t="s">
        <v>1508</v>
      </c>
      <c r="B832" s="1841" t="s">
        <v>7520</v>
      </c>
      <c r="C832" s="1842" t="s">
        <v>6757</v>
      </c>
      <c r="D832" s="1852"/>
      <c r="E832" s="1852"/>
      <c r="F832" s="1853">
        <f t="shared" si="25"/>
        <v>0</v>
      </c>
      <c r="G832" s="1843">
        <f t="shared" si="24"/>
        <v>0</v>
      </c>
      <c r="H832" s="1173">
        <v>0.91220000000000001</v>
      </c>
      <c r="I832" s="3121" t="s">
        <v>0</v>
      </c>
    </row>
    <row r="833" spans="1:9" ht="16.5">
      <c r="A833" s="1840" t="s">
        <v>1509</v>
      </c>
      <c r="B833" s="1841" t="s">
        <v>7521</v>
      </c>
      <c r="C833" s="1842" t="s">
        <v>6757</v>
      </c>
      <c r="D833" s="1852"/>
      <c r="E833" s="1852"/>
      <c r="F833" s="1853">
        <f t="shared" si="25"/>
        <v>0</v>
      </c>
      <c r="G833" s="1843">
        <f t="shared" si="24"/>
        <v>0</v>
      </c>
      <c r="H833" s="1173">
        <v>0.57789999999999997</v>
      </c>
      <c r="I833" s="3121" t="s">
        <v>0</v>
      </c>
    </row>
    <row r="834" spans="1:9" ht="16.5">
      <c r="A834" s="1840" t="s">
        <v>1510</v>
      </c>
      <c r="B834" s="1841" t="s">
        <v>7522</v>
      </c>
      <c r="C834" s="1842" t="s">
        <v>6757</v>
      </c>
      <c r="D834" s="1852"/>
      <c r="E834" s="1852"/>
      <c r="F834" s="1853">
        <f t="shared" si="25"/>
        <v>0</v>
      </c>
      <c r="G834" s="1843">
        <f t="shared" si="24"/>
        <v>0</v>
      </c>
      <c r="H834" s="1173">
        <v>0.36709999999999998</v>
      </c>
      <c r="I834" s="3121" t="s">
        <v>0</v>
      </c>
    </row>
    <row r="835" spans="1:9" ht="16.5">
      <c r="A835" s="1840" t="s">
        <v>1511</v>
      </c>
      <c r="B835" s="1841" t="s">
        <v>7523</v>
      </c>
      <c r="C835" s="1842" t="s">
        <v>6757</v>
      </c>
      <c r="D835" s="1852"/>
      <c r="E835" s="1852"/>
      <c r="F835" s="1853">
        <f t="shared" si="25"/>
        <v>0</v>
      </c>
      <c r="G835" s="1843">
        <f t="shared" si="24"/>
        <v>0</v>
      </c>
      <c r="H835" s="1173">
        <v>0.66310000000000002</v>
      </c>
      <c r="I835" s="3121" t="s">
        <v>0</v>
      </c>
    </row>
    <row r="836" spans="1:9" ht="16.5">
      <c r="A836" s="1840" t="s">
        <v>1512</v>
      </c>
      <c r="B836" s="1841" t="s">
        <v>7524</v>
      </c>
      <c r="C836" s="1842" t="s">
        <v>6757</v>
      </c>
      <c r="D836" s="1852"/>
      <c r="E836" s="1852"/>
      <c r="F836" s="1853">
        <f t="shared" si="25"/>
        <v>0</v>
      </c>
      <c r="G836" s="1843">
        <f t="shared" ref="G836:G899" si="26">IF($F$1334=0,0,F836/$F$1334)</f>
        <v>0</v>
      </c>
      <c r="H836" s="1173">
        <v>0.27479999999999999</v>
      </c>
      <c r="I836" s="3121" t="s">
        <v>0</v>
      </c>
    </row>
    <row r="837" spans="1:9" ht="16.5">
      <c r="A837" s="1840" t="s">
        <v>1513</v>
      </c>
      <c r="B837" s="1841" t="s">
        <v>7525</v>
      </c>
      <c r="C837" s="1842" t="s">
        <v>6757</v>
      </c>
      <c r="D837" s="1852"/>
      <c r="E837" s="1852"/>
      <c r="F837" s="1853">
        <f t="shared" ref="F837:F900" si="27">D837*E837</f>
        <v>0</v>
      </c>
      <c r="G837" s="1843">
        <f t="shared" si="26"/>
        <v>0</v>
      </c>
      <c r="H837" s="1173">
        <v>1.0073000000000001</v>
      </c>
      <c r="I837" s="3121" t="s">
        <v>0</v>
      </c>
    </row>
    <row r="838" spans="1:9" ht="16.5">
      <c r="A838" s="1840" t="s">
        <v>1514</v>
      </c>
      <c r="B838" s="1841" t="s">
        <v>7526</v>
      </c>
      <c r="C838" s="1842" t="s">
        <v>6757</v>
      </c>
      <c r="D838" s="1852"/>
      <c r="E838" s="1852"/>
      <c r="F838" s="1853">
        <f t="shared" si="27"/>
        <v>0</v>
      </c>
      <c r="G838" s="1843">
        <f t="shared" si="26"/>
        <v>0</v>
      </c>
      <c r="H838" s="1173">
        <v>0.45789999999999997</v>
      </c>
      <c r="I838" s="3121" t="s">
        <v>0</v>
      </c>
    </row>
    <row r="839" spans="1:9" ht="16.5">
      <c r="A839" s="1840" t="s">
        <v>1515</v>
      </c>
      <c r="B839" s="1841" t="s">
        <v>7527</v>
      </c>
      <c r="C839" s="1842" t="s">
        <v>6757</v>
      </c>
      <c r="D839" s="1852"/>
      <c r="E839" s="1852"/>
      <c r="F839" s="1853">
        <f t="shared" si="27"/>
        <v>0</v>
      </c>
      <c r="G839" s="1843">
        <f t="shared" si="26"/>
        <v>0</v>
      </c>
      <c r="H839" s="1173">
        <v>0.44840000000000002</v>
      </c>
      <c r="I839" s="3121" t="s">
        <v>0</v>
      </c>
    </row>
    <row r="840" spans="1:9" ht="16.5">
      <c r="A840" s="1840" t="s">
        <v>1516</v>
      </c>
      <c r="B840" s="1841" t="s">
        <v>7528</v>
      </c>
      <c r="C840" s="1842" t="s">
        <v>6757</v>
      </c>
      <c r="D840" s="1852"/>
      <c r="E840" s="1852"/>
      <c r="F840" s="1853">
        <f t="shared" si="27"/>
        <v>0</v>
      </c>
      <c r="G840" s="1843">
        <f t="shared" si="26"/>
        <v>0</v>
      </c>
      <c r="H840" s="1173">
        <v>0.59250000000000003</v>
      </c>
      <c r="I840" s="3121" t="s">
        <v>0</v>
      </c>
    </row>
    <row r="841" spans="1:9" ht="16.5">
      <c r="A841" s="1840" t="s">
        <v>1517</v>
      </c>
      <c r="B841" s="1841" t="s">
        <v>7529</v>
      </c>
      <c r="C841" s="1842" t="s">
        <v>6757</v>
      </c>
      <c r="D841" s="1852"/>
      <c r="E841" s="1852"/>
      <c r="F841" s="1853">
        <f t="shared" si="27"/>
        <v>0</v>
      </c>
      <c r="G841" s="1843">
        <f t="shared" si="26"/>
        <v>0</v>
      </c>
      <c r="H841" s="1173">
        <v>0.76829999999999998</v>
      </c>
      <c r="I841" s="3121" t="s">
        <v>0</v>
      </c>
    </row>
    <row r="842" spans="1:9" ht="16.5">
      <c r="A842" s="1840" t="s">
        <v>1518</v>
      </c>
      <c r="B842" s="1841" t="s">
        <v>7530</v>
      </c>
      <c r="C842" s="1842" t="s">
        <v>6757</v>
      </c>
      <c r="D842" s="1852"/>
      <c r="E842" s="1852"/>
      <c r="F842" s="1853">
        <f t="shared" si="27"/>
        <v>0</v>
      </c>
      <c r="G842" s="1843">
        <f t="shared" si="26"/>
        <v>0</v>
      </c>
      <c r="H842" s="1173">
        <v>0.54110000000000003</v>
      </c>
      <c r="I842" s="3121" t="s">
        <v>0</v>
      </c>
    </row>
    <row r="843" spans="1:9" ht="16.5">
      <c r="A843" s="1840" t="s">
        <v>1519</v>
      </c>
      <c r="B843" s="1841" t="s">
        <v>7531</v>
      </c>
      <c r="C843" s="1842" t="s">
        <v>6757</v>
      </c>
      <c r="D843" s="1852"/>
      <c r="E843" s="1852"/>
      <c r="F843" s="1853">
        <f t="shared" si="27"/>
        <v>0</v>
      </c>
      <c r="G843" s="1843">
        <f t="shared" si="26"/>
        <v>0</v>
      </c>
      <c r="H843" s="1173">
        <v>0.59670000000000001</v>
      </c>
      <c r="I843" s="3121" t="s">
        <v>0</v>
      </c>
    </row>
    <row r="844" spans="1:9" ht="16.5">
      <c r="A844" s="1840" t="s">
        <v>1520</v>
      </c>
      <c r="B844" s="1841" t="s">
        <v>7532</v>
      </c>
      <c r="C844" s="1842" t="s">
        <v>6757</v>
      </c>
      <c r="D844" s="1852"/>
      <c r="E844" s="1852"/>
      <c r="F844" s="1853">
        <f t="shared" si="27"/>
        <v>0</v>
      </c>
      <c r="G844" s="1843">
        <f t="shared" si="26"/>
        <v>0</v>
      </c>
      <c r="H844" s="1173">
        <v>0.30990000000000001</v>
      </c>
      <c r="I844" s="3121" t="s">
        <v>0</v>
      </c>
    </row>
    <row r="845" spans="1:9" ht="16.5">
      <c r="A845" s="1840" t="s">
        <v>1521</v>
      </c>
      <c r="B845" s="1841" t="s">
        <v>7533</v>
      </c>
      <c r="C845" s="1842" t="s">
        <v>6757</v>
      </c>
      <c r="D845" s="1852"/>
      <c r="E845" s="1852"/>
      <c r="F845" s="1853">
        <f t="shared" si="27"/>
        <v>0</v>
      </c>
      <c r="G845" s="1843">
        <f t="shared" si="26"/>
        <v>0</v>
      </c>
      <c r="H845" s="1173">
        <v>0.8347</v>
      </c>
      <c r="I845" s="3121" t="s">
        <v>0</v>
      </c>
    </row>
    <row r="846" spans="1:9" ht="16.5">
      <c r="A846" s="1840" t="s">
        <v>1522</v>
      </c>
      <c r="B846" s="1841" t="s">
        <v>7534</v>
      </c>
      <c r="C846" s="1842" t="s">
        <v>6757</v>
      </c>
      <c r="D846" s="1852"/>
      <c r="E846" s="1852"/>
      <c r="F846" s="1853">
        <f t="shared" si="27"/>
        <v>0</v>
      </c>
      <c r="G846" s="1843">
        <f t="shared" si="26"/>
        <v>0</v>
      </c>
      <c r="H846" s="1173">
        <v>0.74880000000000002</v>
      </c>
      <c r="I846" s="3121" t="s">
        <v>0</v>
      </c>
    </row>
    <row r="847" spans="1:9" ht="16.5">
      <c r="A847" s="1840" t="s">
        <v>1523</v>
      </c>
      <c r="B847" s="1841" t="s">
        <v>7535</v>
      </c>
      <c r="C847" s="1842" t="s">
        <v>6757</v>
      </c>
      <c r="D847" s="1852"/>
      <c r="E847" s="1852"/>
      <c r="F847" s="1853">
        <f t="shared" si="27"/>
        <v>0</v>
      </c>
      <c r="G847" s="1843">
        <f t="shared" si="26"/>
        <v>0</v>
      </c>
      <c r="H847" s="1173">
        <v>0.4178</v>
      </c>
      <c r="I847" s="3121" t="s">
        <v>0</v>
      </c>
    </row>
    <row r="848" spans="1:9" ht="16.5">
      <c r="A848" s="1840" t="s">
        <v>1524</v>
      </c>
      <c r="B848" s="1841" t="s">
        <v>7536</v>
      </c>
      <c r="C848" s="1842" t="s">
        <v>6757</v>
      </c>
      <c r="D848" s="1852"/>
      <c r="E848" s="1852"/>
      <c r="F848" s="1853">
        <f t="shared" si="27"/>
        <v>0</v>
      </c>
      <c r="G848" s="1843">
        <f t="shared" si="26"/>
        <v>0</v>
      </c>
      <c r="H848" s="1173">
        <v>0.59189999999999998</v>
      </c>
      <c r="I848" s="3121" t="s">
        <v>0</v>
      </c>
    </row>
    <row r="849" spans="1:9" ht="16.5">
      <c r="A849" s="1840" t="s">
        <v>1525</v>
      </c>
      <c r="B849" s="1841" t="s">
        <v>7537</v>
      </c>
      <c r="C849" s="1842" t="s">
        <v>6757</v>
      </c>
      <c r="D849" s="1852"/>
      <c r="E849" s="1852"/>
      <c r="F849" s="1853">
        <f t="shared" si="27"/>
        <v>0</v>
      </c>
      <c r="G849" s="1843">
        <f t="shared" si="26"/>
        <v>0</v>
      </c>
      <c r="H849" s="1173">
        <v>0.30480000000000002</v>
      </c>
      <c r="I849" s="3121" t="s">
        <v>0</v>
      </c>
    </row>
    <row r="850" spans="1:9" ht="16.5">
      <c r="A850" s="1840" t="s">
        <v>1526</v>
      </c>
      <c r="B850" s="1841" t="s">
        <v>7538</v>
      </c>
      <c r="C850" s="1842" t="s">
        <v>6757</v>
      </c>
      <c r="D850" s="1852"/>
      <c r="E850" s="1852"/>
      <c r="F850" s="1853">
        <f t="shared" si="27"/>
        <v>0</v>
      </c>
      <c r="G850" s="1843">
        <f t="shared" si="26"/>
        <v>0</v>
      </c>
      <c r="H850" s="1173">
        <v>0.13789999999999999</v>
      </c>
      <c r="I850" s="3121" t="s">
        <v>0</v>
      </c>
    </row>
    <row r="851" spans="1:9" ht="16.5">
      <c r="A851" s="1840" t="s">
        <v>1527</v>
      </c>
      <c r="B851" s="1841" t="s">
        <v>7539</v>
      </c>
      <c r="C851" s="1842" t="s">
        <v>6757</v>
      </c>
      <c r="D851" s="1852"/>
      <c r="E851" s="1852"/>
      <c r="F851" s="1853">
        <f t="shared" si="27"/>
        <v>0</v>
      </c>
      <c r="G851" s="1843">
        <f t="shared" si="26"/>
        <v>0</v>
      </c>
      <c r="H851" s="1173">
        <v>0.88349999999999995</v>
      </c>
      <c r="I851" s="3121" t="s">
        <v>0</v>
      </c>
    </row>
    <row r="852" spans="1:9" ht="16.5">
      <c r="A852" s="1840" t="s">
        <v>1528</v>
      </c>
      <c r="B852" s="1841" t="s">
        <v>7540</v>
      </c>
      <c r="C852" s="1842" t="s">
        <v>6757</v>
      </c>
      <c r="D852" s="1852"/>
      <c r="E852" s="1852"/>
      <c r="F852" s="1853">
        <f t="shared" si="27"/>
        <v>0</v>
      </c>
      <c r="G852" s="1843">
        <f t="shared" si="26"/>
        <v>0</v>
      </c>
      <c r="H852" s="1173">
        <v>0.48470000000000002</v>
      </c>
      <c r="I852" s="3121" t="s">
        <v>0</v>
      </c>
    </row>
    <row r="853" spans="1:9" ht="16.5">
      <c r="A853" s="1840" t="s">
        <v>1529</v>
      </c>
      <c r="B853" s="1841" t="s">
        <v>7541</v>
      </c>
      <c r="C853" s="1842" t="s">
        <v>6757</v>
      </c>
      <c r="D853" s="1852"/>
      <c r="E853" s="1852"/>
      <c r="F853" s="1853">
        <f t="shared" si="27"/>
        <v>0</v>
      </c>
      <c r="G853" s="1843">
        <f t="shared" si="26"/>
        <v>0</v>
      </c>
      <c r="H853" s="1173">
        <v>0.59260000000000002</v>
      </c>
      <c r="I853" s="3121" t="s">
        <v>0</v>
      </c>
    </row>
    <row r="854" spans="1:9" ht="16.5">
      <c r="A854" s="1840" t="s">
        <v>1530</v>
      </c>
      <c r="B854" s="1841" t="s">
        <v>7542</v>
      </c>
      <c r="C854" s="1842" t="s">
        <v>6757</v>
      </c>
      <c r="D854" s="1852"/>
      <c r="E854" s="1852"/>
      <c r="F854" s="1853">
        <f t="shared" si="27"/>
        <v>0</v>
      </c>
      <c r="G854" s="1843">
        <f t="shared" si="26"/>
        <v>0</v>
      </c>
      <c r="H854" s="1173">
        <v>0.89329999999999998</v>
      </c>
      <c r="I854" s="3121" t="s">
        <v>0</v>
      </c>
    </row>
    <row r="855" spans="1:9" ht="16.5">
      <c r="A855" s="1840" t="s">
        <v>1531</v>
      </c>
      <c r="B855" s="1841" t="s">
        <v>7543</v>
      </c>
      <c r="C855" s="1842" t="s">
        <v>6757</v>
      </c>
      <c r="D855" s="1852"/>
      <c r="E855" s="1852"/>
      <c r="F855" s="1853">
        <f t="shared" si="27"/>
        <v>0</v>
      </c>
      <c r="G855" s="1843">
        <f t="shared" si="26"/>
        <v>0</v>
      </c>
      <c r="H855" s="1173">
        <v>1.1992</v>
      </c>
      <c r="I855" s="3121" t="s">
        <v>0</v>
      </c>
    </row>
    <row r="856" spans="1:9" ht="16.5">
      <c r="A856" s="1840" t="s">
        <v>1532</v>
      </c>
      <c r="B856" s="1841" t="s">
        <v>7544</v>
      </c>
      <c r="C856" s="1842" t="s">
        <v>6757</v>
      </c>
      <c r="D856" s="1852"/>
      <c r="E856" s="1852"/>
      <c r="F856" s="1853">
        <f t="shared" si="27"/>
        <v>0</v>
      </c>
      <c r="G856" s="1843">
        <f t="shared" si="26"/>
        <v>0</v>
      </c>
      <c r="H856" s="1173">
        <v>0.40239999999999998</v>
      </c>
      <c r="I856" s="3121" t="s">
        <v>0</v>
      </c>
    </row>
    <row r="857" spans="1:9" ht="16.5">
      <c r="A857" s="1840" t="s">
        <v>1533</v>
      </c>
      <c r="B857" s="1841" t="s">
        <v>7545</v>
      </c>
      <c r="C857" s="1842" t="s">
        <v>6757</v>
      </c>
      <c r="D857" s="1852"/>
      <c r="E857" s="1852"/>
      <c r="F857" s="1853">
        <f t="shared" si="27"/>
        <v>0</v>
      </c>
      <c r="G857" s="1843">
        <f t="shared" si="26"/>
        <v>0</v>
      </c>
      <c r="H857" s="1173">
        <v>0.76459999999999995</v>
      </c>
      <c r="I857" s="3121" t="s">
        <v>0</v>
      </c>
    </row>
    <row r="858" spans="1:9" ht="16.5">
      <c r="A858" s="1840" t="s">
        <v>1534</v>
      </c>
      <c r="B858" s="1841" t="s">
        <v>7546</v>
      </c>
      <c r="C858" s="1842" t="s">
        <v>6757</v>
      </c>
      <c r="D858" s="1852"/>
      <c r="E858" s="1852"/>
      <c r="F858" s="1853">
        <f t="shared" si="27"/>
        <v>0</v>
      </c>
      <c r="G858" s="1843">
        <f t="shared" si="26"/>
        <v>0</v>
      </c>
      <c r="H858" s="1173">
        <v>0.7853</v>
      </c>
      <c r="I858" s="3121" t="s">
        <v>0</v>
      </c>
    </row>
    <row r="859" spans="1:9" ht="16.5">
      <c r="A859" s="1840" t="s">
        <v>1535</v>
      </c>
      <c r="B859" s="1841" t="s">
        <v>7547</v>
      </c>
      <c r="C859" s="1842" t="s">
        <v>6757</v>
      </c>
      <c r="D859" s="1852"/>
      <c r="E859" s="1852"/>
      <c r="F859" s="1853">
        <f t="shared" si="27"/>
        <v>0</v>
      </c>
      <c r="G859" s="1843">
        <f t="shared" si="26"/>
        <v>0</v>
      </c>
      <c r="H859" s="1173">
        <v>0.58530000000000004</v>
      </c>
      <c r="I859" s="3121" t="s">
        <v>0</v>
      </c>
    </row>
    <row r="860" spans="1:9" ht="16.5">
      <c r="A860" s="1840" t="s">
        <v>1536</v>
      </c>
      <c r="B860" s="1841" t="s">
        <v>7548</v>
      </c>
      <c r="C860" s="1842" t="s">
        <v>6757</v>
      </c>
      <c r="D860" s="1852"/>
      <c r="E860" s="1852"/>
      <c r="F860" s="1853">
        <f t="shared" si="27"/>
        <v>0</v>
      </c>
      <c r="G860" s="1843">
        <f t="shared" si="26"/>
        <v>0</v>
      </c>
      <c r="H860" s="1173">
        <v>0.55900000000000005</v>
      </c>
      <c r="I860" s="3121" t="s">
        <v>0</v>
      </c>
    </row>
    <row r="861" spans="1:9" ht="16.5">
      <c r="A861" s="1840" t="s">
        <v>1537</v>
      </c>
      <c r="B861" s="1841" t="s">
        <v>7549</v>
      </c>
      <c r="C861" s="1842" t="s">
        <v>6757</v>
      </c>
      <c r="D861" s="1852"/>
      <c r="E861" s="1852"/>
      <c r="F861" s="1853">
        <f t="shared" si="27"/>
        <v>0</v>
      </c>
      <c r="G861" s="1843">
        <f t="shared" si="26"/>
        <v>0</v>
      </c>
      <c r="H861" s="1173">
        <v>0.871</v>
      </c>
      <c r="I861" s="3121" t="s">
        <v>0</v>
      </c>
    </row>
    <row r="862" spans="1:9" ht="16.5">
      <c r="A862" s="1840" t="s">
        <v>1538</v>
      </c>
      <c r="B862" s="1841" t="s">
        <v>7550</v>
      </c>
      <c r="C862" s="1842" t="s">
        <v>6757</v>
      </c>
      <c r="D862" s="1852"/>
      <c r="E862" s="1852"/>
      <c r="F862" s="1853">
        <f t="shared" si="27"/>
        <v>0</v>
      </c>
      <c r="G862" s="1843">
        <f t="shared" si="26"/>
        <v>0</v>
      </c>
      <c r="H862" s="1173">
        <v>0.67490000000000006</v>
      </c>
      <c r="I862" s="3121" t="s">
        <v>0</v>
      </c>
    </row>
    <row r="863" spans="1:9" ht="16.5">
      <c r="A863" s="1840" t="s">
        <v>1539</v>
      </c>
      <c r="B863" s="1841" t="s">
        <v>7551</v>
      </c>
      <c r="C863" s="1842" t="s">
        <v>6757</v>
      </c>
      <c r="D863" s="1852"/>
      <c r="E863" s="1852"/>
      <c r="F863" s="1853">
        <f t="shared" si="27"/>
        <v>0</v>
      </c>
      <c r="G863" s="1843">
        <f t="shared" si="26"/>
        <v>0</v>
      </c>
      <c r="H863" s="1173">
        <v>0.86780000000000002</v>
      </c>
      <c r="I863" s="3121" t="s">
        <v>0</v>
      </c>
    </row>
    <row r="864" spans="1:9" ht="16.5">
      <c r="A864" s="1840" t="s">
        <v>1540</v>
      </c>
      <c r="B864" s="1841" t="s">
        <v>7552</v>
      </c>
      <c r="C864" s="1842" t="s">
        <v>6757</v>
      </c>
      <c r="D864" s="1852"/>
      <c r="E864" s="1852"/>
      <c r="F864" s="1853">
        <f t="shared" si="27"/>
        <v>0</v>
      </c>
      <c r="G864" s="1843">
        <f t="shared" si="26"/>
        <v>0</v>
      </c>
      <c r="H864" s="1173">
        <v>0.67730000000000001</v>
      </c>
      <c r="I864" s="3121" t="s">
        <v>0</v>
      </c>
    </row>
    <row r="865" spans="1:9" ht="16.5">
      <c r="A865" s="1840" t="s">
        <v>1541</v>
      </c>
      <c r="B865" s="1841" t="s">
        <v>7553</v>
      </c>
      <c r="C865" s="1842" t="s">
        <v>6757</v>
      </c>
      <c r="D865" s="1852"/>
      <c r="E865" s="1852"/>
      <c r="F865" s="1853">
        <f t="shared" si="27"/>
        <v>0</v>
      </c>
      <c r="G865" s="1843">
        <f t="shared" si="26"/>
        <v>0</v>
      </c>
      <c r="H865" s="1173">
        <v>0.61909999999999998</v>
      </c>
      <c r="I865" s="3121" t="s">
        <v>0</v>
      </c>
    </row>
    <row r="866" spans="1:9" ht="16.5">
      <c r="A866" s="1840" t="s">
        <v>1542</v>
      </c>
      <c r="B866" s="1841" t="s">
        <v>7554</v>
      </c>
      <c r="C866" s="1842" t="s">
        <v>6757</v>
      </c>
      <c r="D866" s="1852"/>
      <c r="E866" s="1852"/>
      <c r="F866" s="1853">
        <f t="shared" si="27"/>
        <v>0</v>
      </c>
      <c r="G866" s="1843">
        <f t="shared" si="26"/>
        <v>0</v>
      </c>
      <c r="H866" s="1173">
        <v>9.5399999999999999E-2</v>
      </c>
      <c r="I866" s="3121" t="s">
        <v>0</v>
      </c>
    </row>
    <row r="867" spans="1:9" ht="16.5">
      <c r="A867" s="1840" t="s">
        <v>1543</v>
      </c>
      <c r="B867" s="1841" t="s">
        <v>7555</v>
      </c>
      <c r="C867" s="1842" t="s">
        <v>6757</v>
      </c>
      <c r="D867" s="1852"/>
      <c r="E867" s="1852"/>
      <c r="F867" s="1853">
        <f t="shared" si="27"/>
        <v>0</v>
      </c>
      <c r="G867" s="1843">
        <f t="shared" si="26"/>
        <v>0</v>
      </c>
      <c r="H867" s="1173">
        <v>0.56110000000000004</v>
      </c>
      <c r="I867" s="3121" t="s">
        <v>0</v>
      </c>
    </row>
    <row r="868" spans="1:9" ht="16.5">
      <c r="A868" s="1840" t="s">
        <v>1544</v>
      </c>
      <c r="B868" s="1841" t="s">
        <v>7556</v>
      </c>
      <c r="C868" s="1842" t="s">
        <v>6757</v>
      </c>
      <c r="D868" s="1852"/>
      <c r="E868" s="1852"/>
      <c r="F868" s="1853">
        <f t="shared" si="27"/>
        <v>0</v>
      </c>
      <c r="G868" s="1843">
        <f t="shared" si="26"/>
        <v>0</v>
      </c>
      <c r="H868" s="1173">
        <v>0.84419999999999995</v>
      </c>
      <c r="I868" s="3121" t="s">
        <v>0</v>
      </c>
    </row>
    <row r="869" spans="1:9" ht="16.5">
      <c r="A869" s="1840" t="s">
        <v>1545</v>
      </c>
      <c r="B869" s="1841" t="s">
        <v>7557</v>
      </c>
      <c r="C869" s="1842" t="s">
        <v>6757</v>
      </c>
      <c r="D869" s="1852"/>
      <c r="E869" s="1852"/>
      <c r="F869" s="1853">
        <f t="shared" si="27"/>
        <v>0</v>
      </c>
      <c r="G869" s="1843">
        <f t="shared" si="26"/>
        <v>0</v>
      </c>
      <c r="H869" s="1173">
        <v>0.90710000000000002</v>
      </c>
      <c r="I869" s="3121" t="s">
        <v>0</v>
      </c>
    </row>
    <row r="870" spans="1:9" ht="16.5">
      <c r="A870" s="1840" t="s">
        <v>1546</v>
      </c>
      <c r="B870" s="1841" t="s">
        <v>7558</v>
      </c>
      <c r="C870" s="1842" t="s">
        <v>6757</v>
      </c>
      <c r="D870" s="1852"/>
      <c r="E870" s="1852"/>
      <c r="F870" s="1853">
        <f t="shared" si="27"/>
        <v>0</v>
      </c>
      <c r="G870" s="1843">
        <f t="shared" si="26"/>
        <v>0</v>
      </c>
      <c r="H870" s="1173">
        <v>0.73650000000000004</v>
      </c>
      <c r="I870" s="3121" t="s">
        <v>0</v>
      </c>
    </row>
    <row r="871" spans="1:9" ht="16.5">
      <c r="A871" s="1840" t="s">
        <v>1547</v>
      </c>
      <c r="B871" s="1841" t="s">
        <v>7559</v>
      </c>
      <c r="C871" s="1842" t="s">
        <v>6757</v>
      </c>
      <c r="D871" s="1852"/>
      <c r="E871" s="1852"/>
      <c r="F871" s="1853">
        <f t="shared" si="27"/>
        <v>0</v>
      </c>
      <c r="G871" s="1843">
        <f t="shared" si="26"/>
        <v>0</v>
      </c>
      <c r="H871" s="1173">
        <v>0.68420000000000003</v>
      </c>
      <c r="I871" s="3121" t="s">
        <v>0</v>
      </c>
    </row>
    <row r="872" spans="1:9" ht="16.5">
      <c r="A872" s="1840" t="s">
        <v>1548</v>
      </c>
      <c r="B872" s="1841" t="s">
        <v>7560</v>
      </c>
      <c r="C872" s="1842" t="s">
        <v>6757</v>
      </c>
      <c r="D872" s="1852"/>
      <c r="E872" s="1852"/>
      <c r="F872" s="1853">
        <f t="shared" si="27"/>
        <v>0</v>
      </c>
      <c r="G872" s="1843">
        <f t="shared" si="26"/>
        <v>0</v>
      </c>
      <c r="H872" s="1173">
        <v>0.78669999999999995</v>
      </c>
      <c r="I872" s="3121" t="s">
        <v>0</v>
      </c>
    </row>
    <row r="873" spans="1:9" ht="16.5">
      <c r="A873" s="1840" t="s">
        <v>1549</v>
      </c>
      <c r="B873" s="1841" t="s">
        <v>7561</v>
      </c>
      <c r="C873" s="1842" t="s">
        <v>6757</v>
      </c>
      <c r="D873" s="1852"/>
      <c r="E873" s="1852"/>
      <c r="F873" s="1853">
        <f t="shared" si="27"/>
        <v>0</v>
      </c>
      <c r="G873" s="1843">
        <f t="shared" si="26"/>
        <v>0</v>
      </c>
      <c r="H873" s="1173">
        <v>0.54869999999999997</v>
      </c>
      <c r="I873" s="3121" t="s">
        <v>0</v>
      </c>
    </row>
    <row r="874" spans="1:9" ht="16.5">
      <c r="A874" s="1840" t="s">
        <v>1550</v>
      </c>
      <c r="B874" s="1841" t="s">
        <v>7562</v>
      </c>
      <c r="C874" s="1842" t="s">
        <v>6757</v>
      </c>
      <c r="D874" s="1852"/>
      <c r="E874" s="1852"/>
      <c r="F874" s="1853">
        <f t="shared" si="27"/>
        <v>0</v>
      </c>
      <c r="G874" s="1843">
        <f t="shared" si="26"/>
        <v>0</v>
      </c>
      <c r="H874" s="1173">
        <v>0.86509999999999998</v>
      </c>
      <c r="I874" s="3121" t="s">
        <v>0</v>
      </c>
    </row>
    <row r="875" spans="1:9" ht="16.5">
      <c r="A875" s="1840" t="s">
        <v>1</v>
      </c>
      <c r="B875" s="1841" t="s">
        <v>7563</v>
      </c>
      <c r="C875" s="1842" t="s">
        <v>6757</v>
      </c>
      <c r="D875" s="1852"/>
      <c r="E875" s="1852"/>
      <c r="F875" s="1853">
        <f t="shared" si="27"/>
        <v>0</v>
      </c>
      <c r="G875" s="1843">
        <f t="shared" si="26"/>
        <v>0</v>
      </c>
      <c r="H875" s="1173">
        <v>0.1389</v>
      </c>
      <c r="I875" s="3121" t="s">
        <v>0</v>
      </c>
    </row>
    <row r="876" spans="1:9" ht="16.5">
      <c r="A876" s="1840" t="s">
        <v>1551</v>
      </c>
      <c r="B876" s="1841" t="s">
        <v>7564</v>
      </c>
      <c r="C876" s="1842" t="s">
        <v>6757</v>
      </c>
      <c r="D876" s="1852"/>
      <c r="E876" s="1852"/>
      <c r="F876" s="1853">
        <f t="shared" si="27"/>
        <v>0</v>
      </c>
      <c r="G876" s="1843">
        <f t="shared" si="26"/>
        <v>0</v>
      </c>
      <c r="H876" s="1173">
        <v>0.54579999999999995</v>
      </c>
      <c r="I876" s="3121" t="s">
        <v>0</v>
      </c>
    </row>
    <row r="877" spans="1:9" ht="16.5">
      <c r="A877" s="1840" t="s">
        <v>1552</v>
      </c>
      <c r="B877" s="1841" t="s">
        <v>7565</v>
      </c>
      <c r="C877" s="1842" t="s">
        <v>6757</v>
      </c>
      <c r="D877" s="1852"/>
      <c r="E877" s="1852"/>
      <c r="F877" s="1853">
        <f t="shared" si="27"/>
        <v>0</v>
      </c>
      <c r="G877" s="1843">
        <f t="shared" si="26"/>
        <v>0</v>
      </c>
      <c r="H877" s="1173">
        <v>5.6500000000000002E-2</v>
      </c>
      <c r="I877" s="3121" t="s">
        <v>0</v>
      </c>
    </row>
    <row r="878" spans="1:9" ht="16.5">
      <c r="A878" s="1840" t="s">
        <v>1553</v>
      </c>
      <c r="B878" s="1841" t="s">
        <v>7566</v>
      </c>
      <c r="C878" s="1842" t="s">
        <v>6757</v>
      </c>
      <c r="D878" s="1852"/>
      <c r="E878" s="1852"/>
      <c r="F878" s="1853">
        <f t="shared" si="27"/>
        <v>0</v>
      </c>
      <c r="G878" s="1843">
        <f t="shared" si="26"/>
        <v>0</v>
      </c>
      <c r="H878" s="1173">
        <v>0.75790000000000002</v>
      </c>
      <c r="I878" s="3121" t="s">
        <v>0</v>
      </c>
    </row>
    <row r="879" spans="1:9" ht="16.5">
      <c r="A879" s="1840" t="s">
        <v>1554</v>
      </c>
      <c r="B879" s="1841" t="s">
        <v>7567</v>
      </c>
      <c r="C879" s="1842" t="s">
        <v>6757</v>
      </c>
      <c r="D879" s="1852"/>
      <c r="E879" s="1852"/>
      <c r="F879" s="1853">
        <f t="shared" si="27"/>
        <v>0</v>
      </c>
      <c r="G879" s="1843">
        <f t="shared" si="26"/>
        <v>0</v>
      </c>
      <c r="H879" s="1173">
        <v>0.47210000000000002</v>
      </c>
      <c r="I879" s="3121" t="s">
        <v>0</v>
      </c>
    </row>
    <row r="880" spans="1:9" ht="16.5">
      <c r="A880" s="1840" t="s">
        <v>1555</v>
      </c>
      <c r="B880" s="1841" t="s">
        <v>7568</v>
      </c>
      <c r="C880" s="1842" t="s">
        <v>6757</v>
      </c>
      <c r="D880" s="1852"/>
      <c r="E880" s="1852"/>
      <c r="F880" s="1853">
        <f t="shared" si="27"/>
        <v>0</v>
      </c>
      <c r="G880" s="1843">
        <f t="shared" si="26"/>
        <v>0</v>
      </c>
      <c r="H880" s="1173">
        <v>0.52490000000000003</v>
      </c>
      <c r="I880" s="3121" t="s">
        <v>0</v>
      </c>
    </row>
    <row r="881" spans="1:9" ht="16.5">
      <c r="A881" s="1840" t="s">
        <v>1556</v>
      </c>
      <c r="B881" s="1841" t="s">
        <v>7569</v>
      </c>
      <c r="C881" s="1842" t="s">
        <v>6757</v>
      </c>
      <c r="D881" s="1852"/>
      <c r="E881" s="1852"/>
      <c r="F881" s="1853">
        <f t="shared" si="27"/>
        <v>0</v>
      </c>
      <c r="G881" s="1843">
        <f t="shared" si="26"/>
        <v>0</v>
      </c>
      <c r="H881" s="1173">
        <v>0.70599999999999996</v>
      </c>
      <c r="I881" s="3121" t="s">
        <v>0</v>
      </c>
    </row>
    <row r="882" spans="1:9" ht="16.5">
      <c r="A882" s="1840" t="s">
        <v>1557</v>
      </c>
      <c r="B882" s="1841" t="s">
        <v>7570</v>
      </c>
      <c r="C882" s="1842" t="s">
        <v>6757</v>
      </c>
      <c r="D882" s="1852"/>
      <c r="E882" s="1852"/>
      <c r="F882" s="1853">
        <f t="shared" si="27"/>
        <v>0</v>
      </c>
      <c r="G882" s="1843">
        <f t="shared" si="26"/>
        <v>0</v>
      </c>
      <c r="H882" s="1173">
        <v>0.52569999999999995</v>
      </c>
      <c r="I882" s="3121" t="s">
        <v>0</v>
      </c>
    </row>
    <row r="883" spans="1:9" ht="16.5">
      <c r="A883" s="1840" t="s">
        <v>1558</v>
      </c>
      <c r="B883" s="1841" t="s">
        <v>7571</v>
      </c>
      <c r="C883" s="1842" t="s">
        <v>6757</v>
      </c>
      <c r="D883" s="1852"/>
      <c r="E883" s="1852"/>
      <c r="F883" s="1853">
        <f t="shared" si="27"/>
        <v>0</v>
      </c>
      <c r="G883" s="1843">
        <f t="shared" si="26"/>
        <v>0</v>
      </c>
      <c r="H883" s="1173">
        <v>0.82210000000000005</v>
      </c>
      <c r="I883" s="3121" t="s">
        <v>0</v>
      </c>
    </row>
    <row r="884" spans="1:9" ht="16.5">
      <c r="A884" s="1840" t="s">
        <v>1559</v>
      </c>
      <c r="B884" s="1841" t="s">
        <v>7572</v>
      </c>
      <c r="C884" s="1842" t="s">
        <v>6757</v>
      </c>
      <c r="D884" s="1852"/>
      <c r="E884" s="1852"/>
      <c r="F884" s="1853">
        <f t="shared" si="27"/>
        <v>0</v>
      </c>
      <c r="G884" s="1843">
        <f t="shared" si="26"/>
        <v>0</v>
      </c>
      <c r="H884" s="1173">
        <v>0.60209999999999997</v>
      </c>
      <c r="I884" s="3121" t="s">
        <v>0</v>
      </c>
    </row>
    <row r="885" spans="1:9" ht="16.5">
      <c r="A885" s="1840" t="s">
        <v>1560</v>
      </c>
      <c r="B885" s="1841" t="s">
        <v>7573</v>
      </c>
      <c r="C885" s="1842" t="s">
        <v>6757</v>
      </c>
      <c r="D885" s="1852"/>
      <c r="E885" s="1852"/>
      <c r="F885" s="1853">
        <f t="shared" si="27"/>
        <v>0</v>
      </c>
      <c r="G885" s="1843">
        <f t="shared" si="26"/>
        <v>0</v>
      </c>
      <c r="H885" s="1173">
        <v>0.78620000000000001</v>
      </c>
      <c r="I885" s="3121" t="s">
        <v>0</v>
      </c>
    </row>
    <row r="886" spans="1:9" ht="16.5">
      <c r="A886" s="1840" t="s">
        <v>1561</v>
      </c>
      <c r="B886" s="1841" t="s">
        <v>7574</v>
      </c>
      <c r="C886" s="1842" t="s">
        <v>6757</v>
      </c>
      <c r="D886" s="1852"/>
      <c r="E886" s="1852"/>
      <c r="F886" s="1853">
        <f t="shared" si="27"/>
        <v>0</v>
      </c>
      <c r="G886" s="1843">
        <f t="shared" si="26"/>
        <v>0</v>
      </c>
      <c r="H886" s="1173">
        <v>1.0651999999999999</v>
      </c>
      <c r="I886" s="3121" t="s">
        <v>0</v>
      </c>
    </row>
    <row r="887" spans="1:9" ht="16.5">
      <c r="A887" s="1840" t="s">
        <v>1562</v>
      </c>
      <c r="B887" s="1841" t="s">
        <v>7575</v>
      </c>
      <c r="C887" s="1842" t="s">
        <v>6757</v>
      </c>
      <c r="D887" s="1852"/>
      <c r="E887" s="1852"/>
      <c r="F887" s="1853">
        <f t="shared" si="27"/>
        <v>0</v>
      </c>
      <c r="G887" s="1843">
        <f t="shared" si="26"/>
        <v>0</v>
      </c>
      <c r="H887" s="1173">
        <v>0.66239999999999999</v>
      </c>
      <c r="I887" s="3121" t="s">
        <v>0</v>
      </c>
    </row>
    <row r="888" spans="1:9" ht="16.5">
      <c r="A888" s="1840" t="s">
        <v>2552</v>
      </c>
      <c r="B888" s="1841" t="s">
        <v>7576</v>
      </c>
      <c r="C888" s="1842" t="s">
        <v>6757</v>
      </c>
      <c r="D888" s="1852"/>
      <c r="E888" s="1852"/>
      <c r="F888" s="1853">
        <f t="shared" si="27"/>
        <v>0</v>
      </c>
      <c r="G888" s="1843">
        <f t="shared" si="26"/>
        <v>0</v>
      </c>
      <c r="H888" s="1173">
        <v>0.84440000000000004</v>
      </c>
      <c r="I888" s="3121" t="s">
        <v>0</v>
      </c>
    </row>
    <row r="889" spans="1:9" ht="16.5">
      <c r="A889" s="1840" t="s">
        <v>1563</v>
      </c>
      <c r="B889" s="1841" t="s">
        <v>7577</v>
      </c>
      <c r="C889" s="1842" t="s">
        <v>6757</v>
      </c>
      <c r="D889" s="1852"/>
      <c r="E889" s="1852"/>
      <c r="F889" s="1853">
        <f t="shared" si="27"/>
        <v>0</v>
      </c>
      <c r="G889" s="1843">
        <f t="shared" si="26"/>
        <v>0</v>
      </c>
      <c r="H889" s="1173">
        <v>8.5999999999999993E-2</v>
      </c>
      <c r="I889" s="3121" t="s">
        <v>0</v>
      </c>
    </row>
    <row r="890" spans="1:9" ht="16.5">
      <c r="A890" s="1840" t="s">
        <v>2555</v>
      </c>
      <c r="B890" s="1841" t="s">
        <v>7578</v>
      </c>
      <c r="C890" s="1842" t="s">
        <v>6757</v>
      </c>
      <c r="D890" s="1852"/>
      <c r="E890" s="1852"/>
      <c r="F890" s="1853">
        <f t="shared" si="27"/>
        <v>0</v>
      </c>
      <c r="G890" s="1843">
        <f t="shared" si="26"/>
        <v>0</v>
      </c>
      <c r="H890" s="1173">
        <v>0.95399999999999996</v>
      </c>
      <c r="I890" s="3121" t="s">
        <v>0</v>
      </c>
    </row>
    <row r="891" spans="1:9" ht="16.5">
      <c r="A891" s="1840" t="s">
        <v>1564</v>
      </c>
      <c r="B891" s="1841" t="s">
        <v>7579</v>
      </c>
      <c r="C891" s="1842" t="s">
        <v>6757</v>
      </c>
      <c r="D891" s="1852"/>
      <c r="E891" s="1852"/>
      <c r="F891" s="1853">
        <f t="shared" si="27"/>
        <v>0</v>
      </c>
      <c r="G891" s="1843">
        <f t="shared" si="26"/>
        <v>0</v>
      </c>
      <c r="H891" s="1173">
        <v>0.7581</v>
      </c>
      <c r="I891" s="3121" t="s">
        <v>0</v>
      </c>
    </row>
    <row r="892" spans="1:9" ht="16.5">
      <c r="A892" s="1840" t="s">
        <v>1565</v>
      </c>
      <c r="B892" s="1841" t="s">
        <v>7580</v>
      </c>
      <c r="C892" s="1842" t="s">
        <v>6757</v>
      </c>
      <c r="D892" s="1852"/>
      <c r="E892" s="1852"/>
      <c r="F892" s="1853">
        <f t="shared" si="27"/>
        <v>0</v>
      </c>
      <c r="G892" s="1843">
        <f t="shared" si="26"/>
        <v>0</v>
      </c>
      <c r="H892" s="1173">
        <v>0.60740000000000005</v>
      </c>
      <c r="I892" s="3121" t="s">
        <v>0</v>
      </c>
    </row>
    <row r="893" spans="1:9" ht="16.5">
      <c r="A893" s="1840" t="s">
        <v>2557</v>
      </c>
      <c r="B893" s="1841" t="s">
        <v>7581</v>
      </c>
      <c r="C893" s="1842" t="s">
        <v>6757</v>
      </c>
      <c r="D893" s="1852"/>
      <c r="E893" s="1852"/>
      <c r="F893" s="1853">
        <f t="shared" si="27"/>
        <v>0</v>
      </c>
      <c r="G893" s="1843">
        <f t="shared" si="26"/>
        <v>0</v>
      </c>
      <c r="H893" s="1173">
        <v>1</v>
      </c>
      <c r="I893" s="3121" t="s">
        <v>6890</v>
      </c>
    </row>
    <row r="894" spans="1:9" ht="16.5">
      <c r="A894" s="1840" t="s">
        <v>1566</v>
      </c>
      <c r="B894" s="1841" t="s">
        <v>7582</v>
      </c>
      <c r="C894" s="1842" t="s">
        <v>6757</v>
      </c>
      <c r="D894" s="1852"/>
      <c r="E894" s="1852"/>
      <c r="F894" s="1853">
        <f t="shared" si="27"/>
        <v>0</v>
      </c>
      <c r="G894" s="1843">
        <f t="shared" si="26"/>
        <v>0</v>
      </c>
      <c r="H894" s="1173">
        <v>1.0241</v>
      </c>
      <c r="I894" s="3121" t="s">
        <v>0</v>
      </c>
    </row>
    <row r="895" spans="1:9" ht="16.5">
      <c r="A895" s="1840" t="s">
        <v>1567</v>
      </c>
      <c r="B895" s="1841" t="s">
        <v>7583</v>
      </c>
      <c r="C895" s="1842" t="s">
        <v>6757</v>
      </c>
      <c r="D895" s="1852"/>
      <c r="E895" s="1852"/>
      <c r="F895" s="1853">
        <f t="shared" si="27"/>
        <v>0</v>
      </c>
      <c r="G895" s="1843">
        <f t="shared" si="26"/>
        <v>0</v>
      </c>
      <c r="H895" s="1173">
        <v>1.0374000000000001</v>
      </c>
      <c r="I895" s="3121" t="s">
        <v>0</v>
      </c>
    </row>
    <row r="896" spans="1:9" ht="16.5">
      <c r="A896" s="1840" t="s">
        <v>1568</v>
      </c>
      <c r="B896" s="1841" t="s">
        <v>3288</v>
      </c>
      <c r="C896" s="1842" t="s">
        <v>6757</v>
      </c>
      <c r="D896" s="1852"/>
      <c r="E896" s="1852"/>
      <c r="F896" s="1853">
        <f t="shared" si="27"/>
        <v>0</v>
      </c>
      <c r="G896" s="1843">
        <f t="shared" si="26"/>
        <v>0</v>
      </c>
      <c r="H896" s="1173">
        <v>0.78069999999999995</v>
      </c>
      <c r="I896" s="3121" t="s">
        <v>0</v>
      </c>
    </row>
    <row r="897" spans="1:9" ht="16.5">
      <c r="A897" s="1840" t="s">
        <v>1569</v>
      </c>
      <c r="B897" s="1841" t="s">
        <v>7584</v>
      </c>
      <c r="C897" s="1842" t="s">
        <v>6757</v>
      </c>
      <c r="D897" s="1852"/>
      <c r="E897" s="1852"/>
      <c r="F897" s="1853">
        <f t="shared" si="27"/>
        <v>0</v>
      </c>
      <c r="G897" s="1843">
        <f t="shared" si="26"/>
        <v>0</v>
      </c>
      <c r="H897" s="1173">
        <v>0.14499999999999999</v>
      </c>
      <c r="I897" s="3121" t="s">
        <v>0</v>
      </c>
    </row>
    <row r="898" spans="1:9" ht="16.5">
      <c r="A898" s="1840" t="s">
        <v>2563</v>
      </c>
      <c r="B898" s="1841" t="s">
        <v>7585</v>
      </c>
      <c r="C898" s="1842" t="s">
        <v>6757</v>
      </c>
      <c r="D898" s="1852"/>
      <c r="E898" s="1852"/>
      <c r="F898" s="1853">
        <f t="shared" si="27"/>
        <v>0</v>
      </c>
      <c r="G898" s="1843">
        <f t="shared" si="26"/>
        <v>0</v>
      </c>
      <c r="H898" s="1173">
        <v>0.57820000000000005</v>
      </c>
      <c r="I898" s="3121" t="s">
        <v>0</v>
      </c>
    </row>
    <row r="899" spans="1:9" ht="16.5">
      <c r="A899" s="1840" t="s">
        <v>1570</v>
      </c>
      <c r="B899" s="1841" t="s">
        <v>7586</v>
      </c>
      <c r="C899" s="1842" t="s">
        <v>6757</v>
      </c>
      <c r="D899" s="1852"/>
      <c r="E899" s="1852"/>
      <c r="F899" s="1853">
        <f t="shared" si="27"/>
        <v>0</v>
      </c>
      <c r="G899" s="1843">
        <f t="shared" si="26"/>
        <v>0</v>
      </c>
      <c r="H899" s="1173">
        <v>0.59860000000000002</v>
      </c>
      <c r="I899" s="3121" t="s">
        <v>0</v>
      </c>
    </row>
    <row r="900" spans="1:9" ht="16.5">
      <c r="A900" s="1840" t="s">
        <v>1571</v>
      </c>
      <c r="B900" s="1841" t="s">
        <v>7587</v>
      </c>
      <c r="C900" s="1842" t="s">
        <v>6757</v>
      </c>
      <c r="D900" s="1852"/>
      <c r="E900" s="1852"/>
      <c r="F900" s="1853">
        <f t="shared" si="27"/>
        <v>0</v>
      </c>
      <c r="G900" s="1843">
        <f t="shared" ref="G900:G963" si="28">IF($F$1334=0,0,F900/$F$1334)</f>
        <v>0</v>
      </c>
      <c r="H900" s="1173">
        <v>0.4173</v>
      </c>
      <c r="I900" s="3121" t="s">
        <v>0</v>
      </c>
    </row>
    <row r="901" spans="1:9" ht="16.5">
      <c r="A901" s="1840" t="s">
        <v>1572</v>
      </c>
      <c r="B901" s="1841" t="s">
        <v>7588</v>
      </c>
      <c r="C901" s="1842" t="s">
        <v>6757</v>
      </c>
      <c r="D901" s="1852"/>
      <c r="E901" s="1852"/>
      <c r="F901" s="1853">
        <f t="shared" ref="F901:F964" si="29">D901*E901</f>
        <v>0</v>
      </c>
      <c r="G901" s="1843">
        <f t="shared" si="28"/>
        <v>0</v>
      </c>
      <c r="H901" s="1173">
        <v>0.31069999999999998</v>
      </c>
      <c r="I901" s="3121" t="s">
        <v>0</v>
      </c>
    </row>
    <row r="902" spans="1:9" ht="16.5">
      <c r="A902" s="1840" t="s">
        <v>1573</v>
      </c>
      <c r="B902" s="1841" t="s">
        <v>7589</v>
      </c>
      <c r="C902" s="1842" t="s">
        <v>6757</v>
      </c>
      <c r="D902" s="1852"/>
      <c r="E902" s="1852"/>
      <c r="F902" s="1853">
        <f t="shared" si="29"/>
        <v>0</v>
      </c>
      <c r="G902" s="1843">
        <f t="shared" si="28"/>
        <v>0</v>
      </c>
      <c r="H902" s="1173">
        <v>0.38109999999999999</v>
      </c>
      <c r="I902" s="3121" t="s">
        <v>0</v>
      </c>
    </row>
    <row r="903" spans="1:9" ht="16.5">
      <c r="A903" s="1840" t="s">
        <v>3203</v>
      </c>
      <c r="B903" s="1841" t="s">
        <v>7590</v>
      </c>
      <c r="C903" s="1842" t="s">
        <v>6757</v>
      </c>
      <c r="D903" s="1852"/>
      <c r="E903" s="1852"/>
      <c r="F903" s="1853">
        <f t="shared" si="29"/>
        <v>0</v>
      </c>
      <c r="G903" s="1843">
        <f t="shared" si="28"/>
        <v>0</v>
      </c>
      <c r="H903" s="1173">
        <v>1.0182</v>
      </c>
      <c r="I903" s="3121" t="s">
        <v>0</v>
      </c>
    </row>
    <row r="904" spans="1:9" ht="16.5">
      <c r="A904" s="1840" t="s">
        <v>1574</v>
      </c>
      <c r="B904" s="1841" t="s">
        <v>7591</v>
      </c>
      <c r="C904" s="1842" t="s">
        <v>6757</v>
      </c>
      <c r="D904" s="1852"/>
      <c r="E904" s="1852"/>
      <c r="F904" s="1853">
        <f t="shared" si="29"/>
        <v>0</v>
      </c>
      <c r="G904" s="1843">
        <f t="shared" si="28"/>
        <v>0</v>
      </c>
      <c r="H904" s="1173">
        <v>0.60440000000000005</v>
      </c>
      <c r="I904" s="3121" t="s">
        <v>0</v>
      </c>
    </row>
    <row r="905" spans="1:9" ht="16.5">
      <c r="A905" s="1840" t="s">
        <v>3559</v>
      </c>
      <c r="B905" s="1841" t="s">
        <v>7592</v>
      </c>
      <c r="C905" s="1842" t="s">
        <v>6757</v>
      </c>
      <c r="D905" s="1852"/>
      <c r="E905" s="1852"/>
      <c r="F905" s="1853">
        <f t="shared" si="29"/>
        <v>0</v>
      </c>
      <c r="G905" s="1843">
        <f t="shared" si="28"/>
        <v>0</v>
      </c>
      <c r="H905" s="1173">
        <v>1.1267</v>
      </c>
      <c r="I905" s="3121" t="s">
        <v>0</v>
      </c>
    </row>
    <row r="906" spans="1:9" ht="16.5">
      <c r="A906" s="1840" t="s">
        <v>1575</v>
      </c>
      <c r="B906" s="1841" t="s">
        <v>7593</v>
      </c>
      <c r="C906" s="1842" t="s">
        <v>6757</v>
      </c>
      <c r="D906" s="1852"/>
      <c r="E906" s="1852"/>
      <c r="F906" s="1853">
        <f t="shared" si="29"/>
        <v>0</v>
      </c>
      <c r="G906" s="1843">
        <f t="shared" si="28"/>
        <v>0</v>
      </c>
      <c r="H906" s="1173">
        <v>0.79559999999999997</v>
      </c>
      <c r="I906" s="3121" t="s">
        <v>0</v>
      </c>
    </row>
    <row r="907" spans="1:9" ht="16.5">
      <c r="A907" s="1840" t="s">
        <v>1576</v>
      </c>
      <c r="B907" s="1841" t="s">
        <v>7594</v>
      </c>
      <c r="C907" s="1842" t="s">
        <v>6757</v>
      </c>
      <c r="D907" s="1852"/>
      <c r="E907" s="1852"/>
      <c r="F907" s="1853">
        <f t="shared" si="29"/>
        <v>0</v>
      </c>
      <c r="G907" s="1843">
        <f t="shared" si="28"/>
        <v>0</v>
      </c>
      <c r="H907" s="1173">
        <v>0.91069999999999995</v>
      </c>
      <c r="I907" s="3121" t="s">
        <v>0</v>
      </c>
    </row>
    <row r="908" spans="1:9" ht="16.5">
      <c r="A908" s="1840" t="s">
        <v>1577</v>
      </c>
      <c r="B908" s="1841" t="s">
        <v>7595</v>
      </c>
      <c r="C908" s="1842" t="s">
        <v>6757</v>
      </c>
      <c r="D908" s="1852"/>
      <c r="E908" s="1852"/>
      <c r="F908" s="1853">
        <f t="shared" si="29"/>
        <v>0</v>
      </c>
      <c r="G908" s="1843">
        <f t="shared" si="28"/>
        <v>0</v>
      </c>
      <c r="H908" s="1173">
        <v>0.3861</v>
      </c>
      <c r="I908" s="3121" t="s">
        <v>0</v>
      </c>
    </row>
    <row r="909" spans="1:9" ht="16.5">
      <c r="A909" s="1840" t="s">
        <v>3289</v>
      </c>
      <c r="B909" s="1841" t="s">
        <v>7596</v>
      </c>
      <c r="C909" s="1842" t="s">
        <v>6757</v>
      </c>
      <c r="D909" s="1852"/>
      <c r="E909" s="1852"/>
      <c r="F909" s="1853">
        <f t="shared" si="29"/>
        <v>0</v>
      </c>
      <c r="G909" s="1843">
        <f t="shared" si="28"/>
        <v>0</v>
      </c>
      <c r="H909" s="1173">
        <v>0.52680000000000005</v>
      </c>
      <c r="I909" s="3121" t="s">
        <v>0</v>
      </c>
    </row>
    <row r="910" spans="1:9" ht="16.5">
      <c r="A910" s="1840" t="s">
        <v>1578</v>
      </c>
      <c r="B910" s="1841" t="s">
        <v>7597</v>
      </c>
      <c r="C910" s="1842" t="s">
        <v>6757</v>
      </c>
      <c r="D910" s="1852"/>
      <c r="E910" s="1852"/>
      <c r="F910" s="1853">
        <f t="shared" si="29"/>
        <v>0</v>
      </c>
      <c r="G910" s="1843">
        <f t="shared" si="28"/>
        <v>0</v>
      </c>
      <c r="H910" s="1173">
        <v>0.77839999999999998</v>
      </c>
      <c r="I910" s="3121" t="s">
        <v>0</v>
      </c>
    </row>
    <row r="911" spans="1:9" ht="16.5">
      <c r="A911" s="1840" t="s">
        <v>1579</v>
      </c>
      <c r="B911" s="1841" t="s">
        <v>7598</v>
      </c>
      <c r="C911" s="1842" t="s">
        <v>6757</v>
      </c>
      <c r="D911" s="1852"/>
      <c r="E911" s="1852"/>
      <c r="F911" s="1853">
        <f t="shared" si="29"/>
        <v>0</v>
      </c>
      <c r="G911" s="1843">
        <f t="shared" si="28"/>
        <v>0</v>
      </c>
      <c r="H911" s="1173">
        <v>0.56440000000000001</v>
      </c>
      <c r="I911" s="3121" t="s">
        <v>0</v>
      </c>
    </row>
    <row r="912" spans="1:9" ht="16.5">
      <c r="A912" s="1840" t="s">
        <v>1580</v>
      </c>
      <c r="B912" s="1841" t="s">
        <v>7599</v>
      </c>
      <c r="C912" s="1842" t="s">
        <v>6757</v>
      </c>
      <c r="D912" s="1852"/>
      <c r="E912" s="1852"/>
      <c r="F912" s="1853">
        <f t="shared" si="29"/>
        <v>0</v>
      </c>
      <c r="G912" s="1843">
        <f t="shared" si="28"/>
        <v>0</v>
      </c>
      <c r="H912" s="1173">
        <v>0.54720000000000002</v>
      </c>
      <c r="I912" s="3121" t="s">
        <v>0</v>
      </c>
    </row>
    <row r="913" spans="1:9" ht="16.5">
      <c r="A913" s="1840" t="s">
        <v>1581</v>
      </c>
      <c r="B913" s="1841" t="s">
        <v>7600</v>
      </c>
      <c r="C913" s="1842" t="s">
        <v>6757</v>
      </c>
      <c r="D913" s="1852"/>
      <c r="E913" s="1852"/>
      <c r="F913" s="1853">
        <f t="shared" si="29"/>
        <v>0</v>
      </c>
      <c r="G913" s="1843">
        <f t="shared" si="28"/>
        <v>0</v>
      </c>
      <c r="H913" s="1173">
        <v>0.82399999999999995</v>
      </c>
      <c r="I913" s="3121" t="s">
        <v>0</v>
      </c>
    </row>
    <row r="914" spans="1:9" ht="16.5">
      <c r="A914" s="1840" t="s">
        <v>1582</v>
      </c>
      <c r="B914" s="1841" t="s">
        <v>7601</v>
      </c>
      <c r="C914" s="1842" t="s">
        <v>6757</v>
      </c>
      <c r="D914" s="1852"/>
      <c r="E914" s="1852"/>
      <c r="F914" s="1853">
        <f t="shared" si="29"/>
        <v>0</v>
      </c>
      <c r="G914" s="1843">
        <f t="shared" si="28"/>
        <v>0</v>
      </c>
      <c r="H914" s="1173">
        <v>0.42770000000000002</v>
      </c>
      <c r="I914" s="3121" t="s">
        <v>0</v>
      </c>
    </row>
    <row r="915" spans="1:9" ht="16.5">
      <c r="A915" s="1840" t="s">
        <v>1583</v>
      </c>
      <c r="B915" s="1841" t="s">
        <v>7602</v>
      </c>
      <c r="C915" s="1842" t="s">
        <v>6757</v>
      </c>
      <c r="D915" s="1852"/>
      <c r="E915" s="1852"/>
      <c r="F915" s="1853">
        <f t="shared" si="29"/>
        <v>0</v>
      </c>
      <c r="G915" s="1843">
        <f t="shared" si="28"/>
        <v>0</v>
      </c>
      <c r="H915" s="1173">
        <v>0.56079999999999997</v>
      </c>
      <c r="I915" s="3121" t="s">
        <v>0</v>
      </c>
    </row>
    <row r="916" spans="1:9" ht="16.5">
      <c r="A916" s="1840" t="s">
        <v>3290</v>
      </c>
      <c r="B916" s="1841" t="s">
        <v>7603</v>
      </c>
      <c r="C916" s="1842" t="s">
        <v>6757</v>
      </c>
      <c r="D916" s="1852"/>
      <c r="E916" s="1852"/>
      <c r="F916" s="1853">
        <f t="shared" si="29"/>
        <v>0</v>
      </c>
      <c r="G916" s="1843">
        <f t="shared" si="28"/>
        <v>0</v>
      </c>
      <c r="H916" s="1173">
        <v>0.78500000000000003</v>
      </c>
      <c r="I916" s="3121" t="s">
        <v>0</v>
      </c>
    </row>
    <row r="917" spans="1:9" ht="16.5">
      <c r="A917" s="1840" t="s">
        <v>1584</v>
      </c>
      <c r="B917" s="1841" t="s">
        <v>7604</v>
      </c>
      <c r="C917" s="1842" t="s">
        <v>6757</v>
      </c>
      <c r="D917" s="1852"/>
      <c r="E917" s="1852"/>
      <c r="F917" s="1853">
        <f t="shared" si="29"/>
        <v>0</v>
      </c>
      <c r="G917" s="1843">
        <f t="shared" si="28"/>
        <v>0</v>
      </c>
      <c r="H917" s="1173">
        <v>0.85880000000000001</v>
      </c>
      <c r="I917" s="3121" t="s">
        <v>0</v>
      </c>
    </row>
    <row r="918" spans="1:9" ht="16.5">
      <c r="A918" s="1840" t="s">
        <v>1585</v>
      </c>
      <c r="B918" s="1841" t="s">
        <v>7605</v>
      </c>
      <c r="C918" s="1842" t="s">
        <v>6757</v>
      </c>
      <c r="D918" s="1852"/>
      <c r="E918" s="1852"/>
      <c r="F918" s="1853">
        <f t="shared" si="29"/>
        <v>0</v>
      </c>
      <c r="G918" s="1843">
        <f t="shared" si="28"/>
        <v>0</v>
      </c>
      <c r="H918" s="1173">
        <v>0.4224</v>
      </c>
      <c r="I918" s="3121" t="s">
        <v>0</v>
      </c>
    </row>
    <row r="919" spans="1:9" ht="16.5">
      <c r="A919" s="1840" t="s">
        <v>1968</v>
      </c>
      <c r="B919" s="1841" t="s">
        <v>3291</v>
      </c>
      <c r="C919" s="1842" t="s">
        <v>6757</v>
      </c>
      <c r="D919" s="1852"/>
      <c r="E919" s="1852"/>
      <c r="F919" s="1853">
        <f t="shared" si="29"/>
        <v>0</v>
      </c>
      <c r="G919" s="1843">
        <f t="shared" si="28"/>
        <v>0</v>
      </c>
      <c r="H919" s="1173">
        <v>0.53129999999999999</v>
      </c>
      <c r="I919" s="3121" t="s">
        <v>0</v>
      </c>
    </row>
    <row r="920" spans="1:9" ht="16.5">
      <c r="A920" s="1840" t="s">
        <v>1586</v>
      </c>
      <c r="B920" s="1841" t="s">
        <v>7606</v>
      </c>
      <c r="C920" s="1842" t="s">
        <v>6757</v>
      </c>
      <c r="D920" s="1852"/>
      <c r="E920" s="1852"/>
      <c r="F920" s="1853">
        <f t="shared" si="29"/>
        <v>0</v>
      </c>
      <c r="G920" s="1843">
        <f t="shared" si="28"/>
        <v>0</v>
      </c>
      <c r="H920" s="1173">
        <v>0.54020000000000001</v>
      </c>
      <c r="I920" s="3121" t="s">
        <v>0</v>
      </c>
    </row>
    <row r="921" spans="1:9" ht="16.5">
      <c r="A921" s="1840" t="s">
        <v>3560</v>
      </c>
      <c r="B921" s="1841" t="s">
        <v>7607</v>
      </c>
      <c r="C921" s="1842" t="s">
        <v>6757</v>
      </c>
      <c r="D921" s="1852"/>
      <c r="E921" s="1852"/>
      <c r="F921" s="1853">
        <f t="shared" si="29"/>
        <v>0</v>
      </c>
      <c r="G921" s="1843">
        <f t="shared" si="28"/>
        <v>0</v>
      </c>
      <c r="H921" s="1173">
        <v>0.1847</v>
      </c>
      <c r="I921" s="3121" t="s">
        <v>0</v>
      </c>
    </row>
    <row r="922" spans="1:9" ht="16.5">
      <c r="A922" s="1840" t="s">
        <v>1587</v>
      </c>
      <c r="B922" s="1841" t="s">
        <v>7608</v>
      </c>
      <c r="C922" s="1842" t="s">
        <v>6757</v>
      </c>
      <c r="D922" s="1852"/>
      <c r="E922" s="1852"/>
      <c r="F922" s="1853">
        <f t="shared" si="29"/>
        <v>0</v>
      </c>
      <c r="G922" s="1843">
        <f t="shared" si="28"/>
        <v>0</v>
      </c>
      <c r="H922" s="1173">
        <v>0.43819999999999998</v>
      </c>
      <c r="I922" s="3121" t="s">
        <v>0</v>
      </c>
    </row>
    <row r="923" spans="1:9" ht="16.5">
      <c r="A923" s="1840" t="s">
        <v>1588</v>
      </c>
      <c r="B923" s="1841" t="s">
        <v>7609</v>
      </c>
      <c r="C923" s="1842" t="s">
        <v>6757</v>
      </c>
      <c r="D923" s="1852"/>
      <c r="E923" s="1852"/>
      <c r="F923" s="1853">
        <f t="shared" si="29"/>
        <v>0</v>
      </c>
      <c r="G923" s="1843">
        <f t="shared" si="28"/>
        <v>0</v>
      </c>
      <c r="H923" s="1173">
        <v>0.14879999999999999</v>
      </c>
      <c r="I923" s="3121" t="s">
        <v>0</v>
      </c>
    </row>
    <row r="924" spans="1:9" ht="16.5">
      <c r="A924" s="1840" t="s">
        <v>1589</v>
      </c>
      <c r="B924" s="1841" t="s">
        <v>7610</v>
      </c>
      <c r="C924" s="1842" t="s">
        <v>6757</v>
      </c>
      <c r="D924" s="1852"/>
      <c r="E924" s="1852"/>
      <c r="F924" s="1853">
        <f t="shared" si="29"/>
        <v>0</v>
      </c>
      <c r="G924" s="1843">
        <f t="shared" si="28"/>
        <v>0</v>
      </c>
      <c r="H924" s="1173">
        <v>0.1472</v>
      </c>
      <c r="I924" s="3121" t="s">
        <v>0</v>
      </c>
    </row>
    <row r="925" spans="1:9" ht="16.5">
      <c r="A925" s="1840" t="s">
        <v>3561</v>
      </c>
      <c r="B925" s="1841" t="s">
        <v>7611</v>
      </c>
      <c r="C925" s="1842" t="s">
        <v>6757</v>
      </c>
      <c r="D925" s="1852"/>
      <c r="E925" s="1852"/>
      <c r="F925" s="1853">
        <f t="shared" si="29"/>
        <v>0</v>
      </c>
      <c r="G925" s="1843">
        <f t="shared" si="28"/>
        <v>0</v>
      </c>
      <c r="H925" s="1173">
        <v>0.39500000000000002</v>
      </c>
      <c r="I925" s="3121" t="s">
        <v>0</v>
      </c>
    </row>
    <row r="926" spans="1:9" ht="16.5">
      <c r="A926" s="1840" t="s">
        <v>3562</v>
      </c>
      <c r="B926" s="1841" t="s">
        <v>7612</v>
      </c>
      <c r="C926" s="1842" t="s">
        <v>6757</v>
      </c>
      <c r="D926" s="1852"/>
      <c r="E926" s="1852"/>
      <c r="F926" s="1853">
        <f t="shared" si="29"/>
        <v>0</v>
      </c>
      <c r="G926" s="1843">
        <f t="shared" si="28"/>
        <v>0</v>
      </c>
      <c r="H926" s="1173">
        <v>0.90849999999999997</v>
      </c>
      <c r="I926" s="3121" t="s">
        <v>0</v>
      </c>
    </row>
    <row r="927" spans="1:9" ht="16.5">
      <c r="A927" s="1840" t="s">
        <v>1590</v>
      </c>
      <c r="B927" s="1841" t="s">
        <v>7613</v>
      </c>
      <c r="C927" s="1842" t="s">
        <v>6757</v>
      </c>
      <c r="D927" s="1852"/>
      <c r="E927" s="1852"/>
      <c r="F927" s="1853">
        <f t="shared" si="29"/>
        <v>0</v>
      </c>
      <c r="G927" s="1843">
        <f t="shared" si="28"/>
        <v>0</v>
      </c>
      <c r="H927" s="1173">
        <v>0.45490000000000003</v>
      </c>
      <c r="I927" s="3121" t="s">
        <v>0</v>
      </c>
    </row>
    <row r="928" spans="1:9" ht="16.5">
      <c r="A928" s="1840" t="s">
        <v>1591</v>
      </c>
      <c r="B928" s="1841" t="s">
        <v>7614</v>
      </c>
      <c r="C928" s="1842" t="s">
        <v>6757</v>
      </c>
      <c r="D928" s="1852"/>
      <c r="E928" s="1852"/>
      <c r="F928" s="1853">
        <f t="shared" si="29"/>
        <v>0</v>
      </c>
      <c r="G928" s="1843">
        <f t="shared" si="28"/>
        <v>0</v>
      </c>
      <c r="H928" s="1173">
        <v>0.68059999999999998</v>
      </c>
      <c r="I928" s="3121" t="s">
        <v>0</v>
      </c>
    </row>
    <row r="929" spans="1:9" ht="16.5">
      <c r="A929" s="1840" t="s">
        <v>1592</v>
      </c>
      <c r="B929" s="1841" t="s">
        <v>7615</v>
      </c>
      <c r="C929" s="1842" t="s">
        <v>6757</v>
      </c>
      <c r="D929" s="1852"/>
      <c r="E929" s="1852"/>
      <c r="F929" s="1853">
        <f t="shared" si="29"/>
        <v>0</v>
      </c>
      <c r="G929" s="1843">
        <f t="shared" si="28"/>
        <v>0</v>
      </c>
      <c r="H929" s="1173">
        <v>1.4594</v>
      </c>
      <c r="I929" s="3121" t="s">
        <v>0</v>
      </c>
    </row>
    <row r="930" spans="1:9" ht="16.5">
      <c r="A930" s="1840" t="s">
        <v>1593</v>
      </c>
      <c r="B930" s="1841" t="s">
        <v>7616</v>
      </c>
      <c r="C930" s="1842" t="s">
        <v>6757</v>
      </c>
      <c r="D930" s="1852"/>
      <c r="E930" s="1852"/>
      <c r="F930" s="1853">
        <f t="shared" si="29"/>
        <v>0</v>
      </c>
      <c r="G930" s="1843">
        <f t="shared" si="28"/>
        <v>0</v>
      </c>
      <c r="H930" s="1173">
        <v>0.59919999999999995</v>
      </c>
      <c r="I930" s="3121" t="s">
        <v>0</v>
      </c>
    </row>
    <row r="931" spans="1:9" ht="16.5">
      <c r="A931" s="1840" t="s">
        <v>1594</v>
      </c>
      <c r="B931" s="1841" t="s">
        <v>7617</v>
      </c>
      <c r="C931" s="1842" t="s">
        <v>6757</v>
      </c>
      <c r="D931" s="1852"/>
      <c r="E931" s="1852"/>
      <c r="F931" s="1853">
        <f t="shared" si="29"/>
        <v>0</v>
      </c>
      <c r="G931" s="1843">
        <f t="shared" si="28"/>
        <v>0</v>
      </c>
      <c r="H931" s="1173">
        <v>0.20619999999999999</v>
      </c>
      <c r="I931" s="3121" t="s">
        <v>0</v>
      </c>
    </row>
    <row r="932" spans="1:9" ht="16.5">
      <c r="A932" s="1840" t="s">
        <v>1595</v>
      </c>
      <c r="B932" s="1841" t="s">
        <v>7618</v>
      </c>
      <c r="C932" s="1842" t="s">
        <v>6757</v>
      </c>
      <c r="D932" s="1852"/>
      <c r="E932" s="1852"/>
      <c r="F932" s="1853">
        <f t="shared" si="29"/>
        <v>0</v>
      </c>
      <c r="G932" s="1843">
        <f t="shared" si="28"/>
        <v>0</v>
      </c>
      <c r="H932" s="1173">
        <v>0.4798</v>
      </c>
      <c r="I932" s="3121" t="s">
        <v>0</v>
      </c>
    </row>
    <row r="933" spans="1:9" ht="16.5">
      <c r="A933" s="1840" t="s">
        <v>1596</v>
      </c>
      <c r="B933" s="1841" t="s">
        <v>7619</v>
      </c>
      <c r="C933" s="1842" t="s">
        <v>6757</v>
      </c>
      <c r="D933" s="1852"/>
      <c r="E933" s="1852"/>
      <c r="F933" s="1853">
        <f t="shared" si="29"/>
        <v>0</v>
      </c>
      <c r="G933" s="1843">
        <f t="shared" si="28"/>
        <v>0</v>
      </c>
      <c r="H933" s="1173">
        <v>0.37469999999999998</v>
      </c>
      <c r="I933" s="3121" t="s">
        <v>0</v>
      </c>
    </row>
    <row r="934" spans="1:9" ht="16.5">
      <c r="A934" s="1840" t="s">
        <v>3292</v>
      </c>
      <c r="B934" s="1841" t="s">
        <v>7620</v>
      </c>
      <c r="C934" s="1842" t="s">
        <v>6757</v>
      </c>
      <c r="D934" s="1852"/>
      <c r="E934" s="1852"/>
      <c r="F934" s="1853">
        <f t="shared" si="29"/>
        <v>0</v>
      </c>
      <c r="G934" s="1843">
        <f t="shared" si="28"/>
        <v>0</v>
      </c>
      <c r="H934" s="1173">
        <v>0.83879999999999999</v>
      </c>
      <c r="I934" s="3121" t="s">
        <v>0</v>
      </c>
    </row>
    <row r="935" spans="1:9" ht="16.5">
      <c r="A935" s="1840" t="s">
        <v>3293</v>
      </c>
      <c r="B935" s="1841" t="s">
        <v>7621</v>
      </c>
      <c r="C935" s="1842" t="s">
        <v>6757</v>
      </c>
      <c r="D935" s="1852"/>
      <c r="E935" s="1852"/>
      <c r="F935" s="1853">
        <f t="shared" si="29"/>
        <v>0</v>
      </c>
      <c r="G935" s="1843">
        <f t="shared" si="28"/>
        <v>0</v>
      </c>
      <c r="H935" s="1173">
        <v>0.43359999999999999</v>
      </c>
      <c r="I935" s="3121" t="s">
        <v>0</v>
      </c>
    </row>
    <row r="936" spans="1:9" ht="16.5">
      <c r="A936" s="1840" t="s">
        <v>3294</v>
      </c>
      <c r="B936" s="1841" t="s">
        <v>7622</v>
      </c>
      <c r="C936" s="1842" t="s">
        <v>6757</v>
      </c>
      <c r="D936" s="1852"/>
      <c r="E936" s="1852"/>
      <c r="F936" s="1853">
        <f t="shared" si="29"/>
        <v>0</v>
      </c>
      <c r="G936" s="1843">
        <f t="shared" si="28"/>
        <v>0</v>
      </c>
      <c r="H936" s="1173">
        <v>0.78249999999999997</v>
      </c>
      <c r="I936" s="3121" t="s">
        <v>0</v>
      </c>
    </row>
    <row r="937" spans="1:9" ht="16.5">
      <c r="A937" s="1840" t="s">
        <v>1597</v>
      </c>
      <c r="B937" s="1841" t="s">
        <v>7623</v>
      </c>
      <c r="C937" s="1842" t="s">
        <v>6757</v>
      </c>
      <c r="D937" s="1852"/>
      <c r="E937" s="1852"/>
      <c r="F937" s="1853">
        <f t="shared" si="29"/>
        <v>0</v>
      </c>
      <c r="G937" s="1843">
        <f t="shared" si="28"/>
        <v>0</v>
      </c>
      <c r="H937" s="1173">
        <v>0.64710000000000001</v>
      </c>
      <c r="I937" s="3121" t="s">
        <v>0</v>
      </c>
    </row>
    <row r="938" spans="1:9" ht="16.5">
      <c r="A938" s="1840" t="s">
        <v>1598</v>
      </c>
      <c r="B938" s="1841" t="s">
        <v>7624</v>
      </c>
      <c r="C938" s="1842" t="s">
        <v>6757</v>
      </c>
      <c r="D938" s="1852"/>
      <c r="E938" s="1852"/>
      <c r="F938" s="1853">
        <f t="shared" si="29"/>
        <v>0</v>
      </c>
      <c r="G938" s="1843">
        <f t="shared" si="28"/>
        <v>0</v>
      </c>
      <c r="H938" s="1173">
        <v>0.93630000000000002</v>
      </c>
      <c r="I938" s="3121" t="s">
        <v>0</v>
      </c>
    </row>
    <row r="939" spans="1:9" ht="16.5">
      <c r="A939" s="1840" t="s">
        <v>1599</v>
      </c>
      <c r="B939" s="1841" t="s">
        <v>7625</v>
      </c>
      <c r="C939" s="1842" t="s">
        <v>6757</v>
      </c>
      <c r="D939" s="1852"/>
      <c r="E939" s="1852"/>
      <c r="F939" s="1853">
        <f t="shared" si="29"/>
        <v>0</v>
      </c>
      <c r="G939" s="1843">
        <f t="shared" si="28"/>
        <v>0</v>
      </c>
      <c r="H939" s="1173">
        <v>0.84309999999999996</v>
      </c>
      <c r="I939" s="3121" t="s">
        <v>0</v>
      </c>
    </row>
    <row r="940" spans="1:9" ht="16.5">
      <c r="A940" s="1840" t="s">
        <v>3295</v>
      </c>
      <c r="B940" s="1841" t="s">
        <v>7626</v>
      </c>
      <c r="C940" s="1842" t="s">
        <v>6757</v>
      </c>
      <c r="D940" s="1852"/>
      <c r="E940" s="1852"/>
      <c r="F940" s="1853">
        <f t="shared" si="29"/>
        <v>0</v>
      </c>
      <c r="G940" s="1843">
        <f t="shared" si="28"/>
        <v>0</v>
      </c>
      <c r="H940" s="1173">
        <v>0.76370000000000005</v>
      </c>
      <c r="I940" s="3121" t="s">
        <v>0</v>
      </c>
    </row>
    <row r="941" spans="1:9" ht="16.5">
      <c r="A941" s="1840" t="s">
        <v>3563</v>
      </c>
      <c r="B941" s="1841" t="s">
        <v>7627</v>
      </c>
      <c r="C941" s="1842" t="s">
        <v>6757</v>
      </c>
      <c r="D941" s="1852"/>
      <c r="E941" s="1852"/>
      <c r="F941" s="1853">
        <f t="shared" si="29"/>
        <v>0</v>
      </c>
      <c r="G941" s="1843">
        <f t="shared" si="28"/>
        <v>0</v>
      </c>
      <c r="H941" s="1173">
        <v>0.65580000000000005</v>
      </c>
      <c r="I941" s="3121" t="s">
        <v>0</v>
      </c>
    </row>
    <row r="942" spans="1:9" ht="16.5">
      <c r="A942" s="1840" t="s">
        <v>1969</v>
      </c>
      <c r="B942" s="1841" t="s">
        <v>7628</v>
      </c>
      <c r="C942" s="1842" t="s">
        <v>6757</v>
      </c>
      <c r="D942" s="1852"/>
      <c r="E942" s="1852"/>
      <c r="F942" s="1853">
        <f t="shared" si="29"/>
        <v>0</v>
      </c>
      <c r="G942" s="1843">
        <f t="shared" si="28"/>
        <v>0</v>
      </c>
      <c r="H942" s="1173">
        <v>0.63160000000000005</v>
      </c>
      <c r="I942" s="3121" t="s">
        <v>0</v>
      </c>
    </row>
    <row r="943" spans="1:9" ht="16.5">
      <c r="A943" s="1840" t="s">
        <v>3564</v>
      </c>
      <c r="B943" s="1841" t="s">
        <v>7629</v>
      </c>
      <c r="C943" s="1842" t="s">
        <v>6757</v>
      </c>
      <c r="D943" s="1852"/>
      <c r="E943" s="1852"/>
      <c r="F943" s="1853">
        <f t="shared" si="29"/>
        <v>0</v>
      </c>
      <c r="G943" s="1843">
        <f t="shared" si="28"/>
        <v>0</v>
      </c>
      <c r="H943" s="1173">
        <v>0.88780000000000003</v>
      </c>
      <c r="I943" s="3121" t="s">
        <v>0</v>
      </c>
    </row>
    <row r="944" spans="1:9" ht="16.5">
      <c r="A944" s="1840" t="s">
        <v>1970</v>
      </c>
      <c r="B944" s="1841" t="s">
        <v>7630</v>
      </c>
      <c r="C944" s="1842" t="s">
        <v>6757</v>
      </c>
      <c r="D944" s="1852"/>
      <c r="E944" s="1852"/>
      <c r="F944" s="1853">
        <f t="shared" si="29"/>
        <v>0</v>
      </c>
      <c r="G944" s="1843">
        <f t="shared" si="28"/>
        <v>0</v>
      </c>
      <c r="H944" s="1173">
        <v>0.42309999999999998</v>
      </c>
      <c r="I944" s="3121" t="s">
        <v>0</v>
      </c>
    </row>
    <row r="945" spans="1:9" ht="16.5">
      <c r="A945" s="1840" t="s">
        <v>1971</v>
      </c>
      <c r="B945" s="1841" t="s">
        <v>7631</v>
      </c>
      <c r="C945" s="1842" t="s">
        <v>6757</v>
      </c>
      <c r="D945" s="1852"/>
      <c r="E945" s="1852"/>
      <c r="F945" s="1853">
        <f t="shared" si="29"/>
        <v>0</v>
      </c>
      <c r="G945" s="1843">
        <f t="shared" si="28"/>
        <v>0</v>
      </c>
      <c r="H945" s="1173">
        <v>0.81310000000000004</v>
      </c>
      <c r="I945" s="3121" t="s">
        <v>0</v>
      </c>
    </row>
    <row r="946" spans="1:9" ht="16.5">
      <c r="A946" s="1840" t="s">
        <v>6094</v>
      </c>
      <c r="B946" s="1841" t="s">
        <v>7632</v>
      </c>
      <c r="C946" s="1842" t="s">
        <v>6757</v>
      </c>
      <c r="D946" s="1852"/>
      <c r="E946" s="1852"/>
      <c r="F946" s="1853">
        <f t="shared" si="29"/>
        <v>0</v>
      </c>
      <c r="G946" s="1843">
        <f t="shared" si="28"/>
        <v>0</v>
      </c>
      <c r="H946" s="1173">
        <v>1</v>
      </c>
      <c r="I946" s="3121" t="s">
        <v>6890</v>
      </c>
    </row>
    <row r="947" spans="1:9" ht="16.5">
      <c r="A947" s="1840" t="s">
        <v>3204</v>
      </c>
      <c r="B947" s="1841" t="s">
        <v>7633</v>
      </c>
      <c r="C947" s="1842" t="s">
        <v>6757</v>
      </c>
      <c r="D947" s="1852"/>
      <c r="E947" s="1852"/>
      <c r="F947" s="1853">
        <f t="shared" si="29"/>
        <v>0</v>
      </c>
      <c r="G947" s="1843">
        <f t="shared" si="28"/>
        <v>0</v>
      </c>
      <c r="H947" s="1173">
        <v>0.32740000000000002</v>
      </c>
      <c r="I947" s="3121" t="s">
        <v>0</v>
      </c>
    </row>
    <row r="948" spans="1:9" ht="16.5">
      <c r="A948" s="1840" t="s">
        <v>3205</v>
      </c>
      <c r="B948" s="1841" t="s">
        <v>7634</v>
      </c>
      <c r="C948" s="1842" t="s">
        <v>6757</v>
      </c>
      <c r="D948" s="1852"/>
      <c r="E948" s="1852"/>
      <c r="F948" s="1853">
        <f t="shared" si="29"/>
        <v>0</v>
      </c>
      <c r="G948" s="1843">
        <f t="shared" si="28"/>
        <v>0</v>
      </c>
      <c r="H948" s="1173">
        <v>0.78900000000000003</v>
      </c>
      <c r="I948" s="3121" t="s">
        <v>0</v>
      </c>
    </row>
    <row r="949" spans="1:9" ht="16.5">
      <c r="A949" s="1840" t="s">
        <v>3206</v>
      </c>
      <c r="B949" s="1841" t="s">
        <v>7635</v>
      </c>
      <c r="C949" s="1842" t="s">
        <v>6757</v>
      </c>
      <c r="D949" s="1852"/>
      <c r="E949" s="1852"/>
      <c r="F949" s="1853">
        <f t="shared" si="29"/>
        <v>0</v>
      </c>
      <c r="G949" s="1843">
        <f t="shared" si="28"/>
        <v>0</v>
      </c>
      <c r="H949" s="1173">
        <v>0.4637</v>
      </c>
      <c r="I949" s="3121" t="s">
        <v>0</v>
      </c>
    </row>
    <row r="950" spans="1:9" ht="16.5">
      <c r="A950" s="1840" t="s">
        <v>3207</v>
      </c>
      <c r="B950" s="1841" t="s">
        <v>3296</v>
      </c>
      <c r="C950" s="1842" t="s">
        <v>6757</v>
      </c>
      <c r="D950" s="1852"/>
      <c r="E950" s="1852"/>
      <c r="F950" s="1853">
        <f t="shared" si="29"/>
        <v>0</v>
      </c>
      <c r="G950" s="1843">
        <f t="shared" si="28"/>
        <v>0</v>
      </c>
      <c r="H950" s="1173">
        <v>0.93789999999999996</v>
      </c>
      <c r="I950" s="3121" t="s">
        <v>0</v>
      </c>
    </row>
    <row r="951" spans="1:9" ht="16.5">
      <c r="A951" s="1840" t="s">
        <v>3297</v>
      </c>
      <c r="B951" s="1841" t="s">
        <v>7636</v>
      </c>
      <c r="C951" s="1842" t="s">
        <v>6757</v>
      </c>
      <c r="D951" s="1852"/>
      <c r="E951" s="1852"/>
      <c r="F951" s="1853">
        <f t="shared" si="29"/>
        <v>0</v>
      </c>
      <c r="G951" s="1843">
        <f t="shared" si="28"/>
        <v>0</v>
      </c>
      <c r="H951" s="1173">
        <v>0.53669999999999995</v>
      </c>
      <c r="I951" s="3121" t="s">
        <v>0</v>
      </c>
    </row>
    <row r="952" spans="1:9" ht="16.5">
      <c r="A952" s="1840" t="s">
        <v>3298</v>
      </c>
      <c r="B952" s="1841" t="s">
        <v>7637</v>
      </c>
      <c r="C952" s="1842" t="s">
        <v>6757</v>
      </c>
      <c r="D952" s="1852"/>
      <c r="E952" s="1852"/>
      <c r="F952" s="1853">
        <f t="shared" si="29"/>
        <v>0</v>
      </c>
      <c r="G952" s="1843">
        <f t="shared" si="28"/>
        <v>0</v>
      </c>
      <c r="H952" s="1173">
        <v>1.0390999999999999</v>
      </c>
      <c r="I952" s="3121" t="s">
        <v>0</v>
      </c>
    </row>
    <row r="953" spans="1:9" ht="16.5">
      <c r="A953" s="1840" t="s">
        <v>3208</v>
      </c>
      <c r="B953" s="1841" t="s">
        <v>7638</v>
      </c>
      <c r="C953" s="1842" t="s">
        <v>6757</v>
      </c>
      <c r="D953" s="1852"/>
      <c r="E953" s="1852"/>
      <c r="F953" s="1853">
        <f t="shared" si="29"/>
        <v>0</v>
      </c>
      <c r="G953" s="1843">
        <f t="shared" si="28"/>
        <v>0</v>
      </c>
      <c r="H953" s="1173">
        <v>0.28439999999999999</v>
      </c>
      <c r="I953" s="3121" t="s">
        <v>0</v>
      </c>
    </row>
    <row r="954" spans="1:9" ht="16.5">
      <c r="A954" s="1840" t="s">
        <v>3209</v>
      </c>
      <c r="B954" s="1841" t="s">
        <v>7639</v>
      </c>
      <c r="C954" s="1842" t="s">
        <v>6757</v>
      </c>
      <c r="D954" s="1852"/>
      <c r="E954" s="1852"/>
      <c r="F954" s="1853">
        <f t="shared" si="29"/>
        <v>0</v>
      </c>
      <c r="G954" s="1843">
        <f t="shared" si="28"/>
        <v>0</v>
      </c>
      <c r="H954" s="1173">
        <v>0.48159999999999997</v>
      </c>
      <c r="I954" s="3121" t="s">
        <v>0</v>
      </c>
    </row>
    <row r="955" spans="1:9" ht="16.5">
      <c r="A955" s="1840" t="s">
        <v>3299</v>
      </c>
      <c r="B955" s="1841" t="s">
        <v>7640</v>
      </c>
      <c r="C955" s="1842" t="s">
        <v>6757</v>
      </c>
      <c r="D955" s="1852"/>
      <c r="E955" s="1852"/>
      <c r="F955" s="1853">
        <f t="shared" si="29"/>
        <v>0</v>
      </c>
      <c r="G955" s="1843">
        <f t="shared" si="28"/>
        <v>0</v>
      </c>
      <c r="H955" s="1173">
        <v>0.4425</v>
      </c>
      <c r="I955" s="3121" t="s">
        <v>0</v>
      </c>
    </row>
    <row r="956" spans="1:9" ht="16.5">
      <c r="A956" s="1840" t="s">
        <v>3300</v>
      </c>
      <c r="B956" s="1841" t="s">
        <v>7641</v>
      </c>
      <c r="C956" s="1842" t="s">
        <v>6757</v>
      </c>
      <c r="D956" s="1852"/>
      <c r="E956" s="1852"/>
      <c r="F956" s="1853">
        <f t="shared" si="29"/>
        <v>0</v>
      </c>
      <c r="G956" s="1843">
        <f t="shared" si="28"/>
        <v>0</v>
      </c>
      <c r="H956" s="1173">
        <v>0.89229999999999998</v>
      </c>
      <c r="I956" s="3121" t="s">
        <v>0</v>
      </c>
    </row>
    <row r="957" spans="1:9" ht="16.5">
      <c r="A957" s="1840" t="s">
        <v>3565</v>
      </c>
      <c r="B957" s="1841" t="s">
        <v>7642</v>
      </c>
      <c r="C957" s="1842" t="s">
        <v>6757</v>
      </c>
      <c r="D957" s="1852"/>
      <c r="E957" s="1852"/>
      <c r="F957" s="1853">
        <f t="shared" si="29"/>
        <v>0</v>
      </c>
      <c r="G957" s="1843">
        <f t="shared" si="28"/>
        <v>0</v>
      </c>
      <c r="H957" s="1173">
        <v>0.93230000000000002</v>
      </c>
      <c r="I957" s="3121" t="s">
        <v>0</v>
      </c>
    </row>
    <row r="958" spans="1:9" ht="16.5">
      <c r="A958" s="1840" t="s">
        <v>3210</v>
      </c>
      <c r="B958" s="1841" t="s">
        <v>7643</v>
      </c>
      <c r="C958" s="1842" t="s">
        <v>6757</v>
      </c>
      <c r="D958" s="1852"/>
      <c r="E958" s="1852"/>
      <c r="F958" s="1853">
        <f t="shared" si="29"/>
        <v>0</v>
      </c>
      <c r="G958" s="1843">
        <f t="shared" si="28"/>
        <v>0</v>
      </c>
      <c r="H958" s="1173">
        <v>0.60799999999999998</v>
      </c>
      <c r="I958" s="3121" t="s">
        <v>0</v>
      </c>
    </row>
    <row r="959" spans="1:9" ht="16.5">
      <c r="A959" s="1840" t="s">
        <v>3301</v>
      </c>
      <c r="B959" s="1841" t="s">
        <v>7644</v>
      </c>
      <c r="C959" s="1842" t="s">
        <v>6757</v>
      </c>
      <c r="D959" s="1852"/>
      <c r="E959" s="1852"/>
      <c r="F959" s="1853">
        <f t="shared" si="29"/>
        <v>0</v>
      </c>
      <c r="G959" s="1843">
        <f t="shared" si="28"/>
        <v>0</v>
      </c>
      <c r="H959" s="1173">
        <v>0.51419999999999999</v>
      </c>
      <c r="I959" s="3121" t="s">
        <v>0</v>
      </c>
    </row>
    <row r="960" spans="1:9" ht="16.5">
      <c r="A960" s="1840" t="s">
        <v>3302</v>
      </c>
      <c r="B960" s="1841" t="s">
        <v>7645</v>
      </c>
      <c r="C960" s="1842" t="s">
        <v>6757</v>
      </c>
      <c r="D960" s="1852"/>
      <c r="E960" s="1852"/>
      <c r="F960" s="1853">
        <f t="shared" si="29"/>
        <v>0</v>
      </c>
      <c r="G960" s="1843">
        <f t="shared" si="28"/>
        <v>0</v>
      </c>
      <c r="H960" s="1173">
        <v>0.76780000000000004</v>
      </c>
      <c r="I960" s="3121" t="s">
        <v>0</v>
      </c>
    </row>
    <row r="961" spans="1:9" ht="16.5">
      <c r="A961" s="1840" t="s">
        <v>3303</v>
      </c>
      <c r="B961" s="1841" t="s">
        <v>7646</v>
      </c>
      <c r="C961" s="1842" t="s">
        <v>6757</v>
      </c>
      <c r="D961" s="1852"/>
      <c r="E961" s="1852"/>
      <c r="F961" s="1853">
        <f t="shared" si="29"/>
        <v>0</v>
      </c>
      <c r="G961" s="1843">
        <f t="shared" si="28"/>
        <v>0</v>
      </c>
      <c r="H961" s="1173">
        <v>0.69789999999999996</v>
      </c>
      <c r="I961" s="3121" t="s">
        <v>0</v>
      </c>
    </row>
    <row r="962" spans="1:9" ht="16.5">
      <c r="A962" s="1840" t="s">
        <v>3304</v>
      </c>
      <c r="B962" s="1841" t="s">
        <v>7647</v>
      </c>
      <c r="C962" s="1842" t="s">
        <v>6757</v>
      </c>
      <c r="D962" s="1852"/>
      <c r="E962" s="1852"/>
      <c r="F962" s="1853">
        <f t="shared" si="29"/>
        <v>0</v>
      </c>
      <c r="G962" s="1843">
        <f t="shared" si="28"/>
        <v>0</v>
      </c>
      <c r="H962" s="1173">
        <v>0.62709999999999999</v>
      </c>
      <c r="I962" s="3121" t="s">
        <v>0</v>
      </c>
    </row>
    <row r="963" spans="1:9" ht="16.5">
      <c r="A963" s="1840" t="s">
        <v>6095</v>
      </c>
      <c r="B963" s="1841" t="s">
        <v>7648</v>
      </c>
      <c r="C963" s="1842" t="s">
        <v>6757</v>
      </c>
      <c r="D963" s="1852"/>
      <c r="E963" s="1852"/>
      <c r="F963" s="1853">
        <f t="shared" si="29"/>
        <v>0</v>
      </c>
      <c r="G963" s="1843">
        <f t="shared" si="28"/>
        <v>0</v>
      </c>
      <c r="H963" s="1173">
        <v>1</v>
      </c>
      <c r="I963" s="3121" t="s">
        <v>6890</v>
      </c>
    </row>
    <row r="964" spans="1:9" ht="16.5">
      <c r="A964" s="1840" t="s">
        <v>3566</v>
      </c>
      <c r="B964" s="1841" t="s">
        <v>7649</v>
      </c>
      <c r="C964" s="1842" t="s">
        <v>6757</v>
      </c>
      <c r="D964" s="1852"/>
      <c r="E964" s="1852"/>
      <c r="F964" s="1853">
        <f t="shared" si="29"/>
        <v>0</v>
      </c>
      <c r="G964" s="1843">
        <f t="shared" ref="G964:G1027" si="30">IF($F$1334=0,0,F964/$F$1334)</f>
        <v>0</v>
      </c>
      <c r="H964" s="1173">
        <v>0.43059999999999998</v>
      </c>
      <c r="I964" s="3121" t="s">
        <v>0</v>
      </c>
    </row>
    <row r="965" spans="1:9" ht="16.5">
      <c r="A965" s="1840" t="s">
        <v>6096</v>
      </c>
      <c r="B965" s="1841" t="s">
        <v>7650</v>
      </c>
      <c r="C965" s="1842" t="s">
        <v>6757</v>
      </c>
      <c r="D965" s="1852"/>
      <c r="E965" s="1852"/>
      <c r="F965" s="1853">
        <f t="shared" ref="F965:F1028" si="31">D965*E965</f>
        <v>0</v>
      </c>
      <c r="G965" s="1843">
        <f t="shared" si="30"/>
        <v>0</v>
      </c>
      <c r="H965" s="1173">
        <v>1</v>
      </c>
      <c r="I965" s="3121" t="s">
        <v>6890</v>
      </c>
    </row>
    <row r="966" spans="1:9" ht="16.5">
      <c r="A966" s="1840" t="s">
        <v>3567</v>
      </c>
      <c r="B966" s="1841" t="s">
        <v>7651</v>
      </c>
      <c r="C966" s="1842" t="s">
        <v>6757</v>
      </c>
      <c r="D966" s="1852"/>
      <c r="E966" s="1852"/>
      <c r="F966" s="1853">
        <f t="shared" si="31"/>
        <v>0</v>
      </c>
      <c r="G966" s="1843">
        <f t="shared" si="30"/>
        <v>0</v>
      </c>
      <c r="H966" s="1173">
        <v>0.77110000000000001</v>
      </c>
      <c r="I966" s="3121" t="s">
        <v>0</v>
      </c>
    </row>
    <row r="967" spans="1:9" ht="16.5">
      <c r="A967" s="1840" t="s">
        <v>6097</v>
      </c>
      <c r="B967" s="1841" t="s">
        <v>7652</v>
      </c>
      <c r="C967" s="1842" t="s">
        <v>6757</v>
      </c>
      <c r="D967" s="1852"/>
      <c r="E967" s="1852"/>
      <c r="F967" s="1853">
        <f t="shared" si="31"/>
        <v>0</v>
      </c>
      <c r="G967" s="1843">
        <f t="shared" si="30"/>
        <v>0</v>
      </c>
      <c r="H967" s="1173">
        <v>1</v>
      </c>
      <c r="I967" s="3121" t="s">
        <v>6890</v>
      </c>
    </row>
    <row r="968" spans="1:9" ht="16.5">
      <c r="A968" s="1840" t="s">
        <v>6098</v>
      </c>
      <c r="B968" s="1841" t="s">
        <v>7653</v>
      </c>
      <c r="C968" s="1842" t="s">
        <v>6757</v>
      </c>
      <c r="D968" s="1852"/>
      <c r="E968" s="1852"/>
      <c r="F968" s="1853">
        <f t="shared" si="31"/>
        <v>0</v>
      </c>
      <c r="G968" s="1843">
        <f t="shared" si="30"/>
        <v>0</v>
      </c>
      <c r="H968" s="1173">
        <v>1</v>
      </c>
      <c r="I968" s="3121" t="s">
        <v>6890</v>
      </c>
    </row>
    <row r="969" spans="1:9" ht="16.5">
      <c r="A969" s="1840" t="s">
        <v>6099</v>
      </c>
      <c r="B969" s="1841" t="s">
        <v>7654</v>
      </c>
      <c r="C969" s="1842" t="s">
        <v>6757</v>
      </c>
      <c r="D969" s="1852"/>
      <c r="E969" s="1852"/>
      <c r="F969" s="1853">
        <f t="shared" si="31"/>
        <v>0</v>
      </c>
      <c r="G969" s="1843">
        <f t="shared" si="30"/>
        <v>0</v>
      </c>
      <c r="H969" s="1173">
        <v>1</v>
      </c>
      <c r="I969" s="3121" t="s">
        <v>6890</v>
      </c>
    </row>
    <row r="970" spans="1:9" ht="16.5">
      <c r="A970" s="1840" t="s">
        <v>6100</v>
      </c>
      <c r="B970" s="1841" t="s">
        <v>7655</v>
      </c>
      <c r="C970" s="1842" t="s">
        <v>6757</v>
      </c>
      <c r="D970" s="1852"/>
      <c r="E970" s="1852"/>
      <c r="F970" s="1853">
        <f t="shared" si="31"/>
        <v>0</v>
      </c>
      <c r="G970" s="1843">
        <f t="shared" si="30"/>
        <v>0</v>
      </c>
      <c r="H970" s="1173">
        <v>1</v>
      </c>
      <c r="I970" s="3121" t="s">
        <v>6890</v>
      </c>
    </row>
    <row r="971" spans="1:9" ht="16.5">
      <c r="A971" s="1840" t="s">
        <v>3568</v>
      </c>
      <c r="B971" s="1841" t="s">
        <v>7656</v>
      </c>
      <c r="C971" s="1842" t="s">
        <v>6757</v>
      </c>
      <c r="D971" s="1852"/>
      <c r="E971" s="1852"/>
      <c r="F971" s="1853">
        <f t="shared" si="31"/>
        <v>0</v>
      </c>
      <c r="G971" s="1843">
        <f t="shared" si="30"/>
        <v>0</v>
      </c>
      <c r="H971" s="1173">
        <v>0.59609999999999996</v>
      </c>
      <c r="I971" s="3121" t="s">
        <v>0</v>
      </c>
    </row>
    <row r="972" spans="1:9" ht="16.5">
      <c r="A972" s="1840" t="s">
        <v>6101</v>
      </c>
      <c r="B972" s="1841" t="s">
        <v>7657</v>
      </c>
      <c r="C972" s="1842" t="s">
        <v>6757</v>
      </c>
      <c r="D972" s="1852"/>
      <c r="E972" s="1852"/>
      <c r="F972" s="1853">
        <f t="shared" si="31"/>
        <v>0</v>
      </c>
      <c r="G972" s="1843">
        <f t="shared" si="30"/>
        <v>0</v>
      </c>
      <c r="H972" s="1173">
        <v>1</v>
      </c>
      <c r="I972" s="3121" t="s">
        <v>6890</v>
      </c>
    </row>
    <row r="973" spans="1:9" ht="16.5">
      <c r="A973" s="1840" t="s">
        <v>6102</v>
      </c>
      <c r="B973" s="1841" t="s">
        <v>7658</v>
      </c>
      <c r="C973" s="1842" t="s">
        <v>6757</v>
      </c>
      <c r="D973" s="1852"/>
      <c r="E973" s="1852"/>
      <c r="F973" s="1853">
        <f t="shared" si="31"/>
        <v>0</v>
      </c>
      <c r="G973" s="1843">
        <f t="shared" si="30"/>
        <v>0</v>
      </c>
      <c r="H973" s="1173">
        <v>1</v>
      </c>
      <c r="I973" s="3121" t="s">
        <v>6890</v>
      </c>
    </row>
    <row r="974" spans="1:9" ht="16.5">
      <c r="A974" s="1840" t="s">
        <v>3569</v>
      </c>
      <c r="B974" s="1841" t="s">
        <v>7659</v>
      </c>
      <c r="C974" s="1842" t="s">
        <v>6757</v>
      </c>
      <c r="D974" s="1852"/>
      <c r="E974" s="1852"/>
      <c r="F974" s="1853">
        <f t="shared" si="31"/>
        <v>0</v>
      </c>
      <c r="G974" s="1843">
        <f t="shared" si="30"/>
        <v>0</v>
      </c>
      <c r="H974" s="1173">
        <v>0.45390000000000003</v>
      </c>
      <c r="I974" s="3121" t="s">
        <v>0</v>
      </c>
    </row>
    <row r="975" spans="1:9" ht="16.5">
      <c r="A975" s="1840" t="s">
        <v>6103</v>
      </c>
      <c r="B975" s="1841" t="s">
        <v>7660</v>
      </c>
      <c r="C975" s="1842" t="s">
        <v>6757</v>
      </c>
      <c r="D975" s="1852"/>
      <c r="E975" s="1852"/>
      <c r="F975" s="1853">
        <f t="shared" si="31"/>
        <v>0</v>
      </c>
      <c r="G975" s="1843">
        <f t="shared" si="30"/>
        <v>0</v>
      </c>
      <c r="H975" s="1173">
        <v>1</v>
      </c>
      <c r="I975" s="3121" t="s">
        <v>6890</v>
      </c>
    </row>
    <row r="976" spans="1:9" ht="16.5">
      <c r="A976" s="1840" t="s">
        <v>6104</v>
      </c>
      <c r="B976" s="1841" t="s">
        <v>7661</v>
      </c>
      <c r="C976" s="1842" t="s">
        <v>6757</v>
      </c>
      <c r="D976" s="1852"/>
      <c r="E976" s="1852"/>
      <c r="F976" s="1853">
        <f t="shared" si="31"/>
        <v>0</v>
      </c>
      <c r="G976" s="1843">
        <f t="shared" si="30"/>
        <v>0</v>
      </c>
      <c r="H976" s="1173">
        <v>1</v>
      </c>
      <c r="I976" s="3121" t="s">
        <v>6890</v>
      </c>
    </row>
    <row r="977" spans="1:9" ht="16.5">
      <c r="A977" s="1840" t="s">
        <v>6105</v>
      </c>
      <c r="B977" s="1841" t="s">
        <v>7662</v>
      </c>
      <c r="C977" s="1842" t="s">
        <v>6757</v>
      </c>
      <c r="D977" s="1852"/>
      <c r="E977" s="1852"/>
      <c r="F977" s="1853">
        <f t="shared" si="31"/>
        <v>0</v>
      </c>
      <c r="G977" s="1843">
        <f t="shared" si="30"/>
        <v>0</v>
      </c>
      <c r="H977" s="1173">
        <v>1</v>
      </c>
      <c r="I977" s="3121" t="s">
        <v>6890</v>
      </c>
    </row>
    <row r="978" spans="1:9" ht="16.5">
      <c r="A978" s="1840" t="s">
        <v>3570</v>
      </c>
      <c r="B978" s="1841" t="s">
        <v>3571</v>
      </c>
      <c r="C978" s="1842" t="s">
        <v>6757</v>
      </c>
      <c r="D978" s="1852"/>
      <c r="E978" s="1852"/>
      <c r="F978" s="1853">
        <f t="shared" si="31"/>
        <v>0</v>
      </c>
      <c r="G978" s="1843">
        <f t="shared" si="30"/>
        <v>0</v>
      </c>
      <c r="H978" s="1173">
        <v>1.1308</v>
      </c>
      <c r="I978" s="3121" t="s">
        <v>0</v>
      </c>
    </row>
    <row r="979" spans="1:9" ht="16.5">
      <c r="A979" s="1840" t="s">
        <v>3572</v>
      </c>
      <c r="B979" s="1841" t="s">
        <v>7663</v>
      </c>
      <c r="C979" s="1842" t="s">
        <v>6757</v>
      </c>
      <c r="D979" s="1852"/>
      <c r="E979" s="1852"/>
      <c r="F979" s="1853">
        <f t="shared" si="31"/>
        <v>0</v>
      </c>
      <c r="G979" s="1843">
        <f t="shared" si="30"/>
        <v>0</v>
      </c>
      <c r="H979" s="1173">
        <v>1.0061</v>
      </c>
      <c r="I979" s="3121" t="s">
        <v>0</v>
      </c>
    </row>
    <row r="980" spans="1:9" ht="16.5">
      <c r="A980" s="1840" t="s">
        <v>6106</v>
      </c>
      <c r="B980" s="1841" t="s">
        <v>7664</v>
      </c>
      <c r="C980" s="1842" t="s">
        <v>6757</v>
      </c>
      <c r="D980" s="1852"/>
      <c r="E980" s="1852"/>
      <c r="F980" s="1853">
        <f t="shared" si="31"/>
        <v>0</v>
      </c>
      <c r="G980" s="1843">
        <f t="shared" si="30"/>
        <v>0</v>
      </c>
      <c r="H980" s="1173">
        <v>1</v>
      </c>
      <c r="I980" s="3121" t="s">
        <v>6890</v>
      </c>
    </row>
    <row r="981" spans="1:9" ht="16.5">
      <c r="A981" s="1840" t="s">
        <v>6107</v>
      </c>
      <c r="B981" s="1841" t="s">
        <v>7665</v>
      </c>
      <c r="C981" s="1842" t="s">
        <v>6757</v>
      </c>
      <c r="D981" s="1852"/>
      <c r="E981" s="1852"/>
      <c r="F981" s="1853">
        <f t="shared" si="31"/>
        <v>0</v>
      </c>
      <c r="G981" s="1843">
        <f t="shared" si="30"/>
        <v>0</v>
      </c>
      <c r="H981" s="1173">
        <v>1</v>
      </c>
      <c r="I981" s="3121" t="s">
        <v>6890</v>
      </c>
    </row>
    <row r="982" spans="1:9" ht="16.5">
      <c r="A982" s="1840" t="s">
        <v>6108</v>
      </c>
      <c r="B982" s="1841" t="s">
        <v>7666</v>
      </c>
      <c r="C982" s="1842" t="s">
        <v>6757</v>
      </c>
      <c r="D982" s="1852"/>
      <c r="E982" s="1852"/>
      <c r="F982" s="1853">
        <f t="shared" si="31"/>
        <v>0</v>
      </c>
      <c r="G982" s="1843">
        <f t="shared" si="30"/>
        <v>0</v>
      </c>
      <c r="H982" s="1173">
        <v>1</v>
      </c>
      <c r="I982" s="3121" t="s">
        <v>6890</v>
      </c>
    </row>
    <row r="983" spans="1:9" ht="16.5">
      <c r="A983" s="1840" t="s">
        <v>6109</v>
      </c>
      <c r="B983" s="1841" t="s">
        <v>6110</v>
      </c>
      <c r="C983" s="1842" t="s">
        <v>6757</v>
      </c>
      <c r="D983" s="1852"/>
      <c r="E983" s="1852"/>
      <c r="F983" s="1853">
        <f t="shared" si="31"/>
        <v>0</v>
      </c>
      <c r="G983" s="1843">
        <f t="shared" si="30"/>
        <v>0</v>
      </c>
      <c r="H983" s="1173">
        <v>1</v>
      </c>
      <c r="I983" s="3121" t="s">
        <v>6890</v>
      </c>
    </row>
    <row r="984" spans="1:9" ht="16.5">
      <c r="A984" s="1840" t="s">
        <v>6111</v>
      </c>
      <c r="B984" s="1841" t="s">
        <v>7667</v>
      </c>
      <c r="C984" s="1842" t="s">
        <v>6757</v>
      </c>
      <c r="D984" s="1852"/>
      <c r="E984" s="1852"/>
      <c r="F984" s="1853">
        <f t="shared" si="31"/>
        <v>0</v>
      </c>
      <c r="G984" s="1843">
        <f t="shared" si="30"/>
        <v>0</v>
      </c>
      <c r="H984" s="1173">
        <v>1</v>
      </c>
      <c r="I984" s="3121" t="s">
        <v>6890</v>
      </c>
    </row>
    <row r="985" spans="1:9" ht="16.5">
      <c r="A985" s="1840" t="s">
        <v>6112</v>
      </c>
      <c r="B985" s="1841" t="s">
        <v>6113</v>
      </c>
      <c r="C985" s="1842" t="s">
        <v>6757</v>
      </c>
      <c r="D985" s="1852"/>
      <c r="E985" s="1852"/>
      <c r="F985" s="1853">
        <f t="shared" si="31"/>
        <v>0</v>
      </c>
      <c r="G985" s="1843">
        <f t="shared" si="30"/>
        <v>0</v>
      </c>
      <c r="H985" s="1173">
        <v>1</v>
      </c>
      <c r="I985" s="3121" t="s">
        <v>6890</v>
      </c>
    </row>
    <row r="986" spans="1:9" ht="16.5">
      <c r="A986" s="1840" t="s">
        <v>1600</v>
      </c>
      <c r="B986" s="1841" t="s">
        <v>7668</v>
      </c>
      <c r="C986" s="1842" t="s">
        <v>6757</v>
      </c>
      <c r="D986" s="1852"/>
      <c r="E986" s="1852"/>
      <c r="F986" s="1853">
        <f t="shared" si="31"/>
        <v>0</v>
      </c>
      <c r="G986" s="1843">
        <f t="shared" si="30"/>
        <v>0</v>
      </c>
      <c r="H986" s="1173">
        <v>0.78390000000000004</v>
      </c>
      <c r="I986" s="3121" t="s">
        <v>0</v>
      </c>
    </row>
    <row r="987" spans="1:9" ht="16.5">
      <c r="A987" s="1840" t="s">
        <v>1601</v>
      </c>
      <c r="B987" s="1841" t="s">
        <v>7669</v>
      </c>
      <c r="C987" s="1842" t="s">
        <v>6757</v>
      </c>
      <c r="D987" s="1852"/>
      <c r="E987" s="1852"/>
      <c r="F987" s="1853">
        <f t="shared" si="31"/>
        <v>0</v>
      </c>
      <c r="G987" s="1843">
        <f t="shared" si="30"/>
        <v>0</v>
      </c>
      <c r="H987" s="1173">
        <v>0.56269999999999998</v>
      </c>
      <c r="I987" s="3121" t="s">
        <v>0</v>
      </c>
    </row>
    <row r="988" spans="1:9" ht="16.5">
      <c r="A988" s="1840" t="s">
        <v>1602</v>
      </c>
      <c r="B988" s="1841" t="s">
        <v>7670</v>
      </c>
      <c r="C988" s="1842" t="s">
        <v>6757</v>
      </c>
      <c r="D988" s="1852"/>
      <c r="E988" s="1852"/>
      <c r="F988" s="1853">
        <f t="shared" si="31"/>
        <v>0</v>
      </c>
      <c r="G988" s="1843">
        <f t="shared" si="30"/>
        <v>0</v>
      </c>
      <c r="H988" s="1173">
        <v>0.8629</v>
      </c>
      <c r="I988" s="3121" t="s">
        <v>0</v>
      </c>
    </row>
    <row r="989" spans="1:9" ht="16.5">
      <c r="A989" s="1840" t="s">
        <v>1603</v>
      </c>
      <c r="B989" s="1841" t="s">
        <v>7671</v>
      </c>
      <c r="C989" s="1842" t="s">
        <v>6757</v>
      </c>
      <c r="D989" s="1852"/>
      <c r="E989" s="1852"/>
      <c r="F989" s="1853">
        <f t="shared" si="31"/>
        <v>0</v>
      </c>
      <c r="G989" s="1843">
        <f t="shared" si="30"/>
        <v>0</v>
      </c>
      <c r="H989" s="1173">
        <v>1.1369</v>
      </c>
      <c r="I989" s="3121" t="s">
        <v>0</v>
      </c>
    </row>
    <row r="990" spans="1:9" ht="16.5">
      <c r="A990" s="1840" t="s">
        <v>1604</v>
      </c>
      <c r="B990" s="1841" t="s">
        <v>7672</v>
      </c>
      <c r="C990" s="1842" t="s">
        <v>6757</v>
      </c>
      <c r="D990" s="1852"/>
      <c r="E990" s="1852"/>
      <c r="F990" s="1853">
        <f t="shared" si="31"/>
        <v>0</v>
      </c>
      <c r="G990" s="1843">
        <f t="shared" si="30"/>
        <v>0</v>
      </c>
      <c r="H990" s="1173">
        <v>0.56179999999999997</v>
      </c>
      <c r="I990" s="3121" t="s">
        <v>0</v>
      </c>
    </row>
    <row r="991" spans="1:9" ht="16.5">
      <c r="A991" s="1840" t="s">
        <v>1605</v>
      </c>
      <c r="B991" s="1841" t="s">
        <v>7673</v>
      </c>
      <c r="C991" s="1842" t="s">
        <v>6757</v>
      </c>
      <c r="D991" s="1852"/>
      <c r="E991" s="1852"/>
      <c r="F991" s="1853">
        <f t="shared" si="31"/>
        <v>0</v>
      </c>
      <c r="G991" s="1843">
        <f t="shared" si="30"/>
        <v>0</v>
      </c>
      <c r="H991" s="1173">
        <v>0.60719999999999996</v>
      </c>
      <c r="I991" s="3121" t="s">
        <v>0</v>
      </c>
    </row>
    <row r="992" spans="1:9" ht="16.5">
      <c r="A992" s="1840" t="s">
        <v>6114</v>
      </c>
      <c r="B992" s="1841" t="s">
        <v>7674</v>
      </c>
      <c r="C992" s="1842" t="s">
        <v>6757</v>
      </c>
      <c r="D992" s="1852"/>
      <c r="E992" s="1852"/>
      <c r="F992" s="1853">
        <f t="shared" si="31"/>
        <v>0</v>
      </c>
      <c r="G992" s="1843">
        <f t="shared" si="30"/>
        <v>0</v>
      </c>
      <c r="H992" s="1173">
        <v>1</v>
      </c>
      <c r="I992" s="3121" t="s">
        <v>6890</v>
      </c>
    </row>
    <row r="993" spans="1:9" ht="16.5">
      <c r="A993" s="1840" t="s">
        <v>1606</v>
      </c>
      <c r="B993" s="1841" t="s">
        <v>7675</v>
      </c>
      <c r="C993" s="1842" t="s">
        <v>6757</v>
      </c>
      <c r="D993" s="1852"/>
      <c r="E993" s="1852"/>
      <c r="F993" s="1853">
        <f t="shared" si="31"/>
        <v>0</v>
      </c>
      <c r="G993" s="1843">
        <f t="shared" si="30"/>
        <v>0</v>
      </c>
      <c r="H993" s="1173">
        <v>0.95979999999999999</v>
      </c>
      <c r="I993" s="3121" t="s">
        <v>0</v>
      </c>
    </row>
    <row r="994" spans="1:9" ht="16.5">
      <c r="A994" s="1840" t="s">
        <v>1607</v>
      </c>
      <c r="B994" s="1841" t="s">
        <v>7676</v>
      </c>
      <c r="C994" s="1842" t="s">
        <v>6757</v>
      </c>
      <c r="D994" s="1852"/>
      <c r="E994" s="1852"/>
      <c r="F994" s="1853">
        <f t="shared" si="31"/>
        <v>0</v>
      </c>
      <c r="G994" s="1843">
        <f t="shared" si="30"/>
        <v>0</v>
      </c>
      <c r="H994" s="1173">
        <v>0.53769999999999996</v>
      </c>
      <c r="I994" s="3121" t="s">
        <v>0</v>
      </c>
    </row>
    <row r="995" spans="1:9" ht="16.5">
      <c r="A995" s="1840" t="s">
        <v>1608</v>
      </c>
      <c r="B995" s="1841" t="s">
        <v>7677</v>
      </c>
      <c r="C995" s="1842" t="s">
        <v>6757</v>
      </c>
      <c r="D995" s="1852"/>
      <c r="E995" s="1852"/>
      <c r="F995" s="1853">
        <f t="shared" si="31"/>
        <v>0</v>
      </c>
      <c r="G995" s="1843">
        <f t="shared" si="30"/>
        <v>0</v>
      </c>
      <c r="H995" s="1173">
        <v>0.48320000000000002</v>
      </c>
      <c r="I995" s="3121" t="s">
        <v>0</v>
      </c>
    </row>
    <row r="996" spans="1:9" ht="16.5">
      <c r="A996" s="1840" t="s">
        <v>1609</v>
      </c>
      <c r="B996" s="1841" t="s">
        <v>7678</v>
      </c>
      <c r="C996" s="1842" t="s">
        <v>6757</v>
      </c>
      <c r="D996" s="1852"/>
      <c r="E996" s="1852"/>
      <c r="F996" s="1853">
        <f t="shared" si="31"/>
        <v>0</v>
      </c>
      <c r="G996" s="1843">
        <f t="shared" si="30"/>
        <v>0</v>
      </c>
      <c r="H996" s="1173">
        <v>0.64690000000000003</v>
      </c>
      <c r="I996" s="3121" t="s">
        <v>0</v>
      </c>
    </row>
    <row r="997" spans="1:9" ht="16.5">
      <c r="A997" s="1840" t="s">
        <v>1610</v>
      </c>
      <c r="B997" s="1841" t="s">
        <v>7679</v>
      </c>
      <c r="C997" s="1842" t="s">
        <v>6757</v>
      </c>
      <c r="D997" s="1852"/>
      <c r="E997" s="1852"/>
      <c r="F997" s="1853">
        <f t="shared" si="31"/>
        <v>0</v>
      </c>
      <c r="G997" s="1843">
        <f t="shared" si="30"/>
        <v>0</v>
      </c>
      <c r="H997" s="1173">
        <v>0.1076</v>
      </c>
      <c r="I997" s="3121" t="s">
        <v>0</v>
      </c>
    </row>
    <row r="998" spans="1:9" ht="16.5">
      <c r="A998" s="1840" t="s">
        <v>1611</v>
      </c>
      <c r="B998" s="1841" t="s">
        <v>7680</v>
      </c>
      <c r="C998" s="1842" t="s">
        <v>6757</v>
      </c>
      <c r="D998" s="1852"/>
      <c r="E998" s="1852"/>
      <c r="F998" s="1853">
        <f t="shared" si="31"/>
        <v>0</v>
      </c>
      <c r="G998" s="1843">
        <f t="shared" si="30"/>
        <v>0</v>
      </c>
      <c r="H998" s="1173">
        <v>0.65949999999999998</v>
      </c>
      <c r="I998" s="3121" t="s">
        <v>0</v>
      </c>
    </row>
    <row r="999" spans="1:9" ht="16.5">
      <c r="A999" s="1840" t="s">
        <v>1612</v>
      </c>
      <c r="B999" s="1841" t="s">
        <v>7681</v>
      </c>
      <c r="C999" s="1842" t="s">
        <v>6757</v>
      </c>
      <c r="D999" s="1852"/>
      <c r="E999" s="1852"/>
      <c r="F999" s="1853">
        <f t="shared" si="31"/>
        <v>0</v>
      </c>
      <c r="G999" s="1843">
        <f t="shared" si="30"/>
        <v>0</v>
      </c>
      <c r="H999" s="1173">
        <v>0.35749999999999998</v>
      </c>
      <c r="I999" s="3121" t="s">
        <v>0</v>
      </c>
    </row>
    <row r="1000" spans="1:9" ht="16.5">
      <c r="A1000" s="1840" t="s">
        <v>1613</v>
      </c>
      <c r="B1000" s="1841" t="s">
        <v>7682</v>
      </c>
      <c r="C1000" s="1842" t="s">
        <v>6757</v>
      </c>
      <c r="D1000" s="1852"/>
      <c r="E1000" s="1852"/>
      <c r="F1000" s="1853">
        <f t="shared" si="31"/>
        <v>0</v>
      </c>
      <c r="G1000" s="1843">
        <f t="shared" si="30"/>
        <v>0</v>
      </c>
      <c r="H1000" s="1173">
        <v>0.70389999999999997</v>
      </c>
      <c r="I1000" s="3121" t="s">
        <v>0</v>
      </c>
    </row>
    <row r="1001" spans="1:9" ht="16.5">
      <c r="A1001" s="1840" t="s">
        <v>1614</v>
      </c>
      <c r="B1001" s="1841" t="s">
        <v>7683</v>
      </c>
      <c r="C1001" s="1842" t="s">
        <v>6757</v>
      </c>
      <c r="D1001" s="1852"/>
      <c r="E1001" s="1852"/>
      <c r="F1001" s="1853">
        <f t="shared" si="31"/>
        <v>0</v>
      </c>
      <c r="G1001" s="1843">
        <f t="shared" si="30"/>
        <v>0</v>
      </c>
      <c r="H1001" s="1173">
        <v>0.76600000000000001</v>
      </c>
      <c r="I1001" s="3121" t="s">
        <v>0</v>
      </c>
    </row>
    <row r="1002" spans="1:9" ht="16.5">
      <c r="A1002" s="1840" t="s">
        <v>1615</v>
      </c>
      <c r="B1002" s="1841" t="s">
        <v>7684</v>
      </c>
      <c r="C1002" s="1842" t="s">
        <v>6757</v>
      </c>
      <c r="D1002" s="1852"/>
      <c r="E1002" s="1852"/>
      <c r="F1002" s="1853">
        <f t="shared" si="31"/>
        <v>0</v>
      </c>
      <c r="G1002" s="1843">
        <f t="shared" si="30"/>
        <v>0</v>
      </c>
      <c r="H1002" s="1173">
        <v>0.70030000000000003</v>
      </c>
      <c r="I1002" s="3121" t="s">
        <v>0</v>
      </c>
    </row>
    <row r="1003" spans="1:9" ht="16.5">
      <c r="A1003" s="1840" t="s">
        <v>1616</v>
      </c>
      <c r="B1003" s="1841" t="s">
        <v>7685</v>
      </c>
      <c r="C1003" s="1842" t="s">
        <v>6757</v>
      </c>
      <c r="D1003" s="1852"/>
      <c r="E1003" s="1852"/>
      <c r="F1003" s="1853">
        <f t="shared" si="31"/>
        <v>0</v>
      </c>
      <c r="G1003" s="1843">
        <f t="shared" si="30"/>
        <v>0</v>
      </c>
      <c r="H1003" s="1173">
        <v>0.51339999999999997</v>
      </c>
      <c r="I1003" s="3121" t="s">
        <v>0</v>
      </c>
    </row>
    <row r="1004" spans="1:9" ht="16.5">
      <c r="A1004" s="1840" t="s">
        <v>1617</v>
      </c>
      <c r="B1004" s="1841" t="s">
        <v>7686</v>
      </c>
      <c r="C1004" s="1842" t="s">
        <v>6757</v>
      </c>
      <c r="D1004" s="1852"/>
      <c r="E1004" s="1852"/>
      <c r="F1004" s="1853">
        <f t="shared" si="31"/>
        <v>0</v>
      </c>
      <c r="G1004" s="1843">
        <f t="shared" si="30"/>
        <v>0</v>
      </c>
      <c r="H1004" s="1173">
        <v>0.42020000000000002</v>
      </c>
      <c r="I1004" s="3121" t="s">
        <v>0</v>
      </c>
    </row>
    <row r="1005" spans="1:9" ht="16.5">
      <c r="A1005" s="1840" t="s">
        <v>1618</v>
      </c>
      <c r="B1005" s="1841" t="s">
        <v>7687</v>
      </c>
      <c r="C1005" s="1842" t="s">
        <v>6757</v>
      </c>
      <c r="D1005" s="1852"/>
      <c r="E1005" s="1852"/>
      <c r="F1005" s="1853">
        <f t="shared" si="31"/>
        <v>0</v>
      </c>
      <c r="G1005" s="1843">
        <f t="shared" si="30"/>
        <v>0</v>
      </c>
      <c r="H1005" s="1173">
        <v>0.6361</v>
      </c>
      <c r="I1005" s="3122" t="s">
        <v>0</v>
      </c>
    </row>
    <row r="1006" spans="1:9" ht="16.5">
      <c r="A1006" s="1840" t="s">
        <v>1619</v>
      </c>
      <c r="B1006" s="1841" t="s">
        <v>7688</v>
      </c>
      <c r="C1006" s="1842" t="s">
        <v>6757</v>
      </c>
      <c r="D1006" s="1852"/>
      <c r="E1006" s="1852"/>
      <c r="F1006" s="1853">
        <f t="shared" si="31"/>
        <v>0</v>
      </c>
      <c r="G1006" s="1843">
        <f t="shared" si="30"/>
        <v>0</v>
      </c>
      <c r="H1006" s="1173">
        <v>0.59140000000000004</v>
      </c>
      <c r="I1006" s="3122" t="s">
        <v>0</v>
      </c>
    </row>
    <row r="1007" spans="1:9" ht="16.5">
      <c r="A1007" s="1840" t="s">
        <v>1620</v>
      </c>
      <c r="B1007" s="1841" t="s">
        <v>7689</v>
      </c>
      <c r="C1007" s="1842" t="s">
        <v>6757</v>
      </c>
      <c r="D1007" s="1852"/>
      <c r="E1007" s="1852"/>
      <c r="F1007" s="1853">
        <f t="shared" si="31"/>
        <v>0</v>
      </c>
      <c r="G1007" s="1843">
        <f t="shared" si="30"/>
        <v>0</v>
      </c>
      <c r="H1007" s="1173">
        <v>0.71530000000000005</v>
      </c>
      <c r="I1007" s="3121" t="s">
        <v>0</v>
      </c>
    </row>
    <row r="1008" spans="1:9" ht="16.5">
      <c r="A1008" s="1840" t="s">
        <v>1621</v>
      </c>
      <c r="B1008" s="1841" t="s">
        <v>7690</v>
      </c>
      <c r="C1008" s="1842" t="s">
        <v>6757</v>
      </c>
      <c r="D1008" s="1852"/>
      <c r="E1008" s="1852"/>
      <c r="F1008" s="1853">
        <f t="shared" si="31"/>
        <v>0</v>
      </c>
      <c r="G1008" s="1843">
        <f t="shared" si="30"/>
        <v>0</v>
      </c>
      <c r="H1008" s="1173">
        <v>1.0047999999999999</v>
      </c>
      <c r="I1008" s="3121" t="s">
        <v>0</v>
      </c>
    </row>
    <row r="1009" spans="1:9" ht="16.5">
      <c r="A1009" s="1840" t="s">
        <v>1622</v>
      </c>
      <c r="B1009" s="1841" t="s">
        <v>7691</v>
      </c>
      <c r="C1009" s="1842" t="s">
        <v>6757</v>
      </c>
      <c r="D1009" s="1852"/>
      <c r="E1009" s="1852"/>
      <c r="F1009" s="1853">
        <f t="shared" si="31"/>
        <v>0</v>
      </c>
      <c r="G1009" s="1843">
        <f t="shared" si="30"/>
        <v>0</v>
      </c>
      <c r="H1009" s="1173">
        <v>0.4148</v>
      </c>
      <c r="I1009" s="3121" t="s">
        <v>0</v>
      </c>
    </row>
    <row r="1010" spans="1:9" ht="16.5">
      <c r="A1010" s="1840" t="s">
        <v>1623</v>
      </c>
      <c r="B1010" s="1841" t="s">
        <v>7692</v>
      </c>
      <c r="C1010" s="1842" t="s">
        <v>6757</v>
      </c>
      <c r="D1010" s="1852"/>
      <c r="E1010" s="1852"/>
      <c r="F1010" s="1853">
        <f t="shared" si="31"/>
        <v>0</v>
      </c>
      <c r="G1010" s="1843">
        <f t="shared" si="30"/>
        <v>0</v>
      </c>
      <c r="H1010" s="1173">
        <v>0.53029999999999999</v>
      </c>
      <c r="I1010" s="3121" t="s">
        <v>0</v>
      </c>
    </row>
    <row r="1011" spans="1:9" ht="16.5">
      <c r="A1011" s="1840" t="s">
        <v>1624</v>
      </c>
      <c r="B1011" s="1841" t="s">
        <v>7693</v>
      </c>
      <c r="C1011" s="1842" t="s">
        <v>6757</v>
      </c>
      <c r="D1011" s="1852"/>
      <c r="E1011" s="1852"/>
      <c r="F1011" s="1853">
        <f t="shared" si="31"/>
        <v>0</v>
      </c>
      <c r="G1011" s="1843">
        <f t="shared" si="30"/>
        <v>0</v>
      </c>
      <c r="H1011" s="1173">
        <v>0.62560000000000004</v>
      </c>
      <c r="I1011" s="3121" t="s">
        <v>0</v>
      </c>
    </row>
    <row r="1012" spans="1:9" ht="16.5">
      <c r="A1012" s="1840" t="s">
        <v>1625</v>
      </c>
      <c r="B1012" s="1841" t="s">
        <v>7694</v>
      </c>
      <c r="C1012" s="1842" t="s">
        <v>6757</v>
      </c>
      <c r="D1012" s="1852"/>
      <c r="E1012" s="1852"/>
      <c r="F1012" s="1853">
        <f t="shared" si="31"/>
        <v>0</v>
      </c>
      <c r="G1012" s="1843">
        <f t="shared" si="30"/>
        <v>0</v>
      </c>
      <c r="H1012" s="1173">
        <v>0.54249999999999998</v>
      </c>
      <c r="I1012" s="3121" t="s">
        <v>0</v>
      </c>
    </row>
    <row r="1013" spans="1:9" ht="16.5">
      <c r="A1013" s="1840" t="s">
        <v>1626</v>
      </c>
      <c r="B1013" s="1841" t="s">
        <v>7695</v>
      </c>
      <c r="C1013" s="1842" t="s">
        <v>6757</v>
      </c>
      <c r="D1013" s="1852"/>
      <c r="E1013" s="1852"/>
      <c r="F1013" s="1853">
        <f t="shared" si="31"/>
        <v>0</v>
      </c>
      <c r="G1013" s="1843">
        <f t="shared" si="30"/>
        <v>0</v>
      </c>
      <c r="H1013" s="1173">
        <v>0.74160000000000004</v>
      </c>
      <c r="I1013" s="3123" t="s">
        <v>0</v>
      </c>
    </row>
    <row r="1014" spans="1:9" ht="16.5">
      <c r="A1014" s="1840" t="s">
        <v>1627</v>
      </c>
      <c r="B1014" s="1841" t="s">
        <v>7696</v>
      </c>
      <c r="C1014" s="1842" t="s">
        <v>6757</v>
      </c>
      <c r="D1014" s="1852"/>
      <c r="E1014" s="1852"/>
      <c r="F1014" s="1853">
        <f t="shared" si="31"/>
        <v>0</v>
      </c>
      <c r="G1014" s="1843">
        <f t="shared" si="30"/>
        <v>0</v>
      </c>
      <c r="H1014" s="1173">
        <v>0.80930000000000002</v>
      </c>
      <c r="I1014" s="3121" t="s">
        <v>0</v>
      </c>
    </row>
    <row r="1015" spans="1:9" ht="16.5">
      <c r="A1015" s="1840" t="s">
        <v>1628</v>
      </c>
      <c r="B1015" s="1841" t="s">
        <v>7697</v>
      </c>
      <c r="C1015" s="1842" t="s">
        <v>6757</v>
      </c>
      <c r="D1015" s="1852"/>
      <c r="E1015" s="1852"/>
      <c r="F1015" s="1853">
        <f t="shared" si="31"/>
        <v>0</v>
      </c>
      <c r="G1015" s="1843">
        <f t="shared" si="30"/>
        <v>0</v>
      </c>
      <c r="H1015" s="1173">
        <v>0.49409999999999998</v>
      </c>
      <c r="I1015" s="3121" t="s">
        <v>0</v>
      </c>
    </row>
    <row r="1016" spans="1:9" ht="16.5">
      <c r="A1016" s="1840" t="s">
        <v>1629</v>
      </c>
      <c r="B1016" s="1841" t="s">
        <v>7698</v>
      </c>
      <c r="C1016" s="1842" t="s">
        <v>6757</v>
      </c>
      <c r="D1016" s="1852"/>
      <c r="E1016" s="1852"/>
      <c r="F1016" s="1853">
        <f t="shared" si="31"/>
        <v>0</v>
      </c>
      <c r="G1016" s="1843">
        <f t="shared" si="30"/>
        <v>0</v>
      </c>
      <c r="H1016" s="1173">
        <v>0.37719999999999998</v>
      </c>
      <c r="I1016" s="3121" t="s">
        <v>0</v>
      </c>
    </row>
    <row r="1017" spans="1:9" ht="16.5">
      <c r="A1017" s="1840" t="s">
        <v>1630</v>
      </c>
      <c r="B1017" s="1841" t="s">
        <v>7699</v>
      </c>
      <c r="C1017" s="1842" t="s">
        <v>6757</v>
      </c>
      <c r="D1017" s="1852"/>
      <c r="E1017" s="1852"/>
      <c r="F1017" s="1853">
        <f t="shared" si="31"/>
        <v>0</v>
      </c>
      <c r="G1017" s="1843">
        <f t="shared" si="30"/>
        <v>0</v>
      </c>
      <c r="H1017" s="1173">
        <v>0.31630000000000003</v>
      </c>
      <c r="I1017" s="3121" t="s">
        <v>0</v>
      </c>
    </row>
    <row r="1018" spans="1:9" ht="16.5">
      <c r="A1018" s="1840" t="s">
        <v>1631</v>
      </c>
      <c r="B1018" s="1841" t="s">
        <v>7700</v>
      </c>
      <c r="C1018" s="1842" t="s">
        <v>6757</v>
      </c>
      <c r="D1018" s="1852"/>
      <c r="E1018" s="1852"/>
      <c r="F1018" s="1853">
        <f t="shared" si="31"/>
        <v>0</v>
      </c>
      <c r="G1018" s="1843">
        <f t="shared" si="30"/>
        <v>0</v>
      </c>
      <c r="H1018" s="1173">
        <v>0.52910000000000001</v>
      </c>
      <c r="I1018" s="3121" t="s">
        <v>0</v>
      </c>
    </row>
    <row r="1019" spans="1:9" ht="16.5">
      <c r="A1019" s="1840" t="s">
        <v>1632</v>
      </c>
      <c r="B1019" s="1841" t="s">
        <v>7701</v>
      </c>
      <c r="C1019" s="1842" t="s">
        <v>6757</v>
      </c>
      <c r="D1019" s="1852"/>
      <c r="E1019" s="1852"/>
      <c r="F1019" s="1853">
        <f t="shared" si="31"/>
        <v>0</v>
      </c>
      <c r="G1019" s="1843">
        <f t="shared" si="30"/>
        <v>0</v>
      </c>
      <c r="H1019" s="1173">
        <v>0.19170000000000001</v>
      </c>
      <c r="I1019" s="3121" t="s">
        <v>0</v>
      </c>
    </row>
    <row r="1020" spans="1:9" ht="16.5">
      <c r="A1020" s="1840" t="s">
        <v>1633</v>
      </c>
      <c r="B1020" s="1841" t="s">
        <v>7702</v>
      </c>
      <c r="C1020" s="1842" t="s">
        <v>6757</v>
      </c>
      <c r="D1020" s="1852"/>
      <c r="E1020" s="1852"/>
      <c r="F1020" s="1853">
        <f t="shared" si="31"/>
        <v>0</v>
      </c>
      <c r="G1020" s="1843">
        <f t="shared" si="30"/>
        <v>0</v>
      </c>
      <c r="H1020" s="1173">
        <v>0.1048</v>
      </c>
      <c r="I1020" s="3121" t="s">
        <v>0</v>
      </c>
    </row>
    <row r="1021" spans="1:9" ht="16.5">
      <c r="A1021" s="1840" t="s">
        <v>1634</v>
      </c>
      <c r="B1021" s="1841" t="s">
        <v>7703</v>
      </c>
      <c r="C1021" s="1842" t="s">
        <v>6757</v>
      </c>
      <c r="D1021" s="1852"/>
      <c r="E1021" s="1852"/>
      <c r="F1021" s="1853">
        <f t="shared" si="31"/>
        <v>0</v>
      </c>
      <c r="G1021" s="1843">
        <f t="shared" si="30"/>
        <v>0</v>
      </c>
      <c r="H1021" s="1173">
        <v>0.40579999999999999</v>
      </c>
      <c r="I1021" s="3121" t="s">
        <v>0</v>
      </c>
    </row>
    <row r="1022" spans="1:9" ht="16.5">
      <c r="A1022" s="1840" t="s">
        <v>3305</v>
      </c>
      <c r="B1022" s="1841" t="s">
        <v>7704</v>
      </c>
      <c r="C1022" s="1842" t="s">
        <v>6757</v>
      </c>
      <c r="D1022" s="1852"/>
      <c r="E1022" s="1852"/>
      <c r="F1022" s="1853">
        <f t="shared" si="31"/>
        <v>0</v>
      </c>
      <c r="G1022" s="1843">
        <f t="shared" si="30"/>
        <v>0</v>
      </c>
      <c r="H1022" s="1173">
        <v>0.64590000000000003</v>
      </c>
      <c r="I1022" s="3121" t="s">
        <v>0</v>
      </c>
    </row>
    <row r="1023" spans="1:9" ht="16.5">
      <c r="A1023" s="1840" t="s">
        <v>1635</v>
      </c>
      <c r="B1023" s="1841" t="s">
        <v>7705</v>
      </c>
      <c r="C1023" s="1842" t="s">
        <v>6757</v>
      </c>
      <c r="D1023" s="1852"/>
      <c r="E1023" s="1852"/>
      <c r="F1023" s="1853">
        <f t="shared" si="31"/>
        <v>0</v>
      </c>
      <c r="G1023" s="1843">
        <f t="shared" si="30"/>
        <v>0</v>
      </c>
      <c r="H1023" s="1173">
        <v>0.32440000000000002</v>
      </c>
      <c r="I1023" s="3121" t="s">
        <v>0</v>
      </c>
    </row>
    <row r="1024" spans="1:9" ht="16.5">
      <c r="A1024" s="1840" t="s">
        <v>1636</v>
      </c>
      <c r="B1024" s="1841" t="s">
        <v>7706</v>
      </c>
      <c r="C1024" s="1842" t="s">
        <v>6757</v>
      </c>
      <c r="D1024" s="1852"/>
      <c r="E1024" s="1852"/>
      <c r="F1024" s="1853">
        <f t="shared" si="31"/>
        <v>0</v>
      </c>
      <c r="G1024" s="1843">
        <f t="shared" si="30"/>
        <v>0</v>
      </c>
      <c r="H1024" s="1173">
        <v>0.21460000000000001</v>
      </c>
      <c r="I1024" s="3121" t="s">
        <v>0</v>
      </c>
    </row>
    <row r="1025" spans="1:9" ht="16.5">
      <c r="A1025" s="1840" t="s">
        <v>1637</v>
      </c>
      <c r="B1025" s="1841" t="s">
        <v>7707</v>
      </c>
      <c r="C1025" s="1842" t="s">
        <v>6757</v>
      </c>
      <c r="D1025" s="1852"/>
      <c r="E1025" s="1852"/>
      <c r="F1025" s="1853">
        <f t="shared" si="31"/>
        <v>0</v>
      </c>
      <c r="G1025" s="1843">
        <f t="shared" si="30"/>
        <v>0</v>
      </c>
      <c r="H1025" s="1173">
        <v>0.42</v>
      </c>
      <c r="I1025" s="3121" t="s">
        <v>0</v>
      </c>
    </row>
    <row r="1026" spans="1:9" ht="16.5">
      <c r="A1026" s="1840" t="s">
        <v>1638</v>
      </c>
      <c r="B1026" s="1841" t="s">
        <v>7708</v>
      </c>
      <c r="C1026" s="1842" t="s">
        <v>6757</v>
      </c>
      <c r="D1026" s="1852"/>
      <c r="E1026" s="1852"/>
      <c r="F1026" s="1853">
        <f t="shared" si="31"/>
        <v>0</v>
      </c>
      <c r="G1026" s="1843">
        <f t="shared" si="30"/>
        <v>0</v>
      </c>
      <c r="H1026" s="1173">
        <v>0.27289999999999998</v>
      </c>
      <c r="I1026" s="3121" t="s">
        <v>0</v>
      </c>
    </row>
    <row r="1027" spans="1:9" ht="16.5">
      <c r="A1027" s="1840" t="s">
        <v>1639</v>
      </c>
      <c r="B1027" s="1841" t="s">
        <v>7709</v>
      </c>
      <c r="C1027" s="1842" t="s">
        <v>6757</v>
      </c>
      <c r="D1027" s="1852"/>
      <c r="E1027" s="1852"/>
      <c r="F1027" s="1853">
        <f t="shared" si="31"/>
        <v>0</v>
      </c>
      <c r="G1027" s="1843">
        <f t="shared" si="30"/>
        <v>0</v>
      </c>
      <c r="H1027" s="1173">
        <v>0.44350000000000001</v>
      </c>
      <c r="I1027" s="3121" t="s">
        <v>0</v>
      </c>
    </row>
    <row r="1028" spans="1:9" ht="16.5">
      <c r="A1028" s="1840" t="s">
        <v>1640</v>
      </c>
      <c r="B1028" s="1841" t="s">
        <v>7710</v>
      </c>
      <c r="C1028" s="1842" t="s">
        <v>6757</v>
      </c>
      <c r="D1028" s="1852"/>
      <c r="E1028" s="1852"/>
      <c r="F1028" s="1853">
        <f t="shared" si="31"/>
        <v>0</v>
      </c>
      <c r="G1028" s="1843">
        <f t="shared" ref="G1028:G1091" si="32">IF($F$1334=0,0,F1028/$F$1334)</f>
        <v>0</v>
      </c>
      <c r="H1028" s="1173">
        <v>0.49330000000000002</v>
      </c>
      <c r="I1028" s="3121" t="s">
        <v>0</v>
      </c>
    </row>
    <row r="1029" spans="1:9" ht="16.5">
      <c r="A1029" s="1840" t="s">
        <v>1641</v>
      </c>
      <c r="B1029" s="1841" t="s">
        <v>7711</v>
      </c>
      <c r="C1029" s="1842" t="s">
        <v>6757</v>
      </c>
      <c r="D1029" s="1852"/>
      <c r="E1029" s="1852"/>
      <c r="F1029" s="1853">
        <f t="shared" ref="F1029:F1092" si="33">D1029*E1029</f>
        <v>0</v>
      </c>
      <c r="G1029" s="1843">
        <f t="shared" si="32"/>
        <v>0</v>
      </c>
      <c r="H1029" s="1173">
        <v>0.49709999999999999</v>
      </c>
      <c r="I1029" s="3121" t="s">
        <v>0</v>
      </c>
    </row>
    <row r="1030" spans="1:9" ht="16.5">
      <c r="A1030" s="1840" t="s">
        <v>1642</v>
      </c>
      <c r="B1030" s="1841" t="s">
        <v>7712</v>
      </c>
      <c r="C1030" s="1842" t="s">
        <v>6757</v>
      </c>
      <c r="D1030" s="1852"/>
      <c r="E1030" s="1852"/>
      <c r="F1030" s="1853">
        <f t="shared" si="33"/>
        <v>0</v>
      </c>
      <c r="G1030" s="1843">
        <f t="shared" si="32"/>
        <v>0</v>
      </c>
      <c r="H1030" s="1173">
        <v>0.46100000000000002</v>
      </c>
      <c r="I1030" s="3121" t="s">
        <v>0</v>
      </c>
    </row>
    <row r="1031" spans="1:9" ht="16.5">
      <c r="A1031" s="1840" t="s">
        <v>1643</v>
      </c>
      <c r="B1031" s="1841" t="s">
        <v>7713</v>
      </c>
      <c r="C1031" s="1842" t="s">
        <v>6757</v>
      </c>
      <c r="D1031" s="1852"/>
      <c r="E1031" s="1852"/>
      <c r="F1031" s="1853">
        <f t="shared" si="33"/>
        <v>0</v>
      </c>
      <c r="G1031" s="1843">
        <f t="shared" si="32"/>
        <v>0</v>
      </c>
      <c r="H1031" s="1173">
        <v>0.49590000000000001</v>
      </c>
      <c r="I1031" s="3121" t="s">
        <v>0</v>
      </c>
    </row>
    <row r="1032" spans="1:9" ht="16.5">
      <c r="A1032" s="1840" t="s">
        <v>2719</v>
      </c>
      <c r="B1032" s="1841" t="s">
        <v>7714</v>
      </c>
      <c r="C1032" s="1842" t="s">
        <v>6757</v>
      </c>
      <c r="D1032" s="1852"/>
      <c r="E1032" s="1852"/>
      <c r="F1032" s="1853">
        <f t="shared" si="33"/>
        <v>0</v>
      </c>
      <c r="G1032" s="1843">
        <f t="shared" si="32"/>
        <v>0</v>
      </c>
      <c r="H1032" s="1173">
        <v>0.3856</v>
      </c>
      <c r="I1032" s="3121" t="s">
        <v>0</v>
      </c>
    </row>
    <row r="1033" spans="1:9" ht="16.5">
      <c r="A1033" s="1840" t="s">
        <v>1644</v>
      </c>
      <c r="B1033" s="1841" t="s">
        <v>7715</v>
      </c>
      <c r="C1033" s="1842" t="s">
        <v>6757</v>
      </c>
      <c r="D1033" s="1852"/>
      <c r="E1033" s="1852"/>
      <c r="F1033" s="1853">
        <f t="shared" si="33"/>
        <v>0</v>
      </c>
      <c r="G1033" s="1843">
        <f t="shared" si="32"/>
        <v>0</v>
      </c>
      <c r="H1033" s="1173">
        <v>0.75790000000000002</v>
      </c>
      <c r="I1033" s="3121" t="s">
        <v>0</v>
      </c>
    </row>
    <row r="1034" spans="1:9" ht="16.5">
      <c r="A1034" s="1840" t="s">
        <v>1645</v>
      </c>
      <c r="B1034" s="1841" t="s">
        <v>7716</v>
      </c>
      <c r="C1034" s="1842" t="s">
        <v>6757</v>
      </c>
      <c r="D1034" s="1852"/>
      <c r="E1034" s="1852"/>
      <c r="F1034" s="1853">
        <f t="shared" si="33"/>
        <v>0</v>
      </c>
      <c r="G1034" s="1843">
        <f t="shared" si="32"/>
        <v>0</v>
      </c>
      <c r="H1034" s="1173">
        <v>0.24540000000000001</v>
      </c>
      <c r="I1034" s="3121" t="s">
        <v>0</v>
      </c>
    </row>
    <row r="1035" spans="1:9" ht="16.5">
      <c r="A1035" s="1840" t="s">
        <v>1646</v>
      </c>
      <c r="B1035" s="1841" t="s">
        <v>7717</v>
      </c>
      <c r="C1035" s="1842" t="s">
        <v>6757</v>
      </c>
      <c r="D1035" s="1852"/>
      <c r="E1035" s="1852"/>
      <c r="F1035" s="1853">
        <f t="shared" si="33"/>
        <v>0</v>
      </c>
      <c r="G1035" s="1843">
        <f t="shared" si="32"/>
        <v>0</v>
      </c>
      <c r="H1035" s="1173">
        <v>0.45900000000000002</v>
      </c>
      <c r="I1035" s="3121" t="s">
        <v>0</v>
      </c>
    </row>
    <row r="1036" spans="1:9" ht="16.5">
      <c r="A1036" s="1840" t="s">
        <v>1647</v>
      </c>
      <c r="B1036" s="1841" t="s">
        <v>7718</v>
      </c>
      <c r="C1036" s="1842" t="s">
        <v>6757</v>
      </c>
      <c r="D1036" s="1852"/>
      <c r="E1036" s="1852"/>
      <c r="F1036" s="1853">
        <f t="shared" si="33"/>
        <v>0</v>
      </c>
      <c r="G1036" s="1843">
        <f t="shared" si="32"/>
        <v>0</v>
      </c>
      <c r="H1036" s="1173">
        <v>0.46949999999999997</v>
      </c>
      <c r="I1036" s="3121" t="s">
        <v>0</v>
      </c>
    </row>
    <row r="1037" spans="1:9" ht="16.5">
      <c r="A1037" s="1840" t="s">
        <v>1648</v>
      </c>
      <c r="B1037" s="1841" t="s">
        <v>7719</v>
      </c>
      <c r="C1037" s="1842" t="s">
        <v>6757</v>
      </c>
      <c r="D1037" s="1852"/>
      <c r="E1037" s="1852"/>
      <c r="F1037" s="1853">
        <f t="shared" si="33"/>
        <v>0</v>
      </c>
      <c r="G1037" s="1843">
        <f t="shared" si="32"/>
        <v>0</v>
      </c>
      <c r="H1037" s="1173">
        <v>0.25019999999999998</v>
      </c>
      <c r="I1037" s="3121" t="s">
        <v>0</v>
      </c>
    </row>
    <row r="1038" spans="1:9" ht="16.5">
      <c r="A1038" s="1840" t="s">
        <v>1649</v>
      </c>
      <c r="B1038" s="1841" t="s">
        <v>7720</v>
      </c>
      <c r="C1038" s="1842" t="s">
        <v>6757</v>
      </c>
      <c r="D1038" s="1852"/>
      <c r="E1038" s="1852"/>
      <c r="F1038" s="1853">
        <f t="shared" si="33"/>
        <v>0</v>
      </c>
      <c r="G1038" s="1843">
        <f t="shared" si="32"/>
        <v>0</v>
      </c>
      <c r="H1038" s="1173">
        <v>0.43290000000000001</v>
      </c>
      <c r="I1038" s="3123" t="s">
        <v>0</v>
      </c>
    </row>
    <row r="1039" spans="1:9" ht="16.5">
      <c r="A1039" s="1840" t="s">
        <v>1650</v>
      </c>
      <c r="B1039" s="1841" t="s">
        <v>7721</v>
      </c>
      <c r="C1039" s="1842" t="s">
        <v>6757</v>
      </c>
      <c r="D1039" s="1852"/>
      <c r="E1039" s="1852"/>
      <c r="F1039" s="1853">
        <f t="shared" si="33"/>
        <v>0</v>
      </c>
      <c r="G1039" s="1843">
        <f t="shared" si="32"/>
        <v>0</v>
      </c>
      <c r="H1039" s="1173">
        <v>0.33439999999999998</v>
      </c>
      <c r="I1039" s="3121" t="s">
        <v>0</v>
      </c>
    </row>
    <row r="1040" spans="1:9" ht="16.5">
      <c r="A1040" s="1840" t="s">
        <v>1651</v>
      </c>
      <c r="B1040" s="1841" t="s">
        <v>7722</v>
      </c>
      <c r="C1040" s="1842" t="s">
        <v>6757</v>
      </c>
      <c r="D1040" s="1852"/>
      <c r="E1040" s="1852"/>
      <c r="F1040" s="1853">
        <f t="shared" si="33"/>
        <v>0</v>
      </c>
      <c r="G1040" s="1843">
        <f t="shared" si="32"/>
        <v>0</v>
      </c>
      <c r="H1040" s="1173">
        <v>1.0851999999999999</v>
      </c>
      <c r="I1040" s="3121" t="s">
        <v>0</v>
      </c>
    </row>
    <row r="1041" spans="1:9" ht="16.5">
      <c r="A1041" s="1840" t="s">
        <v>1652</v>
      </c>
      <c r="B1041" s="1841" t="s">
        <v>7723</v>
      </c>
      <c r="C1041" s="1842" t="s">
        <v>6757</v>
      </c>
      <c r="D1041" s="1852"/>
      <c r="E1041" s="1852"/>
      <c r="F1041" s="1853">
        <f t="shared" si="33"/>
        <v>0</v>
      </c>
      <c r="G1041" s="1843">
        <f t="shared" si="32"/>
        <v>0</v>
      </c>
      <c r="H1041" s="1173">
        <v>0.31869999999999998</v>
      </c>
      <c r="I1041" s="3121" t="s">
        <v>0</v>
      </c>
    </row>
    <row r="1042" spans="1:9" ht="16.5">
      <c r="A1042" s="1840" t="s">
        <v>1653</v>
      </c>
      <c r="B1042" s="1841" t="s">
        <v>7724</v>
      </c>
      <c r="C1042" s="1842" t="s">
        <v>6757</v>
      </c>
      <c r="D1042" s="1852"/>
      <c r="E1042" s="1852"/>
      <c r="F1042" s="1853">
        <f t="shared" si="33"/>
        <v>0</v>
      </c>
      <c r="G1042" s="1843">
        <f t="shared" si="32"/>
        <v>0</v>
      </c>
      <c r="H1042" s="1173">
        <v>0.67930000000000001</v>
      </c>
      <c r="I1042" s="3123" t="s">
        <v>0</v>
      </c>
    </row>
    <row r="1043" spans="1:9" ht="16.5">
      <c r="A1043" s="1840" t="s">
        <v>1654</v>
      </c>
      <c r="B1043" s="1841" t="s">
        <v>7725</v>
      </c>
      <c r="C1043" s="1842" t="s">
        <v>6757</v>
      </c>
      <c r="D1043" s="1852"/>
      <c r="E1043" s="1852"/>
      <c r="F1043" s="1853">
        <f t="shared" si="33"/>
        <v>0</v>
      </c>
      <c r="G1043" s="1843">
        <f t="shared" si="32"/>
        <v>0</v>
      </c>
      <c r="H1043" s="1173">
        <v>0.5696</v>
      </c>
      <c r="I1043" s="3121" t="s">
        <v>0</v>
      </c>
    </row>
    <row r="1044" spans="1:9" ht="16.5">
      <c r="A1044" s="1840" t="s">
        <v>1655</v>
      </c>
      <c r="B1044" s="1841" t="s">
        <v>7726</v>
      </c>
      <c r="C1044" s="1842" t="s">
        <v>6757</v>
      </c>
      <c r="D1044" s="1852"/>
      <c r="E1044" s="1852"/>
      <c r="F1044" s="1853">
        <f t="shared" si="33"/>
        <v>0</v>
      </c>
      <c r="G1044" s="1843">
        <f t="shared" si="32"/>
        <v>0</v>
      </c>
      <c r="H1044" s="1173">
        <v>0.14610000000000001</v>
      </c>
      <c r="I1044" s="3123" t="s">
        <v>0</v>
      </c>
    </row>
    <row r="1045" spans="1:9" ht="16.5">
      <c r="A1045" s="1840" t="s">
        <v>1656</v>
      </c>
      <c r="B1045" s="1841" t="s">
        <v>7727</v>
      </c>
      <c r="C1045" s="1842" t="s">
        <v>6757</v>
      </c>
      <c r="D1045" s="1852"/>
      <c r="E1045" s="1852"/>
      <c r="F1045" s="1853">
        <f t="shared" si="33"/>
        <v>0</v>
      </c>
      <c r="G1045" s="1843">
        <f t="shared" si="32"/>
        <v>0</v>
      </c>
      <c r="H1045" s="1173">
        <v>0.46279999999999999</v>
      </c>
      <c r="I1045" s="3121" t="s">
        <v>0</v>
      </c>
    </row>
    <row r="1046" spans="1:9" ht="16.5">
      <c r="A1046" s="1840" t="s">
        <v>1657</v>
      </c>
      <c r="B1046" s="1841" t="s">
        <v>7728</v>
      </c>
      <c r="C1046" s="1842" t="s">
        <v>6757</v>
      </c>
      <c r="D1046" s="1852"/>
      <c r="E1046" s="1852"/>
      <c r="F1046" s="1853">
        <f t="shared" si="33"/>
        <v>0</v>
      </c>
      <c r="G1046" s="1843">
        <f t="shared" si="32"/>
        <v>0</v>
      </c>
      <c r="H1046" s="1173">
        <v>0.36830000000000002</v>
      </c>
      <c r="I1046" s="3121" t="s">
        <v>0</v>
      </c>
    </row>
    <row r="1047" spans="1:9" ht="16.5">
      <c r="A1047" s="1840" t="s">
        <v>1658</v>
      </c>
      <c r="B1047" s="1841" t="s">
        <v>7729</v>
      </c>
      <c r="C1047" s="1842" t="s">
        <v>6757</v>
      </c>
      <c r="D1047" s="1852"/>
      <c r="E1047" s="1852"/>
      <c r="F1047" s="1853">
        <f t="shared" si="33"/>
        <v>0</v>
      </c>
      <c r="G1047" s="1843">
        <f t="shared" si="32"/>
        <v>0</v>
      </c>
      <c r="H1047" s="1173">
        <v>7.0400000000000004E-2</v>
      </c>
      <c r="I1047" s="3121" t="s">
        <v>0</v>
      </c>
    </row>
    <row r="1048" spans="1:9" ht="16.5">
      <c r="A1048" s="1840" t="s">
        <v>1659</v>
      </c>
      <c r="B1048" s="1841" t="s">
        <v>7730</v>
      </c>
      <c r="C1048" s="1842" t="s">
        <v>6757</v>
      </c>
      <c r="D1048" s="1852"/>
      <c r="E1048" s="1852"/>
      <c r="F1048" s="1853">
        <f t="shared" si="33"/>
        <v>0</v>
      </c>
      <c r="G1048" s="1843">
        <f t="shared" si="32"/>
        <v>0</v>
      </c>
      <c r="H1048" s="1173">
        <v>0.37980000000000003</v>
      </c>
      <c r="I1048" s="3121" t="s">
        <v>0</v>
      </c>
    </row>
    <row r="1049" spans="1:9" ht="16.5">
      <c r="A1049" s="1840" t="s">
        <v>1660</v>
      </c>
      <c r="B1049" s="1841" t="s">
        <v>7731</v>
      </c>
      <c r="C1049" s="1842" t="s">
        <v>6757</v>
      </c>
      <c r="D1049" s="1852"/>
      <c r="E1049" s="1852"/>
      <c r="F1049" s="1853">
        <f t="shared" si="33"/>
        <v>0</v>
      </c>
      <c r="G1049" s="1843">
        <f t="shared" si="32"/>
        <v>0</v>
      </c>
      <c r="H1049" s="1173">
        <v>0.30420000000000003</v>
      </c>
      <c r="I1049" s="3121" t="s">
        <v>0</v>
      </c>
    </row>
    <row r="1050" spans="1:9" ht="16.5">
      <c r="A1050" s="1840" t="s">
        <v>1661</v>
      </c>
      <c r="B1050" s="1841" t="s">
        <v>7732</v>
      </c>
      <c r="C1050" s="1842" t="s">
        <v>6757</v>
      </c>
      <c r="D1050" s="1852"/>
      <c r="E1050" s="1852"/>
      <c r="F1050" s="1853">
        <f t="shared" si="33"/>
        <v>0</v>
      </c>
      <c r="G1050" s="1843">
        <f t="shared" si="32"/>
        <v>0</v>
      </c>
      <c r="H1050" s="1173">
        <v>0.19400000000000001</v>
      </c>
      <c r="I1050" s="3121" t="s">
        <v>0</v>
      </c>
    </row>
    <row r="1051" spans="1:9" ht="16.5">
      <c r="A1051" s="1840" t="s">
        <v>1662</v>
      </c>
      <c r="B1051" s="1841" t="s">
        <v>7733</v>
      </c>
      <c r="C1051" s="1842" t="s">
        <v>6757</v>
      </c>
      <c r="D1051" s="1852"/>
      <c r="E1051" s="1852"/>
      <c r="F1051" s="1853">
        <f t="shared" si="33"/>
        <v>0</v>
      </c>
      <c r="G1051" s="1843">
        <f t="shared" si="32"/>
        <v>0</v>
      </c>
      <c r="H1051" s="1173">
        <v>0.57440000000000002</v>
      </c>
      <c r="I1051" s="3121" t="s">
        <v>0</v>
      </c>
    </row>
    <row r="1052" spans="1:9" ht="16.5">
      <c r="A1052" s="1840" t="s">
        <v>1663</v>
      </c>
      <c r="B1052" s="1841" t="s">
        <v>7734</v>
      </c>
      <c r="C1052" s="1842" t="s">
        <v>6757</v>
      </c>
      <c r="D1052" s="1852"/>
      <c r="E1052" s="1852"/>
      <c r="F1052" s="1853">
        <f t="shared" si="33"/>
        <v>0</v>
      </c>
      <c r="G1052" s="1843">
        <f t="shared" si="32"/>
        <v>0</v>
      </c>
      <c r="H1052" s="1173">
        <v>0.31769999999999998</v>
      </c>
      <c r="I1052" s="3121" t="s">
        <v>0</v>
      </c>
    </row>
    <row r="1053" spans="1:9" ht="16.5">
      <c r="A1053" s="1840" t="s">
        <v>1664</v>
      </c>
      <c r="B1053" s="1841" t="s">
        <v>7735</v>
      </c>
      <c r="C1053" s="1842" t="s">
        <v>6757</v>
      </c>
      <c r="D1053" s="1852"/>
      <c r="E1053" s="1852"/>
      <c r="F1053" s="1853">
        <f t="shared" si="33"/>
        <v>0</v>
      </c>
      <c r="G1053" s="1843">
        <f t="shared" si="32"/>
        <v>0</v>
      </c>
      <c r="H1053" s="1173">
        <v>0.20680000000000001</v>
      </c>
      <c r="I1053" s="3121" t="s">
        <v>0</v>
      </c>
    </row>
    <row r="1054" spans="1:9" ht="16.5">
      <c r="A1054" s="1840" t="s">
        <v>1665</v>
      </c>
      <c r="B1054" s="1841" t="s">
        <v>7736</v>
      </c>
      <c r="C1054" s="1842" t="s">
        <v>6757</v>
      </c>
      <c r="D1054" s="1852"/>
      <c r="E1054" s="1852"/>
      <c r="F1054" s="1853">
        <f t="shared" si="33"/>
        <v>0</v>
      </c>
      <c r="G1054" s="1843">
        <f t="shared" si="32"/>
        <v>0</v>
      </c>
      <c r="H1054" s="1173">
        <v>0.32190000000000002</v>
      </c>
      <c r="I1054" s="3121" t="s">
        <v>0</v>
      </c>
    </row>
    <row r="1055" spans="1:9" ht="16.5">
      <c r="A1055" s="1840" t="s">
        <v>1666</v>
      </c>
      <c r="B1055" s="1841" t="s">
        <v>7737</v>
      </c>
      <c r="C1055" s="1842" t="s">
        <v>6757</v>
      </c>
      <c r="D1055" s="1852"/>
      <c r="E1055" s="1852"/>
      <c r="F1055" s="1853">
        <f t="shared" si="33"/>
        <v>0</v>
      </c>
      <c r="G1055" s="1843">
        <f t="shared" si="32"/>
        <v>0</v>
      </c>
      <c r="H1055" s="1173">
        <v>0.58289999999999997</v>
      </c>
      <c r="I1055" s="3121" t="s">
        <v>0</v>
      </c>
    </row>
    <row r="1056" spans="1:9" ht="16.5">
      <c r="A1056" s="1840" t="s">
        <v>1667</v>
      </c>
      <c r="B1056" s="1841" t="s">
        <v>7738</v>
      </c>
      <c r="C1056" s="1842" t="s">
        <v>6757</v>
      </c>
      <c r="D1056" s="1852"/>
      <c r="E1056" s="1852"/>
      <c r="F1056" s="1853">
        <f t="shared" si="33"/>
        <v>0</v>
      </c>
      <c r="G1056" s="1843">
        <f t="shared" si="32"/>
        <v>0</v>
      </c>
      <c r="H1056" s="1173">
        <v>0.42259999999999998</v>
      </c>
      <c r="I1056" s="3121" t="s">
        <v>0</v>
      </c>
    </row>
    <row r="1057" spans="1:9" ht="16.5">
      <c r="A1057" s="1840" t="s">
        <v>1668</v>
      </c>
      <c r="B1057" s="1841" t="s">
        <v>7739</v>
      </c>
      <c r="C1057" s="1842" t="s">
        <v>6757</v>
      </c>
      <c r="D1057" s="1852"/>
      <c r="E1057" s="1852"/>
      <c r="F1057" s="1853">
        <f t="shared" si="33"/>
        <v>0</v>
      </c>
      <c r="G1057" s="1843">
        <f t="shared" si="32"/>
        <v>0</v>
      </c>
      <c r="H1057" s="1173">
        <v>9.2600000000000002E-2</v>
      </c>
      <c r="I1057" s="3121" t="s">
        <v>0</v>
      </c>
    </row>
    <row r="1058" spans="1:9" ht="16.5">
      <c r="A1058" s="1840" t="s">
        <v>1669</v>
      </c>
      <c r="B1058" s="1841" t="s">
        <v>7740</v>
      </c>
      <c r="C1058" s="1842" t="s">
        <v>6757</v>
      </c>
      <c r="D1058" s="1852"/>
      <c r="E1058" s="1852"/>
      <c r="F1058" s="1853">
        <f t="shared" si="33"/>
        <v>0</v>
      </c>
      <c r="G1058" s="1843">
        <f t="shared" si="32"/>
        <v>0</v>
      </c>
      <c r="H1058" s="1173">
        <v>0.2407</v>
      </c>
      <c r="I1058" s="3121" t="s">
        <v>0</v>
      </c>
    </row>
    <row r="1059" spans="1:9" ht="16.5">
      <c r="A1059" s="1840" t="s">
        <v>1670</v>
      </c>
      <c r="B1059" s="1841" t="s">
        <v>7741</v>
      </c>
      <c r="C1059" s="1842" t="s">
        <v>6757</v>
      </c>
      <c r="D1059" s="1852"/>
      <c r="E1059" s="1852"/>
      <c r="F1059" s="1853">
        <f t="shared" si="33"/>
        <v>0</v>
      </c>
      <c r="G1059" s="1843">
        <f t="shared" si="32"/>
        <v>0</v>
      </c>
      <c r="H1059" s="1173">
        <v>0.45989999999999998</v>
      </c>
      <c r="I1059" s="3121" t="s">
        <v>0</v>
      </c>
    </row>
    <row r="1060" spans="1:9" ht="16.5">
      <c r="A1060" s="1840" t="s">
        <v>1671</v>
      </c>
      <c r="B1060" s="1841" t="s">
        <v>7742</v>
      </c>
      <c r="C1060" s="1842" t="s">
        <v>6757</v>
      </c>
      <c r="D1060" s="1852"/>
      <c r="E1060" s="1852"/>
      <c r="F1060" s="1853">
        <f t="shared" si="33"/>
        <v>0</v>
      </c>
      <c r="G1060" s="1843">
        <f t="shared" si="32"/>
        <v>0</v>
      </c>
      <c r="H1060" s="1173">
        <v>0.48430000000000001</v>
      </c>
      <c r="I1060" s="3121" t="s">
        <v>0</v>
      </c>
    </row>
    <row r="1061" spans="1:9" ht="16.5">
      <c r="A1061" s="1840" t="s">
        <v>1672</v>
      </c>
      <c r="B1061" s="1841" t="s">
        <v>7743</v>
      </c>
      <c r="C1061" s="1842" t="s">
        <v>6757</v>
      </c>
      <c r="D1061" s="1852"/>
      <c r="E1061" s="1852"/>
      <c r="F1061" s="1853">
        <f t="shared" si="33"/>
        <v>0</v>
      </c>
      <c r="G1061" s="1843">
        <f t="shared" si="32"/>
        <v>0</v>
      </c>
      <c r="H1061" s="1173">
        <v>0.18740000000000001</v>
      </c>
      <c r="I1061" s="3121" t="s">
        <v>0</v>
      </c>
    </row>
    <row r="1062" spans="1:9" ht="16.5">
      <c r="A1062" s="1840" t="s">
        <v>1673</v>
      </c>
      <c r="B1062" s="1841" t="s">
        <v>7744</v>
      </c>
      <c r="C1062" s="1842" t="s">
        <v>6757</v>
      </c>
      <c r="D1062" s="1852"/>
      <c r="E1062" s="1852"/>
      <c r="F1062" s="1853">
        <f t="shared" si="33"/>
        <v>0</v>
      </c>
      <c r="G1062" s="1843">
        <f t="shared" si="32"/>
        <v>0</v>
      </c>
      <c r="H1062" s="1173">
        <v>0.26869999999999999</v>
      </c>
      <c r="I1062" s="3121" t="s">
        <v>0</v>
      </c>
    </row>
    <row r="1063" spans="1:9" ht="16.5">
      <c r="A1063" s="1840" t="s">
        <v>1674</v>
      </c>
      <c r="B1063" s="1841" t="s">
        <v>7745</v>
      </c>
      <c r="C1063" s="1842" t="s">
        <v>6757</v>
      </c>
      <c r="D1063" s="1852"/>
      <c r="E1063" s="1852"/>
      <c r="F1063" s="1853">
        <f t="shared" si="33"/>
        <v>0</v>
      </c>
      <c r="G1063" s="1843">
        <f t="shared" si="32"/>
        <v>0</v>
      </c>
      <c r="H1063" s="1173">
        <v>0.20300000000000001</v>
      </c>
      <c r="I1063" s="3121" t="s">
        <v>0</v>
      </c>
    </row>
    <row r="1064" spans="1:9" ht="16.5">
      <c r="A1064" s="1840" t="s">
        <v>1675</v>
      </c>
      <c r="B1064" s="1841" t="s">
        <v>7746</v>
      </c>
      <c r="C1064" s="1842" t="s">
        <v>6757</v>
      </c>
      <c r="D1064" s="1852"/>
      <c r="E1064" s="1852"/>
      <c r="F1064" s="1853">
        <f t="shared" si="33"/>
        <v>0</v>
      </c>
      <c r="G1064" s="1843">
        <f t="shared" si="32"/>
        <v>0</v>
      </c>
      <c r="H1064" s="1173">
        <v>0.41959999999999997</v>
      </c>
      <c r="I1064" s="3121" t="s">
        <v>0</v>
      </c>
    </row>
    <row r="1065" spans="1:9" ht="16.5">
      <c r="A1065" s="1840" t="s">
        <v>1676</v>
      </c>
      <c r="B1065" s="1841" t="s">
        <v>7747</v>
      </c>
      <c r="C1065" s="1842" t="s">
        <v>6757</v>
      </c>
      <c r="D1065" s="1852"/>
      <c r="E1065" s="1852"/>
      <c r="F1065" s="1853">
        <f t="shared" si="33"/>
        <v>0</v>
      </c>
      <c r="G1065" s="1843">
        <f t="shared" si="32"/>
        <v>0</v>
      </c>
      <c r="H1065" s="1173">
        <v>0.5383</v>
      </c>
      <c r="I1065" s="3121" t="s">
        <v>0</v>
      </c>
    </row>
    <row r="1066" spans="1:9" ht="16.5">
      <c r="A1066" s="1840" t="s">
        <v>1677</v>
      </c>
      <c r="B1066" s="1841" t="s">
        <v>7748</v>
      </c>
      <c r="C1066" s="1842" t="s">
        <v>6757</v>
      </c>
      <c r="D1066" s="1852"/>
      <c r="E1066" s="1852"/>
      <c r="F1066" s="1853">
        <f t="shared" si="33"/>
        <v>0</v>
      </c>
      <c r="G1066" s="1843">
        <f t="shared" si="32"/>
        <v>0</v>
      </c>
      <c r="H1066" s="1173">
        <v>0.51190000000000002</v>
      </c>
      <c r="I1066" s="3121" t="s">
        <v>0</v>
      </c>
    </row>
    <row r="1067" spans="1:9" ht="16.5">
      <c r="A1067" s="1840" t="s">
        <v>1678</v>
      </c>
      <c r="B1067" s="1841" t="s">
        <v>7749</v>
      </c>
      <c r="C1067" s="1842" t="s">
        <v>6757</v>
      </c>
      <c r="D1067" s="1852"/>
      <c r="E1067" s="1852"/>
      <c r="F1067" s="1853">
        <f t="shared" si="33"/>
        <v>0</v>
      </c>
      <c r="G1067" s="1843">
        <f t="shared" si="32"/>
        <v>0</v>
      </c>
      <c r="H1067" s="1173">
        <v>0.36459999999999998</v>
      </c>
      <c r="I1067" s="3121" t="s">
        <v>0</v>
      </c>
    </row>
    <row r="1068" spans="1:9" ht="16.5">
      <c r="A1068" s="1840" t="s">
        <v>1679</v>
      </c>
      <c r="B1068" s="1841" t="s">
        <v>7750</v>
      </c>
      <c r="C1068" s="1842" t="s">
        <v>6757</v>
      </c>
      <c r="D1068" s="1852"/>
      <c r="E1068" s="1852"/>
      <c r="F1068" s="1853">
        <f t="shared" si="33"/>
        <v>0</v>
      </c>
      <c r="G1068" s="1843">
        <f t="shared" si="32"/>
        <v>0</v>
      </c>
      <c r="H1068" s="1173">
        <v>0.43359999999999999</v>
      </c>
      <c r="I1068" s="3121" t="s">
        <v>0</v>
      </c>
    </row>
    <row r="1069" spans="1:9" ht="16.5">
      <c r="A1069" s="1840" t="s">
        <v>1680</v>
      </c>
      <c r="B1069" s="1841" t="s">
        <v>7751</v>
      </c>
      <c r="C1069" s="1842" t="s">
        <v>6757</v>
      </c>
      <c r="D1069" s="1852"/>
      <c r="E1069" s="1852"/>
      <c r="F1069" s="1853">
        <f t="shared" si="33"/>
        <v>0</v>
      </c>
      <c r="G1069" s="1843">
        <f t="shared" si="32"/>
        <v>0</v>
      </c>
      <c r="H1069" s="1173">
        <v>0.39629999999999999</v>
      </c>
      <c r="I1069" s="3121" t="s">
        <v>0</v>
      </c>
    </row>
    <row r="1070" spans="1:9" ht="16.5">
      <c r="A1070" s="1840" t="s">
        <v>1681</v>
      </c>
      <c r="B1070" s="1841" t="s">
        <v>7752</v>
      </c>
      <c r="C1070" s="1842" t="s">
        <v>6757</v>
      </c>
      <c r="D1070" s="1852"/>
      <c r="E1070" s="1852"/>
      <c r="F1070" s="1853">
        <f t="shared" si="33"/>
        <v>0</v>
      </c>
      <c r="G1070" s="1843">
        <f t="shared" si="32"/>
        <v>0</v>
      </c>
      <c r="H1070" s="1173">
        <v>0.49049999999999999</v>
      </c>
      <c r="I1070" s="3121" t="s">
        <v>0</v>
      </c>
    </row>
    <row r="1071" spans="1:9" ht="16.5">
      <c r="A1071" s="1840" t="s">
        <v>1682</v>
      </c>
      <c r="B1071" s="1841" t="s">
        <v>7753</v>
      </c>
      <c r="C1071" s="1842" t="s">
        <v>6757</v>
      </c>
      <c r="D1071" s="1852"/>
      <c r="E1071" s="1852"/>
      <c r="F1071" s="1853">
        <f t="shared" si="33"/>
        <v>0</v>
      </c>
      <c r="G1071" s="1843">
        <f t="shared" si="32"/>
        <v>0</v>
      </c>
      <c r="H1071" s="1173">
        <v>0.50270000000000004</v>
      </c>
      <c r="I1071" s="3121" t="s">
        <v>0</v>
      </c>
    </row>
    <row r="1072" spans="1:9" ht="16.5">
      <c r="A1072" s="1840" t="s">
        <v>1683</v>
      </c>
      <c r="B1072" s="1841" t="s">
        <v>7754</v>
      </c>
      <c r="C1072" s="1842" t="s">
        <v>6757</v>
      </c>
      <c r="D1072" s="1852"/>
      <c r="E1072" s="1852"/>
      <c r="F1072" s="1853">
        <f t="shared" si="33"/>
        <v>0</v>
      </c>
      <c r="G1072" s="1843">
        <f t="shared" si="32"/>
        <v>0</v>
      </c>
      <c r="H1072" s="1173">
        <v>0.24779999999999999</v>
      </c>
      <c r="I1072" s="3121" t="s">
        <v>0</v>
      </c>
    </row>
    <row r="1073" spans="1:9" ht="16.5">
      <c r="A1073" s="1840" t="s">
        <v>1684</v>
      </c>
      <c r="B1073" s="1841" t="s">
        <v>7755</v>
      </c>
      <c r="C1073" s="1842" t="s">
        <v>6757</v>
      </c>
      <c r="D1073" s="1852"/>
      <c r="E1073" s="1852"/>
      <c r="F1073" s="1853">
        <f t="shared" si="33"/>
        <v>0</v>
      </c>
      <c r="G1073" s="1843">
        <f t="shared" si="32"/>
        <v>0</v>
      </c>
      <c r="H1073" s="1173">
        <v>0.2419</v>
      </c>
      <c r="I1073" s="3121" t="s">
        <v>0</v>
      </c>
    </row>
    <row r="1074" spans="1:9" ht="16.5">
      <c r="A1074" s="1840" t="s">
        <v>1685</v>
      </c>
      <c r="B1074" s="1841" t="s">
        <v>7756</v>
      </c>
      <c r="C1074" s="1842" t="s">
        <v>6757</v>
      </c>
      <c r="D1074" s="1852"/>
      <c r="E1074" s="1852"/>
      <c r="F1074" s="1853">
        <f t="shared" si="33"/>
        <v>0</v>
      </c>
      <c r="G1074" s="1843">
        <f t="shared" si="32"/>
        <v>0</v>
      </c>
      <c r="H1074" s="1173">
        <v>0.34449999999999997</v>
      </c>
      <c r="I1074" s="3121" t="s">
        <v>0</v>
      </c>
    </row>
    <row r="1075" spans="1:9" ht="16.5">
      <c r="A1075" s="1840" t="s">
        <v>1686</v>
      </c>
      <c r="B1075" s="1841" t="s">
        <v>7757</v>
      </c>
      <c r="C1075" s="1842" t="s">
        <v>6757</v>
      </c>
      <c r="D1075" s="1852"/>
      <c r="E1075" s="1852"/>
      <c r="F1075" s="1853">
        <f t="shared" si="33"/>
        <v>0</v>
      </c>
      <c r="G1075" s="1843">
        <f t="shared" si="32"/>
        <v>0</v>
      </c>
      <c r="H1075" s="1173">
        <v>0.61990000000000001</v>
      </c>
      <c r="I1075" s="3121" t="s">
        <v>0</v>
      </c>
    </row>
    <row r="1076" spans="1:9" ht="16.5">
      <c r="A1076" s="1840" t="s">
        <v>1687</v>
      </c>
      <c r="B1076" s="1841" t="s">
        <v>7758</v>
      </c>
      <c r="C1076" s="1842" t="s">
        <v>6757</v>
      </c>
      <c r="D1076" s="1852"/>
      <c r="E1076" s="1852"/>
      <c r="F1076" s="1853">
        <f t="shared" si="33"/>
        <v>0</v>
      </c>
      <c r="G1076" s="1843">
        <f t="shared" si="32"/>
        <v>0</v>
      </c>
      <c r="H1076" s="1173">
        <v>0.70779999999999998</v>
      </c>
      <c r="I1076" s="3121" t="s">
        <v>0</v>
      </c>
    </row>
    <row r="1077" spans="1:9" ht="16.5">
      <c r="A1077" s="1840" t="s">
        <v>1688</v>
      </c>
      <c r="B1077" s="1841" t="s">
        <v>7759</v>
      </c>
      <c r="C1077" s="1842" t="s">
        <v>6757</v>
      </c>
      <c r="D1077" s="1852"/>
      <c r="E1077" s="1852"/>
      <c r="F1077" s="1853">
        <f t="shared" si="33"/>
        <v>0</v>
      </c>
      <c r="G1077" s="1843">
        <f t="shared" si="32"/>
        <v>0</v>
      </c>
      <c r="H1077" s="1173">
        <v>0.21240000000000001</v>
      </c>
      <c r="I1077" s="3121" t="s">
        <v>0</v>
      </c>
    </row>
    <row r="1078" spans="1:9" ht="16.5">
      <c r="A1078" s="1840" t="s">
        <v>1689</v>
      </c>
      <c r="B1078" s="1841" t="s">
        <v>7760</v>
      </c>
      <c r="C1078" s="1842" t="s">
        <v>6757</v>
      </c>
      <c r="D1078" s="1852"/>
      <c r="E1078" s="1852"/>
      <c r="F1078" s="1853">
        <f t="shared" si="33"/>
        <v>0</v>
      </c>
      <c r="G1078" s="1843">
        <f t="shared" si="32"/>
        <v>0</v>
      </c>
      <c r="H1078" s="1173">
        <v>0.83020000000000005</v>
      </c>
      <c r="I1078" s="3121" t="s">
        <v>0</v>
      </c>
    </row>
    <row r="1079" spans="1:9" ht="16.5">
      <c r="A1079" s="1840" t="s">
        <v>1708</v>
      </c>
      <c r="B1079" s="1841" t="s">
        <v>7761</v>
      </c>
      <c r="C1079" s="1842" t="s">
        <v>7762</v>
      </c>
      <c r="D1079" s="1852"/>
      <c r="E1079" s="1852"/>
      <c r="F1079" s="1853">
        <f t="shared" si="33"/>
        <v>0</v>
      </c>
      <c r="G1079" s="1843">
        <f t="shared" si="32"/>
        <v>0</v>
      </c>
      <c r="H1079" s="1173">
        <v>0.91159999999999997</v>
      </c>
      <c r="I1079" s="3121" t="s">
        <v>0</v>
      </c>
    </row>
    <row r="1080" spans="1:9" ht="16.5">
      <c r="A1080" s="1840" t="s">
        <v>1709</v>
      </c>
      <c r="B1080" s="1841" t="s">
        <v>7763</v>
      </c>
      <c r="C1080" s="1842" t="s">
        <v>7762</v>
      </c>
      <c r="D1080" s="1852"/>
      <c r="E1080" s="1852"/>
      <c r="F1080" s="1853">
        <f t="shared" si="33"/>
        <v>0</v>
      </c>
      <c r="G1080" s="1843">
        <f t="shared" si="32"/>
        <v>0</v>
      </c>
      <c r="H1080" s="1173">
        <v>0.73319999999999996</v>
      </c>
      <c r="I1080" s="3123" t="s">
        <v>0</v>
      </c>
    </row>
    <row r="1081" spans="1:9" ht="32.25">
      <c r="A1081" s="1840" t="s">
        <v>3573</v>
      </c>
      <c r="B1081" s="1841" t="s">
        <v>7764</v>
      </c>
      <c r="C1081" s="1842" t="s">
        <v>7765</v>
      </c>
      <c r="D1081" s="1852"/>
      <c r="E1081" s="1852"/>
      <c r="F1081" s="1853">
        <f t="shared" si="33"/>
        <v>0</v>
      </c>
      <c r="G1081" s="1843">
        <f t="shared" si="32"/>
        <v>0</v>
      </c>
      <c r="H1081" s="1173">
        <v>0.74039999999999995</v>
      </c>
      <c r="I1081" s="3121" t="s">
        <v>0</v>
      </c>
    </row>
    <row r="1082" spans="1:9" ht="16.5">
      <c r="A1082" s="1840" t="s">
        <v>1690</v>
      </c>
      <c r="B1082" s="1841" t="s">
        <v>7766</v>
      </c>
      <c r="C1082" s="1842" t="s">
        <v>7765</v>
      </c>
      <c r="D1082" s="1852"/>
      <c r="E1082" s="1852"/>
      <c r="F1082" s="1853">
        <f t="shared" si="33"/>
        <v>0</v>
      </c>
      <c r="G1082" s="1843">
        <f t="shared" si="32"/>
        <v>0</v>
      </c>
      <c r="H1082" s="1173">
        <v>0.74109999999999998</v>
      </c>
      <c r="I1082" s="3121" t="s">
        <v>0</v>
      </c>
    </row>
    <row r="1083" spans="1:9" ht="16.5">
      <c r="A1083" s="1840" t="s">
        <v>1710</v>
      </c>
      <c r="B1083" s="1841" t="s">
        <v>7767</v>
      </c>
      <c r="C1083" s="1842" t="s">
        <v>7762</v>
      </c>
      <c r="D1083" s="1852"/>
      <c r="E1083" s="1852"/>
      <c r="F1083" s="1853">
        <f t="shared" si="33"/>
        <v>0</v>
      </c>
      <c r="G1083" s="1843">
        <f t="shared" si="32"/>
        <v>0</v>
      </c>
      <c r="H1083" s="1173">
        <v>0.90229999999999999</v>
      </c>
      <c r="I1083" s="3123" t="s">
        <v>0</v>
      </c>
    </row>
    <row r="1084" spans="1:9" ht="16.5">
      <c r="A1084" s="1840" t="s">
        <v>1711</v>
      </c>
      <c r="B1084" s="1841" t="s">
        <v>7768</v>
      </c>
      <c r="C1084" s="1842" t="s">
        <v>7762</v>
      </c>
      <c r="D1084" s="1852"/>
      <c r="E1084" s="1852"/>
      <c r="F1084" s="1853">
        <f t="shared" si="33"/>
        <v>0</v>
      </c>
      <c r="G1084" s="1843">
        <f t="shared" si="32"/>
        <v>0</v>
      </c>
      <c r="H1084" s="1173">
        <v>0.87319999999999998</v>
      </c>
      <c r="I1084" s="3121" t="s">
        <v>0</v>
      </c>
    </row>
    <row r="1085" spans="1:9" ht="16.5">
      <c r="A1085" s="1840" t="s">
        <v>6115</v>
      </c>
      <c r="B1085" s="1841" t="s">
        <v>7769</v>
      </c>
      <c r="C1085" s="1842" t="s">
        <v>7762</v>
      </c>
      <c r="D1085" s="1852"/>
      <c r="E1085" s="1852"/>
      <c r="F1085" s="1853">
        <f t="shared" si="33"/>
        <v>0</v>
      </c>
      <c r="G1085" s="1843">
        <f t="shared" si="32"/>
        <v>0</v>
      </c>
      <c r="H1085" s="1173">
        <v>0.92079999999999995</v>
      </c>
      <c r="I1085" s="3121" t="s">
        <v>0</v>
      </c>
    </row>
    <row r="1086" spans="1:9" ht="16.5">
      <c r="A1086" s="1840" t="s">
        <v>3211</v>
      </c>
      <c r="B1086" s="1841" t="s">
        <v>7770</v>
      </c>
      <c r="C1086" s="1842" t="s">
        <v>7762</v>
      </c>
      <c r="D1086" s="1852"/>
      <c r="E1086" s="1852"/>
      <c r="F1086" s="1853">
        <f t="shared" si="33"/>
        <v>0</v>
      </c>
      <c r="G1086" s="1843">
        <f t="shared" si="32"/>
        <v>0</v>
      </c>
      <c r="H1086" s="1173">
        <v>0.60519999999999996</v>
      </c>
      <c r="I1086" s="3121" t="s">
        <v>0</v>
      </c>
    </row>
    <row r="1087" spans="1:9" ht="16.5">
      <c r="A1087" s="1840" t="s">
        <v>3212</v>
      </c>
      <c r="B1087" s="1841" t="s">
        <v>7771</v>
      </c>
      <c r="C1087" s="1842" t="s">
        <v>7762</v>
      </c>
      <c r="D1087" s="1852"/>
      <c r="E1087" s="1852"/>
      <c r="F1087" s="1853">
        <f t="shared" si="33"/>
        <v>0</v>
      </c>
      <c r="G1087" s="1843">
        <f t="shared" si="32"/>
        <v>0</v>
      </c>
      <c r="H1087" s="1173">
        <v>0.6089</v>
      </c>
      <c r="I1087" s="3121" t="s">
        <v>0</v>
      </c>
    </row>
    <row r="1088" spans="1:9" ht="16.5">
      <c r="A1088" s="1840" t="s">
        <v>1712</v>
      </c>
      <c r="B1088" s="1841" t="s">
        <v>7772</v>
      </c>
      <c r="C1088" s="1842" t="s">
        <v>7762</v>
      </c>
      <c r="D1088" s="1852"/>
      <c r="E1088" s="1852"/>
      <c r="F1088" s="1853">
        <f t="shared" si="33"/>
        <v>0</v>
      </c>
      <c r="G1088" s="1843">
        <f t="shared" si="32"/>
        <v>0</v>
      </c>
      <c r="H1088" s="1173">
        <v>0.79830000000000001</v>
      </c>
      <c r="I1088" s="3121" t="s">
        <v>0</v>
      </c>
    </row>
    <row r="1089" spans="1:9" ht="16.5">
      <c r="A1089" s="1840" t="s">
        <v>1713</v>
      </c>
      <c r="B1089" s="1841" t="s">
        <v>7773</v>
      </c>
      <c r="C1089" s="1842" t="s">
        <v>7762</v>
      </c>
      <c r="D1089" s="1852"/>
      <c r="E1089" s="1852"/>
      <c r="F1089" s="1853">
        <f t="shared" si="33"/>
        <v>0</v>
      </c>
      <c r="G1089" s="1843">
        <f t="shared" si="32"/>
        <v>0</v>
      </c>
      <c r="H1089" s="1173">
        <v>1.0105999999999999</v>
      </c>
      <c r="I1089" s="3121" t="s">
        <v>0</v>
      </c>
    </row>
    <row r="1090" spans="1:9" ht="16.5">
      <c r="A1090" s="1840" t="s">
        <v>1691</v>
      </c>
      <c r="B1090" s="1841" t="s">
        <v>7774</v>
      </c>
      <c r="C1090" s="1842" t="s">
        <v>7765</v>
      </c>
      <c r="D1090" s="1852"/>
      <c r="E1090" s="1852"/>
      <c r="F1090" s="1853">
        <f t="shared" si="33"/>
        <v>0</v>
      </c>
      <c r="G1090" s="1843">
        <f t="shared" si="32"/>
        <v>0</v>
      </c>
      <c r="H1090" s="1173">
        <v>0.73309999999999997</v>
      </c>
      <c r="I1090" s="3121" t="s">
        <v>0</v>
      </c>
    </row>
    <row r="1091" spans="1:9" ht="16.5">
      <c r="A1091" s="1840" t="s">
        <v>1714</v>
      </c>
      <c r="B1091" s="1841" t="s">
        <v>7775</v>
      </c>
      <c r="C1091" s="1842" t="s">
        <v>7762</v>
      </c>
      <c r="D1091" s="1852"/>
      <c r="E1091" s="1852"/>
      <c r="F1091" s="1853">
        <f t="shared" si="33"/>
        <v>0</v>
      </c>
      <c r="G1091" s="1843">
        <f t="shared" si="32"/>
        <v>0</v>
      </c>
      <c r="H1091" s="1173">
        <v>0.93430000000000002</v>
      </c>
      <c r="I1091" s="3121" t="s">
        <v>0</v>
      </c>
    </row>
    <row r="1092" spans="1:9" ht="16.5">
      <c r="A1092" s="1840" t="s">
        <v>3306</v>
      </c>
      <c r="B1092" s="1841" t="s">
        <v>7776</v>
      </c>
      <c r="C1092" s="1842" t="s">
        <v>7762</v>
      </c>
      <c r="D1092" s="1852"/>
      <c r="E1092" s="1852"/>
      <c r="F1092" s="1853">
        <f t="shared" si="33"/>
        <v>0</v>
      </c>
      <c r="G1092" s="1843">
        <f t="shared" ref="G1092:G1155" si="34">IF($F$1334=0,0,F1092/$F$1334)</f>
        <v>0</v>
      </c>
      <c r="H1092" s="1173">
        <v>0.86890000000000001</v>
      </c>
      <c r="I1092" s="3121" t="s">
        <v>0</v>
      </c>
    </row>
    <row r="1093" spans="1:9" ht="16.5">
      <c r="A1093" s="1840" t="s">
        <v>3307</v>
      </c>
      <c r="B1093" s="1841" t="s">
        <v>7777</v>
      </c>
      <c r="C1093" s="1842" t="s">
        <v>7762</v>
      </c>
      <c r="D1093" s="1852"/>
      <c r="E1093" s="1852"/>
      <c r="F1093" s="1853">
        <f t="shared" ref="F1093:F1156" si="35">D1093*E1093</f>
        <v>0</v>
      </c>
      <c r="G1093" s="1843">
        <f t="shared" si="34"/>
        <v>0</v>
      </c>
      <c r="H1093" s="1173">
        <v>0.86739999999999995</v>
      </c>
      <c r="I1093" s="3121" t="s">
        <v>0</v>
      </c>
    </row>
    <row r="1094" spans="1:9" ht="16.5">
      <c r="A1094" s="1840" t="s">
        <v>3308</v>
      </c>
      <c r="B1094" s="1841" t="s">
        <v>7778</v>
      </c>
      <c r="C1094" s="1842" t="s">
        <v>7762</v>
      </c>
      <c r="D1094" s="1852"/>
      <c r="E1094" s="1852"/>
      <c r="F1094" s="1853">
        <f t="shared" si="35"/>
        <v>0</v>
      </c>
      <c r="G1094" s="1843">
        <f t="shared" si="34"/>
        <v>0</v>
      </c>
      <c r="H1094" s="1173">
        <v>0.86939999999999995</v>
      </c>
      <c r="I1094" s="3121" t="s">
        <v>0</v>
      </c>
    </row>
    <row r="1095" spans="1:9" ht="16.5">
      <c r="A1095" s="1840" t="s">
        <v>3309</v>
      </c>
      <c r="B1095" s="1841" t="s">
        <v>7779</v>
      </c>
      <c r="C1095" s="1842" t="s">
        <v>7762</v>
      </c>
      <c r="D1095" s="1852"/>
      <c r="E1095" s="1852"/>
      <c r="F1095" s="1853">
        <f t="shared" si="35"/>
        <v>0</v>
      </c>
      <c r="G1095" s="1843">
        <f t="shared" si="34"/>
        <v>0</v>
      </c>
      <c r="H1095" s="1173">
        <v>0.86699999999999999</v>
      </c>
      <c r="I1095" s="3121" t="s">
        <v>0</v>
      </c>
    </row>
    <row r="1096" spans="1:9" ht="16.5">
      <c r="A1096" s="1840" t="s">
        <v>1692</v>
      </c>
      <c r="B1096" s="1841" t="s">
        <v>7780</v>
      </c>
      <c r="C1096" s="1842" t="s">
        <v>7765</v>
      </c>
      <c r="D1096" s="1852"/>
      <c r="E1096" s="1852"/>
      <c r="F1096" s="1853">
        <f t="shared" si="35"/>
        <v>0</v>
      </c>
      <c r="G1096" s="1843">
        <f t="shared" si="34"/>
        <v>0</v>
      </c>
      <c r="H1096" s="1173">
        <v>0.79179999999999995</v>
      </c>
      <c r="I1096" s="3121" t="s">
        <v>0</v>
      </c>
    </row>
    <row r="1097" spans="1:9" ht="16.5">
      <c r="A1097" s="1840" t="s">
        <v>1715</v>
      </c>
      <c r="B1097" s="1841" t="s">
        <v>7781</v>
      </c>
      <c r="C1097" s="1842" t="s">
        <v>7762</v>
      </c>
      <c r="D1097" s="1852"/>
      <c r="E1097" s="1852"/>
      <c r="F1097" s="1853">
        <f t="shared" si="35"/>
        <v>0</v>
      </c>
      <c r="G1097" s="1843">
        <f t="shared" si="34"/>
        <v>0</v>
      </c>
      <c r="H1097" s="1173">
        <v>0.50170000000000003</v>
      </c>
      <c r="I1097" s="3121" t="s">
        <v>0</v>
      </c>
    </row>
    <row r="1098" spans="1:9" ht="16.5">
      <c r="A1098" s="1840" t="s">
        <v>3310</v>
      </c>
      <c r="B1098" s="1841" t="s">
        <v>7782</v>
      </c>
      <c r="C1098" s="1842" t="s">
        <v>7762</v>
      </c>
      <c r="D1098" s="1852"/>
      <c r="E1098" s="1852"/>
      <c r="F1098" s="1853">
        <f t="shared" si="35"/>
        <v>0</v>
      </c>
      <c r="G1098" s="1843">
        <f t="shared" si="34"/>
        <v>0</v>
      </c>
      <c r="H1098" s="1173">
        <v>7.7299999999999994E-2</v>
      </c>
      <c r="I1098" s="3121" t="s">
        <v>0</v>
      </c>
    </row>
    <row r="1099" spans="1:9" ht="16.5">
      <c r="A1099" s="1840" t="s">
        <v>3213</v>
      </c>
      <c r="B1099" s="1841" t="s">
        <v>7783</v>
      </c>
      <c r="C1099" s="1842" t="s">
        <v>7762</v>
      </c>
      <c r="D1099" s="1852"/>
      <c r="E1099" s="1852"/>
      <c r="F1099" s="1853">
        <f t="shared" si="35"/>
        <v>0</v>
      </c>
      <c r="G1099" s="1843">
        <f t="shared" si="34"/>
        <v>0</v>
      </c>
      <c r="H1099" s="1173">
        <v>1.0651999999999999</v>
      </c>
      <c r="I1099" s="3121" t="s">
        <v>0</v>
      </c>
    </row>
    <row r="1100" spans="1:9" ht="16.5">
      <c r="A1100" s="1840" t="s">
        <v>1716</v>
      </c>
      <c r="B1100" s="1841" t="s">
        <v>7784</v>
      </c>
      <c r="C1100" s="1842" t="s">
        <v>7762</v>
      </c>
      <c r="D1100" s="1852"/>
      <c r="E1100" s="1852"/>
      <c r="F1100" s="1853">
        <f t="shared" si="35"/>
        <v>0</v>
      </c>
      <c r="G1100" s="1843">
        <f t="shared" si="34"/>
        <v>0</v>
      </c>
      <c r="H1100" s="1173">
        <v>1.0649</v>
      </c>
      <c r="I1100" s="3121" t="s">
        <v>0</v>
      </c>
    </row>
    <row r="1101" spans="1:9" ht="16.5">
      <c r="A1101" s="1840" t="s">
        <v>1717</v>
      </c>
      <c r="B1101" s="1841" t="s">
        <v>7785</v>
      </c>
      <c r="C1101" s="1842" t="s">
        <v>7762</v>
      </c>
      <c r="D1101" s="1852"/>
      <c r="E1101" s="1852"/>
      <c r="F1101" s="1853">
        <f t="shared" si="35"/>
        <v>0</v>
      </c>
      <c r="G1101" s="1843">
        <f t="shared" si="34"/>
        <v>0</v>
      </c>
      <c r="H1101" s="1173">
        <v>1.0483</v>
      </c>
      <c r="I1101" s="3121" t="s">
        <v>0</v>
      </c>
    </row>
    <row r="1102" spans="1:9" ht="16.5">
      <c r="A1102" s="1840" t="s">
        <v>1718</v>
      </c>
      <c r="B1102" s="1841" t="s">
        <v>7786</v>
      </c>
      <c r="C1102" s="1842" t="s">
        <v>7762</v>
      </c>
      <c r="D1102" s="1852"/>
      <c r="E1102" s="1852"/>
      <c r="F1102" s="1853">
        <f t="shared" si="35"/>
        <v>0</v>
      </c>
      <c r="G1102" s="1843">
        <f t="shared" si="34"/>
        <v>0</v>
      </c>
      <c r="H1102" s="1173">
        <v>1.1341000000000001</v>
      </c>
      <c r="I1102" s="3123" t="s">
        <v>0</v>
      </c>
    </row>
    <row r="1103" spans="1:9" ht="16.5">
      <c r="A1103" s="1840" t="s">
        <v>1719</v>
      </c>
      <c r="B1103" s="1841" t="s">
        <v>7787</v>
      </c>
      <c r="C1103" s="1842" t="s">
        <v>7762</v>
      </c>
      <c r="D1103" s="1852"/>
      <c r="E1103" s="1852"/>
      <c r="F1103" s="1853">
        <f t="shared" si="35"/>
        <v>0</v>
      </c>
      <c r="G1103" s="1843">
        <f t="shared" si="34"/>
        <v>0</v>
      </c>
      <c r="H1103" s="1173">
        <v>1.0457000000000001</v>
      </c>
      <c r="I1103" s="3121" t="s">
        <v>0</v>
      </c>
    </row>
    <row r="1104" spans="1:9" ht="16.5">
      <c r="A1104" s="1840" t="s">
        <v>1720</v>
      </c>
      <c r="B1104" s="1841" t="s">
        <v>7788</v>
      </c>
      <c r="C1104" s="1842" t="s">
        <v>7762</v>
      </c>
      <c r="D1104" s="1852"/>
      <c r="E1104" s="1852"/>
      <c r="F1104" s="1853">
        <f t="shared" si="35"/>
        <v>0</v>
      </c>
      <c r="G1104" s="1843">
        <f t="shared" si="34"/>
        <v>0</v>
      </c>
      <c r="H1104" s="1173">
        <v>1.0127999999999999</v>
      </c>
      <c r="I1104" s="3121" t="s">
        <v>0</v>
      </c>
    </row>
    <row r="1105" spans="1:9" ht="16.5">
      <c r="A1105" s="1840" t="s">
        <v>1721</v>
      </c>
      <c r="B1105" s="1841" t="s">
        <v>7789</v>
      </c>
      <c r="C1105" s="1842" t="s">
        <v>7762</v>
      </c>
      <c r="D1105" s="1852"/>
      <c r="E1105" s="1852"/>
      <c r="F1105" s="1853">
        <f t="shared" si="35"/>
        <v>0</v>
      </c>
      <c r="G1105" s="1843">
        <f t="shared" si="34"/>
        <v>0</v>
      </c>
      <c r="H1105" s="1173">
        <v>0.8992</v>
      </c>
      <c r="I1105" s="3121" t="s">
        <v>0</v>
      </c>
    </row>
    <row r="1106" spans="1:9" ht="16.5">
      <c r="A1106" s="1840" t="s">
        <v>1722</v>
      </c>
      <c r="B1106" s="1841" t="s">
        <v>7790</v>
      </c>
      <c r="C1106" s="1842" t="s">
        <v>7762</v>
      </c>
      <c r="D1106" s="1852"/>
      <c r="E1106" s="1852"/>
      <c r="F1106" s="1853">
        <f t="shared" si="35"/>
        <v>0</v>
      </c>
      <c r="G1106" s="1843">
        <f t="shared" si="34"/>
        <v>0</v>
      </c>
      <c r="H1106" s="1173">
        <v>0.93600000000000005</v>
      </c>
      <c r="I1106" s="3121" t="s">
        <v>0</v>
      </c>
    </row>
    <row r="1107" spans="1:9" ht="16.5">
      <c r="A1107" s="1840" t="s">
        <v>1723</v>
      </c>
      <c r="B1107" s="1841" t="s">
        <v>7791</v>
      </c>
      <c r="C1107" s="1842" t="s">
        <v>7762</v>
      </c>
      <c r="D1107" s="1852"/>
      <c r="E1107" s="1852"/>
      <c r="F1107" s="1853">
        <f t="shared" si="35"/>
        <v>0</v>
      </c>
      <c r="G1107" s="1843">
        <f t="shared" si="34"/>
        <v>0</v>
      </c>
      <c r="H1107" s="1173">
        <v>1.0089999999999999</v>
      </c>
      <c r="I1107" s="3121" t="s">
        <v>0</v>
      </c>
    </row>
    <row r="1108" spans="1:9" ht="16.5">
      <c r="A1108" s="1840" t="s">
        <v>1724</v>
      </c>
      <c r="B1108" s="1841" t="s">
        <v>7792</v>
      </c>
      <c r="C1108" s="1842" t="s">
        <v>7762</v>
      </c>
      <c r="D1108" s="1852"/>
      <c r="E1108" s="1852"/>
      <c r="F1108" s="1853">
        <f t="shared" si="35"/>
        <v>0</v>
      </c>
      <c r="G1108" s="1843">
        <f t="shared" si="34"/>
        <v>0</v>
      </c>
      <c r="H1108" s="1173">
        <v>1.0391999999999999</v>
      </c>
      <c r="I1108" s="3121" t="s">
        <v>0</v>
      </c>
    </row>
    <row r="1109" spans="1:9" ht="16.5">
      <c r="A1109" s="1840" t="s">
        <v>1725</v>
      </c>
      <c r="B1109" s="1841" t="s">
        <v>7793</v>
      </c>
      <c r="C1109" s="1842" t="s">
        <v>7762</v>
      </c>
      <c r="D1109" s="1852"/>
      <c r="E1109" s="1852"/>
      <c r="F1109" s="1853">
        <f t="shared" si="35"/>
        <v>0</v>
      </c>
      <c r="G1109" s="1843">
        <f t="shared" si="34"/>
        <v>0</v>
      </c>
      <c r="H1109" s="1173">
        <v>1.0351999999999999</v>
      </c>
      <c r="I1109" s="3121" t="s">
        <v>0</v>
      </c>
    </row>
    <row r="1110" spans="1:9" ht="16.5">
      <c r="A1110" s="1840" t="s">
        <v>3311</v>
      </c>
      <c r="B1110" s="1841" t="s">
        <v>7794</v>
      </c>
      <c r="C1110" s="1842" t="s">
        <v>7762</v>
      </c>
      <c r="D1110" s="1852"/>
      <c r="E1110" s="1852"/>
      <c r="F1110" s="1853">
        <f t="shared" si="35"/>
        <v>0</v>
      </c>
      <c r="G1110" s="1843">
        <f t="shared" si="34"/>
        <v>0</v>
      </c>
      <c r="H1110" s="1173">
        <v>1.0089999999999999</v>
      </c>
      <c r="I1110" s="3121" t="s">
        <v>0</v>
      </c>
    </row>
    <row r="1111" spans="1:9" ht="16.5">
      <c r="A1111" s="1840" t="s">
        <v>1726</v>
      </c>
      <c r="B1111" s="1841" t="s">
        <v>7795</v>
      </c>
      <c r="C1111" s="1842" t="s">
        <v>7762</v>
      </c>
      <c r="D1111" s="1852"/>
      <c r="E1111" s="1852"/>
      <c r="F1111" s="1853">
        <f t="shared" si="35"/>
        <v>0</v>
      </c>
      <c r="G1111" s="1843">
        <f t="shared" si="34"/>
        <v>0</v>
      </c>
      <c r="H1111" s="1173">
        <v>1.0089999999999999</v>
      </c>
      <c r="I1111" s="3121" t="s">
        <v>0</v>
      </c>
    </row>
    <row r="1112" spans="1:9" ht="16.5">
      <c r="A1112" s="1840" t="s">
        <v>6116</v>
      </c>
      <c r="B1112" s="1841" t="s">
        <v>7796</v>
      </c>
      <c r="C1112" s="1842" t="s">
        <v>7762</v>
      </c>
      <c r="D1112" s="1852"/>
      <c r="E1112" s="1852"/>
      <c r="F1112" s="1853">
        <f t="shared" si="35"/>
        <v>0</v>
      </c>
      <c r="G1112" s="1843">
        <f t="shared" si="34"/>
        <v>0</v>
      </c>
      <c r="H1112" s="1173">
        <v>1.2032</v>
      </c>
      <c r="I1112" s="3121" t="s">
        <v>0</v>
      </c>
    </row>
    <row r="1113" spans="1:9" ht="16.5">
      <c r="A1113" s="1840" t="s">
        <v>6117</v>
      </c>
      <c r="B1113" s="1841" t="s">
        <v>7797</v>
      </c>
      <c r="C1113" s="1842" t="s">
        <v>7762</v>
      </c>
      <c r="D1113" s="1852"/>
      <c r="E1113" s="1852"/>
      <c r="F1113" s="1853">
        <f t="shared" si="35"/>
        <v>0</v>
      </c>
      <c r="G1113" s="1843">
        <f t="shared" si="34"/>
        <v>0</v>
      </c>
      <c r="H1113" s="1173">
        <v>1.2034</v>
      </c>
      <c r="I1113" s="3121" t="s">
        <v>0</v>
      </c>
    </row>
    <row r="1114" spans="1:9" ht="16.5">
      <c r="A1114" s="1840" t="s">
        <v>6118</v>
      </c>
      <c r="B1114" s="1841" t="s">
        <v>7798</v>
      </c>
      <c r="C1114" s="1842" t="s">
        <v>7762</v>
      </c>
      <c r="D1114" s="1852"/>
      <c r="E1114" s="1852"/>
      <c r="F1114" s="1853">
        <f t="shared" si="35"/>
        <v>0</v>
      </c>
      <c r="G1114" s="1843">
        <f t="shared" si="34"/>
        <v>0</v>
      </c>
      <c r="H1114" s="1173">
        <v>0.74590000000000001</v>
      </c>
      <c r="I1114" s="3123" t="s">
        <v>0</v>
      </c>
    </row>
    <row r="1115" spans="1:9" ht="16.5">
      <c r="A1115" s="1840" t="s">
        <v>6119</v>
      </c>
      <c r="B1115" s="1841" t="s">
        <v>7799</v>
      </c>
      <c r="C1115" s="1842" t="s">
        <v>7762</v>
      </c>
      <c r="D1115" s="1852"/>
      <c r="E1115" s="1852"/>
      <c r="F1115" s="1853">
        <f t="shared" si="35"/>
        <v>0</v>
      </c>
      <c r="G1115" s="1843">
        <f t="shared" si="34"/>
        <v>0</v>
      </c>
      <c r="H1115" s="1173">
        <v>0.74670000000000003</v>
      </c>
      <c r="I1115" s="3121" t="s">
        <v>0</v>
      </c>
    </row>
    <row r="1116" spans="1:9" ht="16.5">
      <c r="A1116" s="1840" t="s">
        <v>6120</v>
      </c>
      <c r="B1116" s="1841" t="s">
        <v>7800</v>
      </c>
      <c r="C1116" s="1842" t="s">
        <v>7762</v>
      </c>
      <c r="D1116" s="1852"/>
      <c r="E1116" s="1852"/>
      <c r="F1116" s="1853">
        <f t="shared" si="35"/>
        <v>0</v>
      </c>
      <c r="G1116" s="1843">
        <f t="shared" si="34"/>
        <v>0</v>
      </c>
      <c r="H1116" s="1173">
        <v>0.7802</v>
      </c>
      <c r="I1116" s="3123" t="s">
        <v>0</v>
      </c>
    </row>
    <row r="1117" spans="1:9" ht="16.5">
      <c r="A1117" s="1840" t="s">
        <v>6121</v>
      </c>
      <c r="B1117" s="1841" t="s">
        <v>7801</v>
      </c>
      <c r="C1117" s="1842" t="s">
        <v>7762</v>
      </c>
      <c r="D1117" s="1852"/>
      <c r="E1117" s="1852"/>
      <c r="F1117" s="1853">
        <f t="shared" si="35"/>
        <v>0</v>
      </c>
      <c r="G1117" s="1843">
        <f t="shared" si="34"/>
        <v>0</v>
      </c>
      <c r="H1117" s="1173">
        <v>0.77880000000000005</v>
      </c>
      <c r="I1117" s="3121" t="s">
        <v>0</v>
      </c>
    </row>
    <row r="1118" spans="1:9" ht="16.5">
      <c r="A1118" s="1840" t="s">
        <v>1972</v>
      </c>
      <c r="B1118" s="1841" t="s">
        <v>7802</v>
      </c>
      <c r="C1118" s="1842" t="s">
        <v>7762</v>
      </c>
      <c r="D1118" s="1852"/>
      <c r="E1118" s="1852"/>
      <c r="F1118" s="1853">
        <f t="shared" si="35"/>
        <v>0</v>
      </c>
      <c r="G1118" s="1843">
        <f t="shared" si="34"/>
        <v>0</v>
      </c>
      <c r="H1118" s="1173">
        <v>0.71940000000000004</v>
      </c>
      <c r="I1118" s="3121" t="s">
        <v>0</v>
      </c>
    </row>
    <row r="1119" spans="1:9" ht="16.5">
      <c r="A1119" s="1840" t="s">
        <v>1973</v>
      </c>
      <c r="B1119" s="1841" t="s">
        <v>7803</v>
      </c>
      <c r="C1119" s="1842" t="s">
        <v>7762</v>
      </c>
      <c r="D1119" s="1852"/>
      <c r="E1119" s="1852"/>
      <c r="F1119" s="1853">
        <f t="shared" si="35"/>
        <v>0</v>
      </c>
      <c r="G1119" s="1843">
        <f t="shared" si="34"/>
        <v>0</v>
      </c>
      <c r="H1119" s="1173">
        <v>0.72230000000000005</v>
      </c>
      <c r="I1119" s="3121" t="s">
        <v>0</v>
      </c>
    </row>
    <row r="1120" spans="1:9" ht="16.5">
      <c r="A1120" s="1840" t="s">
        <v>1974</v>
      </c>
      <c r="B1120" s="1841" t="s">
        <v>7804</v>
      </c>
      <c r="C1120" s="1842" t="s">
        <v>7762</v>
      </c>
      <c r="D1120" s="1852"/>
      <c r="E1120" s="1852"/>
      <c r="F1120" s="1853">
        <f t="shared" si="35"/>
        <v>0</v>
      </c>
      <c r="G1120" s="1843">
        <f t="shared" si="34"/>
        <v>0</v>
      </c>
      <c r="H1120" s="1173">
        <v>0.72189999999999999</v>
      </c>
      <c r="I1120" s="3121" t="s">
        <v>0</v>
      </c>
    </row>
    <row r="1121" spans="1:9" ht="16.5">
      <c r="A1121" s="1840" t="s">
        <v>1975</v>
      </c>
      <c r="B1121" s="1841" t="s">
        <v>7805</v>
      </c>
      <c r="C1121" s="1842" t="s">
        <v>7762</v>
      </c>
      <c r="D1121" s="1852"/>
      <c r="E1121" s="1852"/>
      <c r="F1121" s="1853">
        <f t="shared" si="35"/>
        <v>0</v>
      </c>
      <c r="G1121" s="1843">
        <f t="shared" si="34"/>
        <v>0</v>
      </c>
      <c r="H1121" s="1173">
        <v>0.71919999999999995</v>
      </c>
      <c r="I1121" s="3121" t="s">
        <v>0</v>
      </c>
    </row>
    <row r="1122" spans="1:9" ht="33">
      <c r="A1122" s="1840" t="s">
        <v>6122</v>
      </c>
      <c r="B1122" s="1841" t="s">
        <v>7806</v>
      </c>
      <c r="C1122" s="1842" t="s">
        <v>7762</v>
      </c>
      <c r="D1122" s="1852"/>
      <c r="E1122" s="1852"/>
      <c r="F1122" s="1853">
        <f t="shared" si="35"/>
        <v>0</v>
      </c>
      <c r="G1122" s="1843">
        <f t="shared" si="34"/>
        <v>0</v>
      </c>
      <c r="H1122" s="1173">
        <v>0.7703295652173916</v>
      </c>
      <c r="I1122" s="3121" t="s">
        <v>6746</v>
      </c>
    </row>
    <row r="1123" spans="1:9" ht="33">
      <c r="A1123" s="1840" t="s">
        <v>6123</v>
      </c>
      <c r="B1123" s="1841" t="s">
        <v>7807</v>
      </c>
      <c r="C1123" s="1842" t="s">
        <v>7762</v>
      </c>
      <c r="D1123" s="1852"/>
      <c r="E1123" s="1852"/>
      <c r="F1123" s="1853">
        <f t="shared" si="35"/>
        <v>0</v>
      </c>
      <c r="G1123" s="1843">
        <f t="shared" si="34"/>
        <v>0</v>
      </c>
      <c r="H1123" s="1173">
        <v>0.7703295652173916</v>
      </c>
      <c r="I1123" s="3121" t="s">
        <v>6746</v>
      </c>
    </row>
    <row r="1124" spans="1:9" ht="33">
      <c r="A1124" s="1840" t="s">
        <v>6124</v>
      </c>
      <c r="B1124" s="1841" t="s">
        <v>7807</v>
      </c>
      <c r="C1124" s="1842" t="s">
        <v>7762</v>
      </c>
      <c r="D1124" s="1852"/>
      <c r="E1124" s="1852"/>
      <c r="F1124" s="1853">
        <f t="shared" si="35"/>
        <v>0</v>
      </c>
      <c r="G1124" s="1843">
        <f t="shared" si="34"/>
        <v>0</v>
      </c>
      <c r="H1124" s="1173">
        <v>0.7703295652173916</v>
      </c>
      <c r="I1124" s="3121" t="s">
        <v>6746</v>
      </c>
    </row>
    <row r="1125" spans="1:9" ht="33">
      <c r="A1125" s="1840" t="s">
        <v>6125</v>
      </c>
      <c r="B1125" s="1841" t="s">
        <v>7808</v>
      </c>
      <c r="C1125" s="1842" t="s">
        <v>7762</v>
      </c>
      <c r="D1125" s="1852"/>
      <c r="E1125" s="1852"/>
      <c r="F1125" s="1853">
        <f t="shared" si="35"/>
        <v>0</v>
      </c>
      <c r="G1125" s="1843">
        <f t="shared" si="34"/>
        <v>0</v>
      </c>
      <c r="H1125" s="1173">
        <v>0.7703295652173916</v>
      </c>
      <c r="I1125" s="3121" t="s">
        <v>6746</v>
      </c>
    </row>
    <row r="1126" spans="1:9" ht="33">
      <c r="A1126" s="1840" t="s">
        <v>6126</v>
      </c>
      <c r="B1126" s="1841" t="s">
        <v>7808</v>
      </c>
      <c r="C1126" s="1842" t="s">
        <v>7762</v>
      </c>
      <c r="D1126" s="1852"/>
      <c r="E1126" s="1852"/>
      <c r="F1126" s="1853">
        <f t="shared" si="35"/>
        <v>0</v>
      </c>
      <c r="G1126" s="1843">
        <f t="shared" si="34"/>
        <v>0</v>
      </c>
      <c r="H1126" s="1173">
        <v>0.7703295652173916</v>
      </c>
      <c r="I1126" s="3121" t="s">
        <v>6746</v>
      </c>
    </row>
    <row r="1127" spans="1:9" ht="16.5">
      <c r="A1127" s="1840" t="s">
        <v>1727</v>
      </c>
      <c r="B1127" s="1841" t="s">
        <v>7809</v>
      </c>
      <c r="C1127" s="1842" t="s">
        <v>7762</v>
      </c>
      <c r="D1127" s="1852"/>
      <c r="E1127" s="1852"/>
      <c r="F1127" s="1853">
        <f t="shared" si="35"/>
        <v>0</v>
      </c>
      <c r="G1127" s="1843">
        <f t="shared" si="34"/>
        <v>0</v>
      </c>
      <c r="H1127" s="1173">
        <v>0.95509999999999995</v>
      </c>
      <c r="I1127" s="3121" t="s">
        <v>0</v>
      </c>
    </row>
    <row r="1128" spans="1:9" ht="16.5">
      <c r="A1128" s="1840" t="s">
        <v>1728</v>
      </c>
      <c r="B1128" s="1841" t="s">
        <v>7810</v>
      </c>
      <c r="C1128" s="1842" t="s">
        <v>7762</v>
      </c>
      <c r="D1128" s="1852"/>
      <c r="E1128" s="1852"/>
      <c r="F1128" s="1853">
        <f t="shared" si="35"/>
        <v>0</v>
      </c>
      <c r="G1128" s="1843">
        <f t="shared" si="34"/>
        <v>0</v>
      </c>
      <c r="H1128" s="1173">
        <v>0.98670000000000002</v>
      </c>
      <c r="I1128" s="3121" t="s">
        <v>0</v>
      </c>
    </row>
    <row r="1129" spans="1:9" ht="16.5">
      <c r="A1129" s="1840" t="s">
        <v>1729</v>
      </c>
      <c r="B1129" s="1841" t="s">
        <v>7811</v>
      </c>
      <c r="C1129" s="1842" t="s">
        <v>7762</v>
      </c>
      <c r="D1129" s="1852"/>
      <c r="E1129" s="1852"/>
      <c r="F1129" s="1853">
        <f t="shared" si="35"/>
        <v>0</v>
      </c>
      <c r="G1129" s="1843">
        <f t="shared" si="34"/>
        <v>0</v>
      </c>
      <c r="H1129" s="1173">
        <v>0.94099999999999995</v>
      </c>
      <c r="I1129" s="3121" t="s">
        <v>0</v>
      </c>
    </row>
    <row r="1130" spans="1:9" ht="16.5">
      <c r="A1130" s="1840" t="s">
        <v>1730</v>
      </c>
      <c r="B1130" s="1841" t="s">
        <v>7812</v>
      </c>
      <c r="C1130" s="1842" t="s">
        <v>7762</v>
      </c>
      <c r="D1130" s="1852"/>
      <c r="E1130" s="1852"/>
      <c r="F1130" s="1853">
        <f t="shared" si="35"/>
        <v>0</v>
      </c>
      <c r="G1130" s="1843">
        <f t="shared" si="34"/>
        <v>0</v>
      </c>
      <c r="H1130" s="1173">
        <v>1.0349999999999999</v>
      </c>
      <c r="I1130" s="3121" t="s">
        <v>0</v>
      </c>
    </row>
    <row r="1131" spans="1:9" ht="16.5">
      <c r="A1131" s="1840" t="s">
        <v>1731</v>
      </c>
      <c r="B1131" s="1841" t="s">
        <v>7813</v>
      </c>
      <c r="C1131" s="1842" t="s">
        <v>7762</v>
      </c>
      <c r="D1131" s="1852"/>
      <c r="E1131" s="1852"/>
      <c r="F1131" s="1853">
        <f t="shared" si="35"/>
        <v>0</v>
      </c>
      <c r="G1131" s="1843">
        <f t="shared" si="34"/>
        <v>0</v>
      </c>
      <c r="H1131" s="1173">
        <v>1.0322</v>
      </c>
      <c r="I1131" s="3121" t="s">
        <v>0</v>
      </c>
    </row>
    <row r="1132" spans="1:9" ht="16.5">
      <c r="A1132" s="1840" t="s">
        <v>1732</v>
      </c>
      <c r="B1132" s="1841" t="s">
        <v>7814</v>
      </c>
      <c r="C1132" s="1842" t="s">
        <v>7762</v>
      </c>
      <c r="D1132" s="1852"/>
      <c r="E1132" s="1852"/>
      <c r="F1132" s="1853">
        <f t="shared" si="35"/>
        <v>0</v>
      </c>
      <c r="G1132" s="1843">
        <f t="shared" si="34"/>
        <v>0</v>
      </c>
      <c r="H1132" s="1173">
        <v>1.0505</v>
      </c>
      <c r="I1132" s="3121" t="s">
        <v>0</v>
      </c>
    </row>
    <row r="1133" spans="1:9" ht="16.5">
      <c r="A1133" s="1840" t="s">
        <v>1733</v>
      </c>
      <c r="B1133" s="1841" t="s">
        <v>7815</v>
      </c>
      <c r="C1133" s="1842" t="s">
        <v>7762</v>
      </c>
      <c r="D1133" s="1852"/>
      <c r="E1133" s="1852"/>
      <c r="F1133" s="1853">
        <f t="shared" si="35"/>
        <v>0</v>
      </c>
      <c r="G1133" s="1843">
        <f t="shared" si="34"/>
        <v>0</v>
      </c>
      <c r="H1133" s="1173">
        <v>1.0132000000000001</v>
      </c>
      <c r="I1133" s="3121" t="s">
        <v>0</v>
      </c>
    </row>
    <row r="1134" spans="1:9" ht="16.5">
      <c r="A1134" s="1840" t="s">
        <v>3574</v>
      </c>
      <c r="B1134" s="1841" t="s">
        <v>7816</v>
      </c>
      <c r="C1134" s="1842" t="s">
        <v>7765</v>
      </c>
      <c r="D1134" s="1852"/>
      <c r="E1134" s="1852"/>
      <c r="F1134" s="1853">
        <f t="shared" si="35"/>
        <v>0</v>
      </c>
      <c r="G1134" s="1843">
        <f t="shared" si="34"/>
        <v>0</v>
      </c>
      <c r="H1134" s="1173">
        <v>0.60850000000000004</v>
      </c>
      <c r="I1134" s="3121" t="s">
        <v>0</v>
      </c>
    </row>
    <row r="1135" spans="1:9" ht="16.5">
      <c r="A1135" s="1840" t="s">
        <v>1693</v>
      </c>
      <c r="B1135" s="1841" t="s">
        <v>7817</v>
      </c>
      <c r="C1135" s="1842" t="s">
        <v>7765</v>
      </c>
      <c r="D1135" s="1852"/>
      <c r="E1135" s="1852"/>
      <c r="F1135" s="1853">
        <f t="shared" si="35"/>
        <v>0</v>
      </c>
      <c r="G1135" s="1843">
        <f t="shared" si="34"/>
        <v>0</v>
      </c>
      <c r="H1135" s="1173">
        <v>0.60870000000000002</v>
      </c>
      <c r="I1135" s="3121" t="s">
        <v>0</v>
      </c>
    </row>
    <row r="1136" spans="1:9" ht="16.5">
      <c r="A1136" s="1840" t="s">
        <v>1734</v>
      </c>
      <c r="B1136" s="1841" t="s">
        <v>7818</v>
      </c>
      <c r="C1136" s="1842" t="s">
        <v>7762</v>
      </c>
      <c r="D1136" s="1852"/>
      <c r="E1136" s="1852"/>
      <c r="F1136" s="1853">
        <f t="shared" si="35"/>
        <v>0</v>
      </c>
      <c r="G1136" s="1843">
        <f t="shared" si="34"/>
        <v>0</v>
      </c>
      <c r="H1136" s="1173">
        <v>1.0325</v>
      </c>
      <c r="I1136" s="3121" t="s">
        <v>0</v>
      </c>
    </row>
    <row r="1137" spans="1:9" ht="16.5">
      <c r="A1137" s="1840" t="s">
        <v>3214</v>
      </c>
      <c r="B1137" s="1841" t="s">
        <v>7819</v>
      </c>
      <c r="C1137" s="1842" t="s">
        <v>7762</v>
      </c>
      <c r="D1137" s="1852"/>
      <c r="E1137" s="1852"/>
      <c r="F1137" s="1853">
        <f t="shared" si="35"/>
        <v>0</v>
      </c>
      <c r="G1137" s="1843">
        <f t="shared" si="34"/>
        <v>0</v>
      </c>
      <c r="H1137" s="1173">
        <v>1.0454000000000001</v>
      </c>
      <c r="I1137" s="3121" t="s">
        <v>0</v>
      </c>
    </row>
    <row r="1138" spans="1:9" ht="16.5">
      <c r="A1138" s="1840" t="s">
        <v>1735</v>
      </c>
      <c r="B1138" s="1841" t="s">
        <v>7820</v>
      </c>
      <c r="C1138" s="1842" t="s">
        <v>7762</v>
      </c>
      <c r="D1138" s="1852"/>
      <c r="E1138" s="1852"/>
      <c r="F1138" s="1853">
        <f t="shared" si="35"/>
        <v>0</v>
      </c>
      <c r="G1138" s="1843">
        <f t="shared" si="34"/>
        <v>0</v>
      </c>
      <c r="H1138" s="1173">
        <v>1.0451999999999999</v>
      </c>
      <c r="I1138" s="3121" t="s">
        <v>0</v>
      </c>
    </row>
    <row r="1139" spans="1:9" ht="16.5">
      <c r="A1139" s="1840" t="s">
        <v>1736</v>
      </c>
      <c r="B1139" s="1841" t="s">
        <v>7821</v>
      </c>
      <c r="C1139" s="1842" t="s">
        <v>7762</v>
      </c>
      <c r="D1139" s="1852"/>
      <c r="E1139" s="1852"/>
      <c r="F1139" s="1853">
        <f t="shared" si="35"/>
        <v>0</v>
      </c>
      <c r="G1139" s="1843">
        <f t="shared" si="34"/>
        <v>0</v>
      </c>
      <c r="H1139" s="1173">
        <v>0.9859</v>
      </c>
      <c r="I1139" s="3121" t="s">
        <v>0</v>
      </c>
    </row>
    <row r="1140" spans="1:9" ht="16.5">
      <c r="A1140" s="1840" t="s">
        <v>1737</v>
      </c>
      <c r="B1140" s="1841" t="s">
        <v>7822</v>
      </c>
      <c r="C1140" s="1842" t="s">
        <v>7762</v>
      </c>
      <c r="D1140" s="1852"/>
      <c r="E1140" s="1852"/>
      <c r="F1140" s="1853">
        <f t="shared" si="35"/>
        <v>0</v>
      </c>
      <c r="G1140" s="1843">
        <f t="shared" si="34"/>
        <v>0</v>
      </c>
      <c r="H1140" s="1173">
        <v>0.91559999999999997</v>
      </c>
      <c r="I1140" s="3121" t="s">
        <v>0</v>
      </c>
    </row>
    <row r="1141" spans="1:9" ht="16.5">
      <c r="A1141" s="1840" t="s">
        <v>3215</v>
      </c>
      <c r="B1141" s="1841" t="s">
        <v>7823</v>
      </c>
      <c r="C1141" s="1842" t="s">
        <v>7762</v>
      </c>
      <c r="D1141" s="1852"/>
      <c r="E1141" s="1852"/>
      <c r="F1141" s="1853">
        <f t="shared" si="35"/>
        <v>0</v>
      </c>
      <c r="G1141" s="1843">
        <f t="shared" si="34"/>
        <v>0</v>
      </c>
      <c r="H1141" s="1173">
        <v>0.78380000000000005</v>
      </c>
      <c r="I1141" s="3121" t="s">
        <v>0</v>
      </c>
    </row>
    <row r="1142" spans="1:9" ht="16.5">
      <c r="A1142" s="1840" t="s">
        <v>1738</v>
      </c>
      <c r="B1142" s="1841" t="s">
        <v>7824</v>
      </c>
      <c r="C1142" s="1842" t="s">
        <v>7762</v>
      </c>
      <c r="D1142" s="1852"/>
      <c r="E1142" s="1852"/>
      <c r="F1142" s="1853">
        <f t="shared" si="35"/>
        <v>0</v>
      </c>
      <c r="G1142" s="1843">
        <f t="shared" si="34"/>
        <v>0</v>
      </c>
      <c r="H1142" s="1173">
        <v>0.78300000000000003</v>
      </c>
      <c r="I1142" s="3121" t="s">
        <v>0</v>
      </c>
    </row>
    <row r="1143" spans="1:9" ht="16.5">
      <c r="A1143" s="1840" t="s">
        <v>3216</v>
      </c>
      <c r="B1143" s="1841" t="s">
        <v>7825</v>
      </c>
      <c r="C1143" s="1842" t="s">
        <v>7765</v>
      </c>
      <c r="D1143" s="1852"/>
      <c r="E1143" s="1852"/>
      <c r="F1143" s="1853">
        <f t="shared" si="35"/>
        <v>0</v>
      </c>
      <c r="G1143" s="1843">
        <f t="shared" si="34"/>
        <v>0</v>
      </c>
      <c r="H1143" s="1173">
        <v>0.65739999999999998</v>
      </c>
      <c r="I1143" s="3121" t="s">
        <v>0</v>
      </c>
    </row>
    <row r="1144" spans="1:9" ht="16.5">
      <c r="A1144" s="1840" t="s">
        <v>1694</v>
      </c>
      <c r="B1144" s="1841" t="s">
        <v>7826</v>
      </c>
      <c r="C1144" s="1842" t="s">
        <v>7765</v>
      </c>
      <c r="D1144" s="1852"/>
      <c r="E1144" s="1852"/>
      <c r="F1144" s="1853">
        <f t="shared" si="35"/>
        <v>0</v>
      </c>
      <c r="G1144" s="1843">
        <f t="shared" si="34"/>
        <v>0</v>
      </c>
      <c r="H1144" s="1173">
        <v>0.65880000000000005</v>
      </c>
      <c r="I1144" s="3121" t="s">
        <v>0</v>
      </c>
    </row>
    <row r="1145" spans="1:9" ht="16.5">
      <c r="A1145" s="1840" t="s">
        <v>1739</v>
      </c>
      <c r="B1145" s="1841" t="s">
        <v>7827</v>
      </c>
      <c r="C1145" s="1842" t="s">
        <v>7762</v>
      </c>
      <c r="D1145" s="1852"/>
      <c r="E1145" s="1852"/>
      <c r="F1145" s="1853">
        <f t="shared" si="35"/>
        <v>0</v>
      </c>
      <c r="G1145" s="1843">
        <f t="shared" si="34"/>
        <v>0</v>
      </c>
      <c r="H1145" s="1173">
        <v>1.0589999999999999</v>
      </c>
      <c r="I1145" s="3121" t="s">
        <v>0</v>
      </c>
    </row>
    <row r="1146" spans="1:9" ht="16.5">
      <c r="A1146" s="1840" t="s">
        <v>1740</v>
      </c>
      <c r="B1146" s="1841" t="s">
        <v>7828</v>
      </c>
      <c r="C1146" s="1842" t="s">
        <v>7762</v>
      </c>
      <c r="D1146" s="1852"/>
      <c r="E1146" s="1852"/>
      <c r="F1146" s="1853">
        <f t="shared" si="35"/>
        <v>0</v>
      </c>
      <c r="G1146" s="1843">
        <f t="shared" si="34"/>
        <v>0</v>
      </c>
      <c r="H1146" s="1173">
        <v>1.0084</v>
      </c>
      <c r="I1146" s="3121" t="s">
        <v>0</v>
      </c>
    </row>
    <row r="1147" spans="1:9" ht="16.5">
      <c r="A1147" s="1840" t="s">
        <v>1741</v>
      </c>
      <c r="B1147" s="1841" t="s">
        <v>7829</v>
      </c>
      <c r="C1147" s="1842" t="s">
        <v>7762</v>
      </c>
      <c r="D1147" s="1852"/>
      <c r="E1147" s="1852"/>
      <c r="F1147" s="1853">
        <f t="shared" si="35"/>
        <v>0</v>
      </c>
      <c r="G1147" s="1843">
        <f t="shared" si="34"/>
        <v>0</v>
      </c>
      <c r="H1147" s="1173">
        <v>1.0083</v>
      </c>
      <c r="I1147" s="3121" t="s">
        <v>0</v>
      </c>
    </row>
    <row r="1148" spans="1:9" ht="16.5">
      <c r="A1148" s="1840" t="s">
        <v>1742</v>
      </c>
      <c r="B1148" s="1841" t="s">
        <v>7830</v>
      </c>
      <c r="C1148" s="1842" t="s">
        <v>7762</v>
      </c>
      <c r="D1148" s="1852"/>
      <c r="E1148" s="1852"/>
      <c r="F1148" s="1853">
        <f t="shared" si="35"/>
        <v>0</v>
      </c>
      <c r="G1148" s="1843">
        <f t="shared" si="34"/>
        <v>0</v>
      </c>
      <c r="H1148" s="1173">
        <v>0.94979999999999998</v>
      </c>
      <c r="I1148" s="3121" t="s">
        <v>0</v>
      </c>
    </row>
    <row r="1149" spans="1:9" ht="16.5">
      <c r="A1149" s="1840" t="s">
        <v>1743</v>
      </c>
      <c r="B1149" s="1841" t="s">
        <v>7831</v>
      </c>
      <c r="C1149" s="1842" t="s">
        <v>7762</v>
      </c>
      <c r="D1149" s="1852"/>
      <c r="E1149" s="1852"/>
      <c r="F1149" s="1853">
        <f t="shared" si="35"/>
        <v>0</v>
      </c>
      <c r="G1149" s="1843">
        <f t="shared" si="34"/>
        <v>0</v>
      </c>
      <c r="H1149" s="1173">
        <v>1.0325</v>
      </c>
      <c r="I1149" s="3121" t="s">
        <v>0</v>
      </c>
    </row>
    <row r="1150" spans="1:9" ht="16.5">
      <c r="A1150" s="1840" t="s">
        <v>1744</v>
      </c>
      <c r="B1150" s="1841" t="s">
        <v>7832</v>
      </c>
      <c r="C1150" s="1842" t="s">
        <v>7762</v>
      </c>
      <c r="D1150" s="1852"/>
      <c r="E1150" s="1852"/>
      <c r="F1150" s="1853">
        <f t="shared" si="35"/>
        <v>0</v>
      </c>
      <c r="G1150" s="1843">
        <f t="shared" si="34"/>
        <v>0</v>
      </c>
      <c r="H1150" s="1173">
        <v>0.98329999999999995</v>
      </c>
      <c r="I1150" s="3121" t="s">
        <v>0</v>
      </c>
    </row>
    <row r="1151" spans="1:9" ht="16.5">
      <c r="A1151" s="1840" t="s">
        <v>1745</v>
      </c>
      <c r="B1151" s="1841" t="s">
        <v>7833</v>
      </c>
      <c r="C1151" s="1842" t="s">
        <v>7762</v>
      </c>
      <c r="D1151" s="1852"/>
      <c r="E1151" s="1852"/>
      <c r="F1151" s="1853">
        <f t="shared" si="35"/>
        <v>0</v>
      </c>
      <c r="G1151" s="1843">
        <f t="shared" si="34"/>
        <v>0</v>
      </c>
      <c r="H1151" s="1173">
        <v>1.0363</v>
      </c>
      <c r="I1151" s="3121" t="s">
        <v>0</v>
      </c>
    </row>
    <row r="1152" spans="1:9" ht="16.5">
      <c r="A1152" s="1840" t="s">
        <v>1746</v>
      </c>
      <c r="B1152" s="1841" t="s">
        <v>7834</v>
      </c>
      <c r="C1152" s="1842" t="s">
        <v>7762</v>
      </c>
      <c r="D1152" s="1852"/>
      <c r="E1152" s="1852"/>
      <c r="F1152" s="1853">
        <f t="shared" si="35"/>
        <v>0</v>
      </c>
      <c r="G1152" s="1843">
        <f t="shared" si="34"/>
        <v>0</v>
      </c>
      <c r="H1152" s="1173">
        <v>1.0084</v>
      </c>
      <c r="I1152" s="3121" t="s">
        <v>0</v>
      </c>
    </row>
    <row r="1153" spans="1:9" ht="16.5">
      <c r="A1153" s="1840" t="s">
        <v>1747</v>
      </c>
      <c r="B1153" s="1841" t="s">
        <v>7835</v>
      </c>
      <c r="C1153" s="1842" t="s">
        <v>7762</v>
      </c>
      <c r="D1153" s="1852"/>
      <c r="E1153" s="1852"/>
      <c r="F1153" s="1853">
        <f t="shared" si="35"/>
        <v>0</v>
      </c>
      <c r="G1153" s="1843">
        <f t="shared" si="34"/>
        <v>0</v>
      </c>
      <c r="H1153" s="1173">
        <v>0.94820000000000004</v>
      </c>
      <c r="I1153" s="3121" t="s">
        <v>0</v>
      </c>
    </row>
    <row r="1154" spans="1:9" ht="16.5">
      <c r="A1154" s="1840" t="s">
        <v>1748</v>
      </c>
      <c r="B1154" s="1841" t="s">
        <v>7836</v>
      </c>
      <c r="C1154" s="1842" t="s">
        <v>7762</v>
      </c>
      <c r="D1154" s="1852"/>
      <c r="E1154" s="1852"/>
      <c r="F1154" s="1853">
        <f t="shared" si="35"/>
        <v>0</v>
      </c>
      <c r="G1154" s="1843">
        <f t="shared" si="34"/>
        <v>0</v>
      </c>
      <c r="H1154" s="1173">
        <v>0.96230000000000004</v>
      </c>
      <c r="I1154" s="3121" t="s">
        <v>0</v>
      </c>
    </row>
    <row r="1155" spans="1:9" ht="33">
      <c r="A1155" s="1840" t="s">
        <v>3575</v>
      </c>
      <c r="B1155" s="1841" t="s">
        <v>7837</v>
      </c>
      <c r="C1155" s="1842" t="s">
        <v>7762</v>
      </c>
      <c r="D1155" s="1852"/>
      <c r="E1155" s="1852"/>
      <c r="F1155" s="1853">
        <f t="shared" si="35"/>
        <v>0</v>
      </c>
      <c r="G1155" s="1843">
        <f t="shared" si="34"/>
        <v>0</v>
      </c>
      <c r="H1155" s="1173">
        <v>0.88190000000000002</v>
      </c>
      <c r="I1155" s="3121" t="s">
        <v>0</v>
      </c>
    </row>
    <row r="1156" spans="1:9" ht="33">
      <c r="A1156" s="1840" t="s">
        <v>3576</v>
      </c>
      <c r="B1156" s="1841" t="s">
        <v>7837</v>
      </c>
      <c r="C1156" s="1842" t="s">
        <v>7762</v>
      </c>
      <c r="D1156" s="1852"/>
      <c r="E1156" s="1852"/>
      <c r="F1156" s="1853">
        <f t="shared" si="35"/>
        <v>0</v>
      </c>
      <c r="G1156" s="1843">
        <f t="shared" ref="G1156:G1219" si="36">IF($F$1334=0,0,F1156/$F$1334)</f>
        <v>0</v>
      </c>
      <c r="H1156" s="1173">
        <v>0.88549999999999995</v>
      </c>
      <c r="I1156" s="3121" t="s">
        <v>0</v>
      </c>
    </row>
    <row r="1157" spans="1:9" ht="16.5">
      <c r="A1157" s="1840" t="s">
        <v>1749</v>
      </c>
      <c r="B1157" s="1841" t="s">
        <v>7838</v>
      </c>
      <c r="C1157" s="1842" t="s">
        <v>7762</v>
      </c>
      <c r="D1157" s="1852"/>
      <c r="E1157" s="1852"/>
      <c r="F1157" s="1853">
        <f t="shared" ref="F1157:F1217" si="37">D1157*E1157</f>
        <v>0</v>
      </c>
      <c r="G1157" s="1843">
        <f t="shared" si="36"/>
        <v>0</v>
      </c>
      <c r="H1157" s="1173">
        <v>1.0316000000000001</v>
      </c>
      <c r="I1157" s="3123" t="s">
        <v>0</v>
      </c>
    </row>
    <row r="1158" spans="1:9" ht="16.5">
      <c r="A1158" s="1840" t="s">
        <v>1750</v>
      </c>
      <c r="B1158" s="1841" t="s">
        <v>7839</v>
      </c>
      <c r="C1158" s="1842" t="s">
        <v>7762</v>
      </c>
      <c r="D1158" s="1852"/>
      <c r="E1158" s="1852"/>
      <c r="F1158" s="1853">
        <f t="shared" si="37"/>
        <v>0</v>
      </c>
      <c r="G1158" s="1843">
        <f t="shared" si="36"/>
        <v>0</v>
      </c>
      <c r="H1158" s="1173">
        <v>1.0317000000000001</v>
      </c>
      <c r="I1158" s="3121" t="s">
        <v>0</v>
      </c>
    </row>
    <row r="1159" spans="1:9" ht="16.5">
      <c r="A1159" s="1840" t="s">
        <v>1751</v>
      </c>
      <c r="B1159" s="1841" t="s">
        <v>7840</v>
      </c>
      <c r="C1159" s="1842" t="s">
        <v>7762</v>
      </c>
      <c r="D1159" s="1852"/>
      <c r="E1159" s="1852"/>
      <c r="F1159" s="1853">
        <f t="shared" si="37"/>
        <v>0</v>
      </c>
      <c r="G1159" s="1843">
        <f t="shared" si="36"/>
        <v>0</v>
      </c>
      <c r="H1159" s="1173">
        <v>0.99909999999999999</v>
      </c>
      <c r="I1159" s="3121" t="s">
        <v>0</v>
      </c>
    </row>
    <row r="1160" spans="1:9" ht="16.5">
      <c r="A1160" s="1840" t="s">
        <v>1752</v>
      </c>
      <c r="B1160" s="1841" t="s">
        <v>7841</v>
      </c>
      <c r="C1160" s="1842" t="s">
        <v>7762</v>
      </c>
      <c r="D1160" s="1852"/>
      <c r="E1160" s="1852"/>
      <c r="F1160" s="1853">
        <f t="shared" si="37"/>
        <v>0</v>
      </c>
      <c r="G1160" s="1843">
        <f t="shared" si="36"/>
        <v>0</v>
      </c>
      <c r="H1160" s="1173">
        <v>1.0427999999999999</v>
      </c>
      <c r="I1160" s="3121" t="s">
        <v>0</v>
      </c>
    </row>
    <row r="1161" spans="1:9" ht="16.5">
      <c r="A1161" s="1840" t="s">
        <v>1753</v>
      </c>
      <c r="B1161" s="1841" t="s">
        <v>7842</v>
      </c>
      <c r="C1161" s="1842" t="s">
        <v>7762</v>
      </c>
      <c r="D1161" s="1852"/>
      <c r="E1161" s="1852"/>
      <c r="F1161" s="1853">
        <f t="shared" si="37"/>
        <v>0</v>
      </c>
      <c r="G1161" s="1843">
        <f t="shared" si="36"/>
        <v>0</v>
      </c>
      <c r="H1161" s="1173">
        <v>1.0570999999999999</v>
      </c>
      <c r="I1161" s="3121" t="s">
        <v>0</v>
      </c>
    </row>
    <row r="1162" spans="1:9" ht="16.5">
      <c r="A1162" s="1840" t="s">
        <v>1754</v>
      </c>
      <c r="B1162" s="1841" t="s">
        <v>7843</v>
      </c>
      <c r="C1162" s="1842" t="s">
        <v>7762</v>
      </c>
      <c r="D1162" s="1852"/>
      <c r="E1162" s="1852"/>
      <c r="F1162" s="1853">
        <f t="shared" si="37"/>
        <v>0</v>
      </c>
      <c r="G1162" s="1843">
        <f t="shared" si="36"/>
        <v>0</v>
      </c>
      <c r="H1162" s="1173">
        <v>0.96850000000000003</v>
      </c>
      <c r="I1162" s="3121" t="s">
        <v>0</v>
      </c>
    </row>
    <row r="1163" spans="1:9" ht="16.5">
      <c r="A1163" s="1840" t="s">
        <v>1755</v>
      </c>
      <c r="B1163" s="1841" t="s">
        <v>7844</v>
      </c>
      <c r="C1163" s="1842" t="s">
        <v>7762</v>
      </c>
      <c r="D1163" s="1852"/>
      <c r="E1163" s="1852"/>
      <c r="F1163" s="1853">
        <f t="shared" si="37"/>
        <v>0</v>
      </c>
      <c r="G1163" s="1843">
        <f t="shared" si="36"/>
        <v>0</v>
      </c>
      <c r="H1163" s="1173">
        <v>1.0122</v>
      </c>
      <c r="I1163" s="3121" t="s">
        <v>0</v>
      </c>
    </row>
    <row r="1164" spans="1:9" ht="16.5">
      <c r="A1164" s="1840" t="s">
        <v>1756</v>
      </c>
      <c r="B1164" s="1841" t="s">
        <v>7845</v>
      </c>
      <c r="C1164" s="1842" t="s">
        <v>7762</v>
      </c>
      <c r="D1164" s="1852"/>
      <c r="E1164" s="1852"/>
      <c r="F1164" s="1853">
        <f t="shared" si="37"/>
        <v>0</v>
      </c>
      <c r="G1164" s="1843">
        <f t="shared" si="36"/>
        <v>0</v>
      </c>
      <c r="H1164" s="1173">
        <v>0.96850000000000003</v>
      </c>
      <c r="I1164" s="3121" t="s">
        <v>0</v>
      </c>
    </row>
    <row r="1165" spans="1:9" ht="33">
      <c r="A1165" s="1840" t="s">
        <v>1976</v>
      </c>
      <c r="B1165" s="1841" t="s">
        <v>7846</v>
      </c>
      <c r="C1165" s="1842" t="s">
        <v>7762</v>
      </c>
      <c r="D1165" s="1852"/>
      <c r="E1165" s="1852"/>
      <c r="F1165" s="1853">
        <f t="shared" si="37"/>
        <v>0</v>
      </c>
      <c r="G1165" s="1843">
        <f t="shared" si="36"/>
        <v>0</v>
      </c>
      <c r="H1165" s="1173">
        <v>0.92610000000000003</v>
      </c>
      <c r="I1165" s="3121" t="s">
        <v>0</v>
      </c>
    </row>
    <row r="1166" spans="1:9" ht="33">
      <c r="A1166" s="1840" t="s">
        <v>1977</v>
      </c>
      <c r="B1166" s="1841" t="s">
        <v>7847</v>
      </c>
      <c r="C1166" s="1842" t="s">
        <v>7762</v>
      </c>
      <c r="D1166" s="1852"/>
      <c r="E1166" s="1852"/>
      <c r="F1166" s="1853">
        <f t="shared" si="37"/>
        <v>0</v>
      </c>
      <c r="G1166" s="1843">
        <f t="shared" si="36"/>
        <v>0</v>
      </c>
      <c r="H1166" s="1173">
        <v>0.92479999999999996</v>
      </c>
      <c r="I1166" s="3121" t="s">
        <v>0</v>
      </c>
    </row>
    <row r="1167" spans="1:9" ht="16.5">
      <c r="A1167" s="1840" t="s">
        <v>1757</v>
      </c>
      <c r="B1167" s="1841" t="s">
        <v>7848</v>
      </c>
      <c r="C1167" s="1842" t="s">
        <v>7762</v>
      </c>
      <c r="D1167" s="1852"/>
      <c r="E1167" s="1852"/>
      <c r="F1167" s="1853">
        <f t="shared" si="37"/>
        <v>0</v>
      </c>
      <c r="G1167" s="1843">
        <f t="shared" si="36"/>
        <v>0</v>
      </c>
      <c r="H1167" s="1173">
        <v>0.87219999999999998</v>
      </c>
      <c r="I1167" s="3121" t="s">
        <v>0</v>
      </c>
    </row>
    <row r="1168" spans="1:9" ht="32.25">
      <c r="A1168" s="1840" t="s">
        <v>3577</v>
      </c>
      <c r="B1168" s="1841" t="s">
        <v>7849</v>
      </c>
      <c r="C1168" s="1842" t="s">
        <v>7762</v>
      </c>
      <c r="D1168" s="1852"/>
      <c r="E1168" s="1852"/>
      <c r="F1168" s="1853">
        <f t="shared" si="37"/>
        <v>0</v>
      </c>
      <c r="G1168" s="1843">
        <f t="shared" si="36"/>
        <v>0</v>
      </c>
      <c r="H1168" s="1173">
        <v>1.1237999999999999</v>
      </c>
      <c r="I1168" s="3121" t="s">
        <v>0</v>
      </c>
    </row>
    <row r="1169" spans="1:9" ht="32.25">
      <c r="A1169" s="1840" t="s">
        <v>1758</v>
      </c>
      <c r="B1169" s="1841" t="s">
        <v>7850</v>
      </c>
      <c r="C1169" s="1842" t="s">
        <v>7762</v>
      </c>
      <c r="D1169" s="1852"/>
      <c r="E1169" s="1852"/>
      <c r="F1169" s="1853">
        <f t="shared" si="37"/>
        <v>0</v>
      </c>
      <c r="G1169" s="1843">
        <f t="shared" si="36"/>
        <v>0</v>
      </c>
      <c r="H1169" s="1173">
        <v>1.1214</v>
      </c>
      <c r="I1169" s="3121" t="s">
        <v>0</v>
      </c>
    </row>
    <row r="1170" spans="1:9" ht="16.5">
      <c r="A1170" s="1840" t="s">
        <v>1759</v>
      </c>
      <c r="B1170" s="1841" t="s">
        <v>7851</v>
      </c>
      <c r="C1170" s="1842" t="s">
        <v>7762</v>
      </c>
      <c r="D1170" s="1852"/>
      <c r="E1170" s="1852"/>
      <c r="F1170" s="1853">
        <f t="shared" si="37"/>
        <v>0</v>
      </c>
      <c r="G1170" s="1843">
        <f t="shared" si="36"/>
        <v>0</v>
      </c>
      <c r="H1170" s="1173">
        <v>0.96619999999999995</v>
      </c>
      <c r="I1170" s="3121" t="s">
        <v>0</v>
      </c>
    </row>
    <row r="1171" spans="1:9" ht="16.5">
      <c r="A1171" s="1840" t="s">
        <v>1695</v>
      </c>
      <c r="B1171" s="1841" t="s">
        <v>7852</v>
      </c>
      <c r="C1171" s="1842" t="s">
        <v>7765</v>
      </c>
      <c r="D1171" s="1852"/>
      <c r="E1171" s="1852"/>
      <c r="F1171" s="1853">
        <f t="shared" si="37"/>
        <v>0</v>
      </c>
      <c r="G1171" s="1843">
        <f t="shared" si="36"/>
        <v>0</v>
      </c>
      <c r="H1171" s="1173">
        <v>0.76380000000000003</v>
      </c>
      <c r="I1171" s="3121" t="s">
        <v>0</v>
      </c>
    </row>
    <row r="1172" spans="1:9" ht="16.5">
      <c r="A1172" s="1840" t="s">
        <v>1760</v>
      </c>
      <c r="B1172" s="1841" t="s">
        <v>7853</v>
      </c>
      <c r="C1172" s="1842" t="s">
        <v>7762</v>
      </c>
      <c r="D1172" s="1852"/>
      <c r="E1172" s="1852"/>
      <c r="F1172" s="1853">
        <f t="shared" si="37"/>
        <v>0</v>
      </c>
      <c r="G1172" s="1843">
        <f t="shared" si="36"/>
        <v>0</v>
      </c>
      <c r="H1172" s="1173">
        <v>0</v>
      </c>
      <c r="I1172" s="3121" t="s">
        <v>0</v>
      </c>
    </row>
    <row r="1173" spans="1:9" ht="32.25">
      <c r="A1173" s="1840" t="s">
        <v>3578</v>
      </c>
      <c r="B1173" s="1841" t="s">
        <v>7854</v>
      </c>
      <c r="C1173" s="1842" t="s">
        <v>7762</v>
      </c>
      <c r="D1173" s="1852"/>
      <c r="E1173" s="1852"/>
      <c r="F1173" s="1853">
        <f t="shared" si="37"/>
        <v>0</v>
      </c>
      <c r="G1173" s="1843">
        <f t="shared" si="36"/>
        <v>0</v>
      </c>
      <c r="H1173" s="1173">
        <v>1.0458000000000001</v>
      </c>
      <c r="I1173" s="3123" t="s">
        <v>0</v>
      </c>
    </row>
    <row r="1174" spans="1:9" ht="16.5">
      <c r="A1174" s="1840" t="s">
        <v>1761</v>
      </c>
      <c r="B1174" s="1841" t="s">
        <v>7855</v>
      </c>
      <c r="C1174" s="1842" t="s">
        <v>7762</v>
      </c>
      <c r="D1174" s="1852"/>
      <c r="E1174" s="1852"/>
      <c r="F1174" s="1853">
        <f t="shared" si="37"/>
        <v>0</v>
      </c>
      <c r="G1174" s="1843">
        <f t="shared" si="36"/>
        <v>0</v>
      </c>
      <c r="H1174" s="1173">
        <v>1.0477000000000001</v>
      </c>
      <c r="I1174" s="3123" t="s">
        <v>0</v>
      </c>
    </row>
    <row r="1175" spans="1:9" ht="16.5">
      <c r="A1175" s="1840" t="s">
        <v>1762</v>
      </c>
      <c r="B1175" s="1841" t="s">
        <v>7856</v>
      </c>
      <c r="C1175" s="1842" t="s">
        <v>7762</v>
      </c>
      <c r="D1175" s="1852"/>
      <c r="E1175" s="1852"/>
      <c r="F1175" s="1853">
        <f t="shared" si="37"/>
        <v>0</v>
      </c>
      <c r="G1175" s="1843">
        <f t="shared" si="36"/>
        <v>0</v>
      </c>
      <c r="H1175" s="1173">
        <v>0.9194</v>
      </c>
      <c r="I1175" s="3123" t="s">
        <v>0</v>
      </c>
    </row>
    <row r="1176" spans="1:9" ht="33">
      <c r="A1176" s="1840" t="s">
        <v>3312</v>
      </c>
      <c r="B1176" s="1841" t="s">
        <v>7857</v>
      </c>
      <c r="C1176" s="1842" t="s">
        <v>7762</v>
      </c>
      <c r="D1176" s="1852"/>
      <c r="E1176" s="1852"/>
      <c r="F1176" s="1853">
        <f t="shared" si="37"/>
        <v>0</v>
      </c>
      <c r="G1176" s="1843">
        <f t="shared" si="36"/>
        <v>0</v>
      </c>
      <c r="H1176" s="1173">
        <v>0.54010000000000002</v>
      </c>
      <c r="I1176" s="3121" t="s">
        <v>0</v>
      </c>
    </row>
    <row r="1177" spans="1:9" ht="33">
      <c r="A1177" s="1840" t="s">
        <v>3313</v>
      </c>
      <c r="B1177" s="1841" t="s">
        <v>7857</v>
      </c>
      <c r="C1177" s="1842" t="s">
        <v>7762</v>
      </c>
      <c r="D1177" s="1852"/>
      <c r="E1177" s="1852"/>
      <c r="F1177" s="1853">
        <f t="shared" si="37"/>
        <v>0</v>
      </c>
      <c r="G1177" s="1843">
        <f t="shared" si="36"/>
        <v>0</v>
      </c>
      <c r="H1177" s="1173">
        <v>0.54300000000000004</v>
      </c>
      <c r="I1177" s="3121" t="s">
        <v>0</v>
      </c>
    </row>
    <row r="1178" spans="1:9" ht="33">
      <c r="A1178" s="1840" t="s">
        <v>6127</v>
      </c>
      <c r="B1178" s="1841" t="s">
        <v>7858</v>
      </c>
      <c r="C1178" s="1842" t="s">
        <v>7762</v>
      </c>
      <c r="D1178" s="1852"/>
      <c r="E1178" s="1852"/>
      <c r="F1178" s="1853">
        <f t="shared" si="37"/>
        <v>0</v>
      </c>
      <c r="G1178" s="1843">
        <f t="shared" si="36"/>
        <v>0</v>
      </c>
      <c r="H1178" s="1173">
        <v>0.91510000000000002</v>
      </c>
      <c r="I1178" s="3121" t="s">
        <v>0</v>
      </c>
    </row>
    <row r="1179" spans="1:9" ht="16.5">
      <c r="A1179" s="1840" t="s">
        <v>1763</v>
      </c>
      <c r="B1179" s="1841" t="s">
        <v>7859</v>
      </c>
      <c r="C1179" s="1842" t="s">
        <v>7762</v>
      </c>
      <c r="D1179" s="1852"/>
      <c r="E1179" s="1852"/>
      <c r="F1179" s="1853">
        <f t="shared" si="37"/>
        <v>0</v>
      </c>
      <c r="G1179" s="1843">
        <f t="shared" si="36"/>
        <v>0</v>
      </c>
      <c r="H1179" s="1173">
        <v>0.92410000000000003</v>
      </c>
      <c r="I1179" s="3121" t="s">
        <v>0</v>
      </c>
    </row>
    <row r="1180" spans="1:9" ht="16.5">
      <c r="A1180" s="1840" t="s">
        <v>1764</v>
      </c>
      <c r="B1180" s="1841" t="s">
        <v>7860</v>
      </c>
      <c r="C1180" s="1842" t="s">
        <v>7762</v>
      </c>
      <c r="D1180" s="1852"/>
      <c r="E1180" s="1852"/>
      <c r="F1180" s="1853">
        <f t="shared" si="37"/>
        <v>0</v>
      </c>
      <c r="G1180" s="1843">
        <f t="shared" si="36"/>
        <v>0</v>
      </c>
      <c r="H1180" s="1173">
        <v>0.9113</v>
      </c>
      <c r="I1180" s="3121" t="s">
        <v>0</v>
      </c>
    </row>
    <row r="1181" spans="1:9" ht="16.5">
      <c r="A1181" s="1840" t="s">
        <v>1765</v>
      </c>
      <c r="B1181" s="1841" t="s">
        <v>7861</v>
      </c>
      <c r="C1181" s="1842" t="s">
        <v>7762</v>
      </c>
      <c r="D1181" s="1852"/>
      <c r="E1181" s="1852"/>
      <c r="F1181" s="1853">
        <f t="shared" si="37"/>
        <v>0</v>
      </c>
      <c r="G1181" s="1843">
        <f t="shared" si="36"/>
        <v>0</v>
      </c>
      <c r="H1181" s="1173">
        <v>0.95430000000000004</v>
      </c>
      <c r="I1181" s="3121" t="s">
        <v>0</v>
      </c>
    </row>
    <row r="1182" spans="1:9" ht="16.5">
      <c r="A1182" s="1840" t="s">
        <v>3314</v>
      </c>
      <c r="B1182" s="1841" t="s">
        <v>7862</v>
      </c>
      <c r="C1182" s="1842" t="s">
        <v>7762</v>
      </c>
      <c r="D1182" s="1852"/>
      <c r="E1182" s="1852"/>
      <c r="F1182" s="1853">
        <f t="shared" si="37"/>
        <v>0</v>
      </c>
      <c r="G1182" s="1843">
        <f t="shared" si="36"/>
        <v>0</v>
      </c>
      <c r="H1182" s="1173">
        <v>0.58169999999999999</v>
      </c>
      <c r="I1182" s="3121" t="s">
        <v>0</v>
      </c>
    </row>
    <row r="1183" spans="1:9" ht="16.5">
      <c r="A1183" s="1840" t="s">
        <v>3315</v>
      </c>
      <c r="B1183" s="1841" t="s">
        <v>7863</v>
      </c>
      <c r="C1183" s="1842" t="s">
        <v>7762</v>
      </c>
      <c r="D1183" s="1852"/>
      <c r="E1183" s="1852"/>
      <c r="F1183" s="1853">
        <f t="shared" si="37"/>
        <v>0</v>
      </c>
      <c r="G1183" s="1843">
        <f t="shared" si="36"/>
        <v>0</v>
      </c>
      <c r="H1183" s="1173">
        <v>0.58160000000000001</v>
      </c>
      <c r="I1183" s="3121" t="s">
        <v>0</v>
      </c>
    </row>
    <row r="1184" spans="1:9" ht="16.5">
      <c r="A1184" s="1840" t="s">
        <v>1766</v>
      </c>
      <c r="B1184" s="1841" t="s">
        <v>7864</v>
      </c>
      <c r="C1184" s="1842" t="s">
        <v>7762</v>
      </c>
      <c r="D1184" s="1852"/>
      <c r="E1184" s="1852"/>
      <c r="F1184" s="1853">
        <f t="shared" si="37"/>
        <v>0</v>
      </c>
      <c r="G1184" s="1843">
        <f t="shared" si="36"/>
        <v>0</v>
      </c>
      <c r="H1184" s="1173">
        <v>0.93289999999999995</v>
      </c>
      <c r="I1184" s="3123" t="s">
        <v>0</v>
      </c>
    </row>
    <row r="1185" spans="1:9" ht="16.5">
      <c r="A1185" s="1840" t="s">
        <v>1767</v>
      </c>
      <c r="B1185" s="1841" t="s">
        <v>7865</v>
      </c>
      <c r="C1185" s="1842" t="s">
        <v>7762</v>
      </c>
      <c r="D1185" s="1852"/>
      <c r="E1185" s="1852"/>
      <c r="F1185" s="1853">
        <f t="shared" si="37"/>
        <v>0</v>
      </c>
      <c r="G1185" s="1843">
        <f t="shared" si="36"/>
        <v>0</v>
      </c>
      <c r="H1185" s="1173">
        <v>1.012</v>
      </c>
      <c r="I1185" s="3121" t="s">
        <v>0</v>
      </c>
    </row>
    <row r="1186" spans="1:9" ht="16.5">
      <c r="A1186" s="1840" t="s">
        <v>1768</v>
      </c>
      <c r="B1186" s="1841" t="s">
        <v>7866</v>
      </c>
      <c r="C1186" s="1842" t="s">
        <v>7762</v>
      </c>
      <c r="D1186" s="1852"/>
      <c r="E1186" s="1852"/>
      <c r="F1186" s="1853">
        <f t="shared" si="37"/>
        <v>0</v>
      </c>
      <c r="G1186" s="1843">
        <f t="shared" si="36"/>
        <v>0</v>
      </c>
      <c r="H1186" s="1173">
        <v>0.94489999999999996</v>
      </c>
      <c r="I1186" s="3121" t="s">
        <v>0</v>
      </c>
    </row>
    <row r="1187" spans="1:9" ht="16.5">
      <c r="A1187" s="1840" t="s">
        <v>1769</v>
      </c>
      <c r="B1187" s="1841" t="s">
        <v>7867</v>
      </c>
      <c r="C1187" s="1842" t="s">
        <v>7762</v>
      </c>
      <c r="D1187" s="1852"/>
      <c r="E1187" s="1852"/>
      <c r="F1187" s="1853">
        <f t="shared" si="37"/>
        <v>0</v>
      </c>
      <c r="G1187" s="1843">
        <f t="shared" si="36"/>
        <v>0</v>
      </c>
      <c r="H1187" s="1173">
        <v>0.97430000000000005</v>
      </c>
      <c r="I1187" s="3121" t="s">
        <v>0</v>
      </c>
    </row>
    <row r="1188" spans="1:9" ht="16.5">
      <c r="A1188" s="1840" t="s">
        <v>3217</v>
      </c>
      <c r="B1188" s="1841" t="s">
        <v>7868</v>
      </c>
      <c r="C1188" s="1842" t="s">
        <v>7762</v>
      </c>
      <c r="D1188" s="1852"/>
      <c r="E1188" s="1852"/>
      <c r="F1188" s="1853">
        <f t="shared" si="37"/>
        <v>0</v>
      </c>
      <c r="G1188" s="1843">
        <f t="shared" si="36"/>
        <v>0</v>
      </c>
      <c r="H1188" s="1173">
        <v>0.995</v>
      </c>
      <c r="I1188" s="3121" t="s">
        <v>0</v>
      </c>
    </row>
    <row r="1189" spans="1:9" ht="16.5">
      <c r="A1189" s="1840" t="s">
        <v>1770</v>
      </c>
      <c r="B1189" s="1841" t="s">
        <v>7869</v>
      </c>
      <c r="C1189" s="1842" t="s">
        <v>7762</v>
      </c>
      <c r="D1189" s="1852"/>
      <c r="E1189" s="1852"/>
      <c r="F1189" s="1853">
        <f t="shared" si="37"/>
        <v>0</v>
      </c>
      <c r="G1189" s="1843">
        <f t="shared" si="36"/>
        <v>0</v>
      </c>
      <c r="H1189" s="1173">
        <v>0.99470000000000003</v>
      </c>
      <c r="I1189" s="3121" t="s">
        <v>0</v>
      </c>
    </row>
    <row r="1190" spans="1:9" ht="16.5">
      <c r="A1190" s="1840" t="s">
        <v>1771</v>
      </c>
      <c r="B1190" s="1841" t="s">
        <v>7870</v>
      </c>
      <c r="C1190" s="1842" t="s">
        <v>7762</v>
      </c>
      <c r="D1190" s="1852"/>
      <c r="E1190" s="1852"/>
      <c r="F1190" s="1853">
        <f t="shared" si="37"/>
        <v>0</v>
      </c>
      <c r="G1190" s="1843">
        <f t="shared" si="36"/>
        <v>0</v>
      </c>
      <c r="H1190" s="1173">
        <v>0.94620000000000004</v>
      </c>
      <c r="I1190" s="3121" t="s">
        <v>0</v>
      </c>
    </row>
    <row r="1191" spans="1:9" ht="16.5">
      <c r="A1191" s="1840" t="s">
        <v>3218</v>
      </c>
      <c r="B1191" s="1841" t="s">
        <v>7871</v>
      </c>
      <c r="C1191" s="1842" t="s">
        <v>7762</v>
      </c>
      <c r="D1191" s="1852"/>
      <c r="E1191" s="1852"/>
      <c r="F1191" s="1853">
        <f t="shared" si="37"/>
        <v>0</v>
      </c>
      <c r="G1191" s="1843">
        <f t="shared" si="36"/>
        <v>0</v>
      </c>
      <c r="H1191" s="1173">
        <v>1.0242</v>
      </c>
      <c r="I1191" s="3121" t="s">
        <v>0</v>
      </c>
    </row>
    <row r="1192" spans="1:9" ht="16.5">
      <c r="A1192" s="1840" t="s">
        <v>1772</v>
      </c>
      <c r="B1192" s="1841" t="s">
        <v>7872</v>
      </c>
      <c r="C1192" s="1842" t="s">
        <v>7762</v>
      </c>
      <c r="D1192" s="1852"/>
      <c r="E1192" s="1852"/>
      <c r="F1192" s="1853">
        <f t="shared" si="37"/>
        <v>0</v>
      </c>
      <c r="G1192" s="1843">
        <f t="shared" si="36"/>
        <v>0</v>
      </c>
      <c r="H1192" s="1173">
        <v>1.0238</v>
      </c>
      <c r="I1192" s="3121" t="s">
        <v>0</v>
      </c>
    </row>
    <row r="1193" spans="1:9" ht="16.5">
      <c r="A1193" s="1840" t="s">
        <v>1696</v>
      </c>
      <c r="B1193" s="1841" t="s">
        <v>7873</v>
      </c>
      <c r="C1193" s="1842" t="s">
        <v>7765</v>
      </c>
      <c r="D1193" s="1852"/>
      <c r="E1193" s="1852"/>
      <c r="F1193" s="1853">
        <f t="shared" si="37"/>
        <v>0</v>
      </c>
      <c r="G1193" s="1843">
        <f t="shared" si="36"/>
        <v>0</v>
      </c>
      <c r="H1193" s="1173">
        <v>0.66749999999999998</v>
      </c>
      <c r="I1193" s="3121" t="s">
        <v>0</v>
      </c>
    </row>
    <row r="1194" spans="1:9" ht="16.5">
      <c r="A1194" s="1840" t="s">
        <v>1697</v>
      </c>
      <c r="B1194" s="1841" t="s">
        <v>7874</v>
      </c>
      <c r="C1194" s="1842" t="s">
        <v>7765</v>
      </c>
      <c r="D1194" s="1852"/>
      <c r="E1194" s="1852"/>
      <c r="F1194" s="1853">
        <f t="shared" si="37"/>
        <v>0</v>
      </c>
      <c r="G1194" s="1843">
        <f t="shared" si="36"/>
        <v>0</v>
      </c>
      <c r="H1194" s="1173">
        <v>0.62890000000000001</v>
      </c>
      <c r="I1194" s="3121" t="s">
        <v>0</v>
      </c>
    </row>
    <row r="1195" spans="1:9" ht="16.5">
      <c r="A1195" s="1840" t="s">
        <v>1698</v>
      </c>
      <c r="B1195" s="1841" t="s">
        <v>7875</v>
      </c>
      <c r="C1195" s="1842" t="s">
        <v>7765</v>
      </c>
      <c r="D1195" s="1852"/>
      <c r="E1195" s="1852"/>
      <c r="F1195" s="1853">
        <f t="shared" si="37"/>
        <v>0</v>
      </c>
      <c r="G1195" s="1843">
        <f t="shared" si="36"/>
        <v>0</v>
      </c>
      <c r="H1195" s="1173">
        <v>0.75339999999999996</v>
      </c>
      <c r="I1195" s="3121" t="s">
        <v>0</v>
      </c>
    </row>
    <row r="1196" spans="1:9" ht="16.5">
      <c r="A1196" s="1840" t="s">
        <v>1773</v>
      </c>
      <c r="B1196" s="1841" t="s">
        <v>7876</v>
      </c>
      <c r="C1196" s="1842" t="s">
        <v>7762</v>
      </c>
      <c r="D1196" s="1852"/>
      <c r="E1196" s="1852"/>
      <c r="F1196" s="1853">
        <f t="shared" si="37"/>
        <v>0</v>
      </c>
      <c r="G1196" s="1843">
        <f t="shared" si="36"/>
        <v>0</v>
      </c>
      <c r="H1196" s="1173">
        <v>0.82509999999999994</v>
      </c>
      <c r="I1196" s="3121" t="s">
        <v>0</v>
      </c>
    </row>
    <row r="1197" spans="1:9" ht="16.5">
      <c r="A1197" s="1840" t="s">
        <v>1774</v>
      </c>
      <c r="B1197" s="1841" t="s">
        <v>7877</v>
      </c>
      <c r="C1197" s="1842" t="s">
        <v>7762</v>
      </c>
      <c r="D1197" s="1852"/>
      <c r="E1197" s="1852"/>
      <c r="F1197" s="1853">
        <f t="shared" si="37"/>
        <v>0</v>
      </c>
      <c r="G1197" s="1843">
        <f t="shared" si="36"/>
        <v>0</v>
      </c>
      <c r="H1197" s="1173">
        <v>0.64459999999999995</v>
      </c>
      <c r="I1197" s="3121" t="s">
        <v>0</v>
      </c>
    </row>
    <row r="1198" spans="1:9" ht="16.5">
      <c r="A1198" s="1840" t="s">
        <v>3316</v>
      </c>
      <c r="B1198" s="1841" t="s">
        <v>7878</v>
      </c>
      <c r="C1198" s="1842" t="s">
        <v>7762</v>
      </c>
      <c r="D1198" s="1852"/>
      <c r="E1198" s="1852"/>
      <c r="F1198" s="1853">
        <f t="shared" si="37"/>
        <v>0</v>
      </c>
      <c r="G1198" s="1843">
        <f t="shared" si="36"/>
        <v>0</v>
      </c>
      <c r="H1198" s="1173">
        <v>0.66379999999999995</v>
      </c>
      <c r="I1198" s="3121" t="s">
        <v>0</v>
      </c>
    </row>
    <row r="1199" spans="1:9" ht="16.5">
      <c r="A1199" s="1840" t="s">
        <v>3317</v>
      </c>
      <c r="B1199" s="1841" t="s">
        <v>7879</v>
      </c>
      <c r="C1199" s="1842" t="s">
        <v>7762</v>
      </c>
      <c r="D1199" s="1852"/>
      <c r="E1199" s="1852"/>
      <c r="F1199" s="1853">
        <f t="shared" si="37"/>
        <v>0</v>
      </c>
      <c r="G1199" s="1843">
        <f t="shared" si="36"/>
        <v>0</v>
      </c>
      <c r="H1199" s="1173">
        <v>0.66600000000000004</v>
      </c>
      <c r="I1199" s="3121" t="s">
        <v>0</v>
      </c>
    </row>
    <row r="1200" spans="1:9" ht="16.5">
      <c r="A1200" s="1840" t="s">
        <v>3318</v>
      </c>
      <c r="B1200" s="1841" t="s">
        <v>7880</v>
      </c>
      <c r="C1200" s="1842" t="s">
        <v>7762</v>
      </c>
      <c r="D1200" s="1852"/>
      <c r="E1200" s="1852"/>
      <c r="F1200" s="1853">
        <f t="shared" si="37"/>
        <v>0</v>
      </c>
      <c r="G1200" s="1843">
        <f t="shared" si="36"/>
        <v>0</v>
      </c>
      <c r="H1200" s="1173">
        <v>0.66520000000000001</v>
      </c>
      <c r="I1200" s="3121" t="s">
        <v>0</v>
      </c>
    </row>
    <row r="1201" spans="1:9" ht="16.5">
      <c r="A1201" s="1840" t="s">
        <v>3319</v>
      </c>
      <c r="B1201" s="1841" t="s">
        <v>7881</v>
      </c>
      <c r="C1201" s="1842" t="s">
        <v>7762</v>
      </c>
      <c r="D1201" s="1852"/>
      <c r="E1201" s="1852"/>
      <c r="F1201" s="1853">
        <f t="shared" si="37"/>
        <v>0</v>
      </c>
      <c r="G1201" s="1843">
        <f t="shared" si="36"/>
        <v>0</v>
      </c>
      <c r="H1201" s="1173">
        <v>0.66439999999999999</v>
      </c>
      <c r="I1201" s="3121" t="s">
        <v>0</v>
      </c>
    </row>
    <row r="1202" spans="1:9" ht="16.5">
      <c r="A1202" s="1840" t="s">
        <v>1775</v>
      </c>
      <c r="B1202" s="1841" t="s">
        <v>7882</v>
      </c>
      <c r="C1202" s="1842" t="s">
        <v>7762</v>
      </c>
      <c r="D1202" s="1852"/>
      <c r="E1202" s="1852"/>
      <c r="F1202" s="1853">
        <f t="shared" si="37"/>
        <v>0</v>
      </c>
      <c r="G1202" s="1843">
        <f t="shared" si="36"/>
        <v>0</v>
      </c>
      <c r="H1202" s="1173">
        <v>0.99570000000000003</v>
      </c>
      <c r="I1202" s="3121" t="s">
        <v>0</v>
      </c>
    </row>
    <row r="1203" spans="1:9" ht="16.5">
      <c r="A1203" s="1840" t="s">
        <v>1978</v>
      </c>
      <c r="B1203" s="1841" t="s">
        <v>7883</v>
      </c>
      <c r="C1203" s="1842" t="s">
        <v>7762</v>
      </c>
      <c r="D1203" s="1852"/>
      <c r="E1203" s="1852"/>
      <c r="F1203" s="1853">
        <f t="shared" si="37"/>
        <v>0</v>
      </c>
      <c r="G1203" s="1843">
        <f t="shared" si="36"/>
        <v>0</v>
      </c>
      <c r="H1203" s="1173">
        <v>1.0137</v>
      </c>
      <c r="I1203" s="3121" t="s">
        <v>0</v>
      </c>
    </row>
    <row r="1204" spans="1:9" ht="16.5">
      <c r="A1204" s="1840" t="s">
        <v>1776</v>
      </c>
      <c r="B1204" s="1841" t="s">
        <v>7884</v>
      </c>
      <c r="C1204" s="1842" t="s">
        <v>7762</v>
      </c>
      <c r="D1204" s="1852"/>
      <c r="E1204" s="1852"/>
      <c r="F1204" s="1853">
        <f t="shared" si="37"/>
        <v>0</v>
      </c>
      <c r="G1204" s="1843">
        <f t="shared" si="36"/>
        <v>0</v>
      </c>
      <c r="H1204" s="1173">
        <v>1.0139</v>
      </c>
      <c r="I1204" s="3121" t="s">
        <v>0</v>
      </c>
    </row>
    <row r="1205" spans="1:9" ht="16.5">
      <c r="A1205" s="1840" t="s">
        <v>1777</v>
      </c>
      <c r="B1205" s="1841" t="s">
        <v>7885</v>
      </c>
      <c r="C1205" s="1842" t="s">
        <v>7762</v>
      </c>
      <c r="D1205" s="1852"/>
      <c r="E1205" s="1852"/>
      <c r="F1205" s="1853">
        <f t="shared" si="37"/>
        <v>0</v>
      </c>
      <c r="G1205" s="1843">
        <f t="shared" si="36"/>
        <v>0</v>
      </c>
      <c r="H1205" s="1173">
        <v>0.96930000000000005</v>
      </c>
      <c r="I1205" s="3121" t="s">
        <v>0</v>
      </c>
    </row>
    <row r="1206" spans="1:9" ht="16.5">
      <c r="A1206" s="1840" t="s">
        <v>1778</v>
      </c>
      <c r="B1206" s="1841" t="s">
        <v>7886</v>
      </c>
      <c r="C1206" s="1842" t="s">
        <v>7762</v>
      </c>
      <c r="D1206" s="1852"/>
      <c r="E1206" s="1852"/>
      <c r="F1206" s="1853">
        <f t="shared" si="37"/>
        <v>0</v>
      </c>
      <c r="G1206" s="1843">
        <f t="shared" si="36"/>
        <v>0</v>
      </c>
      <c r="H1206" s="1173">
        <v>0.84850000000000003</v>
      </c>
      <c r="I1206" s="3121" t="s">
        <v>0</v>
      </c>
    </row>
    <row r="1207" spans="1:9" ht="16.5">
      <c r="A1207" s="1840" t="s">
        <v>1779</v>
      </c>
      <c r="B1207" s="1841" t="s">
        <v>7887</v>
      </c>
      <c r="C1207" s="1842" t="s">
        <v>7762</v>
      </c>
      <c r="D1207" s="1852"/>
      <c r="E1207" s="1852"/>
      <c r="F1207" s="1853">
        <f t="shared" si="37"/>
        <v>0</v>
      </c>
      <c r="G1207" s="1843">
        <f t="shared" si="36"/>
        <v>0</v>
      </c>
      <c r="H1207" s="1173">
        <v>0.9496</v>
      </c>
      <c r="I1207" s="3121" t="s">
        <v>0</v>
      </c>
    </row>
    <row r="1208" spans="1:9" ht="16.5">
      <c r="A1208" s="1840" t="s">
        <v>1780</v>
      </c>
      <c r="B1208" s="1841" t="s">
        <v>7888</v>
      </c>
      <c r="C1208" s="1842" t="s">
        <v>7762</v>
      </c>
      <c r="D1208" s="1852"/>
      <c r="E1208" s="1852"/>
      <c r="F1208" s="1853">
        <f t="shared" si="37"/>
        <v>0</v>
      </c>
      <c r="G1208" s="1843">
        <f t="shared" si="36"/>
        <v>0</v>
      </c>
      <c r="H1208" s="1173">
        <v>1.0785</v>
      </c>
      <c r="I1208" s="3121" t="s">
        <v>0</v>
      </c>
    </row>
    <row r="1209" spans="1:9" ht="16.5">
      <c r="A1209" s="1840" t="s">
        <v>1781</v>
      </c>
      <c r="B1209" s="1841" t="s">
        <v>7889</v>
      </c>
      <c r="C1209" s="1842" t="s">
        <v>7762</v>
      </c>
      <c r="D1209" s="1852"/>
      <c r="E1209" s="1852"/>
      <c r="F1209" s="1853">
        <f t="shared" si="37"/>
        <v>0</v>
      </c>
      <c r="G1209" s="1843">
        <f t="shared" si="36"/>
        <v>0</v>
      </c>
      <c r="H1209" s="1173">
        <v>1.0586</v>
      </c>
      <c r="I1209" s="3121" t="s">
        <v>0</v>
      </c>
    </row>
    <row r="1210" spans="1:9" ht="16.5">
      <c r="A1210" s="1840" t="s">
        <v>1782</v>
      </c>
      <c r="B1210" s="1841" t="s">
        <v>7890</v>
      </c>
      <c r="C1210" s="1842" t="s">
        <v>7762</v>
      </c>
      <c r="D1210" s="1852"/>
      <c r="E1210" s="1852"/>
      <c r="F1210" s="1853">
        <f t="shared" si="37"/>
        <v>0</v>
      </c>
      <c r="G1210" s="1843">
        <f t="shared" si="36"/>
        <v>0</v>
      </c>
      <c r="H1210" s="1173">
        <v>0.9879</v>
      </c>
      <c r="I1210" s="3121" t="s">
        <v>0</v>
      </c>
    </row>
    <row r="1211" spans="1:9" ht="16.5">
      <c r="A1211" s="1840" t="s">
        <v>1783</v>
      </c>
      <c r="B1211" s="1841" t="s">
        <v>7891</v>
      </c>
      <c r="C1211" s="1842" t="s">
        <v>7762</v>
      </c>
      <c r="D1211" s="1852"/>
      <c r="E1211" s="1852"/>
      <c r="F1211" s="1853">
        <f t="shared" si="37"/>
        <v>0</v>
      </c>
      <c r="G1211" s="1843">
        <f t="shared" si="36"/>
        <v>0</v>
      </c>
      <c r="H1211" s="1173">
        <v>0.98409999999999997</v>
      </c>
      <c r="I1211" s="3121" t="s">
        <v>0</v>
      </c>
    </row>
    <row r="1212" spans="1:9" ht="16.5">
      <c r="A1212" s="1840" t="s">
        <v>3219</v>
      </c>
      <c r="B1212" s="1841" t="s">
        <v>7892</v>
      </c>
      <c r="C1212" s="1842" t="s">
        <v>7762</v>
      </c>
      <c r="D1212" s="1852"/>
      <c r="E1212" s="1852"/>
      <c r="F1212" s="1853">
        <f t="shared" si="37"/>
        <v>0</v>
      </c>
      <c r="G1212" s="1843">
        <f t="shared" si="36"/>
        <v>0</v>
      </c>
      <c r="H1212" s="1173">
        <v>1.0205</v>
      </c>
      <c r="I1212" s="3121" t="s">
        <v>0</v>
      </c>
    </row>
    <row r="1213" spans="1:9" ht="33">
      <c r="A1213" s="1840" t="s">
        <v>3579</v>
      </c>
      <c r="B1213" s="1841" t="s">
        <v>7893</v>
      </c>
      <c r="C1213" s="1842" t="s">
        <v>7765</v>
      </c>
      <c r="D1213" s="1852"/>
      <c r="E1213" s="1852"/>
      <c r="F1213" s="1853">
        <f t="shared" si="37"/>
        <v>0</v>
      </c>
      <c r="G1213" s="1843">
        <f t="shared" si="36"/>
        <v>0</v>
      </c>
      <c r="H1213" s="1173">
        <v>0.25590000000000002</v>
      </c>
      <c r="I1213" s="3121" t="s">
        <v>0</v>
      </c>
    </row>
    <row r="1214" spans="1:9" ht="33">
      <c r="A1214" s="1840" t="s">
        <v>6128</v>
      </c>
      <c r="B1214" s="1841" t="s">
        <v>7894</v>
      </c>
      <c r="C1214" s="1842" t="s">
        <v>7765</v>
      </c>
      <c r="D1214" s="1852"/>
      <c r="E1214" s="1852"/>
      <c r="F1214" s="1853">
        <f t="shared" si="37"/>
        <v>0</v>
      </c>
      <c r="G1214" s="1843">
        <f t="shared" si="36"/>
        <v>0</v>
      </c>
      <c r="H1214" s="1173">
        <v>0.7703295652173916</v>
      </c>
      <c r="I1214" s="3121" t="s">
        <v>6746</v>
      </c>
    </row>
    <row r="1215" spans="1:9" ht="16.5">
      <c r="A1215" s="1840" t="s">
        <v>1784</v>
      </c>
      <c r="B1215" s="1841" t="s">
        <v>7895</v>
      </c>
      <c r="C1215" s="1842" t="s">
        <v>7762</v>
      </c>
      <c r="D1215" s="1852"/>
      <c r="E1215" s="1852"/>
      <c r="F1215" s="1853">
        <f t="shared" si="37"/>
        <v>0</v>
      </c>
      <c r="G1215" s="1843">
        <f t="shared" si="36"/>
        <v>0</v>
      </c>
      <c r="H1215" s="1173">
        <v>1.0429999999999999</v>
      </c>
      <c r="I1215" s="3121" t="s">
        <v>0</v>
      </c>
    </row>
    <row r="1216" spans="1:9" ht="16.5">
      <c r="A1216" s="1840" t="s">
        <v>1785</v>
      </c>
      <c r="B1216" s="1841" t="s">
        <v>7896</v>
      </c>
      <c r="C1216" s="1842" t="s">
        <v>7762</v>
      </c>
      <c r="D1216" s="1852"/>
      <c r="E1216" s="1852"/>
      <c r="F1216" s="1853">
        <f t="shared" si="37"/>
        <v>0</v>
      </c>
      <c r="G1216" s="1843">
        <f t="shared" si="36"/>
        <v>0</v>
      </c>
      <c r="H1216" s="1173">
        <v>0.89390000000000003</v>
      </c>
      <c r="I1216" s="3121" t="s">
        <v>0</v>
      </c>
    </row>
    <row r="1217" spans="1:9" ht="16.5">
      <c r="A1217" s="1840" t="s">
        <v>1786</v>
      </c>
      <c r="B1217" s="1841" t="s">
        <v>7897</v>
      </c>
      <c r="C1217" s="1842" t="s">
        <v>7762</v>
      </c>
      <c r="D1217" s="1852"/>
      <c r="E1217" s="1852"/>
      <c r="F1217" s="1853">
        <f t="shared" si="37"/>
        <v>0</v>
      </c>
      <c r="G1217" s="1843">
        <f t="shared" si="36"/>
        <v>0</v>
      </c>
      <c r="H1217" s="1173">
        <v>0.96230000000000004</v>
      </c>
      <c r="I1217" s="3121" t="s">
        <v>0</v>
      </c>
    </row>
    <row r="1218" spans="1:9" ht="16.5">
      <c r="A1218" s="1840" t="s">
        <v>1699</v>
      </c>
      <c r="B1218" s="1841" t="s">
        <v>7898</v>
      </c>
      <c r="C1218" s="1842" t="s">
        <v>7765</v>
      </c>
      <c r="D1218" s="1852"/>
      <c r="E1218" s="1852"/>
      <c r="F1218" s="1853">
        <f t="shared" ref="F1218:F1255" si="38">D1218*E1218</f>
        <v>0</v>
      </c>
      <c r="G1218" s="1843">
        <f t="shared" si="36"/>
        <v>0</v>
      </c>
      <c r="H1218" s="1173">
        <v>0.74729999999999996</v>
      </c>
      <c r="I1218" s="3121" t="s">
        <v>0</v>
      </c>
    </row>
    <row r="1219" spans="1:9" ht="16.5">
      <c r="A1219" s="1840" t="s">
        <v>1787</v>
      </c>
      <c r="B1219" s="1841" t="s">
        <v>7899</v>
      </c>
      <c r="C1219" s="1842" t="s">
        <v>7762</v>
      </c>
      <c r="D1219" s="1852"/>
      <c r="E1219" s="1852"/>
      <c r="F1219" s="1853">
        <f t="shared" si="38"/>
        <v>0</v>
      </c>
      <c r="G1219" s="1843">
        <f t="shared" si="36"/>
        <v>0</v>
      </c>
      <c r="H1219" s="1173">
        <v>0.95579999999999998</v>
      </c>
      <c r="I1219" s="3121" t="s">
        <v>0</v>
      </c>
    </row>
    <row r="1220" spans="1:9" ht="16.5">
      <c r="A1220" s="1840" t="s">
        <v>1700</v>
      </c>
      <c r="B1220" s="1841" t="s">
        <v>7900</v>
      </c>
      <c r="C1220" s="1842" t="s">
        <v>7765</v>
      </c>
      <c r="D1220" s="1852"/>
      <c r="E1220" s="1852"/>
      <c r="F1220" s="1853">
        <f t="shared" si="38"/>
        <v>0</v>
      </c>
      <c r="G1220" s="1843">
        <f t="shared" ref="G1220:G1283" si="39">IF($F$1334=0,0,F1220/$F$1334)</f>
        <v>0</v>
      </c>
      <c r="H1220" s="1173">
        <v>0.70840000000000003</v>
      </c>
      <c r="I1220" s="3121" t="s">
        <v>0</v>
      </c>
    </row>
    <row r="1221" spans="1:9" ht="16.5">
      <c r="A1221" s="1840" t="s">
        <v>1788</v>
      </c>
      <c r="B1221" s="1841" t="s">
        <v>7901</v>
      </c>
      <c r="C1221" s="1842" t="s">
        <v>7762</v>
      </c>
      <c r="D1221" s="1852"/>
      <c r="E1221" s="1852"/>
      <c r="F1221" s="1853">
        <f t="shared" si="38"/>
        <v>0</v>
      </c>
      <c r="G1221" s="1843">
        <f t="shared" si="39"/>
        <v>0</v>
      </c>
      <c r="H1221" s="1173">
        <v>0.95979999999999999</v>
      </c>
      <c r="I1221" s="3121" t="s">
        <v>0</v>
      </c>
    </row>
    <row r="1222" spans="1:9" ht="16.5">
      <c r="A1222" s="1840" t="s">
        <v>1701</v>
      </c>
      <c r="B1222" s="1841" t="s">
        <v>7902</v>
      </c>
      <c r="C1222" s="1842" t="s">
        <v>7765</v>
      </c>
      <c r="D1222" s="1852"/>
      <c r="E1222" s="1852"/>
      <c r="F1222" s="1853">
        <f t="shared" si="38"/>
        <v>0</v>
      </c>
      <c r="G1222" s="1843">
        <f t="shared" si="39"/>
        <v>0</v>
      </c>
      <c r="H1222" s="1173">
        <v>0.7046</v>
      </c>
      <c r="I1222" s="3121" t="s">
        <v>0</v>
      </c>
    </row>
    <row r="1223" spans="1:9" ht="16.5">
      <c r="A1223" s="1840" t="s">
        <v>1702</v>
      </c>
      <c r="B1223" s="1841" t="s">
        <v>7903</v>
      </c>
      <c r="C1223" s="1842" t="s">
        <v>7765</v>
      </c>
      <c r="D1223" s="1852"/>
      <c r="E1223" s="1852"/>
      <c r="F1223" s="1853">
        <f t="shared" si="38"/>
        <v>0</v>
      </c>
      <c r="G1223" s="1843">
        <f t="shared" si="39"/>
        <v>0</v>
      </c>
      <c r="H1223" s="1173">
        <v>0.76880000000000004</v>
      </c>
      <c r="I1223" s="3121" t="s">
        <v>0</v>
      </c>
    </row>
    <row r="1224" spans="1:9" ht="16.5">
      <c r="A1224" s="1840" t="s">
        <v>1789</v>
      </c>
      <c r="B1224" s="1841" t="s">
        <v>7904</v>
      </c>
      <c r="C1224" s="1842" t="s">
        <v>7762</v>
      </c>
      <c r="D1224" s="1852"/>
      <c r="E1224" s="1852"/>
      <c r="F1224" s="1853">
        <f t="shared" si="38"/>
        <v>0</v>
      </c>
      <c r="G1224" s="1843">
        <f t="shared" si="39"/>
        <v>0</v>
      </c>
      <c r="H1224" s="1173">
        <v>0.89870000000000005</v>
      </c>
      <c r="I1224" s="3121" t="s">
        <v>0</v>
      </c>
    </row>
    <row r="1225" spans="1:9" ht="16.5">
      <c r="A1225" s="1840" t="s">
        <v>1790</v>
      </c>
      <c r="B1225" s="1841" t="s">
        <v>7905</v>
      </c>
      <c r="C1225" s="1842" t="s">
        <v>7762</v>
      </c>
      <c r="D1225" s="1852"/>
      <c r="E1225" s="1852"/>
      <c r="F1225" s="1853">
        <f t="shared" si="38"/>
        <v>0</v>
      </c>
      <c r="G1225" s="1843">
        <f t="shared" si="39"/>
        <v>0</v>
      </c>
      <c r="H1225" s="1173">
        <v>0.71050000000000002</v>
      </c>
      <c r="I1225" s="3121" t="s">
        <v>0</v>
      </c>
    </row>
    <row r="1226" spans="1:9" ht="16.5">
      <c r="A1226" s="1840" t="s">
        <v>3220</v>
      </c>
      <c r="B1226" s="1841" t="s">
        <v>7906</v>
      </c>
      <c r="C1226" s="1842" t="s">
        <v>7762</v>
      </c>
      <c r="D1226" s="1852"/>
      <c r="E1226" s="1852"/>
      <c r="F1226" s="1853">
        <f t="shared" si="38"/>
        <v>0</v>
      </c>
      <c r="G1226" s="1843">
        <f t="shared" si="39"/>
        <v>0</v>
      </c>
      <c r="H1226" s="1173">
        <v>0.95879999999999999</v>
      </c>
      <c r="I1226" s="3121" t="s">
        <v>0</v>
      </c>
    </row>
    <row r="1227" spans="1:9" ht="33">
      <c r="A1227" s="1840" t="s">
        <v>6129</v>
      </c>
      <c r="B1227" s="1841" t="s">
        <v>7907</v>
      </c>
      <c r="C1227" s="1842" t="s">
        <v>7762</v>
      </c>
      <c r="D1227" s="1852"/>
      <c r="E1227" s="1852"/>
      <c r="F1227" s="1853">
        <f t="shared" si="38"/>
        <v>0</v>
      </c>
      <c r="G1227" s="1843">
        <f t="shared" si="39"/>
        <v>0</v>
      </c>
      <c r="H1227" s="1173">
        <v>0.7703295652173916</v>
      </c>
      <c r="I1227" s="3121" t="s">
        <v>6746</v>
      </c>
    </row>
    <row r="1228" spans="1:9" ht="33">
      <c r="A1228" s="1840" t="s">
        <v>6130</v>
      </c>
      <c r="B1228" s="1841" t="s">
        <v>7907</v>
      </c>
      <c r="C1228" s="1842" t="s">
        <v>7762</v>
      </c>
      <c r="D1228" s="1852"/>
      <c r="E1228" s="1852"/>
      <c r="F1228" s="1853">
        <f t="shared" si="38"/>
        <v>0</v>
      </c>
      <c r="G1228" s="1843">
        <f t="shared" si="39"/>
        <v>0</v>
      </c>
      <c r="H1228" s="1173">
        <v>0.7703295652173916</v>
      </c>
      <c r="I1228" s="3121" t="s">
        <v>6746</v>
      </c>
    </row>
    <row r="1229" spans="1:9" ht="16.5">
      <c r="A1229" s="1840" t="s">
        <v>1979</v>
      </c>
      <c r="B1229" s="1841" t="s">
        <v>7908</v>
      </c>
      <c r="C1229" s="1842" t="s">
        <v>7762</v>
      </c>
      <c r="D1229" s="1852"/>
      <c r="E1229" s="1852"/>
      <c r="F1229" s="1853">
        <f t="shared" si="38"/>
        <v>0</v>
      </c>
      <c r="G1229" s="1843">
        <f t="shared" si="39"/>
        <v>0</v>
      </c>
      <c r="H1229" s="1173">
        <v>0.96640000000000004</v>
      </c>
      <c r="I1229" s="3121" t="s">
        <v>0</v>
      </c>
    </row>
    <row r="1230" spans="1:9" ht="16.5">
      <c r="A1230" s="1840" t="s">
        <v>3221</v>
      </c>
      <c r="B1230" s="1841" t="s">
        <v>7909</v>
      </c>
      <c r="C1230" s="1842" t="s">
        <v>7762</v>
      </c>
      <c r="D1230" s="1852"/>
      <c r="E1230" s="1852"/>
      <c r="F1230" s="1853">
        <f t="shared" si="38"/>
        <v>0</v>
      </c>
      <c r="G1230" s="1843">
        <f t="shared" si="39"/>
        <v>0</v>
      </c>
      <c r="H1230" s="1173">
        <v>0.96640000000000004</v>
      </c>
      <c r="I1230" s="3121" t="s">
        <v>0</v>
      </c>
    </row>
    <row r="1231" spans="1:9" ht="16.5">
      <c r="A1231" s="1840" t="s">
        <v>1791</v>
      </c>
      <c r="B1231" s="1841" t="s">
        <v>7910</v>
      </c>
      <c r="C1231" s="1842" t="s">
        <v>7762</v>
      </c>
      <c r="D1231" s="1852"/>
      <c r="E1231" s="1852"/>
      <c r="F1231" s="1853">
        <f t="shared" si="38"/>
        <v>0</v>
      </c>
      <c r="G1231" s="1843">
        <f t="shared" si="39"/>
        <v>0</v>
      </c>
      <c r="H1231" s="1173">
        <v>0.96640000000000004</v>
      </c>
      <c r="I1231" s="3121" t="s">
        <v>0</v>
      </c>
    </row>
    <row r="1232" spans="1:9" ht="16.5">
      <c r="A1232" s="1840" t="s">
        <v>1980</v>
      </c>
      <c r="B1232" s="1841" t="s">
        <v>7911</v>
      </c>
      <c r="C1232" s="1842" t="s">
        <v>7762</v>
      </c>
      <c r="D1232" s="1852"/>
      <c r="E1232" s="1852"/>
      <c r="F1232" s="1853">
        <f t="shared" si="38"/>
        <v>0</v>
      </c>
      <c r="G1232" s="1843">
        <f t="shared" si="39"/>
        <v>0</v>
      </c>
      <c r="H1232" s="1173">
        <v>1.0121</v>
      </c>
      <c r="I1232" s="3121" t="s">
        <v>0</v>
      </c>
    </row>
    <row r="1233" spans="1:9" ht="16.5">
      <c r="A1233" s="1840" t="s">
        <v>1792</v>
      </c>
      <c r="B1233" s="1841" t="s">
        <v>7912</v>
      </c>
      <c r="C1233" s="1842" t="s">
        <v>7762</v>
      </c>
      <c r="D1233" s="1852"/>
      <c r="E1233" s="1852"/>
      <c r="F1233" s="1853">
        <f t="shared" si="38"/>
        <v>0</v>
      </c>
      <c r="G1233" s="1843">
        <f t="shared" si="39"/>
        <v>0</v>
      </c>
      <c r="H1233" s="1173">
        <v>1.0121</v>
      </c>
      <c r="I1233" s="3121" t="s">
        <v>0</v>
      </c>
    </row>
    <row r="1234" spans="1:9" ht="16.5">
      <c r="A1234" s="1840" t="s">
        <v>1703</v>
      </c>
      <c r="B1234" s="1841" t="s">
        <v>7913</v>
      </c>
      <c r="C1234" s="1842" t="s">
        <v>7765</v>
      </c>
      <c r="D1234" s="1852"/>
      <c r="E1234" s="1852"/>
      <c r="F1234" s="1853">
        <f t="shared" si="38"/>
        <v>0</v>
      </c>
      <c r="G1234" s="1843">
        <f t="shared" si="39"/>
        <v>0</v>
      </c>
      <c r="H1234" s="1173">
        <v>0.74360000000000004</v>
      </c>
      <c r="I1234" s="3121" t="s">
        <v>0</v>
      </c>
    </row>
    <row r="1235" spans="1:9" ht="16.5">
      <c r="A1235" s="1840" t="s">
        <v>1793</v>
      </c>
      <c r="B1235" s="1841" t="s">
        <v>7914</v>
      </c>
      <c r="C1235" s="1842" t="s">
        <v>7762</v>
      </c>
      <c r="D1235" s="1852"/>
      <c r="E1235" s="1852"/>
      <c r="F1235" s="1853">
        <f t="shared" si="38"/>
        <v>0</v>
      </c>
      <c r="G1235" s="1843">
        <f t="shared" si="39"/>
        <v>0</v>
      </c>
      <c r="H1235" s="1173">
        <v>1.0461</v>
      </c>
      <c r="I1235" s="3121" t="s">
        <v>0</v>
      </c>
    </row>
    <row r="1236" spans="1:9" ht="16.5">
      <c r="A1236" s="1840" t="s">
        <v>1981</v>
      </c>
      <c r="B1236" s="1841" t="s">
        <v>7915</v>
      </c>
      <c r="C1236" s="1842" t="s">
        <v>7762</v>
      </c>
      <c r="D1236" s="1852"/>
      <c r="E1236" s="1852"/>
      <c r="F1236" s="1853">
        <f t="shared" si="38"/>
        <v>0</v>
      </c>
      <c r="G1236" s="1843">
        <f t="shared" si="39"/>
        <v>0</v>
      </c>
      <c r="H1236" s="1173">
        <v>0.79039999999999999</v>
      </c>
      <c r="I1236" s="3121" t="s">
        <v>0</v>
      </c>
    </row>
    <row r="1237" spans="1:9" ht="16.5">
      <c r="A1237" s="1840" t="s">
        <v>1982</v>
      </c>
      <c r="B1237" s="1841" t="s">
        <v>7916</v>
      </c>
      <c r="C1237" s="1842" t="s">
        <v>7762</v>
      </c>
      <c r="D1237" s="1852"/>
      <c r="E1237" s="1852"/>
      <c r="F1237" s="1853">
        <f t="shared" si="38"/>
        <v>0</v>
      </c>
      <c r="G1237" s="1843">
        <f t="shared" si="39"/>
        <v>0</v>
      </c>
      <c r="H1237" s="1173">
        <v>0.79210000000000003</v>
      </c>
      <c r="I1237" s="3121" t="s">
        <v>0</v>
      </c>
    </row>
    <row r="1238" spans="1:9" ht="16.5">
      <c r="A1238" s="1840" t="s">
        <v>1983</v>
      </c>
      <c r="B1238" s="1841" t="s">
        <v>7917</v>
      </c>
      <c r="C1238" s="1842" t="s">
        <v>7762</v>
      </c>
      <c r="D1238" s="1852"/>
      <c r="E1238" s="1852"/>
      <c r="F1238" s="1853">
        <f t="shared" si="38"/>
        <v>0</v>
      </c>
      <c r="G1238" s="1843">
        <f t="shared" si="39"/>
        <v>0</v>
      </c>
      <c r="H1238" s="1173">
        <v>0.79039999999999999</v>
      </c>
      <c r="I1238" s="3121" t="s">
        <v>0</v>
      </c>
    </row>
    <row r="1239" spans="1:9" ht="16.5">
      <c r="A1239" s="1840" t="s">
        <v>1794</v>
      </c>
      <c r="B1239" s="1841" t="s">
        <v>7918</v>
      </c>
      <c r="C1239" s="1842" t="s">
        <v>7762</v>
      </c>
      <c r="D1239" s="1852"/>
      <c r="E1239" s="1852"/>
      <c r="F1239" s="1853">
        <f t="shared" si="38"/>
        <v>0</v>
      </c>
      <c r="G1239" s="1843">
        <f t="shared" si="39"/>
        <v>0</v>
      </c>
      <c r="H1239" s="1173">
        <v>0.90010000000000001</v>
      </c>
      <c r="I1239" s="3121" t="s">
        <v>0</v>
      </c>
    </row>
    <row r="1240" spans="1:9" ht="16.5">
      <c r="A1240" s="1840" t="s">
        <v>1795</v>
      </c>
      <c r="B1240" s="1841" t="s">
        <v>7919</v>
      </c>
      <c r="C1240" s="1842" t="s">
        <v>7762</v>
      </c>
      <c r="D1240" s="1852"/>
      <c r="E1240" s="1852"/>
      <c r="F1240" s="1853">
        <f t="shared" si="38"/>
        <v>0</v>
      </c>
      <c r="G1240" s="1843">
        <f t="shared" si="39"/>
        <v>0</v>
      </c>
      <c r="H1240" s="1173">
        <v>0.92330000000000001</v>
      </c>
      <c r="I1240" s="3121" t="s">
        <v>0</v>
      </c>
    </row>
    <row r="1241" spans="1:9" ht="16.5">
      <c r="A1241" s="1840" t="s">
        <v>1796</v>
      </c>
      <c r="B1241" s="1841" t="s">
        <v>7920</v>
      </c>
      <c r="C1241" s="1842" t="s">
        <v>7762</v>
      </c>
      <c r="D1241" s="1852"/>
      <c r="E1241" s="1852"/>
      <c r="F1241" s="1853">
        <f t="shared" si="38"/>
        <v>0</v>
      </c>
      <c r="G1241" s="1843">
        <f t="shared" si="39"/>
        <v>0</v>
      </c>
      <c r="H1241" s="1173">
        <v>1.0338000000000001</v>
      </c>
      <c r="I1241" s="3121" t="s">
        <v>0</v>
      </c>
    </row>
    <row r="1242" spans="1:9" ht="16.5">
      <c r="A1242" s="1840" t="s">
        <v>1797</v>
      </c>
      <c r="B1242" s="1841" t="s">
        <v>7921</v>
      </c>
      <c r="C1242" s="1842" t="s">
        <v>7762</v>
      </c>
      <c r="D1242" s="1852"/>
      <c r="E1242" s="1852"/>
      <c r="F1242" s="1853">
        <f t="shared" si="38"/>
        <v>0</v>
      </c>
      <c r="G1242" s="1843">
        <f t="shared" si="39"/>
        <v>0</v>
      </c>
      <c r="H1242" s="1173">
        <v>1.0338000000000001</v>
      </c>
      <c r="I1242" s="3121" t="s">
        <v>0</v>
      </c>
    </row>
    <row r="1243" spans="1:9" ht="16.5">
      <c r="A1243" s="1840" t="s">
        <v>1798</v>
      </c>
      <c r="B1243" s="1841" t="s">
        <v>7922</v>
      </c>
      <c r="C1243" s="1842" t="s">
        <v>7762</v>
      </c>
      <c r="D1243" s="1852"/>
      <c r="E1243" s="1852"/>
      <c r="F1243" s="1853">
        <f t="shared" si="38"/>
        <v>0</v>
      </c>
      <c r="G1243" s="1843">
        <f t="shared" si="39"/>
        <v>0</v>
      </c>
      <c r="H1243" s="1173">
        <v>1.0373000000000001</v>
      </c>
      <c r="I1243" s="3121" t="s">
        <v>0</v>
      </c>
    </row>
    <row r="1244" spans="1:9" ht="16.5">
      <c r="A1244" s="1840" t="s">
        <v>1799</v>
      </c>
      <c r="B1244" s="1841" t="s">
        <v>7923</v>
      </c>
      <c r="C1244" s="1842" t="s">
        <v>7762</v>
      </c>
      <c r="D1244" s="1852"/>
      <c r="E1244" s="1852"/>
      <c r="F1244" s="1853">
        <f t="shared" si="38"/>
        <v>0</v>
      </c>
      <c r="G1244" s="1843">
        <f t="shared" si="39"/>
        <v>0</v>
      </c>
      <c r="H1244" s="1173">
        <v>1.0458000000000001</v>
      </c>
      <c r="I1244" s="3121" t="s">
        <v>0</v>
      </c>
    </row>
    <row r="1245" spans="1:9" ht="16.5">
      <c r="A1245" s="1840" t="s">
        <v>1800</v>
      </c>
      <c r="B1245" s="1841" t="s">
        <v>7924</v>
      </c>
      <c r="C1245" s="1842" t="s">
        <v>7762</v>
      </c>
      <c r="D1245" s="1852"/>
      <c r="E1245" s="1852"/>
      <c r="F1245" s="1853">
        <f t="shared" si="38"/>
        <v>0</v>
      </c>
      <c r="G1245" s="1843">
        <f t="shared" si="39"/>
        <v>0</v>
      </c>
      <c r="H1245" s="1173">
        <v>1.0448999999999999</v>
      </c>
      <c r="I1245" s="3121" t="s">
        <v>0</v>
      </c>
    </row>
    <row r="1246" spans="1:9" ht="16.5">
      <c r="A1246" s="1840" t="s">
        <v>1801</v>
      </c>
      <c r="B1246" s="1841" t="s">
        <v>7925</v>
      </c>
      <c r="C1246" s="1842" t="s">
        <v>7762</v>
      </c>
      <c r="D1246" s="1852"/>
      <c r="E1246" s="1852"/>
      <c r="F1246" s="1853">
        <f t="shared" si="38"/>
        <v>0</v>
      </c>
      <c r="G1246" s="1843">
        <f t="shared" si="39"/>
        <v>0</v>
      </c>
      <c r="H1246" s="1173">
        <v>1.0965</v>
      </c>
      <c r="I1246" s="3121" t="s">
        <v>0</v>
      </c>
    </row>
    <row r="1247" spans="1:9" ht="16.5">
      <c r="A1247" s="1840" t="s">
        <v>1704</v>
      </c>
      <c r="B1247" s="1841" t="s">
        <v>7926</v>
      </c>
      <c r="C1247" s="1842" t="s">
        <v>7765</v>
      </c>
      <c r="D1247" s="1852"/>
      <c r="E1247" s="1852"/>
      <c r="F1247" s="1853">
        <f t="shared" si="38"/>
        <v>0</v>
      </c>
      <c r="G1247" s="1843">
        <f t="shared" si="39"/>
        <v>0</v>
      </c>
      <c r="H1247" s="1173">
        <v>0.69810000000000005</v>
      </c>
      <c r="I1247" s="3121" t="s">
        <v>0</v>
      </c>
    </row>
    <row r="1248" spans="1:9" ht="16.5">
      <c r="A1248" s="1840" t="s">
        <v>1802</v>
      </c>
      <c r="B1248" s="1841" t="s">
        <v>7927</v>
      </c>
      <c r="C1248" s="1842" t="s">
        <v>7762</v>
      </c>
      <c r="D1248" s="1852"/>
      <c r="E1248" s="1852"/>
      <c r="F1248" s="1853">
        <f t="shared" si="38"/>
        <v>0</v>
      </c>
      <c r="G1248" s="1843">
        <f t="shared" si="39"/>
        <v>0</v>
      </c>
      <c r="H1248" s="1173">
        <v>1.0287999999999999</v>
      </c>
      <c r="I1248" s="3121" t="s">
        <v>0</v>
      </c>
    </row>
    <row r="1249" spans="1:9" ht="16.5">
      <c r="A1249" s="1840" t="s">
        <v>1803</v>
      </c>
      <c r="B1249" s="1841" t="s">
        <v>7928</v>
      </c>
      <c r="C1249" s="1842" t="s">
        <v>7762</v>
      </c>
      <c r="D1249" s="1852"/>
      <c r="E1249" s="1852"/>
      <c r="F1249" s="1853">
        <f t="shared" si="38"/>
        <v>0</v>
      </c>
      <c r="G1249" s="1843">
        <f t="shared" si="39"/>
        <v>0</v>
      </c>
      <c r="H1249" s="1173">
        <v>1.0622</v>
      </c>
      <c r="I1249" s="3121" t="s">
        <v>0</v>
      </c>
    </row>
    <row r="1250" spans="1:9" ht="16.5">
      <c r="A1250" s="1840" t="s">
        <v>1804</v>
      </c>
      <c r="B1250" s="1841" t="s">
        <v>7929</v>
      </c>
      <c r="C1250" s="1842" t="s">
        <v>7762</v>
      </c>
      <c r="D1250" s="1852"/>
      <c r="E1250" s="1852"/>
      <c r="F1250" s="1853">
        <f t="shared" si="38"/>
        <v>0</v>
      </c>
      <c r="G1250" s="1843">
        <f t="shared" si="39"/>
        <v>0</v>
      </c>
      <c r="H1250" s="1173">
        <v>1.0629</v>
      </c>
      <c r="I1250" s="3121" t="s">
        <v>0</v>
      </c>
    </row>
    <row r="1251" spans="1:9" ht="16.5">
      <c r="A1251" s="1840" t="s">
        <v>1805</v>
      </c>
      <c r="B1251" s="1841" t="s">
        <v>7930</v>
      </c>
      <c r="C1251" s="1842" t="s">
        <v>7762</v>
      </c>
      <c r="D1251" s="1852"/>
      <c r="E1251" s="1852"/>
      <c r="F1251" s="1853">
        <f t="shared" si="38"/>
        <v>0</v>
      </c>
      <c r="G1251" s="1843">
        <f t="shared" si="39"/>
        <v>0</v>
      </c>
      <c r="H1251" s="1173">
        <v>1.0835999999999999</v>
      </c>
      <c r="I1251" s="3121" t="s">
        <v>0</v>
      </c>
    </row>
    <row r="1252" spans="1:9" ht="16.5">
      <c r="A1252" s="1840" t="s">
        <v>1806</v>
      </c>
      <c r="B1252" s="1841" t="s">
        <v>7931</v>
      </c>
      <c r="C1252" s="1842" t="s">
        <v>7762</v>
      </c>
      <c r="D1252" s="1852"/>
      <c r="E1252" s="1852"/>
      <c r="F1252" s="1853">
        <f t="shared" si="38"/>
        <v>0</v>
      </c>
      <c r="G1252" s="1843">
        <f t="shared" si="39"/>
        <v>0</v>
      </c>
      <c r="H1252" s="1173">
        <v>1.0988</v>
      </c>
      <c r="I1252" s="3121" t="s">
        <v>0</v>
      </c>
    </row>
    <row r="1253" spans="1:9" ht="16.5">
      <c r="A1253" s="1840" t="s">
        <v>1705</v>
      </c>
      <c r="B1253" s="1841" t="s">
        <v>7932</v>
      </c>
      <c r="C1253" s="1842" t="s">
        <v>7765</v>
      </c>
      <c r="D1253" s="1852"/>
      <c r="E1253" s="1852"/>
      <c r="F1253" s="1853">
        <f t="shared" si="38"/>
        <v>0</v>
      </c>
      <c r="G1253" s="1843">
        <f t="shared" si="39"/>
        <v>0</v>
      </c>
      <c r="H1253" s="1173">
        <v>0.75749999999999995</v>
      </c>
      <c r="I1253" s="3121" t="s">
        <v>0</v>
      </c>
    </row>
    <row r="1254" spans="1:9" ht="16.5">
      <c r="A1254" s="1840" t="s">
        <v>1807</v>
      </c>
      <c r="B1254" s="1841" t="s">
        <v>7933</v>
      </c>
      <c r="C1254" s="1842" t="s">
        <v>7762</v>
      </c>
      <c r="D1254" s="1852"/>
      <c r="E1254" s="1852"/>
      <c r="F1254" s="1853">
        <f t="shared" si="38"/>
        <v>0</v>
      </c>
      <c r="G1254" s="1843">
        <f t="shared" si="39"/>
        <v>0</v>
      </c>
      <c r="H1254" s="1173">
        <v>1.0989</v>
      </c>
      <c r="I1254" s="3121" t="s">
        <v>0</v>
      </c>
    </row>
    <row r="1255" spans="1:9" ht="16.5">
      <c r="A1255" s="1840" t="s">
        <v>1808</v>
      </c>
      <c r="B1255" s="1841" t="s">
        <v>7934</v>
      </c>
      <c r="C1255" s="1842" t="s">
        <v>7762</v>
      </c>
      <c r="D1255" s="1852"/>
      <c r="E1255" s="1852"/>
      <c r="F1255" s="1853">
        <f t="shared" si="38"/>
        <v>0</v>
      </c>
      <c r="G1255" s="1843">
        <f t="shared" si="39"/>
        <v>0</v>
      </c>
      <c r="H1255" s="1173">
        <v>1.0273000000000001</v>
      </c>
      <c r="I1255" s="3121" t="s">
        <v>0</v>
      </c>
    </row>
    <row r="1256" spans="1:9" ht="33">
      <c r="A1256" s="1840" t="s">
        <v>6131</v>
      </c>
      <c r="B1256" s="1841" t="s">
        <v>7935</v>
      </c>
      <c r="C1256" s="1842" t="s">
        <v>7762</v>
      </c>
      <c r="D1256" s="1852"/>
      <c r="E1256" s="1852"/>
      <c r="F1256" s="1853">
        <f t="shared" ref="F1256:F1319" si="40">D1256*E1256</f>
        <v>0</v>
      </c>
      <c r="G1256" s="1843">
        <f t="shared" si="39"/>
        <v>0</v>
      </c>
      <c r="H1256" s="1173">
        <v>0.64670000000000005</v>
      </c>
      <c r="I1256" s="3121" t="s">
        <v>0</v>
      </c>
    </row>
    <row r="1257" spans="1:9" ht="33">
      <c r="A1257" s="1840" t="s">
        <v>1809</v>
      </c>
      <c r="B1257" s="1841" t="s">
        <v>7936</v>
      </c>
      <c r="C1257" s="1842" t="s">
        <v>7762</v>
      </c>
      <c r="D1257" s="1852"/>
      <c r="E1257" s="1852"/>
      <c r="F1257" s="1853">
        <f t="shared" si="40"/>
        <v>0</v>
      </c>
      <c r="G1257" s="1843">
        <f t="shared" si="39"/>
        <v>0</v>
      </c>
      <c r="H1257" s="1173">
        <v>0.6905</v>
      </c>
      <c r="I1257" s="3121" t="s">
        <v>0</v>
      </c>
    </row>
    <row r="1258" spans="1:9" ht="32.25">
      <c r="A1258" s="1840" t="s">
        <v>6132</v>
      </c>
      <c r="B1258" s="1841" t="s">
        <v>7937</v>
      </c>
      <c r="C1258" s="1842" t="s">
        <v>7762</v>
      </c>
      <c r="D1258" s="1852"/>
      <c r="E1258" s="1852"/>
      <c r="F1258" s="1853">
        <f t="shared" si="40"/>
        <v>0</v>
      </c>
      <c r="G1258" s="1843">
        <f t="shared" si="39"/>
        <v>0</v>
      </c>
      <c r="H1258" s="1173">
        <v>0.7703295652173916</v>
      </c>
      <c r="I1258" s="3121" t="s">
        <v>6746</v>
      </c>
    </row>
    <row r="1259" spans="1:9" ht="32.25">
      <c r="A1259" s="1840" t="s">
        <v>1810</v>
      </c>
      <c r="B1259" s="1841" t="s">
        <v>7938</v>
      </c>
      <c r="C1259" s="1842" t="s">
        <v>7762</v>
      </c>
      <c r="D1259" s="1852"/>
      <c r="E1259" s="1852"/>
      <c r="F1259" s="1853">
        <f t="shared" si="40"/>
        <v>0</v>
      </c>
      <c r="G1259" s="1843">
        <f t="shared" si="39"/>
        <v>0</v>
      </c>
      <c r="H1259" s="1173">
        <v>0.94769999999999999</v>
      </c>
      <c r="I1259" s="3121" t="s">
        <v>0</v>
      </c>
    </row>
    <row r="1260" spans="1:9" ht="32.25">
      <c r="A1260" s="1840" t="s">
        <v>6133</v>
      </c>
      <c r="B1260" s="1841" t="s">
        <v>7939</v>
      </c>
      <c r="C1260" s="1842" t="s">
        <v>7762</v>
      </c>
      <c r="D1260" s="1852"/>
      <c r="E1260" s="1852"/>
      <c r="F1260" s="1853">
        <f t="shared" si="40"/>
        <v>0</v>
      </c>
      <c r="G1260" s="1843">
        <f t="shared" si="39"/>
        <v>0</v>
      </c>
      <c r="H1260" s="1173">
        <v>0.7703295652173916</v>
      </c>
      <c r="I1260" s="3121" t="s">
        <v>6746</v>
      </c>
    </row>
    <row r="1261" spans="1:9" ht="32.25">
      <c r="A1261" s="1840" t="s">
        <v>1811</v>
      </c>
      <c r="B1261" s="1841" t="s">
        <v>7940</v>
      </c>
      <c r="C1261" s="1842" t="s">
        <v>7762</v>
      </c>
      <c r="D1261" s="1852"/>
      <c r="E1261" s="1852"/>
      <c r="F1261" s="1853">
        <f t="shared" si="40"/>
        <v>0</v>
      </c>
      <c r="G1261" s="1843">
        <f t="shared" si="39"/>
        <v>0</v>
      </c>
      <c r="H1261" s="1173">
        <v>0.88339999999999996</v>
      </c>
      <c r="I1261" s="3121" t="s">
        <v>0</v>
      </c>
    </row>
    <row r="1262" spans="1:9" ht="32.25">
      <c r="A1262" s="1840" t="s">
        <v>6134</v>
      </c>
      <c r="B1262" s="1841" t="s">
        <v>7941</v>
      </c>
      <c r="C1262" s="1842" t="s">
        <v>7765</v>
      </c>
      <c r="D1262" s="1852"/>
      <c r="E1262" s="1852"/>
      <c r="F1262" s="1853">
        <f t="shared" si="40"/>
        <v>0</v>
      </c>
      <c r="G1262" s="1843">
        <f t="shared" si="39"/>
        <v>0</v>
      </c>
      <c r="H1262" s="1173">
        <v>0.7703295652173916</v>
      </c>
      <c r="I1262" s="3121" t="s">
        <v>6746</v>
      </c>
    </row>
    <row r="1263" spans="1:9" ht="32.25">
      <c r="A1263" s="1840" t="s">
        <v>1706</v>
      </c>
      <c r="B1263" s="1841" t="s">
        <v>7942</v>
      </c>
      <c r="C1263" s="1842" t="s">
        <v>7765</v>
      </c>
      <c r="D1263" s="1852"/>
      <c r="E1263" s="1852"/>
      <c r="F1263" s="1853">
        <f t="shared" si="40"/>
        <v>0</v>
      </c>
      <c r="G1263" s="1843">
        <f t="shared" si="39"/>
        <v>0</v>
      </c>
      <c r="H1263" s="1173">
        <v>0.73729999999999996</v>
      </c>
      <c r="I1263" s="3121" t="s">
        <v>0</v>
      </c>
    </row>
    <row r="1264" spans="1:9" ht="33">
      <c r="A1264" s="1840" t="s">
        <v>3580</v>
      </c>
      <c r="B1264" s="1841" t="s">
        <v>7943</v>
      </c>
      <c r="C1264" s="1842" t="s">
        <v>7765</v>
      </c>
      <c r="D1264" s="1852"/>
      <c r="E1264" s="1852"/>
      <c r="F1264" s="1853">
        <f t="shared" si="40"/>
        <v>0</v>
      </c>
      <c r="G1264" s="1843">
        <f t="shared" si="39"/>
        <v>0</v>
      </c>
      <c r="H1264" s="1173">
        <v>0.43890000000000001</v>
      </c>
      <c r="I1264" s="3121" t="s">
        <v>0</v>
      </c>
    </row>
    <row r="1265" spans="1:9" ht="33">
      <c r="A1265" s="1840" t="s">
        <v>3581</v>
      </c>
      <c r="B1265" s="1841" t="s">
        <v>7943</v>
      </c>
      <c r="C1265" s="1842" t="s">
        <v>7765</v>
      </c>
      <c r="D1265" s="1852"/>
      <c r="E1265" s="1852"/>
      <c r="F1265" s="1853">
        <f t="shared" si="40"/>
        <v>0</v>
      </c>
      <c r="G1265" s="1843">
        <f t="shared" si="39"/>
        <v>0</v>
      </c>
      <c r="H1265" s="1173">
        <v>0.43819999999999998</v>
      </c>
      <c r="I1265" s="3121" t="s">
        <v>0</v>
      </c>
    </row>
    <row r="1266" spans="1:9" ht="33">
      <c r="A1266" s="1840" t="s">
        <v>3582</v>
      </c>
      <c r="B1266" s="1841" t="s">
        <v>7943</v>
      </c>
      <c r="C1266" s="1842" t="s">
        <v>7765</v>
      </c>
      <c r="D1266" s="1852"/>
      <c r="E1266" s="1852"/>
      <c r="F1266" s="1853">
        <f t="shared" si="40"/>
        <v>0</v>
      </c>
      <c r="G1266" s="1843">
        <f t="shared" si="39"/>
        <v>0</v>
      </c>
      <c r="H1266" s="1173">
        <v>0.43730000000000002</v>
      </c>
      <c r="I1266" s="3121" t="s">
        <v>0</v>
      </c>
    </row>
    <row r="1267" spans="1:9" ht="33">
      <c r="A1267" s="1840" t="s">
        <v>3583</v>
      </c>
      <c r="B1267" s="1841" t="s">
        <v>7943</v>
      </c>
      <c r="C1267" s="1842" t="s">
        <v>7765</v>
      </c>
      <c r="D1267" s="1852"/>
      <c r="E1267" s="1852"/>
      <c r="F1267" s="1853">
        <f t="shared" si="40"/>
        <v>0</v>
      </c>
      <c r="G1267" s="1843">
        <f t="shared" si="39"/>
        <v>0</v>
      </c>
      <c r="H1267" s="1173">
        <v>0.43480000000000002</v>
      </c>
      <c r="I1267" s="3121" t="s">
        <v>0</v>
      </c>
    </row>
    <row r="1268" spans="1:9" ht="16.5">
      <c r="A1268" s="1840" t="s">
        <v>1812</v>
      </c>
      <c r="B1268" s="1841" t="s">
        <v>7944</v>
      </c>
      <c r="C1268" s="1842" t="s">
        <v>7762</v>
      </c>
      <c r="D1268" s="1852"/>
      <c r="E1268" s="1852"/>
      <c r="F1268" s="1853">
        <f t="shared" si="40"/>
        <v>0</v>
      </c>
      <c r="G1268" s="1843">
        <f t="shared" si="39"/>
        <v>0</v>
      </c>
      <c r="H1268" s="1173">
        <v>1.0356000000000001</v>
      </c>
      <c r="I1268" s="3121" t="s">
        <v>0</v>
      </c>
    </row>
    <row r="1269" spans="1:9" ht="16.5">
      <c r="A1269" s="1840" t="s">
        <v>1813</v>
      </c>
      <c r="B1269" s="1841" t="s">
        <v>7945</v>
      </c>
      <c r="C1269" s="1842" t="s">
        <v>7762</v>
      </c>
      <c r="D1269" s="1852"/>
      <c r="E1269" s="1852"/>
      <c r="F1269" s="1853">
        <f t="shared" si="40"/>
        <v>0</v>
      </c>
      <c r="G1269" s="1843">
        <f t="shared" si="39"/>
        <v>0</v>
      </c>
      <c r="H1269" s="1173">
        <v>1.0366</v>
      </c>
      <c r="I1269" s="3121" t="s">
        <v>0</v>
      </c>
    </row>
    <row r="1270" spans="1:9" ht="16.5">
      <c r="A1270" s="1840" t="s">
        <v>1814</v>
      </c>
      <c r="B1270" s="1841" t="s">
        <v>7946</v>
      </c>
      <c r="C1270" s="1842" t="s">
        <v>7762</v>
      </c>
      <c r="D1270" s="1852"/>
      <c r="E1270" s="1852"/>
      <c r="F1270" s="1853">
        <f t="shared" si="40"/>
        <v>0</v>
      </c>
      <c r="G1270" s="1843">
        <f t="shared" si="39"/>
        <v>0</v>
      </c>
      <c r="H1270" s="1173">
        <v>1.0656000000000001</v>
      </c>
      <c r="I1270" s="3121" t="s">
        <v>0</v>
      </c>
    </row>
    <row r="1271" spans="1:9" ht="16.5">
      <c r="A1271" s="1840" t="s">
        <v>1815</v>
      </c>
      <c r="B1271" s="1841" t="s">
        <v>7947</v>
      </c>
      <c r="C1271" s="1842" t="s">
        <v>7762</v>
      </c>
      <c r="D1271" s="1852"/>
      <c r="E1271" s="1852"/>
      <c r="F1271" s="1853">
        <f t="shared" si="40"/>
        <v>0</v>
      </c>
      <c r="G1271" s="1843">
        <f t="shared" si="39"/>
        <v>0</v>
      </c>
      <c r="H1271" s="1173">
        <v>1.0578000000000001</v>
      </c>
      <c r="I1271" s="3121" t="s">
        <v>0</v>
      </c>
    </row>
    <row r="1272" spans="1:9" ht="16.5">
      <c r="A1272" s="1840" t="s">
        <v>1816</v>
      </c>
      <c r="B1272" s="1841" t="s">
        <v>7948</v>
      </c>
      <c r="C1272" s="1842" t="s">
        <v>7762</v>
      </c>
      <c r="D1272" s="1852"/>
      <c r="E1272" s="1852"/>
      <c r="F1272" s="1853">
        <f t="shared" si="40"/>
        <v>0</v>
      </c>
      <c r="G1272" s="1843">
        <f t="shared" si="39"/>
        <v>0</v>
      </c>
      <c r="H1272" s="1173">
        <v>1.028</v>
      </c>
      <c r="I1272" s="3121" t="s">
        <v>0</v>
      </c>
    </row>
    <row r="1273" spans="1:9" ht="16.5">
      <c r="A1273" s="1840" t="s">
        <v>1817</v>
      </c>
      <c r="B1273" s="1841" t="s">
        <v>7949</v>
      </c>
      <c r="C1273" s="1842" t="s">
        <v>7762</v>
      </c>
      <c r="D1273" s="1852"/>
      <c r="E1273" s="1852"/>
      <c r="F1273" s="1853">
        <f t="shared" si="40"/>
        <v>0</v>
      </c>
      <c r="G1273" s="1843">
        <f t="shared" si="39"/>
        <v>0</v>
      </c>
      <c r="H1273" s="1173">
        <v>1.028</v>
      </c>
      <c r="I1273" s="3121" t="s">
        <v>0</v>
      </c>
    </row>
    <row r="1274" spans="1:9" ht="16.5">
      <c r="A1274" s="1840" t="s">
        <v>1984</v>
      </c>
      <c r="B1274" s="1841" t="s">
        <v>7950</v>
      </c>
      <c r="C1274" s="1842" t="s">
        <v>7762</v>
      </c>
      <c r="D1274" s="1852"/>
      <c r="E1274" s="1852"/>
      <c r="F1274" s="1853">
        <f t="shared" si="40"/>
        <v>0</v>
      </c>
      <c r="G1274" s="1843">
        <f t="shared" si="39"/>
        <v>0</v>
      </c>
      <c r="H1274" s="1173">
        <v>1.0863</v>
      </c>
      <c r="I1274" s="3121" t="s">
        <v>0</v>
      </c>
    </row>
    <row r="1275" spans="1:9" ht="16.5">
      <c r="A1275" s="1840" t="s">
        <v>1818</v>
      </c>
      <c r="B1275" s="1841" t="s">
        <v>7951</v>
      </c>
      <c r="C1275" s="1842" t="s">
        <v>7762</v>
      </c>
      <c r="D1275" s="1852"/>
      <c r="E1275" s="1852"/>
      <c r="F1275" s="1853">
        <f t="shared" si="40"/>
        <v>0</v>
      </c>
      <c r="G1275" s="1843">
        <f t="shared" si="39"/>
        <v>0</v>
      </c>
      <c r="H1275" s="1173">
        <v>1.0311999999999999</v>
      </c>
      <c r="I1275" s="3121" t="s">
        <v>0</v>
      </c>
    </row>
    <row r="1276" spans="1:9" ht="16.5">
      <c r="A1276" s="1840" t="s">
        <v>1819</v>
      </c>
      <c r="B1276" s="1841" t="s">
        <v>7952</v>
      </c>
      <c r="C1276" s="1842" t="s">
        <v>7762</v>
      </c>
      <c r="D1276" s="1852"/>
      <c r="E1276" s="1852"/>
      <c r="F1276" s="1853">
        <f t="shared" si="40"/>
        <v>0</v>
      </c>
      <c r="G1276" s="1843">
        <f t="shared" si="39"/>
        <v>0</v>
      </c>
      <c r="H1276" s="1173">
        <v>1.0465</v>
      </c>
      <c r="I1276" s="3121" t="s">
        <v>0</v>
      </c>
    </row>
    <row r="1277" spans="1:9" ht="16.5">
      <c r="A1277" s="1840" t="s">
        <v>1820</v>
      </c>
      <c r="B1277" s="1841" t="s">
        <v>7953</v>
      </c>
      <c r="C1277" s="1842" t="s">
        <v>7762</v>
      </c>
      <c r="D1277" s="1852"/>
      <c r="E1277" s="1852"/>
      <c r="F1277" s="1853">
        <f t="shared" si="40"/>
        <v>0</v>
      </c>
      <c r="G1277" s="1843">
        <f t="shared" si="39"/>
        <v>0</v>
      </c>
      <c r="H1277" s="1173">
        <v>1.0365</v>
      </c>
      <c r="I1277" s="3121" t="s">
        <v>0</v>
      </c>
    </row>
    <row r="1278" spans="1:9" ht="16.5">
      <c r="A1278" s="1840" t="s">
        <v>3222</v>
      </c>
      <c r="B1278" s="1841" t="s">
        <v>7954</v>
      </c>
      <c r="C1278" s="1842" t="s">
        <v>7762</v>
      </c>
      <c r="D1278" s="1852"/>
      <c r="E1278" s="1852"/>
      <c r="F1278" s="1853">
        <f t="shared" si="40"/>
        <v>0</v>
      </c>
      <c r="G1278" s="1843">
        <f t="shared" si="39"/>
        <v>0</v>
      </c>
      <c r="H1278" s="1173">
        <v>1.0353000000000001</v>
      </c>
      <c r="I1278" s="3121" t="s">
        <v>0</v>
      </c>
    </row>
    <row r="1279" spans="1:9" ht="16.5">
      <c r="A1279" s="1840" t="s">
        <v>1985</v>
      </c>
      <c r="B1279" s="1841" t="s">
        <v>7955</v>
      </c>
      <c r="C1279" s="1842" t="s">
        <v>7762</v>
      </c>
      <c r="D1279" s="1852"/>
      <c r="E1279" s="1852"/>
      <c r="F1279" s="1853">
        <f t="shared" si="40"/>
        <v>0</v>
      </c>
      <c r="G1279" s="1843">
        <f t="shared" si="39"/>
        <v>0</v>
      </c>
      <c r="H1279" s="1173">
        <v>1.0787</v>
      </c>
      <c r="I1279" s="3121" t="s">
        <v>0</v>
      </c>
    </row>
    <row r="1280" spans="1:9" ht="16.5">
      <c r="A1280" s="1840" t="s">
        <v>1821</v>
      </c>
      <c r="B1280" s="1841" t="s">
        <v>7956</v>
      </c>
      <c r="C1280" s="1842" t="s">
        <v>7762</v>
      </c>
      <c r="D1280" s="1852"/>
      <c r="E1280" s="1852"/>
      <c r="F1280" s="1853">
        <f t="shared" si="40"/>
        <v>0</v>
      </c>
      <c r="G1280" s="1843">
        <f t="shared" si="39"/>
        <v>0</v>
      </c>
      <c r="H1280" s="1173">
        <v>1.0346</v>
      </c>
      <c r="I1280" s="3121" t="s">
        <v>0</v>
      </c>
    </row>
    <row r="1281" spans="1:9" ht="16.5">
      <c r="A1281" s="1840" t="s">
        <v>2748</v>
      </c>
      <c r="B1281" s="1841" t="s">
        <v>7957</v>
      </c>
      <c r="C1281" s="1842" t="s">
        <v>7762</v>
      </c>
      <c r="D1281" s="1852"/>
      <c r="E1281" s="1852"/>
      <c r="F1281" s="1853">
        <f t="shared" si="40"/>
        <v>0</v>
      </c>
      <c r="G1281" s="1843">
        <f t="shared" si="39"/>
        <v>0</v>
      </c>
      <c r="H1281" s="1173">
        <v>0.91949999999999998</v>
      </c>
      <c r="I1281" s="3121" t="s">
        <v>0</v>
      </c>
    </row>
    <row r="1282" spans="1:9" ht="16.5">
      <c r="A1282" s="1840" t="s">
        <v>3223</v>
      </c>
      <c r="B1282" s="1841" t="s">
        <v>7958</v>
      </c>
      <c r="C1282" s="1842" t="s">
        <v>7762</v>
      </c>
      <c r="D1282" s="1852"/>
      <c r="E1282" s="1852"/>
      <c r="F1282" s="1853">
        <f t="shared" si="40"/>
        <v>0</v>
      </c>
      <c r="G1282" s="1843">
        <f t="shared" si="39"/>
        <v>0</v>
      </c>
      <c r="H1282" s="1173">
        <v>0.92090000000000005</v>
      </c>
      <c r="I1282" s="3121" t="s">
        <v>0</v>
      </c>
    </row>
    <row r="1283" spans="1:9" ht="16.5">
      <c r="A1283" s="1840" t="s">
        <v>1822</v>
      </c>
      <c r="B1283" s="1841" t="s">
        <v>7959</v>
      </c>
      <c r="C1283" s="1842" t="s">
        <v>7762</v>
      </c>
      <c r="D1283" s="1852"/>
      <c r="E1283" s="1852"/>
      <c r="F1283" s="1853">
        <f t="shared" si="40"/>
        <v>0</v>
      </c>
      <c r="G1283" s="1843">
        <f t="shared" si="39"/>
        <v>0</v>
      </c>
      <c r="H1283" s="1173">
        <v>1.0348999999999999</v>
      </c>
      <c r="I1283" s="3121" t="s">
        <v>0</v>
      </c>
    </row>
    <row r="1284" spans="1:9" ht="16.5">
      <c r="A1284" s="1840" t="s">
        <v>1823</v>
      </c>
      <c r="B1284" s="1841" t="s">
        <v>7960</v>
      </c>
      <c r="C1284" s="1842" t="s">
        <v>7762</v>
      </c>
      <c r="D1284" s="1852"/>
      <c r="E1284" s="1852"/>
      <c r="F1284" s="1853">
        <f t="shared" si="40"/>
        <v>0</v>
      </c>
      <c r="G1284" s="1843">
        <f t="shared" ref="G1284:G1311" si="41">IF($F$1334=0,0,F1284/$F$1334)</f>
        <v>0</v>
      </c>
      <c r="H1284" s="1173">
        <v>1.0136000000000001</v>
      </c>
      <c r="I1284" s="3121" t="s">
        <v>0</v>
      </c>
    </row>
    <row r="1285" spans="1:9" ht="16.5">
      <c r="A1285" s="1840" t="s">
        <v>1824</v>
      </c>
      <c r="B1285" s="1841" t="s">
        <v>7961</v>
      </c>
      <c r="C1285" s="1842" t="s">
        <v>7762</v>
      </c>
      <c r="D1285" s="1852"/>
      <c r="E1285" s="1852"/>
      <c r="F1285" s="1853">
        <f t="shared" si="40"/>
        <v>0</v>
      </c>
      <c r="G1285" s="1843">
        <f t="shared" si="41"/>
        <v>0</v>
      </c>
      <c r="H1285" s="1173">
        <v>0.92410000000000003</v>
      </c>
      <c r="I1285" s="3121" t="s">
        <v>0</v>
      </c>
    </row>
    <row r="1286" spans="1:9" ht="16.5">
      <c r="A1286" s="1840" t="s">
        <v>1825</v>
      </c>
      <c r="B1286" s="1841" t="s">
        <v>7962</v>
      </c>
      <c r="C1286" s="1842" t="s">
        <v>7762</v>
      </c>
      <c r="D1286" s="1852"/>
      <c r="E1286" s="1852"/>
      <c r="F1286" s="1853">
        <f t="shared" si="40"/>
        <v>0</v>
      </c>
      <c r="G1286" s="1843">
        <f t="shared" si="41"/>
        <v>0</v>
      </c>
      <c r="H1286" s="1173">
        <v>0.8488</v>
      </c>
      <c r="I1286" s="3121" t="s">
        <v>0</v>
      </c>
    </row>
    <row r="1287" spans="1:9" ht="16.5">
      <c r="A1287" s="1840" t="s">
        <v>6135</v>
      </c>
      <c r="B1287" s="1841" t="s">
        <v>7963</v>
      </c>
      <c r="C1287" s="1842" t="s">
        <v>7765</v>
      </c>
      <c r="D1287" s="1852"/>
      <c r="E1287" s="1852"/>
      <c r="F1287" s="1853">
        <f t="shared" si="40"/>
        <v>0</v>
      </c>
      <c r="G1287" s="1843">
        <f t="shared" si="41"/>
        <v>0</v>
      </c>
      <c r="H1287" s="1173">
        <v>0.18709999999999999</v>
      </c>
      <c r="I1287" s="3121" t="s">
        <v>0</v>
      </c>
    </row>
    <row r="1288" spans="1:9" ht="16.5">
      <c r="A1288" s="1840" t="s">
        <v>6136</v>
      </c>
      <c r="B1288" s="1841" t="s">
        <v>7964</v>
      </c>
      <c r="C1288" s="1842" t="s">
        <v>7765</v>
      </c>
      <c r="D1288" s="1852"/>
      <c r="E1288" s="1852"/>
      <c r="F1288" s="1853">
        <f t="shared" si="40"/>
        <v>0</v>
      </c>
      <c r="G1288" s="1843">
        <f t="shared" si="41"/>
        <v>0</v>
      </c>
      <c r="H1288" s="1173">
        <v>0.191</v>
      </c>
      <c r="I1288" s="3121" t="s">
        <v>0</v>
      </c>
    </row>
    <row r="1289" spans="1:9" ht="16.5">
      <c r="A1289" s="1840" t="s">
        <v>1826</v>
      </c>
      <c r="B1289" s="1841" t="s">
        <v>7965</v>
      </c>
      <c r="C1289" s="1842" t="s">
        <v>7762</v>
      </c>
      <c r="D1289" s="1852"/>
      <c r="E1289" s="1852"/>
      <c r="F1289" s="1853">
        <f t="shared" si="40"/>
        <v>0</v>
      </c>
      <c r="G1289" s="1843">
        <f t="shared" si="41"/>
        <v>0</v>
      </c>
      <c r="H1289" s="1173">
        <v>0.97009999999999996</v>
      </c>
      <c r="I1289" s="3121" t="s">
        <v>0</v>
      </c>
    </row>
    <row r="1290" spans="1:9" ht="16.5">
      <c r="A1290" s="1840" t="s">
        <v>3584</v>
      </c>
      <c r="B1290" s="1841" t="s">
        <v>7966</v>
      </c>
      <c r="C1290" s="1842" t="s">
        <v>7762</v>
      </c>
      <c r="D1290" s="1852"/>
      <c r="E1290" s="1852"/>
      <c r="F1290" s="1853">
        <f t="shared" si="40"/>
        <v>0</v>
      </c>
      <c r="G1290" s="1843">
        <f t="shared" si="41"/>
        <v>0</v>
      </c>
      <c r="H1290" s="1173">
        <v>0</v>
      </c>
      <c r="I1290" s="3121" t="s">
        <v>0</v>
      </c>
    </row>
    <row r="1291" spans="1:9" ht="16.5">
      <c r="A1291" s="1840" t="s">
        <v>1827</v>
      </c>
      <c r="B1291" s="1841" t="s">
        <v>7967</v>
      </c>
      <c r="C1291" s="1842" t="s">
        <v>7762</v>
      </c>
      <c r="D1291" s="1852"/>
      <c r="E1291" s="1852"/>
      <c r="F1291" s="1853">
        <f t="shared" si="40"/>
        <v>0</v>
      </c>
      <c r="G1291" s="1843">
        <f t="shared" si="41"/>
        <v>0</v>
      </c>
      <c r="H1291" s="1173">
        <v>0.96950000000000003</v>
      </c>
      <c r="I1291" s="3121" t="s">
        <v>0</v>
      </c>
    </row>
    <row r="1292" spans="1:9" ht="16.5">
      <c r="A1292" s="1840" t="s">
        <v>1828</v>
      </c>
      <c r="B1292" s="1841" t="s">
        <v>7968</v>
      </c>
      <c r="C1292" s="1842" t="s">
        <v>7762</v>
      </c>
      <c r="D1292" s="1852"/>
      <c r="E1292" s="1852"/>
      <c r="F1292" s="1853">
        <f t="shared" si="40"/>
        <v>0</v>
      </c>
      <c r="G1292" s="1843">
        <f t="shared" si="41"/>
        <v>0</v>
      </c>
      <c r="H1292" s="1173">
        <v>1.073</v>
      </c>
      <c r="I1292" s="3121" t="s">
        <v>0</v>
      </c>
    </row>
    <row r="1293" spans="1:9" ht="16.5">
      <c r="A1293" s="1840" t="s">
        <v>1829</v>
      </c>
      <c r="B1293" s="1841" t="s">
        <v>7969</v>
      </c>
      <c r="C1293" s="1842" t="s">
        <v>7762</v>
      </c>
      <c r="D1293" s="1852"/>
      <c r="E1293" s="1852"/>
      <c r="F1293" s="1853">
        <f t="shared" si="40"/>
        <v>0</v>
      </c>
      <c r="G1293" s="1843">
        <f t="shared" si="41"/>
        <v>0</v>
      </c>
      <c r="H1293" s="1173">
        <v>1.0531999999999999</v>
      </c>
      <c r="I1293" s="3121" t="s">
        <v>0</v>
      </c>
    </row>
    <row r="1294" spans="1:9" ht="16.5">
      <c r="A1294" s="1840" t="s">
        <v>1830</v>
      </c>
      <c r="B1294" s="1841" t="s">
        <v>7970</v>
      </c>
      <c r="C1294" s="1842" t="s">
        <v>7762</v>
      </c>
      <c r="D1294" s="1852"/>
      <c r="E1294" s="1852"/>
      <c r="F1294" s="1853">
        <f t="shared" si="40"/>
        <v>0</v>
      </c>
      <c r="G1294" s="1843">
        <f t="shared" si="41"/>
        <v>0</v>
      </c>
      <c r="H1294" s="1173">
        <v>0.90769999999999995</v>
      </c>
      <c r="I1294" s="3121" t="s">
        <v>0</v>
      </c>
    </row>
    <row r="1295" spans="1:9" ht="16.5">
      <c r="A1295" s="1840" t="s">
        <v>1831</v>
      </c>
      <c r="B1295" s="1841" t="s">
        <v>7971</v>
      </c>
      <c r="C1295" s="1842" t="s">
        <v>7762</v>
      </c>
      <c r="D1295" s="1852"/>
      <c r="E1295" s="1852"/>
      <c r="F1295" s="1853">
        <f t="shared" si="40"/>
        <v>0</v>
      </c>
      <c r="G1295" s="1843">
        <f t="shared" si="41"/>
        <v>0</v>
      </c>
      <c r="H1295" s="1173">
        <v>1.0204</v>
      </c>
      <c r="I1295" s="3121" t="s">
        <v>0</v>
      </c>
    </row>
    <row r="1296" spans="1:9" ht="16.5">
      <c r="A1296" s="1840" t="s">
        <v>3224</v>
      </c>
      <c r="B1296" s="1841" t="s">
        <v>7972</v>
      </c>
      <c r="C1296" s="1842" t="s">
        <v>7765</v>
      </c>
      <c r="D1296" s="1852"/>
      <c r="E1296" s="1852"/>
      <c r="F1296" s="1853">
        <f t="shared" si="40"/>
        <v>0</v>
      </c>
      <c r="G1296" s="1843">
        <f t="shared" si="41"/>
        <v>0</v>
      </c>
      <c r="H1296" s="1173">
        <v>0.6754</v>
      </c>
      <c r="I1296" s="3121" t="s">
        <v>0</v>
      </c>
    </row>
    <row r="1297" spans="1:9" ht="16.5">
      <c r="A1297" s="1840" t="s">
        <v>3225</v>
      </c>
      <c r="B1297" s="1841" t="s">
        <v>7973</v>
      </c>
      <c r="C1297" s="1842" t="s">
        <v>7765</v>
      </c>
      <c r="D1297" s="1852"/>
      <c r="E1297" s="1852"/>
      <c r="F1297" s="1853">
        <f t="shared" si="40"/>
        <v>0</v>
      </c>
      <c r="G1297" s="1843">
        <f t="shared" si="41"/>
        <v>0</v>
      </c>
      <c r="H1297" s="1173">
        <v>0.6754</v>
      </c>
      <c r="I1297" s="3121" t="s">
        <v>0</v>
      </c>
    </row>
    <row r="1298" spans="1:9" ht="16.5">
      <c r="A1298" s="1840" t="s">
        <v>3226</v>
      </c>
      <c r="B1298" s="1841" t="s">
        <v>7974</v>
      </c>
      <c r="C1298" s="1842" t="s">
        <v>7765</v>
      </c>
      <c r="D1298" s="1852"/>
      <c r="E1298" s="1852"/>
      <c r="F1298" s="1853">
        <f t="shared" si="40"/>
        <v>0</v>
      </c>
      <c r="G1298" s="1843">
        <f t="shared" si="41"/>
        <v>0</v>
      </c>
      <c r="H1298" s="1173">
        <v>0.6754</v>
      </c>
      <c r="I1298" s="3121" t="s">
        <v>0</v>
      </c>
    </row>
    <row r="1299" spans="1:9" ht="16.5">
      <c r="A1299" s="1840" t="s">
        <v>1707</v>
      </c>
      <c r="B1299" s="1841" t="s">
        <v>7975</v>
      </c>
      <c r="C1299" s="1842" t="s">
        <v>7765</v>
      </c>
      <c r="D1299" s="1852"/>
      <c r="E1299" s="1852"/>
      <c r="F1299" s="1853">
        <f t="shared" si="40"/>
        <v>0</v>
      </c>
      <c r="G1299" s="1843">
        <f t="shared" si="41"/>
        <v>0</v>
      </c>
      <c r="H1299" s="1173">
        <v>0.6754</v>
      </c>
      <c r="I1299" s="3121" t="s">
        <v>0</v>
      </c>
    </row>
    <row r="1300" spans="1:9" ht="16.5">
      <c r="A1300" s="1840" t="s">
        <v>1832</v>
      </c>
      <c r="B1300" s="1841" t="s">
        <v>7976</v>
      </c>
      <c r="C1300" s="1842" t="s">
        <v>7762</v>
      </c>
      <c r="D1300" s="1852"/>
      <c r="E1300" s="1852"/>
      <c r="F1300" s="1853">
        <f t="shared" si="40"/>
        <v>0</v>
      </c>
      <c r="G1300" s="1843">
        <f t="shared" si="41"/>
        <v>0</v>
      </c>
      <c r="H1300" s="1173">
        <v>1.0174000000000001</v>
      </c>
      <c r="I1300" s="3121" t="s">
        <v>0</v>
      </c>
    </row>
    <row r="1301" spans="1:9" ht="16.5">
      <c r="A1301" s="1840" t="s">
        <v>1833</v>
      </c>
      <c r="B1301" s="1841" t="s">
        <v>7977</v>
      </c>
      <c r="C1301" s="1842" t="s">
        <v>7762</v>
      </c>
      <c r="D1301" s="1852"/>
      <c r="E1301" s="1852"/>
      <c r="F1301" s="1853">
        <f t="shared" si="40"/>
        <v>0</v>
      </c>
      <c r="G1301" s="1843">
        <f t="shared" si="41"/>
        <v>0</v>
      </c>
      <c r="H1301" s="1173">
        <v>0.9052</v>
      </c>
      <c r="I1301" s="3121" t="s">
        <v>0</v>
      </c>
    </row>
    <row r="1302" spans="1:9" ht="16.5">
      <c r="A1302" s="1840" t="s">
        <v>1834</v>
      </c>
      <c r="B1302" s="1841" t="s">
        <v>7978</v>
      </c>
      <c r="C1302" s="1842" t="s">
        <v>7762</v>
      </c>
      <c r="D1302" s="1852"/>
      <c r="E1302" s="1852"/>
      <c r="F1302" s="1853">
        <f t="shared" si="40"/>
        <v>0</v>
      </c>
      <c r="G1302" s="1843">
        <f t="shared" si="41"/>
        <v>0</v>
      </c>
      <c r="H1302" s="1173">
        <v>1.026</v>
      </c>
      <c r="I1302" s="3121" t="s">
        <v>0</v>
      </c>
    </row>
    <row r="1303" spans="1:9" ht="16.5">
      <c r="A1303" s="1840" t="s">
        <v>1986</v>
      </c>
      <c r="B1303" s="1841" t="s">
        <v>7979</v>
      </c>
      <c r="C1303" s="1842" t="s">
        <v>7762</v>
      </c>
      <c r="D1303" s="1852"/>
      <c r="E1303" s="1852"/>
      <c r="F1303" s="1853">
        <f t="shared" si="40"/>
        <v>0</v>
      </c>
      <c r="G1303" s="1843">
        <f t="shared" si="41"/>
        <v>0</v>
      </c>
      <c r="H1303" s="1173">
        <v>1.0143</v>
      </c>
      <c r="I1303" s="3121" t="s">
        <v>0</v>
      </c>
    </row>
    <row r="1304" spans="1:9" ht="16.5">
      <c r="A1304" s="1840" t="s">
        <v>1835</v>
      </c>
      <c r="B1304" s="1841" t="s">
        <v>7980</v>
      </c>
      <c r="C1304" s="1842" t="s">
        <v>7762</v>
      </c>
      <c r="D1304" s="1852"/>
      <c r="E1304" s="1852"/>
      <c r="F1304" s="1853">
        <f t="shared" si="40"/>
        <v>0</v>
      </c>
      <c r="G1304" s="1843">
        <f t="shared" si="41"/>
        <v>0</v>
      </c>
      <c r="H1304" s="1173">
        <v>1.0142</v>
      </c>
      <c r="I1304" s="3121" t="s">
        <v>0</v>
      </c>
    </row>
    <row r="1305" spans="1:9" ht="32.25">
      <c r="A1305" s="1840" t="s">
        <v>6137</v>
      </c>
      <c r="B1305" s="1841" t="s">
        <v>7981</v>
      </c>
      <c r="C1305" s="1842" t="s">
        <v>7762</v>
      </c>
      <c r="D1305" s="1852"/>
      <c r="E1305" s="1852"/>
      <c r="F1305" s="1853">
        <f t="shared" si="40"/>
        <v>0</v>
      </c>
      <c r="G1305" s="1843">
        <f t="shared" si="41"/>
        <v>0</v>
      </c>
      <c r="H1305" s="1173">
        <v>0.7703295652173916</v>
      </c>
      <c r="I1305" s="3121" t="s">
        <v>6746</v>
      </c>
    </row>
    <row r="1306" spans="1:9" ht="32.25">
      <c r="A1306" s="1840" t="s">
        <v>1836</v>
      </c>
      <c r="B1306" s="1841" t="s">
        <v>7982</v>
      </c>
      <c r="C1306" s="1842" t="s">
        <v>7762</v>
      </c>
      <c r="D1306" s="1852"/>
      <c r="E1306" s="1852"/>
      <c r="F1306" s="1853">
        <f t="shared" si="40"/>
        <v>0</v>
      </c>
      <c r="G1306" s="1843">
        <f t="shared" si="41"/>
        <v>0</v>
      </c>
      <c r="H1306" s="1173">
        <v>0.85680000000000001</v>
      </c>
      <c r="I1306" s="3121" t="s">
        <v>0</v>
      </c>
    </row>
    <row r="1307" spans="1:9" ht="16.5">
      <c r="A1307" s="1840" t="s">
        <v>1987</v>
      </c>
      <c r="B1307" s="1841" t="s">
        <v>7983</v>
      </c>
      <c r="C1307" s="1842" t="s">
        <v>7762</v>
      </c>
      <c r="D1307" s="1852"/>
      <c r="E1307" s="1852"/>
      <c r="F1307" s="1853">
        <f t="shared" si="40"/>
        <v>0</v>
      </c>
      <c r="G1307" s="1843">
        <f t="shared" si="41"/>
        <v>0</v>
      </c>
      <c r="H1307" s="1173">
        <v>0.92630000000000001</v>
      </c>
      <c r="I1307" s="3121" t="s">
        <v>0</v>
      </c>
    </row>
    <row r="1308" spans="1:9" ht="16.5">
      <c r="A1308" s="1840" t="s">
        <v>1837</v>
      </c>
      <c r="B1308" s="1841" t="s">
        <v>7984</v>
      </c>
      <c r="C1308" s="1842" t="s">
        <v>7762</v>
      </c>
      <c r="D1308" s="1852"/>
      <c r="E1308" s="1852"/>
      <c r="F1308" s="1853">
        <f t="shared" si="40"/>
        <v>0</v>
      </c>
      <c r="G1308" s="1843">
        <f t="shared" si="41"/>
        <v>0</v>
      </c>
      <c r="H1308" s="1173">
        <v>0.99360000000000004</v>
      </c>
      <c r="I1308" s="3121" t="s">
        <v>0</v>
      </c>
    </row>
    <row r="1309" spans="1:9" ht="16.5">
      <c r="A1309" s="1840" t="s">
        <v>1838</v>
      </c>
      <c r="B1309" s="1841" t="s">
        <v>7985</v>
      </c>
      <c r="C1309" s="1842" t="s">
        <v>7762</v>
      </c>
      <c r="D1309" s="1852"/>
      <c r="E1309" s="1852"/>
      <c r="F1309" s="1853">
        <f t="shared" si="40"/>
        <v>0</v>
      </c>
      <c r="G1309" s="1843">
        <f t="shared" si="41"/>
        <v>0</v>
      </c>
      <c r="H1309" s="1173">
        <v>0.99409999999999998</v>
      </c>
      <c r="I1309" s="3121" t="s">
        <v>0</v>
      </c>
    </row>
    <row r="1310" spans="1:9" ht="16.5">
      <c r="A1310" s="1840" t="s">
        <v>1839</v>
      </c>
      <c r="B1310" s="1841" t="s">
        <v>7986</v>
      </c>
      <c r="C1310" s="1842" t="s">
        <v>7762</v>
      </c>
      <c r="D1310" s="1852"/>
      <c r="E1310" s="1852"/>
      <c r="F1310" s="1853">
        <f t="shared" si="40"/>
        <v>0</v>
      </c>
      <c r="G1310" s="1843">
        <f t="shared" si="41"/>
        <v>0</v>
      </c>
      <c r="H1310" s="1173">
        <v>0.99370000000000003</v>
      </c>
      <c r="I1310" s="3121" t="s">
        <v>0</v>
      </c>
    </row>
    <row r="1311" spans="1:9" ht="16.5">
      <c r="A1311" s="1840" t="s">
        <v>3585</v>
      </c>
      <c r="B1311" s="1841" t="s">
        <v>7987</v>
      </c>
      <c r="C1311" s="1842" t="s">
        <v>7762</v>
      </c>
      <c r="D1311" s="1852"/>
      <c r="E1311" s="1852"/>
      <c r="F1311" s="1853">
        <f t="shared" si="40"/>
        <v>0</v>
      </c>
      <c r="G1311" s="1843">
        <f t="shared" si="41"/>
        <v>0</v>
      </c>
      <c r="H1311" s="1173">
        <v>0.99370000000000003</v>
      </c>
      <c r="I1311" s="3121" t="s">
        <v>0</v>
      </c>
    </row>
    <row r="1312" spans="1:9" ht="16.5">
      <c r="A1312" s="3124" t="s">
        <v>6170</v>
      </c>
      <c r="B1312" s="3125" t="s">
        <v>6171</v>
      </c>
      <c r="C1312" s="3126" t="s">
        <v>6172</v>
      </c>
      <c r="D1312" s="1852"/>
      <c r="E1312" s="1852"/>
      <c r="F1312" s="1853">
        <f t="shared" si="40"/>
        <v>0</v>
      </c>
      <c r="G1312" s="1843">
        <f t="shared" ref="G1312:G1330" si="42">IF($F$1343=0,0,F1312/$F$1343)</f>
        <v>0</v>
      </c>
      <c r="H1312" s="1173">
        <v>0.18609999999999999</v>
      </c>
      <c r="I1312" s="3121" t="s">
        <v>0</v>
      </c>
    </row>
    <row r="1313" spans="1:9" ht="16.5">
      <c r="A1313" s="3124" t="s">
        <v>6173</v>
      </c>
      <c r="B1313" s="3125" t="s">
        <v>6174</v>
      </c>
      <c r="C1313" s="3126" t="s">
        <v>6172</v>
      </c>
      <c r="D1313" s="1852"/>
      <c r="E1313" s="1852"/>
      <c r="F1313" s="1853">
        <f t="shared" si="40"/>
        <v>0</v>
      </c>
      <c r="G1313" s="1843">
        <f t="shared" si="42"/>
        <v>0</v>
      </c>
      <c r="H1313" s="1173">
        <v>0.69099999999999995</v>
      </c>
      <c r="I1313" s="3127" t="s">
        <v>0</v>
      </c>
    </row>
    <row r="1314" spans="1:9" ht="16.5">
      <c r="A1314" s="3124" t="s">
        <v>6175</v>
      </c>
      <c r="B1314" s="3125" t="s">
        <v>6176</v>
      </c>
      <c r="C1314" s="3126" t="s">
        <v>6172</v>
      </c>
      <c r="D1314" s="1852"/>
      <c r="E1314" s="1852"/>
      <c r="F1314" s="1853">
        <f t="shared" si="40"/>
        <v>0</v>
      </c>
      <c r="G1314" s="1843">
        <f t="shared" si="42"/>
        <v>0</v>
      </c>
      <c r="H1314" s="1173">
        <v>0.40139999999999998</v>
      </c>
      <c r="I1314" s="3127" t="s">
        <v>0</v>
      </c>
    </row>
    <row r="1315" spans="1:9" ht="16.5">
      <c r="A1315" s="3124" t="s">
        <v>6177</v>
      </c>
      <c r="B1315" s="3125" t="s">
        <v>6178</v>
      </c>
      <c r="C1315" s="3126" t="s">
        <v>6172</v>
      </c>
      <c r="D1315" s="1852"/>
      <c r="E1315" s="1852"/>
      <c r="F1315" s="1853">
        <f t="shared" si="40"/>
        <v>0</v>
      </c>
      <c r="G1315" s="1843">
        <f t="shared" si="42"/>
        <v>0</v>
      </c>
      <c r="H1315" s="1173">
        <v>1</v>
      </c>
      <c r="I1315" s="3127" t="s">
        <v>6179</v>
      </c>
    </row>
    <row r="1316" spans="1:9" ht="16.5">
      <c r="A1316" s="3124" t="s">
        <v>6180</v>
      </c>
      <c r="B1316" s="3125" t="s">
        <v>6181</v>
      </c>
      <c r="C1316" s="3126" t="s">
        <v>6172</v>
      </c>
      <c r="D1316" s="1852"/>
      <c r="E1316" s="1852"/>
      <c r="F1316" s="1853">
        <f t="shared" si="40"/>
        <v>0</v>
      </c>
      <c r="G1316" s="1843">
        <f t="shared" si="42"/>
        <v>0</v>
      </c>
      <c r="H1316" s="1173">
        <v>1</v>
      </c>
      <c r="I1316" s="3127" t="s">
        <v>6179</v>
      </c>
    </row>
    <row r="1317" spans="1:9" ht="16.5">
      <c r="A1317" s="3124" t="s">
        <v>6182</v>
      </c>
      <c r="B1317" s="3125" t="s">
        <v>6183</v>
      </c>
      <c r="C1317" s="3126" t="s">
        <v>6172</v>
      </c>
      <c r="D1317" s="1852"/>
      <c r="E1317" s="1852"/>
      <c r="F1317" s="1853">
        <f t="shared" si="40"/>
        <v>0</v>
      </c>
      <c r="G1317" s="1843">
        <f t="shared" si="42"/>
        <v>0</v>
      </c>
      <c r="H1317" s="1173">
        <v>0.28289999999999998</v>
      </c>
      <c r="I1317" s="3127" t="s">
        <v>0</v>
      </c>
    </row>
    <row r="1318" spans="1:9" ht="16.5">
      <c r="A1318" s="3124" t="s">
        <v>6184</v>
      </c>
      <c r="B1318" s="3125" t="s">
        <v>6185</v>
      </c>
      <c r="C1318" s="3126" t="s">
        <v>6172</v>
      </c>
      <c r="D1318" s="1852"/>
      <c r="E1318" s="1852"/>
      <c r="F1318" s="1853">
        <f t="shared" si="40"/>
        <v>0</v>
      </c>
      <c r="G1318" s="1843">
        <f t="shared" si="42"/>
        <v>0</v>
      </c>
      <c r="H1318" s="1173">
        <v>0.3291</v>
      </c>
      <c r="I1318" s="3127" t="s">
        <v>0</v>
      </c>
    </row>
    <row r="1319" spans="1:9" ht="16.5">
      <c r="A1319" s="3124" t="s">
        <v>6186</v>
      </c>
      <c r="B1319" s="3125" t="s">
        <v>6187</v>
      </c>
      <c r="C1319" s="3126" t="s">
        <v>6172</v>
      </c>
      <c r="D1319" s="1852"/>
      <c r="E1319" s="1852"/>
      <c r="F1319" s="1853">
        <f t="shared" si="40"/>
        <v>0</v>
      </c>
      <c r="G1319" s="1843">
        <f t="shared" si="42"/>
        <v>0</v>
      </c>
      <c r="H1319" s="1173">
        <v>1</v>
      </c>
      <c r="I1319" s="3127" t="s">
        <v>6179</v>
      </c>
    </row>
    <row r="1320" spans="1:9" ht="16.5">
      <c r="A1320" s="3124" t="s">
        <v>6188</v>
      </c>
      <c r="B1320" s="3125" t="s">
        <v>6189</v>
      </c>
      <c r="C1320" s="3126" t="s">
        <v>6172</v>
      </c>
      <c r="D1320" s="1852"/>
      <c r="E1320" s="1852"/>
      <c r="F1320" s="1853">
        <f t="shared" ref="F1320:F1330" si="43">D1320*E1320</f>
        <v>0</v>
      </c>
      <c r="G1320" s="1843">
        <f t="shared" si="42"/>
        <v>0</v>
      </c>
      <c r="H1320" s="1173">
        <v>1</v>
      </c>
      <c r="I1320" s="3127" t="s">
        <v>6179</v>
      </c>
    </row>
    <row r="1321" spans="1:9" ht="16.5">
      <c r="A1321" s="3124" t="s">
        <v>6190</v>
      </c>
      <c r="B1321" s="3125" t="s">
        <v>6191</v>
      </c>
      <c r="C1321" s="3126" t="s">
        <v>6172</v>
      </c>
      <c r="D1321" s="1852"/>
      <c r="E1321" s="1852"/>
      <c r="F1321" s="1853">
        <f t="shared" si="43"/>
        <v>0</v>
      </c>
      <c r="G1321" s="1843">
        <f t="shared" si="42"/>
        <v>0</v>
      </c>
      <c r="H1321" s="1173">
        <v>0.69350000000000001</v>
      </c>
      <c r="I1321" s="3127" t="s">
        <v>0</v>
      </c>
    </row>
    <row r="1322" spans="1:9" ht="16.5">
      <c r="A1322" s="3124" t="s">
        <v>6192</v>
      </c>
      <c r="B1322" s="3125" t="s">
        <v>6193</v>
      </c>
      <c r="C1322" s="3126" t="s">
        <v>6172</v>
      </c>
      <c r="D1322" s="1852"/>
      <c r="E1322" s="1852"/>
      <c r="F1322" s="1853">
        <f t="shared" si="43"/>
        <v>0</v>
      </c>
      <c r="G1322" s="1843">
        <f t="shared" si="42"/>
        <v>0</v>
      </c>
      <c r="H1322" s="1173">
        <v>0.38040000000000002</v>
      </c>
      <c r="I1322" s="3127" t="s">
        <v>0</v>
      </c>
    </row>
    <row r="1323" spans="1:9" ht="16.5">
      <c r="A1323" s="3124" t="s">
        <v>6194</v>
      </c>
      <c r="B1323" s="3125" t="s">
        <v>6195</v>
      </c>
      <c r="C1323" s="3126" t="s">
        <v>6172</v>
      </c>
      <c r="D1323" s="1852"/>
      <c r="E1323" s="1852"/>
      <c r="F1323" s="1853">
        <f t="shared" si="43"/>
        <v>0</v>
      </c>
      <c r="G1323" s="1843">
        <f t="shared" si="42"/>
        <v>0</v>
      </c>
      <c r="H1323" s="1173">
        <v>1</v>
      </c>
      <c r="I1323" s="3127" t="s">
        <v>6179</v>
      </c>
    </row>
    <row r="1324" spans="1:9" ht="16.5">
      <c r="A1324" s="3124" t="s">
        <v>6196</v>
      </c>
      <c r="B1324" s="3125" t="s">
        <v>6197</v>
      </c>
      <c r="C1324" s="3126" t="s">
        <v>6172</v>
      </c>
      <c r="D1324" s="1852"/>
      <c r="E1324" s="1852"/>
      <c r="F1324" s="1853">
        <f t="shared" si="43"/>
        <v>0</v>
      </c>
      <c r="G1324" s="1843">
        <f t="shared" si="42"/>
        <v>0</v>
      </c>
      <c r="H1324" s="1173">
        <v>1</v>
      </c>
      <c r="I1324" s="3127" t="s">
        <v>6179</v>
      </c>
    </row>
    <row r="1325" spans="1:9" ht="16.5">
      <c r="A1325" s="3124" t="s">
        <v>6198</v>
      </c>
      <c r="B1325" s="3125" t="s">
        <v>6199</v>
      </c>
      <c r="C1325" s="3126" t="s">
        <v>6172</v>
      </c>
      <c r="D1325" s="1852"/>
      <c r="E1325" s="1852"/>
      <c r="F1325" s="1853">
        <f t="shared" si="43"/>
        <v>0</v>
      </c>
      <c r="G1325" s="1843">
        <f t="shared" si="42"/>
        <v>0</v>
      </c>
      <c r="H1325" s="1173">
        <v>1</v>
      </c>
      <c r="I1325" s="3127" t="s">
        <v>6179</v>
      </c>
    </row>
    <row r="1326" spans="1:9" ht="16.5">
      <c r="A1326" s="3124" t="s">
        <v>6200</v>
      </c>
      <c r="B1326" s="3125" t="s">
        <v>6201</v>
      </c>
      <c r="C1326" s="3126" t="s">
        <v>6172</v>
      </c>
      <c r="D1326" s="1852"/>
      <c r="E1326" s="1852"/>
      <c r="F1326" s="1853">
        <f t="shared" si="43"/>
        <v>0</v>
      </c>
      <c r="G1326" s="1843">
        <f t="shared" si="42"/>
        <v>0</v>
      </c>
      <c r="H1326" s="1173">
        <v>1</v>
      </c>
      <c r="I1326" s="3127" t="s">
        <v>6179</v>
      </c>
    </row>
    <row r="1327" spans="1:9" ht="16.5">
      <c r="A1327" s="3124" t="s">
        <v>6202</v>
      </c>
      <c r="B1327" s="3125" t="s">
        <v>6203</v>
      </c>
      <c r="C1327" s="3126" t="s">
        <v>6172</v>
      </c>
      <c r="D1327" s="1852"/>
      <c r="E1327" s="1852"/>
      <c r="F1327" s="1853">
        <f t="shared" si="43"/>
        <v>0</v>
      </c>
      <c r="G1327" s="1843">
        <f t="shared" si="42"/>
        <v>0</v>
      </c>
      <c r="H1327" s="1173">
        <v>1</v>
      </c>
      <c r="I1327" s="3127" t="s">
        <v>6179</v>
      </c>
    </row>
    <row r="1328" spans="1:9" ht="16.5">
      <c r="A1328" s="3124" t="s">
        <v>6204</v>
      </c>
      <c r="B1328" s="3125" t="s">
        <v>6205</v>
      </c>
      <c r="C1328" s="3126" t="s">
        <v>6172</v>
      </c>
      <c r="D1328" s="1852"/>
      <c r="E1328" s="1852"/>
      <c r="F1328" s="1853">
        <f t="shared" si="43"/>
        <v>0</v>
      </c>
      <c r="G1328" s="1843">
        <f t="shared" si="42"/>
        <v>0</v>
      </c>
      <c r="H1328" s="1173">
        <v>1</v>
      </c>
      <c r="I1328" s="3127" t="s">
        <v>6179</v>
      </c>
    </row>
    <row r="1329" spans="1:9" ht="16.5">
      <c r="A1329" s="3124" t="s">
        <v>6206</v>
      </c>
      <c r="B1329" s="3125" t="s">
        <v>6207</v>
      </c>
      <c r="C1329" s="3126" t="s">
        <v>6172</v>
      </c>
      <c r="D1329" s="1852"/>
      <c r="E1329" s="1852"/>
      <c r="F1329" s="1853">
        <f t="shared" si="43"/>
        <v>0</v>
      </c>
      <c r="G1329" s="1843">
        <f t="shared" si="42"/>
        <v>0</v>
      </c>
      <c r="H1329" s="1173">
        <v>1</v>
      </c>
      <c r="I1329" s="3127" t="s">
        <v>6179</v>
      </c>
    </row>
    <row r="1330" spans="1:9" ht="16.5">
      <c r="A1330" s="3124" t="s">
        <v>6208</v>
      </c>
      <c r="B1330" s="3125" t="s">
        <v>6209</v>
      </c>
      <c r="C1330" s="3126" t="s">
        <v>6172</v>
      </c>
      <c r="D1330" s="1852"/>
      <c r="E1330" s="1852"/>
      <c r="F1330" s="1853">
        <f t="shared" si="43"/>
        <v>0</v>
      </c>
      <c r="G1330" s="1843">
        <f t="shared" si="42"/>
        <v>0</v>
      </c>
      <c r="H1330" s="1173">
        <v>1</v>
      </c>
      <c r="I1330" s="3127" t="s">
        <v>6179</v>
      </c>
    </row>
    <row r="1331" spans="1:9" ht="21" customHeight="1">
      <c r="A1331" s="1840"/>
      <c r="B1331" s="1841"/>
      <c r="C1331" s="1842"/>
      <c r="D1331" s="1852"/>
      <c r="E1331" s="1852"/>
      <c r="F1331" s="1853"/>
      <c r="G1331" s="1843"/>
      <c r="H1331" s="1173"/>
      <c r="I1331" s="3121"/>
    </row>
    <row r="1332" spans="1:9">
      <c r="A1332" s="1840"/>
      <c r="B1332" s="1841"/>
      <c r="C1332" s="1842"/>
      <c r="D1332" s="1852"/>
      <c r="E1332" s="1852"/>
      <c r="F1332" s="1853"/>
      <c r="G1332" s="1843"/>
      <c r="H1332" s="1173"/>
      <c r="I1332" s="3128"/>
    </row>
    <row r="1333" spans="1:9" ht="16.5" thickBot="1">
      <c r="A1333" s="1854"/>
      <c r="B1333" s="1855"/>
      <c r="C1333" s="1856"/>
      <c r="D1333" s="1857"/>
      <c r="E1333" s="1857"/>
      <c r="F1333" s="1858"/>
      <c r="G1333" s="1859"/>
      <c r="H1333" s="1860"/>
      <c r="I1333" s="2796"/>
    </row>
    <row r="1334" spans="1:9" ht="17.25" thickTop="1" thickBot="1">
      <c r="A1334" s="3965" t="s">
        <v>5075</v>
      </c>
      <c r="B1334" s="3966"/>
      <c r="C1334" s="3966"/>
      <c r="D1334" s="3966"/>
      <c r="E1334" s="3966"/>
      <c r="F1334" s="1861">
        <f>SUM(F4:F1333)</f>
        <v>0</v>
      </c>
      <c r="G1334" s="1862">
        <f>IF($F$1334=0,0,F1334/$F$1334)</f>
        <v>0</v>
      </c>
      <c r="H1334" s="1863"/>
      <c r="I1334" s="1864"/>
    </row>
    <row r="1335" spans="1:9">
      <c r="A1335" s="1865"/>
      <c r="B1335" s="1865"/>
      <c r="C1335" s="1865"/>
      <c r="D1335" s="1865"/>
      <c r="E1335" s="1865"/>
      <c r="F1335" s="9"/>
      <c r="G1335" s="9"/>
      <c r="H1335" s="9"/>
      <c r="I1335" s="9"/>
    </row>
    <row r="1336" spans="1:9" ht="16.5">
      <c r="A1336" s="1866" t="s">
        <v>5076</v>
      </c>
      <c r="B1336" s="1865"/>
      <c r="C1336" s="1865"/>
      <c r="D1336" s="1865"/>
      <c r="E1336" s="1865"/>
      <c r="F1336" s="9"/>
      <c r="G1336" s="9"/>
      <c r="H1336" s="9"/>
      <c r="I1336" s="9"/>
    </row>
    <row r="1337" spans="1:9" ht="16.5">
      <c r="A1337" s="1866" t="s">
        <v>235</v>
      </c>
      <c r="B1337" s="379" t="s">
        <v>5077</v>
      </c>
      <c r="F1337" s="9"/>
      <c r="G1337" s="9"/>
      <c r="H1337" s="9"/>
      <c r="I1337" s="9"/>
    </row>
    <row r="1338" spans="1:9" ht="16.5">
      <c r="A1338" s="1866" t="s">
        <v>297</v>
      </c>
      <c r="B1338" s="379" t="s">
        <v>5078</v>
      </c>
      <c r="F1338" s="9"/>
      <c r="G1338" s="9"/>
      <c r="H1338" s="9"/>
      <c r="I1338" s="9"/>
    </row>
    <row r="1339" spans="1:9" ht="36" customHeight="1">
      <c r="A1339" s="1866" t="s">
        <v>570</v>
      </c>
      <c r="B1339" s="3967" t="s">
        <v>5079</v>
      </c>
      <c r="C1339" s="3967"/>
      <c r="D1339" s="3967"/>
      <c r="E1339" s="3967"/>
      <c r="F1339" s="3967"/>
      <c r="G1339" s="3967"/>
      <c r="H1339" s="3967"/>
      <c r="I1339" s="3967"/>
    </row>
    <row r="1340" spans="1:9">
      <c r="B1340" s="353"/>
    </row>
    <row r="1345" spans="11:11">
      <c r="K1345" s="1867"/>
    </row>
  </sheetData>
  <mergeCells count="4">
    <mergeCell ref="K31:L31"/>
    <mergeCell ref="K7:L7"/>
    <mergeCell ref="A1334:E1334"/>
    <mergeCell ref="B1339:I1339"/>
  </mergeCells>
  <phoneticPr fontId="9" type="noConversion"/>
  <printOptions horizontalCentered="1" verticalCentered="1"/>
  <pageMargins left="0.23622047244094491" right="0.23622047244094491" top="0.74803149606299213" bottom="0.74803149606299213" header="0.31496062992125984" footer="0.31496062992125984"/>
  <pageSetup paperSize="9" scale="34" fitToHeight="0" orientation="portrait" cellComments="asDisplayed" r:id="rId1"/>
  <headerFooter alignWithMargins="0">
    <oddFooter>&amp;C&amp;P/&amp;N&amp;R&amp;F</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5">
    <pageSetUpPr fitToPage="1"/>
  </sheetPr>
  <dimension ref="A1:K857"/>
  <sheetViews>
    <sheetView zoomScale="90" zoomScaleNormal="90" zoomScaleSheetLayoutView="75" workbookViewId="0">
      <pane ySplit="3" topLeftCell="A4" activePane="bottomLeft" state="frozen"/>
      <selection activeCell="G28" sqref="G28"/>
      <selection pane="bottomLeft" sqref="A1:XFD1048576"/>
    </sheetView>
  </sheetViews>
  <sheetFormatPr defaultColWidth="15.625" defaultRowHeight="15.75"/>
  <cols>
    <col min="1" max="8" width="18.625" style="15" customWidth="1"/>
    <col min="9" max="9" width="30.625" style="15" customWidth="1"/>
    <col min="10" max="10" width="1.625" style="15" customWidth="1"/>
    <col min="11" max="16384" width="15.625" style="15"/>
  </cols>
  <sheetData>
    <row r="1" spans="1:11" ht="16.5">
      <c r="A1" s="1869" t="s">
        <v>5026</v>
      </c>
      <c r="B1" s="28"/>
      <c r="C1" s="28"/>
    </row>
    <row r="2" spans="1:11" ht="17.25" thickBot="1">
      <c r="A2" s="353" t="s">
        <v>7988</v>
      </c>
      <c r="B2" s="17"/>
      <c r="C2" s="29"/>
      <c r="I2" s="3129" t="s">
        <v>2749</v>
      </c>
    </row>
    <row r="3" spans="1:11" ht="33.75" thickBot="1">
      <c r="A3" s="1870" t="s">
        <v>5080</v>
      </c>
      <c r="B3" s="1837" t="s">
        <v>5081</v>
      </c>
      <c r="C3" s="1837" t="s">
        <v>5082</v>
      </c>
      <c r="D3" s="1837" t="s">
        <v>5083</v>
      </c>
      <c r="E3" s="1837" t="s">
        <v>5084</v>
      </c>
      <c r="F3" s="1837" t="s">
        <v>5085</v>
      </c>
      <c r="G3" s="1837" t="s">
        <v>5086</v>
      </c>
      <c r="H3" s="1837" t="s">
        <v>5034</v>
      </c>
      <c r="I3" s="1838" t="s">
        <v>2750</v>
      </c>
    </row>
    <row r="4" spans="1:11" ht="16.5">
      <c r="A4" s="3130" t="s">
        <v>1988</v>
      </c>
      <c r="B4" s="3131" t="s">
        <v>7989</v>
      </c>
      <c r="C4" s="1842" t="s">
        <v>696</v>
      </c>
      <c r="D4" s="2797"/>
      <c r="E4" s="2797"/>
      <c r="F4" s="2798">
        <f>D4*E4</f>
        <v>0</v>
      </c>
      <c r="G4" s="1871">
        <f>IF($F$855=0,0,F4/$F$855)</f>
        <v>0</v>
      </c>
      <c r="H4" s="1173">
        <v>1.0025999999999999</v>
      </c>
      <c r="I4" s="3132" t="s">
        <v>0</v>
      </c>
      <c r="K4" s="1872" t="s">
        <v>5087</v>
      </c>
    </row>
    <row r="5" spans="1:11" ht="17.25" thickBot="1">
      <c r="A5" s="1840" t="s">
        <v>3320</v>
      </c>
      <c r="B5" s="1841" t="s">
        <v>7990</v>
      </c>
      <c r="C5" s="1842" t="s">
        <v>696</v>
      </c>
      <c r="D5" s="2797"/>
      <c r="E5" s="2797"/>
      <c r="F5" s="2798">
        <f t="shared" ref="F5:F68" si="0">D5*E5</f>
        <v>0</v>
      </c>
      <c r="G5" s="1871">
        <f t="shared" ref="G5:G68" si="1">IF($F$855=0,0,F5/$F$855)</f>
        <v>0</v>
      </c>
      <c r="H5" s="1173">
        <v>0.8075</v>
      </c>
      <c r="I5" s="3123" t="s">
        <v>0</v>
      </c>
      <c r="K5" s="1873">
        <f>SUMPRODUCT(G4:G854,H4:H854)</f>
        <v>0</v>
      </c>
    </row>
    <row r="6" spans="1:11" ht="16.5">
      <c r="A6" s="3130" t="s">
        <v>3527</v>
      </c>
      <c r="B6" s="3131" t="s">
        <v>7991</v>
      </c>
      <c r="C6" s="1842" t="s">
        <v>696</v>
      </c>
      <c r="D6" s="2797"/>
      <c r="E6" s="2797"/>
      <c r="F6" s="2798">
        <f t="shared" si="0"/>
        <v>0</v>
      </c>
      <c r="G6" s="1871">
        <f t="shared" si="1"/>
        <v>0</v>
      </c>
      <c r="H6" s="1173">
        <v>0.94810000000000005</v>
      </c>
      <c r="I6" s="3132" t="s">
        <v>0</v>
      </c>
    </row>
    <row r="7" spans="1:11" ht="16.5">
      <c r="A7" s="3130" t="s">
        <v>1989</v>
      </c>
      <c r="B7" s="3131" t="s">
        <v>7992</v>
      </c>
      <c r="C7" s="1842" t="s">
        <v>7993</v>
      </c>
      <c r="D7" s="2797"/>
      <c r="E7" s="2797"/>
      <c r="F7" s="2798">
        <f t="shared" si="0"/>
        <v>0</v>
      </c>
      <c r="G7" s="1871">
        <f t="shared" si="1"/>
        <v>0</v>
      </c>
      <c r="H7" s="1173">
        <v>0.31</v>
      </c>
      <c r="I7" s="3132" t="s">
        <v>0</v>
      </c>
    </row>
    <row r="8" spans="1:11" ht="16.5">
      <c r="A8" s="3130" t="s">
        <v>1990</v>
      </c>
      <c r="B8" s="3131" t="s">
        <v>7994</v>
      </c>
      <c r="C8" s="1842" t="s">
        <v>7993</v>
      </c>
      <c r="D8" s="2797"/>
      <c r="E8" s="2797"/>
      <c r="F8" s="2798">
        <f t="shared" si="0"/>
        <v>0</v>
      </c>
      <c r="G8" s="1871">
        <f t="shared" si="1"/>
        <v>0</v>
      </c>
      <c r="H8" s="1173">
        <v>0.1623</v>
      </c>
      <c r="I8" s="3132" t="s">
        <v>0</v>
      </c>
    </row>
    <row r="9" spans="1:11" ht="16.5">
      <c r="A9" s="3130" t="s">
        <v>1991</v>
      </c>
      <c r="B9" s="3131" t="s">
        <v>7995</v>
      </c>
      <c r="C9" s="1842" t="s">
        <v>7993</v>
      </c>
      <c r="D9" s="2797"/>
      <c r="E9" s="2797"/>
      <c r="F9" s="2798">
        <f t="shared" si="0"/>
        <v>0</v>
      </c>
      <c r="G9" s="1871">
        <f t="shared" si="1"/>
        <v>0</v>
      </c>
      <c r="H9" s="1173">
        <v>0.1638</v>
      </c>
      <c r="I9" s="3132" t="s">
        <v>0</v>
      </c>
    </row>
    <row r="10" spans="1:11" ht="16.5">
      <c r="A10" s="1874" t="s">
        <v>1992</v>
      </c>
      <c r="B10" s="3131" t="s">
        <v>7996</v>
      </c>
      <c r="C10" s="1842" t="s">
        <v>7993</v>
      </c>
      <c r="D10" s="2797"/>
      <c r="E10" s="2797"/>
      <c r="F10" s="2798">
        <f t="shared" si="0"/>
        <v>0</v>
      </c>
      <c r="G10" s="1871">
        <f t="shared" si="1"/>
        <v>0</v>
      </c>
      <c r="H10" s="1173">
        <v>0.45240000000000002</v>
      </c>
      <c r="I10" s="3132" t="s">
        <v>0</v>
      </c>
    </row>
    <row r="11" spans="1:11" ht="16.5">
      <c r="A11" s="1874" t="s">
        <v>6140</v>
      </c>
      <c r="B11" s="3131" t="s">
        <v>7997</v>
      </c>
      <c r="C11" s="1842" t="s">
        <v>7993</v>
      </c>
      <c r="D11" s="2797"/>
      <c r="E11" s="2797"/>
      <c r="F11" s="2798">
        <f t="shared" si="0"/>
        <v>0</v>
      </c>
      <c r="G11" s="1871">
        <f t="shared" si="1"/>
        <v>0</v>
      </c>
      <c r="H11" s="1173">
        <v>1</v>
      </c>
      <c r="I11" s="3132" t="s">
        <v>7998</v>
      </c>
    </row>
    <row r="12" spans="1:11" ht="16.5">
      <c r="A12" s="1874" t="s">
        <v>1993</v>
      </c>
      <c r="B12" s="3131" t="s">
        <v>7999</v>
      </c>
      <c r="C12" s="1842" t="s">
        <v>7993</v>
      </c>
      <c r="D12" s="2797"/>
      <c r="E12" s="2797"/>
      <c r="F12" s="2798">
        <f t="shared" si="0"/>
        <v>0</v>
      </c>
      <c r="G12" s="1871">
        <f t="shared" si="1"/>
        <v>0</v>
      </c>
      <c r="H12" s="1173">
        <v>0.83240000000000003</v>
      </c>
      <c r="I12" s="3132" t="s">
        <v>0</v>
      </c>
    </row>
    <row r="13" spans="1:11" ht="16.5">
      <c r="A13" s="1874" t="s">
        <v>1994</v>
      </c>
      <c r="B13" s="3131" t="s">
        <v>8000</v>
      </c>
      <c r="C13" s="1842" t="s">
        <v>7993</v>
      </c>
      <c r="D13" s="2797"/>
      <c r="E13" s="2797"/>
      <c r="F13" s="2798">
        <f t="shared" si="0"/>
        <v>0</v>
      </c>
      <c r="G13" s="1871">
        <f t="shared" si="1"/>
        <v>0</v>
      </c>
      <c r="H13" s="1173">
        <v>0.4909</v>
      </c>
      <c r="I13" s="3132" t="s">
        <v>0</v>
      </c>
    </row>
    <row r="14" spans="1:11" ht="16.5">
      <c r="A14" s="1874" t="s">
        <v>1995</v>
      </c>
      <c r="B14" s="3131" t="s">
        <v>8001</v>
      </c>
      <c r="C14" s="1842" t="s">
        <v>7993</v>
      </c>
      <c r="D14" s="2797"/>
      <c r="E14" s="2797"/>
      <c r="F14" s="2798">
        <f t="shared" si="0"/>
        <v>0</v>
      </c>
      <c r="G14" s="1871">
        <f t="shared" si="1"/>
        <v>0</v>
      </c>
      <c r="H14" s="1173">
        <v>0.96889999999999998</v>
      </c>
      <c r="I14" s="3132" t="s">
        <v>0</v>
      </c>
    </row>
    <row r="15" spans="1:11" ht="16.5">
      <c r="A15" s="1874" t="s">
        <v>1996</v>
      </c>
      <c r="B15" s="3131" t="s">
        <v>8002</v>
      </c>
      <c r="C15" s="1842" t="s">
        <v>7993</v>
      </c>
      <c r="D15" s="2797"/>
      <c r="E15" s="2797"/>
      <c r="F15" s="2798">
        <f t="shared" si="0"/>
        <v>0</v>
      </c>
      <c r="G15" s="1871">
        <f t="shared" si="1"/>
        <v>0</v>
      </c>
      <c r="H15" s="1173">
        <v>1.3076000000000001</v>
      </c>
      <c r="I15" s="3132" t="s">
        <v>0</v>
      </c>
    </row>
    <row r="16" spans="1:11" ht="16.5">
      <c r="A16" s="1874" t="s">
        <v>1997</v>
      </c>
      <c r="B16" s="3131" t="s">
        <v>8003</v>
      </c>
      <c r="C16" s="1842" t="s">
        <v>7993</v>
      </c>
      <c r="D16" s="2797"/>
      <c r="E16" s="2797"/>
      <c r="F16" s="2798">
        <f t="shared" si="0"/>
        <v>0</v>
      </c>
      <c r="G16" s="1871">
        <f t="shared" si="1"/>
        <v>0</v>
      </c>
      <c r="H16" s="1173">
        <v>0.35610000000000003</v>
      </c>
      <c r="I16" s="3132" t="s">
        <v>0</v>
      </c>
    </row>
    <row r="17" spans="1:9" ht="16.5">
      <c r="A17" s="1874" t="s">
        <v>1998</v>
      </c>
      <c r="B17" s="3131" t="s">
        <v>8004</v>
      </c>
      <c r="C17" s="1842" t="s">
        <v>7993</v>
      </c>
      <c r="D17" s="2797"/>
      <c r="E17" s="2797"/>
      <c r="F17" s="2798">
        <f t="shared" si="0"/>
        <v>0</v>
      </c>
      <c r="G17" s="1871">
        <f t="shared" si="1"/>
        <v>0</v>
      </c>
      <c r="H17" s="1173">
        <v>0.65029999999999999</v>
      </c>
      <c r="I17" s="3132" t="s">
        <v>0</v>
      </c>
    </row>
    <row r="18" spans="1:9" ht="16.5">
      <c r="A18" s="1874" t="s">
        <v>1999</v>
      </c>
      <c r="B18" s="3131" t="s">
        <v>8005</v>
      </c>
      <c r="C18" s="1842" t="s">
        <v>7993</v>
      </c>
      <c r="D18" s="2797"/>
      <c r="E18" s="2797"/>
      <c r="F18" s="2798">
        <f t="shared" si="0"/>
        <v>0</v>
      </c>
      <c r="G18" s="1871">
        <f t="shared" si="1"/>
        <v>0</v>
      </c>
      <c r="H18" s="1173">
        <v>0.5968</v>
      </c>
      <c r="I18" s="3132" t="s">
        <v>0</v>
      </c>
    </row>
    <row r="19" spans="1:9" ht="16.5">
      <c r="A19" s="1874" t="s">
        <v>2000</v>
      </c>
      <c r="B19" s="3131" t="s">
        <v>8006</v>
      </c>
      <c r="C19" s="1842" t="s">
        <v>7993</v>
      </c>
      <c r="D19" s="2797"/>
      <c r="E19" s="2797"/>
      <c r="F19" s="2798">
        <f t="shared" si="0"/>
        <v>0</v>
      </c>
      <c r="G19" s="1871">
        <f t="shared" si="1"/>
        <v>0</v>
      </c>
      <c r="H19" s="1173">
        <v>0.99229999999999996</v>
      </c>
      <c r="I19" s="3132" t="s">
        <v>0</v>
      </c>
    </row>
    <row r="20" spans="1:9" ht="16.5">
      <c r="A20" s="1874" t="s">
        <v>2001</v>
      </c>
      <c r="B20" s="3131" t="s">
        <v>8007</v>
      </c>
      <c r="C20" s="1842" t="s">
        <v>7993</v>
      </c>
      <c r="D20" s="2797"/>
      <c r="E20" s="2797"/>
      <c r="F20" s="2798">
        <f t="shared" si="0"/>
        <v>0</v>
      </c>
      <c r="G20" s="1871">
        <f t="shared" si="1"/>
        <v>0</v>
      </c>
      <c r="H20" s="1173">
        <v>0.4819</v>
      </c>
      <c r="I20" s="3132" t="s">
        <v>0</v>
      </c>
    </row>
    <row r="21" spans="1:9" ht="16.5">
      <c r="A21" s="1874" t="s">
        <v>2002</v>
      </c>
      <c r="B21" s="3131" t="s">
        <v>8008</v>
      </c>
      <c r="C21" s="1842" t="s">
        <v>7993</v>
      </c>
      <c r="D21" s="2797"/>
      <c r="E21" s="2797"/>
      <c r="F21" s="2798">
        <f t="shared" si="0"/>
        <v>0</v>
      </c>
      <c r="G21" s="1871">
        <f t="shared" si="1"/>
        <v>0</v>
      </c>
      <c r="H21" s="1173">
        <v>0.64419999999999999</v>
      </c>
      <c r="I21" s="3132" t="s">
        <v>0</v>
      </c>
    </row>
    <row r="22" spans="1:9" ht="16.5">
      <c r="A22" s="1874" t="s">
        <v>2003</v>
      </c>
      <c r="B22" s="3131" t="s">
        <v>8009</v>
      </c>
      <c r="C22" s="1842" t="s">
        <v>7993</v>
      </c>
      <c r="D22" s="2797"/>
      <c r="E22" s="2797"/>
      <c r="F22" s="2798">
        <f t="shared" si="0"/>
        <v>0</v>
      </c>
      <c r="G22" s="1871">
        <f t="shared" si="1"/>
        <v>0</v>
      </c>
      <c r="H22" s="1173">
        <v>0.1782</v>
      </c>
      <c r="I22" s="3132" t="s">
        <v>0</v>
      </c>
    </row>
    <row r="23" spans="1:9" ht="16.5">
      <c r="A23" s="1874" t="s">
        <v>2004</v>
      </c>
      <c r="B23" s="3131" t="s">
        <v>8010</v>
      </c>
      <c r="C23" s="1842" t="s">
        <v>7993</v>
      </c>
      <c r="D23" s="2797"/>
      <c r="E23" s="2797"/>
      <c r="F23" s="2798">
        <f t="shared" si="0"/>
        <v>0</v>
      </c>
      <c r="G23" s="1871">
        <f t="shared" si="1"/>
        <v>0</v>
      </c>
      <c r="H23" s="1173">
        <v>0.27110000000000001</v>
      </c>
      <c r="I23" s="3132" t="s">
        <v>0</v>
      </c>
    </row>
    <row r="24" spans="1:9" ht="16.5">
      <c r="A24" s="1874" t="s">
        <v>2006</v>
      </c>
      <c r="B24" s="3131" t="s">
        <v>8011</v>
      </c>
      <c r="C24" s="1842" t="s">
        <v>7993</v>
      </c>
      <c r="D24" s="2797"/>
      <c r="E24" s="2797"/>
      <c r="F24" s="2798">
        <f t="shared" si="0"/>
        <v>0</v>
      </c>
      <c r="G24" s="1871">
        <f t="shared" si="1"/>
        <v>0</v>
      </c>
      <c r="H24" s="1173">
        <v>0.35599999999999998</v>
      </c>
      <c r="I24" s="3132" t="s">
        <v>0</v>
      </c>
    </row>
    <row r="25" spans="1:9" ht="16.5">
      <c r="A25" s="1874" t="s">
        <v>2007</v>
      </c>
      <c r="B25" s="3131" t="s">
        <v>8012</v>
      </c>
      <c r="C25" s="1842" t="s">
        <v>7993</v>
      </c>
      <c r="D25" s="2797"/>
      <c r="E25" s="2797"/>
      <c r="F25" s="2798">
        <f t="shared" si="0"/>
        <v>0</v>
      </c>
      <c r="G25" s="1871">
        <f t="shared" si="1"/>
        <v>0</v>
      </c>
      <c r="H25" s="1173">
        <v>0.71009999999999995</v>
      </c>
      <c r="I25" s="3132" t="s">
        <v>0</v>
      </c>
    </row>
    <row r="26" spans="1:9" ht="16.5">
      <c r="A26" s="1874" t="s">
        <v>2008</v>
      </c>
      <c r="B26" s="3131" t="s">
        <v>8013</v>
      </c>
      <c r="C26" s="1842" t="s">
        <v>7993</v>
      </c>
      <c r="D26" s="2797"/>
      <c r="E26" s="2797"/>
      <c r="F26" s="2798">
        <f t="shared" si="0"/>
        <v>0</v>
      </c>
      <c r="G26" s="1871">
        <f t="shared" si="1"/>
        <v>0</v>
      </c>
      <c r="H26" s="1173">
        <v>1.1254999999999999</v>
      </c>
      <c r="I26" s="3132" t="s">
        <v>0</v>
      </c>
    </row>
    <row r="27" spans="1:9" ht="16.5">
      <c r="A27" s="1874" t="s">
        <v>2009</v>
      </c>
      <c r="B27" s="3131" t="s">
        <v>8014</v>
      </c>
      <c r="C27" s="1842" t="s">
        <v>7993</v>
      </c>
      <c r="D27" s="2797"/>
      <c r="E27" s="2797"/>
      <c r="F27" s="2798">
        <f t="shared" si="0"/>
        <v>0</v>
      </c>
      <c r="G27" s="1871">
        <f t="shared" si="1"/>
        <v>0</v>
      </c>
      <c r="H27" s="1173">
        <v>1.3638999999999999</v>
      </c>
      <c r="I27" s="3132" t="s">
        <v>0</v>
      </c>
    </row>
    <row r="28" spans="1:9" ht="16.5">
      <c r="A28" s="1874" t="s">
        <v>2010</v>
      </c>
      <c r="B28" s="3131" t="s">
        <v>8015</v>
      </c>
      <c r="C28" s="1842" t="s">
        <v>7993</v>
      </c>
      <c r="D28" s="2797"/>
      <c r="E28" s="2797"/>
      <c r="F28" s="2798">
        <f t="shared" si="0"/>
        <v>0</v>
      </c>
      <c r="G28" s="1871">
        <f t="shared" si="1"/>
        <v>0</v>
      </c>
      <c r="H28" s="1173">
        <v>6.5699999999999995E-2</v>
      </c>
      <c r="I28" s="3132" t="s">
        <v>0</v>
      </c>
    </row>
    <row r="29" spans="1:9" ht="16.5">
      <c r="A29" s="1874" t="s">
        <v>2011</v>
      </c>
      <c r="B29" s="3131" t="s">
        <v>8016</v>
      </c>
      <c r="C29" s="1842" t="s">
        <v>7993</v>
      </c>
      <c r="D29" s="2797"/>
      <c r="E29" s="2797"/>
      <c r="F29" s="2798">
        <f t="shared" si="0"/>
        <v>0</v>
      </c>
      <c r="G29" s="1871">
        <f t="shared" si="1"/>
        <v>0</v>
      </c>
      <c r="H29" s="1173">
        <v>0.68930000000000002</v>
      </c>
      <c r="I29" s="3132" t="s">
        <v>0</v>
      </c>
    </row>
    <row r="30" spans="1:9" ht="16.5">
      <c r="A30" s="1874" t="s">
        <v>2012</v>
      </c>
      <c r="B30" s="3131" t="s">
        <v>8017</v>
      </c>
      <c r="C30" s="1842" t="s">
        <v>7993</v>
      </c>
      <c r="D30" s="2797"/>
      <c r="E30" s="2797"/>
      <c r="F30" s="2798">
        <f t="shared" si="0"/>
        <v>0</v>
      </c>
      <c r="G30" s="1871">
        <f t="shared" si="1"/>
        <v>0</v>
      </c>
      <c r="H30" s="1173">
        <v>0.86709999999999998</v>
      </c>
      <c r="I30" s="3132" t="s">
        <v>0</v>
      </c>
    </row>
    <row r="31" spans="1:9" ht="16.5">
      <c r="A31" s="1874" t="s">
        <v>2013</v>
      </c>
      <c r="B31" s="3131" t="s">
        <v>8018</v>
      </c>
      <c r="C31" s="1842" t="s">
        <v>7993</v>
      </c>
      <c r="D31" s="2797"/>
      <c r="E31" s="2797"/>
      <c r="F31" s="2798">
        <f t="shared" si="0"/>
        <v>0</v>
      </c>
      <c r="G31" s="1871">
        <f t="shared" si="1"/>
        <v>0</v>
      </c>
      <c r="H31" s="1173">
        <v>0.188</v>
      </c>
      <c r="I31" s="3132" t="s">
        <v>0</v>
      </c>
    </row>
    <row r="32" spans="1:9" ht="16.5">
      <c r="A32" s="1874" t="s">
        <v>2014</v>
      </c>
      <c r="B32" s="3131" t="s">
        <v>8019</v>
      </c>
      <c r="C32" s="1842" t="s">
        <v>7993</v>
      </c>
      <c r="D32" s="2797"/>
      <c r="E32" s="2797"/>
      <c r="F32" s="2798">
        <f t="shared" si="0"/>
        <v>0</v>
      </c>
      <c r="G32" s="1871">
        <f t="shared" si="1"/>
        <v>0</v>
      </c>
      <c r="H32" s="1173">
        <v>1.6187</v>
      </c>
      <c r="I32" s="3132" t="s">
        <v>0</v>
      </c>
    </row>
    <row r="33" spans="1:9" ht="16.5">
      <c r="A33" s="1874" t="s">
        <v>2015</v>
      </c>
      <c r="B33" s="3131" t="s">
        <v>8020</v>
      </c>
      <c r="C33" s="1842" t="s">
        <v>7993</v>
      </c>
      <c r="D33" s="2797"/>
      <c r="E33" s="2797"/>
      <c r="F33" s="2798">
        <f t="shared" si="0"/>
        <v>0</v>
      </c>
      <c r="G33" s="1871">
        <f t="shared" si="1"/>
        <v>0</v>
      </c>
      <c r="H33" s="1173">
        <v>5.04E-2</v>
      </c>
      <c r="I33" s="3132" t="s">
        <v>0</v>
      </c>
    </row>
    <row r="34" spans="1:9" ht="16.5">
      <c r="A34" s="1874" t="s">
        <v>2016</v>
      </c>
      <c r="B34" s="3131" t="s">
        <v>8021</v>
      </c>
      <c r="C34" s="1842" t="s">
        <v>7993</v>
      </c>
      <c r="D34" s="2797"/>
      <c r="E34" s="2797"/>
      <c r="F34" s="2798">
        <f t="shared" si="0"/>
        <v>0</v>
      </c>
      <c r="G34" s="1871">
        <f t="shared" si="1"/>
        <v>0</v>
      </c>
      <c r="H34" s="1173">
        <v>0.87009999999999998</v>
      </c>
      <c r="I34" s="3132" t="s">
        <v>0</v>
      </c>
    </row>
    <row r="35" spans="1:9" ht="16.5">
      <c r="A35" s="1874" t="s">
        <v>2017</v>
      </c>
      <c r="B35" s="3131" t="s">
        <v>8022</v>
      </c>
      <c r="C35" s="1842" t="s">
        <v>7993</v>
      </c>
      <c r="D35" s="2797"/>
      <c r="E35" s="2797"/>
      <c r="F35" s="2798">
        <f t="shared" si="0"/>
        <v>0</v>
      </c>
      <c r="G35" s="1871">
        <f t="shared" si="1"/>
        <v>0</v>
      </c>
      <c r="H35" s="1173">
        <v>0.33850000000000002</v>
      </c>
      <c r="I35" s="3132" t="s">
        <v>0</v>
      </c>
    </row>
    <row r="36" spans="1:9" ht="16.5">
      <c r="A36" s="1874" t="s">
        <v>2018</v>
      </c>
      <c r="B36" s="3131" t="s">
        <v>8023</v>
      </c>
      <c r="C36" s="1842" t="s">
        <v>7993</v>
      </c>
      <c r="D36" s="2797"/>
      <c r="E36" s="2797"/>
      <c r="F36" s="2798">
        <f t="shared" si="0"/>
        <v>0</v>
      </c>
      <c r="G36" s="1871">
        <f t="shared" si="1"/>
        <v>0</v>
      </c>
      <c r="H36" s="1173">
        <v>0.36370000000000002</v>
      </c>
      <c r="I36" s="3132" t="s">
        <v>0</v>
      </c>
    </row>
    <row r="37" spans="1:9" ht="16.5">
      <c r="A37" s="1874" t="s">
        <v>2019</v>
      </c>
      <c r="B37" s="3131" t="s">
        <v>8024</v>
      </c>
      <c r="C37" s="1842" t="s">
        <v>7993</v>
      </c>
      <c r="D37" s="2797"/>
      <c r="E37" s="2797"/>
      <c r="F37" s="2798">
        <f t="shared" si="0"/>
        <v>0</v>
      </c>
      <c r="G37" s="1871">
        <f t="shared" si="1"/>
        <v>0</v>
      </c>
      <c r="H37" s="1173">
        <v>0.41399999999999998</v>
      </c>
      <c r="I37" s="3132" t="s">
        <v>0</v>
      </c>
    </row>
    <row r="38" spans="1:9" ht="16.5">
      <c r="A38" s="1874" t="s">
        <v>2020</v>
      </c>
      <c r="B38" s="3131" t="s">
        <v>8025</v>
      </c>
      <c r="C38" s="1842" t="s">
        <v>7993</v>
      </c>
      <c r="D38" s="2797"/>
      <c r="E38" s="2797"/>
      <c r="F38" s="2798">
        <f t="shared" si="0"/>
        <v>0</v>
      </c>
      <c r="G38" s="1871">
        <f t="shared" si="1"/>
        <v>0</v>
      </c>
      <c r="H38" s="1173">
        <v>1.1029</v>
      </c>
      <c r="I38" s="3132" t="s">
        <v>0</v>
      </c>
    </row>
    <row r="39" spans="1:9" ht="16.5">
      <c r="A39" s="1874" t="s">
        <v>2021</v>
      </c>
      <c r="B39" s="3131" t="s">
        <v>8026</v>
      </c>
      <c r="C39" s="1842" t="s">
        <v>7993</v>
      </c>
      <c r="D39" s="2797"/>
      <c r="E39" s="2797"/>
      <c r="F39" s="2798">
        <f t="shared" si="0"/>
        <v>0</v>
      </c>
      <c r="G39" s="1871">
        <f t="shared" si="1"/>
        <v>0</v>
      </c>
      <c r="H39" s="1173">
        <v>0.22550000000000001</v>
      </c>
      <c r="I39" s="3132" t="s">
        <v>0</v>
      </c>
    </row>
    <row r="40" spans="1:9" ht="16.5">
      <c r="A40" s="1874" t="s">
        <v>2022</v>
      </c>
      <c r="B40" s="3131" t="s">
        <v>8027</v>
      </c>
      <c r="C40" s="1842" t="s">
        <v>7993</v>
      </c>
      <c r="D40" s="2797"/>
      <c r="E40" s="2797"/>
      <c r="F40" s="2798">
        <f t="shared" si="0"/>
        <v>0</v>
      </c>
      <c r="G40" s="1871">
        <f t="shared" si="1"/>
        <v>0</v>
      </c>
      <c r="H40" s="1173">
        <v>0.98839999999999995</v>
      </c>
      <c r="I40" s="3132" t="s">
        <v>0</v>
      </c>
    </row>
    <row r="41" spans="1:9" ht="16.5">
      <c r="A41" s="1874" t="s">
        <v>3528</v>
      </c>
      <c r="B41" s="3131" t="s">
        <v>8028</v>
      </c>
      <c r="C41" s="1842" t="s">
        <v>7993</v>
      </c>
      <c r="D41" s="2797"/>
      <c r="E41" s="2797"/>
      <c r="F41" s="2798">
        <f t="shared" si="0"/>
        <v>0</v>
      </c>
      <c r="G41" s="1871">
        <f t="shared" si="1"/>
        <v>0</v>
      </c>
      <c r="H41" s="1173">
        <v>0.1474</v>
      </c>
      <c r="I41" s="3132" t="s">
        <v>0</v>
      </c>
    </row>
    <row r="42" spans="1:9" ht="16.5">
      <c r="A42" s="1874" t="s">
        <v>2023</v>
      </c>
      <c r="B42" s="3131" t="s">
        <v>8029</v>
      </c>
      <c r="C42" s="1842" t="s">
        <v>7993</v>
      </c>
      <c r="D42" s="2797"/>
      <c r="E42" s="2797"/>
      <c r="F42" s="2798">
        <f t="shared" si="0"/>
        <v>0</v>
      </c>
      <c r="G42" s="1871">
        <f t="shared" si="1"/>
        <v>0</v>
      </c>
      <c r="H42" s="1173">
        <v>0.4194</v>
      </c>
      <c r="I42" s="3132" t="s">
        <v>0</v>
      </c>
    </row>
    <row r="43" spans="1:9" ht="16.5">
      <c r="A43" s="1874" t="s">
        <v>2024</v>
      </c>
      <c r="B43" s="3131" t="s">
        <v>8030</v>
      </c>
      <c r="C43" s="1842" t="s">
        <v>7993</v>
      </c>
      <c r="D43" s="2797"/>
      <c r="E43" s="2797"/>
      <c r="F43" s="2798">
        <f t="shared" si="0"/>
        <v>0</v>
      </c>
      <c r="G43" s="1871">
        <f t="shared" si="1"/>
        <v>0</v>
      </c>
      <c r="H43" s="1173">
        <v>0.9778</v>
      </c>
      <c r="I43" s="3132" t="s">
        <v>0</v>
      </c>
    </row>
    <row r="44" spans="1:9" ht="16.5">
      <c r="A44" s="1874" t="s">
        <v>2025</v>
      </c>
      <c r="B44" s="3131" t="s">
        <v>8031</v>
      </c>
      <c r="C44" s="1842" t="s">
        <v>7993</v>
      </c>
      <c r="D44" s="2797"/>
      <c r="E44" s="2797"/>
      <c r="F44" s="2798">
        <f t="shared" si="0"/>
        <v>0</v>
      </c>
      <c r="G44" s="1871">
        <f t="shared" si="1"/>
        <v>0</v>
      </c>
      <c r="H44" s="1173">
        <v>0.32590000000000002</v>
      </c>
      <c r="I44" s="3132" t="s">
        <v>0</v>
      </c>
    </row>
    <row r="45" spans="1:9" ht="16.5">
      <c r="A45" s="1874" t="s">
        <v>2026</v>
      </c>
      <c r="B45" s="3131" t="s">
        <v>8032</v>
      </c>
      <c r="C45" s="1842" t="s">
        <v>7993</v>
      </c>
      <c r="D45" s="2797"/>
      <c r="E45" s="2797"/>
      <c r="F45" s="2798">
        <f t="shared" si="0"/>
        <v>0</v>
      </c>
      <c r="G45" s="1871">
        <f t="shared" si="1"/>
        <v>0</v>
      </c>
      <c r="H45" s="1173">
        <v>0.86219999999999997</v>
      </c>
      <c r="I45" s="3132" t="s">
        <v>0</v>
      </c>
    </row>
    <row r="46" spans="1:9" ht="16.5">
      <c r="A46" s="1874" t="s">
        <v>2027</v>
      </c>
      <c r="B46" s="3131" t="s">
        <v>8033</v>
      </c>
      <c r="C46" s="1842" t="s">
        <v>7993</v>
      </c>
      <c r="D46" s="2797"/>
      <c r="E46" s="2797"/>
      <c r="F46" s="2798">
        <f t="shared" si="0"/>
        <v>0</v>
      </c>
      <c r="G46" s="1871">
        <f t="shared" si="1"/>
        <v>0</v>
      </c>
      <c r="H46" s="1173">
        <v>0.29820000000000002</v>
      </c>
      <c r="I46" s="3132" t="s">
        <v>0</v>
      </c>
    </row>
    <row r="47" spans="1:9" ht="16.5">
      <c r="A47" s="1874" t="s">
        <v>2028</v>
      </c>
      <c r="B47" s="3131" t="s">
        <v>8034</v>
      </c>
      <c r="C47" s="1842" t="s">
        <v>7993</v>
      </c>
      <c r="D47" s="2797"/>
      <c r="E47" s="2797"/>
      <c r="F47" s="2798">
        <f t="shared" si="0"/>
        <v>0</v>
      </c>
      <c r="G47" s="1871">
        <f t="shared" si="1"/>
        <v>0</v>
      </c>
      <c r="H47" s="1173">
        <v>0.76</v>
      </c>
      <c r="I47" s="3132" t="s">
        <v>0</v>
      </c>
    </row>
    <row r="48" spans="1:9" ht="16.5">
      <c r="A48" s="1874" t="s">
        <v>2029</v>
      </c>
      <c r="B48" s="3131" t="s">
        <v>8035</v>
      </c>
      <c r="C48" s="1842" t="s">
        <v>7993</v>
      </c>
      <c r="D48" s="2797"/>
      <c r="E48" s="2797"/>
      <c r="F48" s="2798">
        <f t="shared" si="0"/>
        <v>0</v>
      </c>
      <c r="G48" s="1871">
        <f t="shared" si="1"/>
        <v>0</v>
      </c>
      <c r="H48" s="1173">
        <v>0.62839999999999996</v>
      </c>
      <c r="I48" s="3132" t="s">
        <v>0</v>
      </c>
    </row>
    <row r="49" spans="1:9" ht="16.5">
      <c r="A49" s="1874" t="s">
        <v>2030</v>
      </c>
      <c r="B49" s="3131" t="s">
        <v>8036</v>
      </c>
      <c r="C49" s="1842" t="s">
        <v>7993</v>
      </c>
      <c r="D49" s="2797"/>
      <c r="E49" s="2797"/>
      <c r="F49" s="2798">
        <f t="shared" si="0"/>
        <v>0</v>
      </c>
      <c r="G49" s="1871">
        <f t="shared" si="1"/>
        <v>0</v>
      </c>
      <c r="H49" s="1173">
        <v>0.97819999999999996</v>
      </c>
      <c r="I49" s="3132" t="s">
        <v>0</v>
      </c>
    </row>
    <row r="50" spans="1:9" ht="16.5">
      <c r="A50" s="1874" t="s">
        <v>2031</v>
      </c>
      <c r="B50" s="3131" t="s">
        <v>8037</v>
      </c>
      <c r="C50" s="1842" t="s">
        <v>7993</v>
      </c>
      <c r="D50" s="2797"/>
      <c r="E50" s="2797"/>
      <c r="F50" s="2798">
        <f t="shared" si="0"/>
        <v>0</v>
      </c>
      <c r="G50" s="1871">
        <f t="shared" si="1"/>
        <v>0</v>
      </c>
      <c r="H50" s="1173">
        <v>0.70530000000000004</v>
      </c>
      <c r="I50" s="3132" t="s">
        <v>0</v>
      </c>
    </row>
    <row r="51" spans="1:9" ht="16.5">
      <c r="A51" s="1874" t="s">
        <v>2032</v>
      </c>
      <c r="B51" s="3131" t="s">
        <v>8038</v>
      </c>
      <c r="C51" s="1842" t="s">
        <v>7993</v>
      </c>
      <c r="D51" s="2797"/>
      <c r="E51" s="2797"/>
      <c r="F51" s="2798">
        <f t="shared" si="0"/>
        <v>0</v>
      </c>
      <c r="G51" s="1871">
        <f t="shared" si="1"/>
        <v>0</v>
      </c>
      <c r="H51" s="1173">
        <v>0.78310000000000002</v>
      </c>
      <c r="I51" s="3132" t="s">
        <v>0</v>
      </c>
    </row>
    <row r="52" spans="1:9" ht="16.5">
      <c r="A52" s="1874" t="s">
        <v>2033</v>
      </c>
      <c r="B52" s="3131" t="s">
        <v>8039</v>
      </c>
      <c r="C52" s="1842" t="s">
        <v>7993</v>
      </c>
      <c r="D52" s="2797"/>
      <c r="E52" s="2797"/>
      <c r="F52" s="2798">
        <f t="shared" si="0"/>
        <v>0</v>
      </c>
      <c r="G52" s="1871">
        <f t="shared" si="1"/>
        <v>0</v>
      </c>
      <c r="H52" s="1173">
        <v>0.46710000000000002</v>
      </c>
      <c r="I52" s="3132" t="s">
        <v>0</v>
      </c>
    </row>
    <row r="53" spans="1:9" ht="16.5">
      <c r="A53" s="1874" t="s">
        <v>2034</v>
      </c>
      <c r="B53" s="3131" t="s">
        <v>8040</v>
      </c>
      <c r="C53" s="1842" t="s">
        <v>7993</v>
      </c>
      <c r="D53" s="2797"/>
      <c r="E53" s="2797"/>
      <c r="F53" s="2798">
        <f t="shared" si="0"/>
        <v>0</v>
      </c>
      <c r="G53" s="1871">
        <f t="shared" si="1"/>
        <v>0</v>
      </c>
      <c r="H53" s="1173">
        <v>0.27350000000000002</v>
      </c>
      <c r="I53" s="3132" t="s">
        <v>0</v>
      </c>
    </row>
    <row r="54" spans="1:9" ht="16.5">
      <c r="A54" s="1874" t="s">
        <v>2035</v>
      </c>
      <c r="B54" s="3131" t="s">
        <v>8041</v>
      </c>
      <c r="C54" s="1842" t="s">
        <v>7993</v>
      </c>
      <c r="D54" s="2797"/>
      <c r="E54" s="2797"/>
      <c r="F54" s="2798">
        <f t="shared" si="0"/>
        <v>0</v>
      </c>
      <c r="G54" s="1871">
        <f t="shared" si="1"/>
        <v>0</v>
      </c>
      <c r="H54" s="1173">
        <v>0.75990000000000002</v>
      </c>
      <c r="I54" s="3132" t="s">
        <v>0</v>
      </c>
    </row>
    <row r="55" spans="1:9" ht="16.5">
      <c r="A55" s="1874" t="s">
        <v>2036</v>
      </c>
      <c r="B55" s="3131" t="s">
        <v>8042</v>
      </c>
      <c r="C55" s="1842" t="s">
        <v>7993</v>
      </c>
      <c r="D55" s="2797"/>
      <c r="E55" s="2797"/>
      <c r="F55" s="2798">
        <f t="shared" si="0"/>
        <v>0</v>
      </c>
      <c r="G55" s="1871">
        <f t="shared" si="1"/>
        <v>0</v>
      </c>
      <c r="H55" s="1173">
        <v>0.75700000000000001</v>
      </c>
      <c r="I55" s="3132" t="s">
        <v>0</v>
      </c>
    </row>
    <row r="56" spans="1:9" ht="16.5">
      <c r="A56" s="1874" t="s">
        <v>2037</v>
      </c>
      <c r="B56" s="3131" t="s">
        <v>8043</v>
      </c>
      <c r="C56" s="1842" t="s">
        <v>7993</v>
      </c>
      <c r="D56" s="2797"/>
      <c r="E56" s="2797"/>
      <c r="F56" s="2798">
        <f t="shared" si="0"/>
        <v>0</v>
      </c>
      <c r="G56" s="1871">
        <f t="shared" si="1"/>
        <v>0</v>
      </c>
      <c r="H56" s="1173">
        <v>1.0331999999999999</v>
      </c>
      <c r="I56" s="3132" t="s">
        <v>0</v>
      </c>
    </row>
    <row r="57" spans="1:9" ht="16.5">
      <c r="A57" s="1874" t="s">
        <v>2038</v>
      </c>
      <c r="B57" s="3131" t="s">
        <v>8044</v>
      </c>
      <c r="C57" s="1842" t="s">
        <v>7993</v>
      </c>
      <c r="D57" s="2797"/>
      <c r="E57" s="2797"/>
      <c r="F57" s="2798">
        <f t="shared" si="0"/>
        <v>0</v>
      </c>
      <c r="G57" s="1871">
        <f t="shared" si="1"/>
        <v>0</v>
      </c>
      <c r="H57" s="1173">
        <v>0.31790000000000002</v>
      </c>
      <c r="I57" s="3121" t="s">
        <v>0</v>
      </c>
    </row>
    <row r="58" spans="1:9" ht="16.5">
      <c r="A58" s="1874" t="s">
        <v>2039</v>
      </c>
      <c r="B58" s="3131" t="s">
        <v>8045</v>
      </c>
      <c r="C58" s="1842" t="s">
        <v>7993</v>
      </c>
      <c r="D58" s="2797"/>
      <c r="E58" s="2797"/>
      <c r="F58" s="2798">
        <f t="shared" si="0"/>
        <v>0</v>
      </c>
      <c r="G58" s="1871">
        <f t="shared" si="1"/>
        <v>0</v>
      </c>
      <c r="H58" s="1173">
        <v>1.0479000000000001</v>
      </c>
      <c r="I58" s="3132" t="s">
        <v>0</v>
      </c>
    </row>
    <row r="59" spans="1:9" ht="16.5">
      <c r="A59" s="1874" t="s">
        <v>2040</v>
      </c>
      <c r="B59" s="3131" t="s">
        <v>8046</v>
      </c>
      <c r="C59" s="1842" t="s">
        <v>7993</v>
      </c>
      <c r="D59" s="2797"/>
      <c r="E59" s="2797"/>
      <c r="F59" s="2798">
        <f t="shared" si="0"/>
        <v>0</v>
      </c>
      <c r="G59" s="1871">
        <f t="shared" si="1"/>
        <v>0</v>
      </c>
      <c r="H59" s="1173">
        <v>0.78720000000000001</v>
      </c>
      <c r="I59" s="3132" t="s">
        <v>0</v>
      </c>
    </row>
    <row r="60" spans="1:9" ht="16.5">
      <c r="A60" s="1874" t="s">
        <v>6141</v>
      </c>
      <c r="B60" s="3131" t="s">
        <v>8047</v>
      </c>
      <c r="C60" s="1842" t="s">
        <v>7993</v>
      </c>
      <c r="D60" s="2797"/>
      <c r="E60" s="2797"/>
      <c r="F60" s="2798">
        <f t="shared" si="0"/>
        <v>0</v>
      </c>
      <c r="G60" s="1871">
        <f t="shared" si="1"/>
        <v>0</v>
      </c>
      <c r="H60" s="1173">
        <v>1</v>
      </c>
      <c r="I60" s="3121" t="s">
        <v>7998</v>
      </c>
    </row>
    <row r="61" spans="1:9" ht="16.5">
      <c r="A61" s="1874" t="s">
        <v>2041</v>
      </c>
      <c r="B61" s="3131" t="s">
        <v>8048</v>
      </c>
      <c r="C61" s="1842" t="s">
        <v>7993</v>
      </c>
      <c r="D61" s="2797"/>
      <c r="E61" s="2797"/>
      <c r="F61" s="2798">
        <f t="shared" si="0"/>
        <v>0</v>
      </c>
      <c r="G61" s="1871">
        <f t="shared" si="1"/>
        <v>0</v>
      </c>
      <c r="H61" s="1173">
        <v>0.15290000000000001</v>
      </c>
      <c r="I61" s="3121" t="s">
        <v>0</v>
      </c>
    </row>
    <row r="62" spans="1:9" ht="16.5">
      <c r="A62" s="1874" t="s">
        <v>2042</v>
      </c>
      <c r="B62" s="3131" t="s">
        <v>8049</v>
      </c>
      <c r="C62" s="1842" t="s">
        <v>7993</v>
      </c>
      <c r="D62" s="2797"/>
      <c r="E62" s="2797"/>
      <c r="F62" s="2798">
        <f t="shared" si="0"/>
        <v>0</v>
      </c>
      <c r="G62" s="1871">
        <f t="shared" si="1"/>
        <v>0</v>
      </c>
      <c r="H62" s="1173">
        <v>0.50290000000000001</v>
      </c>
      <c r="I62" s="3132" t="s">
        <v>0</v>
      </c>
    </row>
    <row r="63" spans="1:9" ht="16.5">
      <c r="A63" s="1874" t="s">
        <v>2043</v>
      </c>
      <c r="B63" s="3131" t="s">
        <v>8050</v>
      </c>
      <c r="C63" s="1842" t="s">
        <v>7993</v>
      </c>
      <c r="D63" s="2797"/>
      <c r="E63" s="2797"/>
      <c r="F63" s="2798">
        <f t="shared" si="0"/>
        <v>0</v>
      </c>
      <c r="G63" s="1871">
        <f t="shared" si="1"/>
        <v>0</v>
      </c>
      <c r="H63" s="1173">
        <v>0.3473</v>
      </c>
      <c r="I63" s="3132" t="s">
        <v>0</v>
      </c>
    </row>
    <row r="64" spans="1:9" ht="16.5">
      <c r="A64" s="1874" t="s">
        <v>3321</v>
      </c>
      <c r="B64" s="3131" t="s">
        <v>8051</v>
      </c>
      <c r="C64" s="1842" t="s">
        <v>7993</v>
      </c>
      <c r="D64" s="2797"/>
      <c r="E64" s="2797"/>
      <c r="F64" s="2798">
        <f t="shared" si="0"/>
        <v>0</v>
      </c>
      <c r="G64" s="1871">
        <f t="shared" si="1"/>
        <v>0</v>
      </c>
      <c r="H64" s="1173">
        <v>0.52390000000000003</v>
      </c>
      <c r="I64" s="3132" t="s">
        <v>0</v>
      </c>
    </row>
    <row r="65" spans="1:9" ht="16.5">
      <c r="A65" s="1874" t="s">
        <v>2044</v>
      </c>
      <c r="B65" s="3131" t="s">
        <v>8052</v>
      </c>
      <c r="C65" s="1842" t="s">
        <v>7993</v>
      </c>
      <c r="D65" s="2797"/>
      <c r="E65" s="2797"/>
      <c r="F65" s="2798">
        <f t="shared" si="0"/>
        <v>0</v>
      </c>
      <c r="G65" s="1871">
        <f t="shared" si="1"/>
        <v>0</v>
      </c>
      <c r="H65" s="1173">
        <v>0.27300000000000002</v>
      </c>
      <c r="I65" s="3132" t="s">
        <v>0</v>
      </c>
    </row>
    <row r="66" spans="1:9" ht="16.5">
      <c r="A66" s="1874" t="s">
        <v>2045</v>
      </c>
      <c r="B66" s="3131" t="s">
        <v>8053</v>
      </c>
      <c r="C66" s="1842" t="s">
        <v>7993</v>
      </c>
      <c r="D66" s="2797"/>
      <c r="E66" s="2797"/>
      <c r="F66" s="2798">
        <f t="shared" si="0"/>
        <v>0</v>
      </c>
      <c r="G66" s="1871">
        <f t="shared" si="1"/>
        <v>0</v>
      </c>
      <c r="H66" s="1173">
        <v>0.32300000000000001</v>
      </c>
      <c r="I66" s="3121" t="s">
        <v>0</v>
      </c>
    </row>
    <row r="67" spans="1:9" ht="16.5">
      <c r="A67" s="1874" t="s">
        <v>2046</v>
      </c>
      <c r="B67" s="3131" t="s">
        <v>8054</v>
      </c>
      <c r="C67" s="1842" t="s">
        <v>7993</v>
      </c>
      <c r="D67" s="2797"/>
      <c r="E67" s="2797"/>
      <c r="F67" s="2798">
        <f t="shared" si="0"/>
        <v>0</v>
      </c>
      <c r="G67" s="1871">
        <f t="shared" si="1"/>
        <v>0</v>
      </c>
      <c r="H67" s="1173">
        <v>0.17649999999999999</v>
      </c>
      <c r="I67" s="3132" t="s">
        <v>0</v>
      </c>
    </row>
    <row r="68" spans="1:9" ht="16.5">
      <c r="A68" s="1874" t="s">
        <v>2047</v>
      </c>
      <c r="B68" s="3131" t="s">
        <v>8055</v>
      </c>
      <c r="C68" s="1842" t="s">
        <v>7993</v>
      </c>
      <c r="D68" s="2797"/>
      <c r="E68" s="2797"/>
      <c r="F68" s="2798">
        <f t="shared" si="0"/>
        <v>0</v>
      </c>
      <c r="G68" s="1871">
        <f t="shared" si="1"/>
        <v>0</v>
      </c>
      <c r="H68" s="1173">
        <v>2.9700000000000001E-2</v>
      </c>
      <c r="I68" s="3132" t="s">
        <v>0</v>
      </c>
    </row>
    <row r="69" spans="1:9" ht="16.5">
      <c r="A69" s="1874" t="s">
        <v>6142</v>
      </c>
      <c r="B69" s="3131" t="s">
        <v>8056</v>
      </c>
      <c r="C69" s="1842" t="s">
        <v>7993</v>
      </c>
      <c r="D69" s="2797"/>
      <c r="E69" s="2797"/>
      <c r="F69" s="2798">
        <f t="shared" ref="F69:F132" si="2">D69*E69</f>
        <v>0</v>
      </c>
      <c r="G69" s="1871">
        <f t="shared" ref="G69:G132" si="3">IF($F$855=0,0,F69/$F$855)</f>
        <v>0</v>
      </c>
      <c r="H69" s="1173">
        <v>1</v>
      </c>
      <c r="I69" s="3132" t="s">
        <v>7998</v>
      </c>
    </row>
    <row r="70" spans="1:9" ht="16.5">
      <c r="A70" s="1874" t="s">
        <v>3227</v>
      </c>
      <c r="B70" s="3131" t="s">
        <v>8057</v>
      </c>
      <c r="C70" s="1842" t="s">
        <v>7993</v>
      </c>
      <c r="D70" s="2797"/>
      <c r="E70" s="2797"/>
      <c r="F70" s="2798">
        <f t="shared" si="2"/>
        <v>0</v>
      </c>
      <c r="G70" s="1871">
        <f t="shared" si="3"/>
        <v>0</v>
      </c>
      <c r="H70" s="1173">
        <v>0.42209999999999998</v>
      </c>
      <c r="I70" s="3132" t="s">
        <v>0</v>
      </c>
    </row>
    <row r="71" spans="1:9" ht="16.5">
      <c r="A71" s="1874" t="s">
        <v>3529</v>
      </c>
      <c r="B71" s="3131" t="s">
        <v>8058</v>
      </c>
      <c r="C71" s="1842" t="s">
        <v>7993</v>
      </c>
      <c r="D71" s="2797"/>
      <c r="E71" s="2797"/>
      <c r="F71" s="2798">
        <f t="shared" si="2"/>
        <v>0</v>
      </c>
      <c r="G71" s="1871">
        <f t="shared" si="3"/>
        <v>0</v>
      </c>
      <c r="H71" s="1173">
        <v>0.1328</v>
      </c>
      <c r="I71" s="3132" t="s">
        <v>0</v>
      </c>
    </row>
    <row r="72" spans="1:9" ht="16.5">
      <c r="A72" s="1874" t="s">
        <v>3530</v>
      </c>
      <c r="B72" s="3131" t="s">
        <v>8059</v>
      </c>
      <c r="C72" s="1842" t="s">
        <v>7993</v>
      </c>
      <c r="D72" s="2797"/>
      <c r="E72" s="2797"/>
      <c r="F72" s="2798">
        <f t="shared" si="2"/>
        <v>0</v>
      </c>
      <c r="G72" s="1871">
        <f t="shared" si="3"/>
        <v>0</v>
      </c>
      <c r="H72" s="1173">
        <v>0.4496</v>
      </c>
      <c r="I72" s="3132" t="s">
        <v>0</v>
      </c>
    </row>
    <row r="73" spans="1:9" ht="16.5">
      <c r="A73" s="1874" t="s">
        <v>2048</v>
      </c>
      <c r="B73" s="3131" t="s">
        <v>8060</v>
      </c>
      <c r="C73" s="1842" t="s">
        <v>7993</v>
      </c>
      <c r="D73" s="2797"/>
      <c r="E73" s="2797"/>
      <c r="F73" s="2798">
        <f t="shared" si="2"/>
        <v>0</v>
      </c>
      <c r="G73" s="1871">
        <f t="shared" si="3"/>
        <v>0</v>
      </c>
      <c r="H73" s="1173">
        <v>0.12889999999999999</v>
      </c>
      <c r="I73" s="3132" t="s">
        <v>0</v>
      </c>
    </row>
    <row r="74" spans="1:9" ht="16.5">
      <c r="A74" s="1874" t="s">
        <v>2049</v>
      </c>
      <c r="B74" s="3131" t="s">
        <v>8061</v>
      </c>
      <c r="C74" s="1842" t="s">
        <v>7993</v>
      </c>
      <c r="D74" s="2797"/>
      <c r="E74" s="2797"/>
      <c r="F74" s="2798">
        <f t="shared" si="2"/>
        <v>0</v>
      </c>
      <c r="G74" s="1871">
        <f t="shared" si="3"/>
        <v>0</v>
      </c>
      <c r="H74" s="1173">
        <v>1.2904</v>
      </c>
      <c r="I74" s="3132" t="s">
        <v>0</v>
      </c>
    </row>
    <row r="75" spans="1:9" ht="16.5">
      <c r="A75" s="1874" t="s">
        <v>2050</v>
      </c>
      <c r="B75" s="3131" t="s">
        <v>8062</v>
      </c>
      <c r="C75" s="1842" t="s">
        <v>7993</v>
      </c>
      <c r="D75" s="2797"/>
      <c r="E75" s="2797"/>
      <c r="F75" s="2798">
        <f t="shared" si="2"/>
        <v>0</v>
      </c>
      <c r="G75" s="1871">
        <f t="shared" si="3"/>
        <v>0</v>
      </c>
      <c r="H75" s="1173">
        <v>0.3906</v>
      </c>
      <c r="I75" s="3132" t="s">
        <v>0</v>
      </c>
    </row>
    <row r="76" spans="1:9" ht="16.5">
      <c r="A76" s="1874" t="s">
        <v>2051</v>
      </c>
      <c r="B76" s="3131" t="s">
        <v>8063</v>
      </c>
      <c r="C76" s="1842" t="s">
        <v>7993</v>
      </c>
      <c r="D76" s="2797"/>
      <c r="E76" s="2797"/>
      <c r="F76" s="2798">
        <f t="shared" si="2"/>
        <v>0</v>
      </c>
      <c r="G76" s="1871">
        <f t="shared" si="3"/>
        <v>0</v>
      </c>
      <c r="H76" s="1173">
        <v>1.3837999999999999</v>
      </c>
      <c r="I76" s="3132" t="s">
        <v>0</v>
      </c>
    </row>
    <row r="77" spans="1:9" ht="16.5">
      <c r="A77" s="1874" t="s">
        <v>3228</v>
      </c>
      <c r="B77" s="3131" t="s">
        <v>8064</v>
      </c>
      <c r="C77" s="1842" t="s">
        <v>7993</v>
      </c>
      <c r="D77" s="2797"/>
      <c r="E77" s="2797"/>
      <c r="F77" s="2798">
        <f t="shared" si="2"/>
        <v>0</v>
      </c>
      <c r="G77" s="1871">
        <f t="shared" si="3"/>
        <v>0</v>
      </c>
      <c r="H77" s="1173">
        <v>0.83</v>
      </c>
      <c r="I77" s="3132" t="s">
        <v>0</v>
      </c>
    </row>
    <row r="78" spans="1:9" ht="16.5">
      <c r="A78" s="1874" t="s">
        <v>2052</v>
      </c>
      <c r="B78" s="3131" t="s">
        <v>8065</v>
      </c>
      <c r="C78" s="1842" t="s">
        <v>7993</v>
      </c>
      <c r="D78" s="2797"/>
      <c r="E78" s="2797"/>
      <c r="F78" s="2798">
        <f t="shared" si="2"/>
        <v>0</v>
      </c>
      <c r="G78" s="1871">
        <f t="shared" si="3"/>
        <v>0</v>
      </c>
      <c r="H78" s="1173">
        <v>0.99460000000000004</v>
      </c>
      <c r="I78" s="3132" t="s">
        <v>0</v>
      </c>
    </row>
    <row r="79" spans="1:9" ht="16.5">
      <c r="A79" s="1874" t="s">
        <v>2053</v>
      </c>
      <c r="B79" s="3131" t="s">
        <v>8066</v>
      </c>
      <c r="C79" s="1842" t="s">
        <v>7993</v>
      </c>
      <c r="D79" s="2797"/>
      <c r="E79" s="2797"/>
      <c r="F79" s="2798">
        <f t="shared" si="2"/>
        <v>0</v>
      </c>
      <c r="G79" s="1871">
        <f t="shared" si="3"/>
        <v>0</v>
      </c>
      <c r="H79" s="1173">
        <v>1.7096</v>
      </c>
      <c r="I79" s="3132" t="s">
        <v>0</v>
      </c>
    </row>
    <row r="80" spans="1:9" ht="16.5">
      <c r="A80" s="1874" t="s">
        <v>2054</v>
      </c>
      <c r="B80" s="3131" t="s">
        <v>8067</v>
      </c>
      <c r="C80" s="1842" t="s">
        <v>7993</v>
      </c>
      <c r="D80" s="2797"/>
      <c r="E80" s="2797"/>
      <c r="F80" s="2798">
        <f t="shared" si="2"/>
        <v>0</v>
      </c>
      <c r="G80" s="1871">
        <f t="shared" si="3"/>
        <v>0</v>
      </c>
      <c r="H80" s="1173">
        <v>0.84989999999999999</v>
      </c>
      <c r="I80" s="3132" t="s">
        <v>0</v>
      </c>
    </row>
    <row r="81" spans="1:9" ht="16.5">
      <c r="A81" s="1874" t="s">
        <v>2055</v>
      </c>
      <c r="B81" s="3131" t="s">
        <v>8068</v>
      </c>
      <c r="C81" s="1842" t="s">
        <v>7993</v>
      </c>
      <c r="D81" s="2797"/>
      <c r="E81" s="2797"/>
      <c r="F81" s="2798">
        <f t="shared" si="2"/>
        <v>0</v>
      </c>
      <c r="G81" s="1871">
        <f t="shared" si="3"/>
        <v>0</v>
      </c>
      <c r="H81" s="1173">
        <v>4.0000000000000002E-4</v>
      </c>
      <c r="I81" s="3132" t="s">
        <v>0</v>
      </c>
    </row>
    <row r="82" spans="1:9" ht="16.5">
      <c r="A82" s="1874" t="s">
        <v>2056</v>
      </c>
      <c r="B82" s="3131" t="s">
        <v>8069</v>
      </c>
      <c r="C82" s="1842" t="s">
        <v>7993</v>
      </c>
      <c r="D82" s="2797"/>
      <c r="E82" s="2797"/>
      <c r="F82" s="2798">
        <f t="shared" si="2"/>
        <v>0</v>
      </c>
      <c r="G82" s="1871">
        <f t="shared" si="3"/>
        <v>0</v>
      </c>
      <c r="H82" s="1173">
        <v>0.72199999999999998</v>
      </c>
      <c r="I82" s="3132" t="s">
        <v>0</v>
      </c>
    </row>
    <row r="83" spans="1:9" ht="16.5">
      <c r="A83" s="1874" t="s">
        <v>2057</v>
      </c>
      <c r="B83" s="3131" t="s">
        <v>8070</v>
      </c>
      <c r="C83" s="1842" t="s">
        <v>7993</v>
      </c>
      <c r="D83" s="2797"/>
      <c r="E83" s="2797"/>
      <c r="F83" s="2798">
        <f t="shared" si="2"/>
        <v>0</v>
      </c>
      <c r="G83" s="1871">
        <f t="shared" si="3"/>
        <v>0</v>
      </c>
      <c r="H83" s="1173">
        <v>0.95020000000000004</v>
      </c>
      <c r="I83" s="3132" t="s">
        <v>0</v>
      </c>
    </row>
    <row r="84" spans="1:9" ht="16.5">
      <c r="A84" s="1874" t="s">
        <v>2059</v>
      </c>
      <c r="B84" s="3131" t="s">
        <v>8071</v>
      </c>
      <c r="C84" s="1842" t="s">
        <v>7993</v>
      </c>
      <c r="D84" s="2797"/>
      <c r="E84" s="2797"/>
      <c r="F84" s="2798">
        <f t="shared" si="2"/>
        <v>0</v>
      </c>
      <c r="G84" s="1871">
        <f t="shared" si="3"/>
        <v>0</v>
      </c>
      <c r="H84" s="1173">
        <v>0.52090000000000003</v>
      </c>
      <c r="I84" s="3132" t="s">
        <v>0</v>
      </c>
    </row>
    <row r="85" spans="1:9" ht="16.5">
      <c r="A85" s="1874" t="s">
        <v>2060</v>
      </c>
      <c r="B85" s="3131" t="s">
        <v>8072</v>
      </c>
      <c r="C85" s="1842" t="s">
        <v>7993</v>
      </c>
      <c r="D85" s="2797"/>
      <c r="E85" s="2797"/>
      <c r="F85" s="2798">
        <f t="shared" si="2"/>
        <v>0</v>
      </c>
      <c r="G85" s="1871">
        <f t="shared" si="3"/>
        <v>0</v>
      </c>
      <c r="H85" s="1173">
        <v>0.97140000000000004</v>
      </c>
      <c r="I85" s="3132" t="s">
        <v>0</v>
      </c>
    </row>
    <row r="86" spans="1:9" ht="16.5">
      <c r="A86" s="1874" t="s">
        <v>2061</v>
      </c>
      <c r="B86" s="3131" t="s">
        <v>8073</v>
      </c>
      <c r="C86" s="1842" t="s">
        <v>7993</v>
      </c>
      <c r="D86" s="2797"/>
      <c r="E86" s="2797"/>
      <c r="F86" s="2798">
        <f t="shared" si="2"/>
        <v>0</v>
      </c>
      <c r="G86" s="1871">
        <f t="shared" si="3"/>
        <v>0</v>
      </c>
      <c r="H86" s="1173">
        <v>1.3250999999999999</v>
      </c>
      <c r="I86" s="3121" t="s">
        <v>0</v>
      </c>
    </row>
    <row r="87" spans="1:9" ht="16.5">
      <c r="A87" s="1874" t="s">
        <v>2062</v>
      </c>
      <c r="B87" s="3131" t="s">
        <v>8074</v>
      </c>
      <c r="C87" s="1842" t="s">
        <v>7993</v>
      </c>
      <c r="D87" s="2797"/>
      <c r="E87" s="2797"/>
      <c r="F87" s="2798">
        <f t="shared" si="2"/>
        <v>0</v>
      </c>
      <c r="G87" s="1871">
        <f t="shared" si="3"/>
        <v>0</v>
      </c>
      <c r="H87" s="1173">
        <v>0.62229999999999996</v>
      </c>
      <c r="I87" s="3132" t="s">
        <v>0</v>
      </c>
    </row>
    <row r="88" spans="1:9" ht="16.5">
      <c r="A88" s="1874" t="s">
        <v>2063</v>
      </c>
      <c r="B88" s="3131" t="s">
        <v>8075</v>
      </c>
      <c r="C88" s="1842" t="s">
        <v>7993</v>
      </c>
      <c r="D88" s="2797"/>
      <c r="E88" s="2797"/>
      <c r="F88" s="2798">
        <f t="shared" si="2"/>
        <v>0</v>
      </c>
      <c r="G88" s="1871">
        <f t="shared" si="3"/>
        <v>0</v>
      </c>
      <c r="H88" s="1173">
        <v>-7.6100000000000001E-2</v>
      </c>
      <c r="I88" s="3132" t="s">
        <v>0</v>
      </c>
    </row>
    <row r="89" spans="1:9" ht="16.5">
      <c r="A89" s="1874" t="s">
        <v>2064</v>
      </c>
      <c r="B89" s="3131" t="s">
        <v>8076</v>
      </c>
      <c r="C89" s="1842" t="s">
        <v>7993</v>
      </c>
      <c r="D89" s="2797"/>
      <c r="E89" s="2797"/>
      <c r="F89" s="2798">
        <f t="shared" si="2"/>
        <v>0</v>
      </c>
      <c r="G89" s="1871">
        <f t="shared" si="3"/>
        <v>0</v>
      </c>
      <c r="H89" s="1173">
        <v>0.31219999999999998</v>
      </c>
      <c r="I89" s="3132" t="s">
        <v>0</v>
      </c>
    </row>
    <row r="90" spans="1:9" ht="16.5">
      <c r="A90" s="1874" t="s">
        <v>2065</v>
      </c>
      <c r="B90" s="3131" t="s">
        <v>8077</v>
      </c>
      <c r="C90" s="1842" t="s">
        <v>7993</v>
      </c>
      <c r="D90" s="2797"/>
      <c r="E90" s="2797"/>
      <c r="F90" s="2798">
        <f t="shared" si="2"/>
        <v>0</v>
      </c>
      <c r="G90" s="1871">
        <f t="shared" si="3"/>
        <v>0</v>
      </c>
      <c r="H90" s="1173">
        <v>1.0710999999999999</v>
      </c>
      <c r="I90" s="3132" t="s">
        <v>0</v>
      </c>
    </row>
    <row r="91" spans="1:9" ht="16.5">
      <c r="A91" s="1874" t="s">
        <v>2066</v>
      </c>
      <c r="B91" s="3131" t="s">
        <v>8078</v>
      </c>
      <c r="C91" s="1842" t="s">
        <v>7993</v>
      </c>
      <c r="D91" s="2797"/>
      <c r="E91" s="2797"/>
      <c r="F91" s="2798">
        <f t="shared" si="2"/>
        <v>0</v>
      </c>
      <c r="G91" s="1871">
        <f t="shared" si="3"/>
        <v>0</v>
      </c>
      <c r="H91" s="1173">
        <v>0.83260000000000001</v>
      </c>
      <c r="I91" s="3132" t="s">
        <v>0</v>
      </c>
    </row>
    <row r="92" spans="1:9" ht="16.5">
      <c r="A92" s="1874" t="s">
        <v>2067</v>
      </c>
      <c r="B92" s="3131" t="s">
        <v>8079</v>
      </c>
      <c r="C92" s="1842" t="s">
        <v>7993</v>
      </c>
      <c r="D92" s="2797"/>
      <c r="E92" s="2797"/>
      <c r="F92" s="2798">
        <f t="shared" si="2"/>
        <v>0</v>
      </c>
      <c r="G92" s="1871">
        <f t="shared" si="3"/>
        <v>0</v>
      </c>
      <c r="H92" s="1173">
        <v>1.5419</v>
      </c>
      <c r="I92" s="3132" t="s">
        <v>0</v>
      </c>
    </row>
    <row r="93" spans="1:9" ht="16.5">
      <c r="A93" s="1874" t="s">
        <v>2068</v>
      </c>
      <c r="B93" s="3131" t="s">
        <v>8080</v>
      </c>
      <c r="C93" s="1842" t="s">
        <v>7993</v>
      </c>
      <c r="D93" s="2797"/>
      <c r="E93" s="2797"/>
      <c r="F93" s="2798">
        <f t="shared" si="2"/>
        <v>0</v>
      </c>
      <c r="G93" s="1871">
        <f t="shared" si="3"/>
        <v>0</v>
      </c>
      <c r="H93" s="1173">
        <v>1.0764</v>
      </c>
      <c r="I93" s="3132" t="s">
        <v>0</v>
      </c>
    </row>
    <row r="94" spans="1:9" ht="16.5">
      <c r="A94" s="1874" t="s">
        <v>2069</v>
      </c>
      <c r="B94" s="3131" t="s">
        <v>8081</v>
      </c>
      <c r="C94" s="1842" t="s">
        <v>7993</v>
      </c>
      <c r="D94" s="2797"/>
      <c r="E94" s="2797"/>
      <c r="F94" s="2798">
        <f t="shared" si="2"/>
        <v>0</v>
      </c>
      <c r="G94" s="1871">
        <f t="shared" si="3"/>
        <v>0</v>
      </c>
      <c r="H94" s="1173">
        <v>1.411</v>
      </c>
      <c r="I94" s="3132" t="s">
        <v>0</v>
      </c>
    </row>
    <row r="95" spans="1:9" ht="16.5">
      <c r="A95" s="1874" t="s">
        <v>2070</v>
      </c>
      <c r="B95" s="3131" t="s">
        <v>8082</v>
      </c>
      <c r="C95" s="1842" t="s">
        <v>7993</v>
      </c>
      <c r="D95" s="2797"/>
      <c r="E95" s="2797"/>
      <c r="F95" s="2798">
        <f t="shared" si="2"/>
        <v>0</v>
      </c>
      <c r="G95" s="1871">
        <f t="shared" si="3"/>
        <v>0</v>
      </c>
      <c r="H95" s="1173">
        <v>1.1797</v>
      </c>
      <c r="I95" s="3132" t="s">
        <v>0</v>
      </c>
    </row>
    <row r="96" spans="1:9" ht="16.5">
      <c r="A96" s="1874" t="s">
        <v>2071</v>
      </c>
      <c r="B96" s="3131" t="s">
        <v>8083</v>
      </c>
      <c r="C96" s="1842" t="s">
        <v>7993</v>
      </c>
      <c r="D96" s="2797"/>
      <c r="E96" s="2797"/>
      <c r="F96" s="2798">
        <f t="shared" si="2"/>
        <v>0</v>
      </c>
      <c r="G96" s="1871">
        <f t="shared" si="3"/>
        <v>0</v>
      </c>
      <c r="H96" s="1173">
        <v>0.93810000000000004</v>
      </c>
      <c r="I96" s="3132" t="s">
        <v>0</v>
      </c>
    </row>
    <row r="97" spans="1:9" ht="16.5">
      <c r="A97" s="1874" t="s">
        <v>2072</v>
      </c>
      <c r="B97" s="3131" t="s">
        <v>8084</v>
      </c>
      <c r="C97" s="1842" t="s">
        <v>7993</v>
      </c>
      <c r="D97" s="2797"/>
      <c r="E97" s="2797"/>
      <c r="F97" s="2798">
        <f t="shared" si="2"/>
        <v>0</v>
      </c>
      <c r="G97" s="1871">
        <f t="shared" si="3"/>
        <v>0</v>
      </c>
      <c r="H97" s="1173">
        <v>1.7144999999999999</v>
      </c>
      <c r="I97" s="3132" t="s">
        <v>0</v>
      </c>
    </row>
    <row r="98" spans="1:9" ht="16.5">
      <c r="A98" s="1874" t="s">
        <v>2073</v>
      </c>
      <c r="B98" s="3131" t="s">
        <v>8085</v>
      </c>
      <c r="C98" s="1842" t="s">
        <v>7993</v>
      </c>
      <c r="D98" s="2797"/>
      <c r="E98" s="2797"/>
      <c r="F98" s="2798">
        <f t="shared" si="2"/>
        <v>0</v>
      </c>
      <c r="G98" s="1871">
        <f t="shared" si="3"/>
        <v>0</v>
      </c>
      <c r="H98" s="1173">
        <v>1.1849000000000001</v>
      </c>
      <c r="I98" s="3132" t="s">
        <v>0</v>
      </c>
    </row>
    <row r="99" spans="1:9" ht="16.5">
      <c r="A99" s="1874" t="s">
        <v>2074</v>
      </c>
      <c r="B99" s="3131" t="s">
        <v>8086</v>
      </c>
      <c r="C99" s="1842" t="s">
        <v>7993</v>
      </c>
      <c r="D99" s="2797"/>
      <c r="E99" s="2797"/>
      <c r="F99" s="2798">
        <f t="shared" si="2"/>
        <v>0</v>
      </c>
      <c r="G99" s="1871">
        <f t="shared" si="3"/>
        <v>0</v>
      </c>
      <c r="H99" s="1173">
        <v>0.61709999999999998</v>
      </c>
      <c r="I99" s="3132" t="s">
        <v>0</v>
      </c>
    </row>
    <row r="100" spans="1:9" ht="16.5">
      <c r="A100" s="1874" t="s">
        <v>2075</v>
      </c>
      <c r="B100" s="3131" t="s">
        <v>8087</v>
      </c>
      <c r="C100" s="1842" t="s">
        <v>7993</v>
      </c>
      <c r="D100" s="2797"/>
      <c r="E100" s="2797"/>
      <c r="F100" s="2798">
        <f t="shared" si="2"/>
        <v>0</v>
      </c>
      <c r="G100" s="1871">
        <f t="shared" si="3"/>
        <v>0</v>
      </c>
      <c r="H100" s="1173">
        <v>0.9506</v>
      </c>
      <c r="I100" s="3132" t="s">
        <v>0</v>
      </c>
    </row>
    <row r="101" spans="1:9" ht="16.5">
      <c r="A101" s="1874" t="s">
        <v>2076</v>
      </c>
      <c r="B101" s="3131" t="s">
        <v>8088</v>
      </c>
      <c r="C101" s="1842" t="s">
        <v>7993</v>
      </c>
      <c r="D101" s="2797"/>
      <c r="E101" s="2797"/>
      <c r="F101" s="2798">
        <f t="shared" si="2"/>
        <v>0</v>
      </c>
      <c r="G101" s="1871">
        <f t="shared" si="3"/>
        <v>0</v>
      </c>
      <c r="H101" s="1173">
        <v>1.2753000000000001</v>
      </c>
      <c r="I101" s="3132" t="s">
        <v>0</v>
      </c>
    </row>
    <row r="102" spans="1:9" ht="16.5">
      <c r="A102" s="1874" t="s">
        <v>2077</v>
      </c>
      <c r="B102" s="3131" t="s">
        <v>8089</v>
      </c>
      <c r="C102" s="1842" t="s">
        <v>7993</v>
      </c>
      <c r="D102" s="2797"/>
      <c r="E102" s="2797"/>
      <c r="F102" s="2798">
        <f t="shared" si="2"/>
        <v>0</v>
      </c>
      <c r="G102" s="1871">
        <f t="shared" si="3"/>
        <v>0</v>
      </c>
      <c r="H102" s="1173">
        <v>1.0366</v>
      </c>
      <c r="I102" s="3132" t="s">
        <v>0</v>
      </c>
    </row>
    <row r="103" spans="1:9" ht="16.5">
      <c r="A103" s="1874" t="s">
        <v>2078</v>
      </c>
      <c r="B103" s="3131" t="s">
        <v>8090</v>
      </c>
      <c r="C103" s="1842" t="s">
        <v>7993</v>
      </c>
      <c r="D103" s="2797"/>
      <c r="E103" s="2797"/>
      <c r="F103" s="2798">
        <f t="shared" si="2"/>
        <v>0</v>
      </c>
      <c r="G103" s="1871">
        <f t="shared" si="3"/>
        <v>0</v>
      </c>
      <c r="H103" s="1173">
        <v>6.13E-2</v>
      </c>
      <c r="I103" s="3132" t="s">
        <v>0</v>
      </c>
    </row>
    <row r="104" spans="1:9" ht="16.5">
      <c r="A104" s="1874" t="s">
        <v>2079</v>
      </c>
      <c r="B104" s="3131" t="s">
        <v>8091</v>
      </c>
      <c r="C104" s="1842" t="s">
        <v>7993</v>
      </c>
      <c r="D104" s="2797"/>
      <c r="E104" s="2797"/>
      <c r="F104" s="2798">
        <f t="shared" si="2"/>
        <v>0</v>
      </c>
      <c r="G104" s="1871">
        <f t="shared" si="3"/>
        <v>0</v>
      </c>
      <c r="H104" s="1173">
        <v>1.1936</v>
      </c>
      <c r="I104" s="3132" t="s">
        <v>0</v>
      </c>
    </row>
    <row r="105" spans="1:9" ht="16.5">
      <c r="A105" s="1874" t="s">
        <v>2080</v>
      </c>
      <c r="B105" s="3131" t="s">
        <v>8092</v>
      </c>
      <c r="C105" s="1842" t="s">
        <v>7993</v>
      </c>
      <c r="D105" s="2797"/>
      <c r="E105" s="2797"/>
      <c r="F105" s="2798">
        <f t="shared" si="2"/>
        <v>0</v>
      </c>
      <c r="G105" s="1871">
        <f t="shared" si="3"/>
        <v>0</v>
      </c>
      <c r="H105" s="1173">
        <v>0.69179999999999997</v>
      </c>
      <c r="I105" s="3132" t="s">
        <v>0</v>
      </c>
    </row>
    <row r="106" spans="1:9" ht="16.5">
      <c r="A106" s="1874" t="s">
        <v>2081</v>
      </c>
      <c r="B106" s="3131" t="s">
        <v>8093</v>
      </c>
      <c r="C106" s="1842" t="s">
        <v>7993</v>
      </c>
      <c r="D106" s="2797"/>
      <c r="E106" s="2797"/>
      <c r="F106" s="2798">
        <f t="shared" si="2"/>
        <v>0</v>
      </c>
      <c r="G106" s="1871">
        <f t="shared" si="3"/>
        <v>0</v>
      </c>
      <c r="H106" s="1173">
        <v>0.7198</v>
      </c>
      <c r="I106" s="3132" t="s">
        <v>0</v>
      </c>
    </row>
    <row r="107" spans="1:9" ht="16.5">
      <c r="A107" s="1874" t="s">
        <v>2082</v>
      </c>
      <c r="B107" s="3131" t="s">
        <v>8094</v>
      </c>
      <c r="C107" s="1842" t="s">
        <v>7993</v>
      </c>
      <c r="D107" s="2797"/>
      <c r="E107" s="2797"/>
      <c r="F107" s="2798">
        <f t="shared" si="2"/>
        <v>0</v>
      </c>
      <c r="G107" s="1871">
        <f t="shared" si="3"/>
        <v>0</v>
      </c>
      <c r="H107" s="1173">
        <v>1.2010000000000001</v>
      </c>
      <c r="I107" s="3132" t="s">
        <v>0</v>
      </c>
    </row>
    <row r="108" spans="1:9" ht="16.5">
      <c r="A108" s="1874" t="s">
        <v>2083</v>
      </c>
      <c r="B108" s="3131" t="s">
        <v>8095</v>
      </c>
      <c r="C108" s="1842" t="s">
        <v>7993</v>
      </c>
      <c r="D108" s="2797"/>
      <c r="E108" s="2797"/>
      <c r="F108" s="2798">
        <f t="shared" si="2"/>
        <v>0</v>
      </c>
      <c r="G108" s="1871">
        <f t="shared" si="3"/>
        <v>0</v>
      </c>
      <c r="H108" s="1173">
        <v>0.67969999999999997</v>
      </c>
      <c r="I108" s="3132" t="s">
        <v>0</v>
      </c>
    </row>
    <row r="109" spans="1:9" ht="16.5">
      <c r="A109" s="1874" t="s">
        <v>2084</v>
      </c>
      <c r="B109" s="3131" t="s">
        <v>8096</v>
      </c>
      <c r="C109" s="1842" t="s">
        <v>7993</v>
      </c>
      <c r="D109" s="2797"/>
      <c r="E109" s="2797"/>
      <c r="F109" s="2798">
        <f t="shared" si="2"/>
        <v>0</v>
      </c>
      <c r="G109" s="1871">
        <f t="shared" si="3"/>
        <v>0</v>
      </c>
      <c r="H109" s="1173">
        <v>0.97519999999999996</v>
      </c>
      <c r="I109" s="3132" t="s">
        <v>0</v>
      </c>
    </row>
    <row r="110" spans="1:9" ht="16.5">
      <c r="A110" s="1874" t="s">
        <v>2085</v>
      </c>
      <c r="B110" s="3131" t="s">
        <v>8097</v>
      </c>
      <c r="C110" s="1842" t="s">
        <v>7993</v>
      </c>
      <c r="D110" s="2797"/>
      <c r="E110" s="2797"/>
      <c r="F110" s="2798">
        <f t="shared" si="2"/>
        <v>0</v>
      </c>
      <c r="G110" s="1871">
        <f t="shared" si="3"/>
        <v>0</v>
      </c>
      <c r="H110" s="1173">
        <v>1.2168000000000001</v>
      </c>
      <c r="I110" s="3132" t="s">
        <v>0</v>
      </c>
    </row>
    <row r="111" spans="1:9" ht="16.5">
      <c r="A111" s="1874" t="s">
        <v>2086</v>
      </c>
      <c r="B111" s="3131" t="s">
        <v>8098</v>
      </c>
      <c r="C111" s="1842" t="s">
        <v>7993</v>
      </c>
      <c r="D111" s="2797"/>
      <c r="E111" s="2797"/>
      <c r="F111" s="2798">
        <f t="shared" si="2"/>
        <v>0</v>
      </c>
      <c r="G111" s="1871">
        <f t="shared" si="3"/>
        <v>0</v>
      </c>
      <c r="H111" s="1173">
        <v>0.77729999999999999</v>
      </c>
      <c r="I111" s="3132" t="s">
        <v>0</v>
      </c>
    </row>
    <row r="112" spans="1:9" ht="16.5">
      <c r="A112" s="1874" t="s">
        <v>2087</v>
      </c>
      <c r="B112" s="3131" t="s">
        <v>8099</v>
      </c>
      <c r="C112" s="1842" t="s">
        <v>7993</v>
      </c>
      <c r="D112" s="2797"/>
      <c r="E112" s="2797"/>
      <c r="F112" s="2798">
        <f t="shared" si="2"/>
        <v>0</v>
      </c>
      <c r="G112" s="1871">
        <f t="shared" si="3"/>
        <v>0</v>
      </c>
      <c r="H112" s="1173">
        <v>1.026</v>
      </c>
      <c r="I112" s="3132" t="s">
        <v>0</v>
      </c>
    </row>
    <row r="113" spans="1:9" ht="16.5">
      <c r="A113" s="1874" t="s">
        <v>2088</v>
      </c>
      <c r="B113" s="3131" t="s">
        <v>8100</v>
      </c>
      <c r="C113" s="1842" t="s">
        <v>7993</v>
      </c>
      <c r="D113" s="2797"/>
      <c r="E113" s="2797"/>
      <c r="F113" s="2798">
        <f t="shared" si="2"/>
        <v>0</v>
      </c>
      <c r="G113" s="1871">
        <f t="shared" si="3"/>
        <v>0</v>
      </c>
      <c r="H113" s="1173">
        <v>0.96619999999999995</v>
      </c>
      <c r="I113" s="3132" t="s">
        <v>0</v>
      </c>
    </row>
    <row r="114" spans="1:9" ht="16.5">
      <c r="A114" s="1874" t="s">
        <v>2089</v>
      </c>
      <c r="B114" s="3131" t="s">
        <v>8101</v>
      </c>
      <c r="C114" s="1842" t="s">
        <v>7993</v>
      </c>
      <c r="D114" s="2797"/>
      <c r="E114" s="2797"/>
      <c r="F114" s="2798">
        <f t="shared" si="2"/>
        <v>0</v>
      </c>
      <c r="G114" s="1871">
        <f t="shared" si="3"/>
        <v>0</v>
      </c>
      <c r="H114" s="1173">
        <v>0.60550000000000004</v>
      </c>
      <c r="I114" s="3132" t="s">
        <v>0</v>
      </c>
    </row>
    <row r="115" spans="1:9" ht="16.5">
      <c r="A115" s="1874" t="s">
        <v>2090</v>
      </c>
      <c r="B115" s="3131" t="s">
        <v>8102</v>
      </c>
      <c r="C115" s="1842" t="s">
        <v>7993</v>
      </c>
      <c r="D115" s="2797"/>
      <c r="E115" s="2797"/>
      <c r="F115" s="2798">
        <f t="shared" si="2"/>
        <v>0</v>
      </c>
      <c r="G115" s="1871">
        <f t="shared" si="3"/>
        <v>0</v>
      </c>
      <c r="H115" s="1173">
        <v>0.50929999999999997</v>
      </c>
      <c r="I115" s="3132" t="s">
        <v>0</v>
      </c>
    </row>
    <row r="116" spans="1:9" ht="16.5">
      <c r="A116" s="1874" t="s">
        <v>2091</v>
      </c>
      <c r="B116" s="3131" t="s">
        <v>8103</v>
      </c>
      <c r="C116" s="1842" t="s">
        <v>7993</v>
      </c>
      <c r="D116" s="2797"/>
      <c r="E116" s="2797"/>
      <c r="F116" s="2798">
        <f t="shared" si="2"/>
        <v>0</v>
      </c>
      <c r="G116" s="1871">
        <f t="shared" si="3"/>
        <v>0</v>
      </c>
      <c r="H116" s="1173">
        <v>1.3902000000000001</v>
      </c>
      <c r="I116" s="3132" t="s">
        <v>0</v>
      </c>
    </row>
    <row r="117" spans="1:9" ht="16.5">
      <c r="A117" s="1874" t="s">
        <v>2092</v>
      </c>
      <c r="B117" s="3131" t="s">
        <v>8104</v>
      </c>
      <c r="C117" s="1842" t="s">
        <v>7993</v>
      </c>
      <c r="D117" s="2797"/>
      <c r="E117" s="2797"/>
      <c r="F117" s="2798">
        <f t="shared" si="2"/>
        <v>0</v>
      </c>
      <c r="G117" s="1871">
        <f t="shared" si="3"/>
        <v>0</v>
      </c>
      <c r="H117" s="1173">
        <v>1.6338999999999999</v>
      </c>
      <c r="I117" s="3132" t="s">
        <v>0</v>
      </c>
    </row>
    <row r="118" spans="1:9" ht="16.5">
      <c r="A118" s="1874" t="s">
        <v>2093</v>
      </c>
      <c r="B118" s="3131" t="s">
        <v>8105</v>
      </c>
      <c r="C118" s="1842" t="s">
        <v>7993</v>
      </c>
      <c r="D118" s="2797"/>
      <c r="E118" s="2797"/>
      <c r="F118" s="2798">
        <f t="shared" si="2"/>
        <v>0</v>
      </c>
      <c r="G118" s="1871">
        <f t="shared" si="3"/>
        <v>0</v>
      </c>
      <c r="H118" s="1173">
        <v>1.494</v>
      </c>
      <c r="I118" s="3132" t="s">
        <v>0</v>
      </c>
    </row>
    <row r="119" spans="1:9" ht="16.5">
      <c r="A119" s="1874" t="s">
        <v>2094</v>
      </c>
      <c r="B119" s="3131" t="s">
        <v>8106</v>
      </c>
      <c r="C119" s="1842" t="s">
        <v>7993</v>
      </c>
      <c r="D119" s="2797"/>
      <c r="E119" s="2797"/>
      <c r="F119" s="2798">
        <f t="shared" si="2"/>
        <v>0</v>
      </c>
      <c r="G119" s="1871">
        <f t="shared" si="3"/>
        <v>0</v>
      </c>
      <c r="H119" s="1173">
        <v>0.86019999999999996</v>
      </c>
      <c r="I119" s="3132" t="s">
        <v>0</v>
      </c>
    </row>
    <row r="120" spans="1:9" ht="16.5">
      <c r="A120" s="1874" t="s">
        <v>2095</v>
      </c>
      <c r="B120" s="3131" t="s">
        <v>8107</v>
      </c>
      <c r="C120" s="1842" t="s">
        <v>7993</v>
      </c>
      <c r="D120" s="2797"/>
      <c r="E120" s="2797"/>
      <c r="F120" s="2798">
        <f t="shared" si="2"/>
        <v>0</v>
      </c>
      <c r="G120" s="1871">
        <f t="shared" si="3"/>
        <v>0</v>
      </c>
      <c r="H120" s="1173">
        <v>1.6540999999999999</v>
      </c>
      <c r="I120" s="3132" t="s">
        <v>0</v>
      </c>
    </row>
    <row r="121" spans="1:9" ht="16.5">
      <c r="A121" s="1874" t="s">
        <v>2096</v>
      </c>
      <c r="B121" s="3131" t="s">
        <v>8108</v>
      </c>
      <c r="C121" s="1842" t="s">
        <v>7993</v>
      </c>
      <c r="D121" s="2797"/>
      <c r="E121" s="2797"/>
      <c r="F121" s="2798">
        <f t="shared" si="2"/>
        <v>0</v>
      </c>
      <c r="G121" s="1871">
        <f t="shared" si="3"/>
        <v>0</v>
      </c>
      <c r="H121" s="1173">
        <v>0.78979999999999995</v>
      </c>
      <c r="I121" s="3132" t="s">
        <v>0</v>
      </c>
    </row>
    <row r="122" spans="1:9" ht="16.5">
      <c r="A122" s="1874" t="s">
        <v>2097</v>
      </c>
      <c r="B122" s="3131" t="s">
        <v>8109</v>
      </c>
      <c r="C122" s="1842" t="s">
        <v>7993</v>
      </c>
      <c r="D122" s="2797"/>
      <c r="E122" s="2797"/>
      <c r="F122" s="2798">
        <f t="shared" si="2"/>
        <v>0</v>
      </c>
      <c r="G122" s="1871">
        <f t="shared" si="3"/>
        <v>0</v>
      </c>
      <c r="H122" s="1173">
        <v>0.36799999999999999</v>
      </c>
      <c r="I122" s="3132" t="s">
        <v>0</v>
      </c>
    </row>
    <row r="123" spans="1:9" ht="16.5">
      <c r="A123" s="1874" t="s">
        <v>2098</v>
      </c>
      <c r="B123" s="3131" t="s">
        <v>8110</v>
      </c>
      <c r="C123" s="1842" t="s">
        <v>7993</v>
      </c>
      <c r="D123" s="2797"/>
      <c r="E123" s="2797"/>
      <c r="F123" s="2798">
        <f t="shared" si="2"/>
        <v>0</v>
      </c>
      <c r="G123" s="1871">
        <f t="shared" si="3"/>
        <v>0</v>
      </c>
      <c r="H123" s="1173">
        <v>0.70320000000000005</v>
      </c>
      <c r="I123" s="3132" t="s">
        <v>0</v>
      </c>
    </row>
    <row r="124" spans="1:9" ht="16.5">
      <c r="A124" s="1874" t="s">
        <v>2099</v>
      </c>
      <c r="B124" s="3131" t="s">
        <v>8111</v>
      </c>
      <c r="C124" s="1842" t="s">
        <v>7993</v>
      </c>
      <c r="D124" s="2797"/>
      <c r="E124" s="2797"/>
      <c r="F124" s="2798">
        <f t="shared" si="2"/>
        <v>0</v>
      </c>
      <c r="G124" s="1871">
        <f t="shared" si="3"/>
        <v>0</v>
      </c>
      <c r="H124" s="1173">
        <v>1.1793</v>
      </c>
      <c r="I124" s="3132" t="s">
        <v>0</v>
      </c>
    </row>
    <row r="125" spans="1:9" ht="16.5">
      <c r="A125" s="1874" t="s">
        <v>2100</v>
      </c>
      <c r="B125" s="3131" t="s">
        <v>8112</v>
      </c>
      <c r="C125" s="1842" t="s">
        <v>7993</v>
      </c>
      <c r="D125" s="2797"/>
      <c r="E125" s="2797"/>
      <c r="F125" s="2798">
        <f t="shared" si="2"/>
        <v>0</v>
      </c>
      <c r="G125" s="1871">
        <f t="shared" si="3"/>
        <v>0</v>
      </c>
      <c r="H125" s="1173">
        <v>0.86780000000000002</v>
      </c>
      <c r="I125" s="3132" t="s">
        <v>0</v>
      </c>
    </row>
    <row r="126" spans="1:9" ht="16.5">
      <c r="A126" s="1874" t="s">
        <v>2101</v>
      </c>
      <c r="B126" s="3131" t="s">
        <v>8113</v>
      </c>
      <c r="C126" s="1842" t="s">
        <v>7993</v>
      </c>
      <c r="D126" s="2797"/>
      <c r="E126" s="2797"/>
      <c r="F126" s="2798">
        <f t="shared" si="2"/>
        <v>0</v>
      </c>
      <c r="G126" s="1871">
        <f t="shared" si="3"/>
        <v>0</v>
      </c>
      <c r="H126" s="1173">
        <v>1.3109999999999999</v>
      </c>
      <c r="I126" s="3132" t="s">
        <v>0</v>
      </c>
    </row>
    <row r="127" spans="1:9" ht="16.5">
      <c r="A127" s="1874" t="s">
        <v>2102</v>
      </c>
      <c r="B127" s="3131" t="s">
        <v>8114</v>
      </c>
      <c r="C127" s="1842" t="s">
        <v>7993</v>
      </c>
      <c r="D127" s="2797"/>
      <c r="E127" s="2797"/>
      <c r="F127" s="2798">
        <f t="shared" si="2"/>
        <v>0</v>
      </c>
      <c r="G127" s="1871">
        <f t="shared" si="3"/>
        <v>0</v>
      </c>
      <c r="H127" s="1173">
        <v>1.3469</v>
      </c>
      <c r="I127" s="3132" t="s">
        <v>0</v>
      </c>
    </row>
    <row r="128" spans="1:9" ht="16.5">
      <c r="A128" s="1874" t="s">
        <v>2103</v>
      </c>
      <c r="B128" s="3131" t="s">
        <v>8115</v>
      </c>
      <c r="C128" s="1842" t="s">
        <v>7993</v>
      </c>
      <c r="D128" s="2797"/>
      <c r="E128" s="2797"/>
      <c r="F128" s="2798">
        <f t="shared" si="2"/>
        <v>0</v>
      </c>
      <c r="G128" s="1871">
        <f t="shared" si="3"/>
        <v>0</v>
      </c>
      <c r="H128" s="1173">
        <v>0.91949999999999998</v>
      </c>
      <c r="I128" s="3132" t="s">
        <v>0</v>
      </c>
    </row>
    <row r="129" spans="1:9" ht="16.5">
      <c r="A129" s="1874" t="s">
        <v>2104</v>
      </c>
      <c r="B129" s="3131" t="s">
        <v>8116</v>
      </c>
      <c r="C129" s="1842" t="s">
        <v>7993</v>
      </c>
      <c r="D129" s="2797"/>
      <c r="E129" s="2797"/>
      <c r="F129" s="2798">
        <f t="shared" si="2"/>
        <v>0</v>
      </c>
      <c r="G129" s="1871">
        <f t="shared" si="3"/>
        <v>0</v>
      </c>
      <c r="H129" s="1173">
        <v>0.96460000000000001</v>
      </c>
      <c r="I129" s="3132" t="s">
        <v>0</v>
      </c>
    </row>
    <row r="130" spans="1:9" ht="16.5">
      <c r="A130" s="1874" t="s">
        <v>2105</v>
      </c>
      <c r="B130" s="3131" t="s">
        <v>8117</v>
      </c>
      <c r="C130" s="1842" t="s">
        <v>7993</v>
      </c>
      <c r="D130" s="2797"/>
      <c r="E130" s="2797"/>
      <c r="F130" s="2798">
        <f t="shared" si="2"/>
        <v>0</v>
      </c>
      <c r="G130" s="1871">
        <f t="shared" si="3"/>
        <v>0</v>
      </c>
      <c r="H130" s="1173">
        <v>1.0908</v>
      </c>
      <c r="I130" s="3132" t="s">
        <v>0</v>
      </c>
    </row>
    <row r="131" spans="1:9" ht="16.5">
      <c r="A131" s="1874" t="s">
        <v>2106</v>
      </c>
      <c r="B131" s="3131" t="s">
        <v>8118</v>
      </c>
      <c r="C131" s="1842" t="s">
        <v>7993</v>
      </c>
      <c r="D131" s="2797"/>
      <c r="E131" s="2797"/>
      <c r="F131" s="2798">
        <f t="shared" si="2"/>
        <v>0</v>
      </c>
      <c r="G131" s="1871">
        <f t="shared" si="3"/>
        <v>0</v>
      </c>
      <c r="H131" s="1173">
        <v>0.85629999999999995</v>
      </c>
      <c r="I131" s="3132" t="s">
        <v>0</v>
      </c>
    </row>
    <row r="132" spans="1:9" ht="16.5">
      <c r="A132" s="1874" t="s">
        <v>2107</v>
      </c>
      <c r="B132" s="3131" t="s">
        <v>8119</v>
      </c>
      <c r="C132" s="1842" t="s">
        <v>7993</v>
      </c>
      <c r="D132" s="2797"/>
      <c r="E132" s="2797"/>
      <c r="F132" s="2798">
        <f t="shared" si="2"/>
        <v>0</v>
      </c>
      <c r="G132" s="1871">
        <f t="shared" si="3"/>
        <v>0</v>
      </c>
      <c r="H132" s="1173">
        <v>1.3492</v>
      </c>
      <c r="I132" s="3132" t="s">
        <v>0</v>
      </c>
    </row>
    <row r="133" spans="1:9" ht="16.5">
      <c r="A133" s="1874" t="s">
        <v>2108</v>
      </c>
      <c r="B133" s="3131" t="s">
        <v>8120</v>
      </c>
      <c r="C133" s="1842" t="s">
        <v>7993</v>
      </c>
      <c r="D133" s="2797"/>
      <c r="E133" s="2797"/>
      <c r="F133" s="2798">
        <f t="shared" ref="F133:F196" si="4">D133*E133</f>
        <v>0</v>
      </c>
      <c r="G133" s="1871">
        <f t="shared" ref="G133:G196" si="5">IF($F$855=0,0,F133/$F$855)</f>
        <v>0</v>
      </c>
      <c r="H133" s="1173">
        <v>0.89449999999999996</v>
      </c>
      <c r="I133" s="3132" t="s">
        <v>0</v>
      </c>
    </row>
    <row r="134" spans="1:9" ht="16.5">
      <c r="A134" s="1874" t="s">
        <v>2109</v>
      </c>
      <c r="B134" s="3131" t="s">
        <v>8121</v>
      </c>
      <c r="C134" s="1842" t="s">
        <v>7993</v>
      </c>
      <c r="D134" s="2797"/>
      <c r="E134" s="2797"/>
      <c r="F134" s="2798">
        <f t="shared" si="4"/>
        <v>0</v>
      </c>
      <c r="G134" s="1871">
        <f t="shared" si="5"/>
        <v>0</v>
      </c>
      <c r="H134" s="1173">
        <v>1.7853000000000001</v>
      </c>
      <c r="I134" s="3132" t="s">
        <v>0</v>
      </c>
    </row>
    <row r="135" spans="1:9" ht="16.5">
      <c r="A135" s="1874" t="s">
        <v>2110</v>
      </c>
      <c r="B135" s="3131" t="s">
        <v>8122</v>
      </c>
      <c r="C135" s="1842" t="s">
        <v>7993</v>
      </c>
      <c r="D135" s="2797"/>
      <c r="E135" s="2797"/>
      <c r="F135" s="2798">
        <f t="shared" si="4"/>
        <v>0</v>
      </c>
      <c r="G135" s="1871">
        <f t="shared" si="5"/>
        <v>0</v>
      </c>
      <c r="H135" s="1173">
        <v>0.86560000000000004</v>
      </c>
      <c r="I135" s="3132" t="s">
        <v>0</v>
      </c>
    </row>
    <row r="136" spans="1:9" ht="16.5">
      <c r="A136" s="1874" t="s">
        <v>2111</v>
      </c>
      <c r="B136" s="3131" t="s">
        <v>8123</v>
      </c>
      <c r="C136" s="1842" t="s">
        <v>7993</v>
      </c>
      <c r="D136" s="2797"/>
      <c r="E136" s="2797"/>
      <c r="F136" s="2798">
        <f t="shared" si="4"/>
        <v>0</v>
      </c>
      <c r="G136" s="1871">
        <f t="shared" si="5"/>
        <v>0</v>
      </c>
      <c r="H136" s="1173">
        <v>0.80569999999999997</v>
      </c>
      <c r="I136" s="3132" t="s">
        <v>0</v>
      </c>
    </row>
    <row r="137" spans="1:9" ht="16.5">
      <c r="A137" s="1874" t="s">
        <v>2112</v>
      </c>
      <c r="B137" s="3131" t="s">
        <v>8124</v>
      </c>
      <c r="C137" s="1842" t="s">
        <v>7993</v>
      </c>
      <c r="D137" s="2797"/>
      <c r="E137" s="2797"/>
      <c r="F137" s="2798">
        <f t="shared" si="4"/>
        <v>0</v>
      </c>
      <c r="G137" s="1871">
        <f t="shared" si="5"/>
        <v>0</v>
      </c>
      <c r="H137" s="1173">
        <v>1.5544</v>
      </c>
      <c r="I137" s="3132" t="s">
        <v>0</v>
      </c>
    </row>
    <row r="138" spans="1:9" ht="16.5">
      <c r="A138" s="1874" t="s">
        <v>2113</v>
      </c>
      <c r="B138" s="3131" t="s">
        <v>8125</v>
      </c>
      <c r="C138" s="1842" t="s">
        <v>7993</v>
      </c>
      <c r="D138" s="2797"/>
      <c r="E138" s="2797"/>
      <c r="F138" s="2798">
        <f t="shared" si="4"/>
        <v>0</v>
      </c>
      <c r="G138" s="1871">
        <f t="shared" si="5"/>
        <v>0</v>
      </c>
      <c r="H138" s="1173">
        <v>1.5001</v>
      </c>
      <c r="I138" s="3132" t="s">
        <v>0</v>
      </c>
    </row>
    <row r="139" spans="1:9" ht="16.5">
      <c r="A139" s="1874" t="s">
        <v>2114</v>
      </c>
      <c r="B139" s="3131" t="s">
        <v>8126</v>
      </c>
      <c r="C139" s="1842" t="s">
        <v>7993</v>
      </c>
      <c r="D139" s="2797"/>
      <c r="E139" s="2797"/>
      <c r="F139" s="2798">
        <f t="shared" si="4"/>
        <v>0</v>
      </c>
      <c r="G139" s="1871">
        <f t="shared" si="5"/>
        <v>0</v>
      </c>
      <c r="H139" s="1173">
        <v>1.0772999999999999</v>
      </c>
      <c r="I139" s="3132" t="s">
        <v>0</v>
      </c>
    </row>
    <row r="140" spans="1:9" ht="16.5">
      <c r="A140" s="1874" t="s">
        <v>2115</v>
      </c>
      <c r="B140" s="3131" t="s">
        <v>8127</v>
      </c>
      <c r="C140" s="1842" t="s">
        <v>7993</v>
      </c>
      <c r="D140" s="2797"/>
      <c r="E140" s="2797"/>
      <c r="F140" s="2798">
        <f t="shared" si="4"/>
        <v>0</v>
      </c>
      <c r="G140" s="1871">
        <f t="shared" si="5"/>
        <v>0</v>
      </c>
      <c r="H140" s="1173">
        <v>1.2816000000000001</v>
      </c>
      <c r="I140" s="3132" t="s">
        <v>0</v>
      </c>
    </row>
    <row r="141" spans="1:9" ht="16.5">
      <c r="A141" s="1874" t="s">
        <v>2116</v>
      </c>
      <c r="B141" s="3131" t="s">
        <v>8128</v>
      </c>
      <c r="C141" s="1842" t="s">
        <v>7993</v>
      </c>
      <c r="D141" s="2797"/>
      <c r="E141" s="2797"/>
      <c r="F141" s="2798">
        <f t="shared" si="4"/>
        <v>0</v>
      </c>
      <c r="G141" s="1871">
        <f t="shared" si="5"/>
        <v>0</v>
      </c>
      <c r="H141" s="1173">
        <v>0.3211</v>
      </c>
      <c r="I141" s="3132" t="s">
        <v>0</v>
      </c>
    </row>
    <row r="142" spans="1:9" ht="16.5">
      <c r="A142" s="1874" t="s">
        <v>2117</v>
      </c>
      <c r="B142" s="3131" t="s">
        <v>8129</v>
      </c>
      <c r="C142" s="1842" t="s">
        <v>7993</v>
      </c>
      <c r="D142" s="2797"/>
      <c r="E142" s="2797"/>
      <c r="F142" s="2798">
        <f t="shared" si="4"/>
        <v>0</v>
      </c>
      <c r="G142" s="1871">
        <f t="shared" si="5"/>
        <v>0</v>
      </c>
      <c r="H142" s="1173">
        <v>1.1778999999999999</v>
      </c>
      <c r="I142" s="3132" t="s">
        <v>0</v>
      </c>
    </row>
    <row r="143" spans="1:9" ht="16.5">
      <c r="A143" s="1874" t="s">
        <v>2118</v>
      </c>
      <c r="B143" s="3131" t="s">
        <v>8130</v>
      </c>
      <c r="C143" s="1842" t="s">
        <v>7993</v>
      </c>
      <c r="D143" s="2797"/>
      <c r="E143" s="2797"/>
      <c r="F143" s="2798">
        <f t="shared" si="4"/>
        <v>0</v>
      </c>
      <c r="G143" s="1871">
        <f t="shared" si="5"/>
        <v>0</v>
      </c>
      <c r="H143" s="1173">
        <v>1.0515000000000001</v>
      </c>
      <c r="I143" s="3132" t="s">
        <v>0</v>
      </c>
    </row>
    <row r="144" spans="1:9" ht="16.5">
      <c r="A144" s="1874" t="s">
        <v>2119</v>
      </c>
      <c r="B144" s="3131" t="s">
        <v>8131</v>
      </c>
      <c r="C144" s="1842" t="s">
        <v>7993</v>
      </c>
      <c r="D144" s="2797"/>
      <c r="E144" s="2797"/>
      <c r="F144" s="2798">
        <f t="shared" si="4"/>
        <v>0</v>
      </c>
      <c r="G144" s="1871">
        <f t="shared" si="5"/>
        <v>0</v>
      </c>
      <c r="H144" s="1173">
        <v>1.1974</v>
      </c>
      <c r="I144" s="3132" t="s">
        <v>0</v>
      </c>
    </row>
    <row r="145" spans="1:9" ht="16.5">
      <c r="A145" s="1874" t="s">
        <v>2120</v>
      </c>
      <c r="B145" s="3131" t="s">
        <v>8132</v>
      </c>
      <c r="C145" s="1842" t="s">
        <v>7993</v>
      </c>
      <c r="D145" s="2797"/>
      <c r="E145" s="2797"/>
      <c r="F145" s="2798">
        <f t="shared" si="4"/>
        <v>0</v>
      </c>
      <c r="G145" s="1871">
        <f t="shared" si="5"/>
        <v>0</v>
      </c>
      <c r="H145" s="1173">
        <v>0.97140000000000004</v>
      </c>
      <c r="I145" s="3132" t="s">
        <v>0</v>
      </c>
    </row>
    <row r="146" spans="1:9" ht="16.5">
      <c r="A146" s="1874" t="s">
        <v>2121</v>
      </c>
      <c r="B146" s="3131" t="s">
        <v>8133</v>
      </c>
      <c r="C146" s="1842" t="s">
        <v>7993</v>
      </c>
      <c r="D146" s="2797"/>
      <c r="E146" s="2797"/>
      <c r="F146" s="2798">
        <f t="shared" si="4"/>
        <v>0</v>
      </c>
      <c r="G146" s="1871">
        <f t="shared" si="5"/>
        <v>0</v>
      </c>
      <c r="H146" s="1173">
        <v>1.8512999999999999</v>
      </c>
      <c r="I146" s="3121" t="s">
        <v>0</v>
      </c>
    </row>
    <row r="147" spans="1:9" ht="16.5">
      <c r="A147" s="1874" t="s">
        <v>2122</v>
      </c>
      <c r="B147" s="3131" t="s">
        <v>8134</v>
      </c>
      <c r="C147" s="1842" t="s">
        <v>7993</v>
      </c>
      <c r="D147" s="2797"/>
      <c r="E147" s="2797"/>
      <c r="F147" s="2798">
        <f t="shared" si="4"/>
        <v>0</v>
      </c>
      <c r="G147" s="1871">
        <f t="shared" si="5"/>
        <v>0</v>
      </c>
      <c r="H147" s="1173">
        <v>1.2709999999999999</v>
      </c>
      <c r="I147" s="3132" t="s">
        <v>0</v>
      </c>
    </row>
    <row r="148" spans="1:9" ht="16.5">
      <c r="A148" s="1874" t="s">
        <v>2123</v>
      </c>
      <c r="B148" s="3131" t="s">
        <v>8135</v>
      </c>
      <c r="C148" s="1842" t="s">
        <v>7993</v>
      </c>
      <c r="D148" s="2797"/>
      <c r="E148" s="2797"/>
      <c r="F148" s="2798">
        <f t="shared" si="4"/>
        <v>0</v>
      </c>
      <c r="G148" s="1871">
        <f t="shared" si="5"/>
        <v>0</v>
      </c>
      <c r="H148" s="1173">
        <v>0.30649999999999999</v>
      </c>
      <c r="I148" s="3132" t="s">
        <v>0</v>
      </c>
    </row>
    <row r="149" spans="1:9" ht="16.5">
      <c r="A149" s="1874" t="s">
        <v>2124</v>
      </c>
      <c r="B149" s="3131" t="s">
        <v>8136</v>
      </c>
      <c r="C149" s="1842" t="s">
        <v>7993</v>
      </c>
      <c r="D149" s="2797"/>
      <c r="E149" s="2797"/>
      <c r="F149" s="2798">
        <f t="shared" si="4"/>
        <v>0</v>
      </c>
      <c r="G149" s="1871">
        <f t="shared" si="5"/>
        <v>0</v>
      </c>
      <c r="H149" s="1173">
        <v>0.83350000000000002</v>
      </c>
      <c r="I149" s="3132" t="s">
        <v>0</v>
      </c>
    </row>
    <row r="150" spans="1:9" ht="16.5">
      <c r="A150" s="1874" t="s">
        <v>3322</v>
      </c>
      <c r="B150" s="3131" t="s">
        <v>8137</v>
      </c>
      <c r="C150" s="1842" t="s">
        <v>7993</v>
      </c>
      <c r="D150" s="2797"/>
      <c r="E150" s="2797"/>
      <c r="F150" s="2798">
        <f t="shared" si="4"/>
        <v>0</v>
      </c>
      <c r="G150" s="1871">
        <f t="shared" si="5"/>
        <v>0</v>
      </c>
      <c r="H150" s="1173">
        <v>0.38269999999999998</v>
      </c>
      <c r="I150" s="3132" t="s">
        <v>0</v>
      </c>
    </row>
    <row r="151" spans="1:9" ht="16.5">
      <c r="A151" s="1874" t="s">
        <v>2125</v>
      </c>
      <c r="B151" s="3131" t="s">
        <v>8138</v>
      </c>
      <c r="C151" s="1842" t="s">
        <v>7993</v>
      </c>
      <c r="D151" s="2797"/>
      <c r="E151" s="2797"/>
      <c r="F151" s="2798">
        <f t="shared" si="4"/>
        <v>0</v>
      </c>
      <c r="G151" s="1871">
        <f t="shared" si="5"/>
        <v>0</v>
      </c>
      <c r="H151" s="1173">
        <v>1.4587000000000001</v>
      </c>
      <c r="I151" s="3132" t="s">
        <v>0</v>
      </c>
    </row>
    <row r="152" spans="1:9" ht="16.5">
      <c r="A152" s="1874" t="s">
        <v>3229</v>
      </c>
      <c r="B152" s="3131" t="s">
        <v>8139</v>
      </c>
      <c r="C152" s="1842" t="s">
        <v>7993</v>
      </c>
      <c r="D152" s="2797"/>
      <c r="E152" s="2797"/>
      <c r="F152" s="2798">
        <f t="shared" si="4"/>
        <v>0</v>
      </c>
      <c r="G152" s="1871">
        <f t="shared" si="5"/>
        <v>0</v>
      </c>
      <c r="H152" s="1173">
        <v>1.1997</v>
      </c>
      <c r="I152" s="3132" t="s">
        <v>0</v>
      </c>
    </row>
    <row r="153" spans="1:9" ht="16.5">
      <c r="A153" s="1874" t="s">
        <v>2126</v>
      </c>
      <c r="B153" s="3131" t="s">
        <v>8140</v>
      </c>
      <c r="C153" s="1842" t="s">
        <v>7993</v>
      </c>
      <c r="D153" s="2797"/>
      <c r="E153" s="2797"/>
      <c r="F153" s="2798">
        <f t="shared" si="4"/>
        <v>0</v>
      </c>
      <c r="G153" s="1871">
        <f t="shared" si="5"/>
        <v>0</v>
      </c>
      <c r="H153" s="1173">
        <v>1.3340000000000001</v>
      </c>
      <c r="I153" s="3132" t="s">
        <v>0</v>
      </c>
    </row>
    <row r="154" spans="1:9" ht="16.5">
      <c r="A154" s="1874" t="s">
        <v>2127</v>
      </c>
      <c r="B154" s="3131" t="s">
        <v>8141</v>
      </c>
      <c r="C154" s="1842" t="s">
        <v>7993</v>
      </c>
      <c r="D154" s="2797"/>
      <c r="E154" s="2797"/>
      <c r="F154" s="2798">
        <f t="shared" si="4"/>
        <v>0</v>
      </c>
      <c r="G154" s="1871">
        <f t="shared" si="5"/>
        <v>0</v>
      </c>
      <c r="H154" s="1173">
        <v>1.5111000000000001</v>
      </c>
      <c r="I154" s="3132" t="s">
        <v>0</v>
      </c>
    </row>
    <row r="155" spans="1:9" ht="16.5">
      <c r="A155" s="1874" t="s">
        <v>2128</v>
      </c>
      <c r="B155" s="3131" t="s">
        <v>8142</v>
      </c>
      <c r="C155" s="1842" t="s">
        <v>7993</v>
      </c>
      <c r="D155" s="2797"/>
      <c r="E155" s="2797"/>
      <c r="F155" s="2798">
        <f t="shared" si="4"/>
        <v>0</v>
      </c>
      <c r="G155" s="1871">
        <f t="shared" si="5"/>
        <v>0</v>
      </c>
      <c r="H155" s="1173">
        <v>1.8493999999999999</v>
      </c>
      <c r="I155" s="3132" t="s">
        <v>0</v>
      </c>
    </row>
    <row r="156" spans="1:9" ht="16.5">
      <c r="A156" s="1874" t="s">
        <v>2129</v>
      </c>
      <c r="B156" s="3131" t="s">
        <v>8143</v>
      </c>
      <c r="C156" s="1842" t="s">
        <v>7993</v>
      </c>
      <c r="D156" s="2797"/>
      <c r="E156" s="2797"/>
      <c r="F156" s="2798">
        <f t="shared" si="4"/>
        <v>0</v>
      </c>
      <c r="G156" s="1871">
        <f t="shared" si="5"/>
        <v>0</v>
      </c>
      <c r="H156" s="1173">
        <v>1.6308</v>
      </c>
      <c r="I156" s="3132" t="s">
        <v>0</v>
      </c>
    </row>
    <row r="157" spans="1:9" ht="16.5">
      <c r="A157" s="1874" t="s">
        <v>2130</v>
      </c>
      <c r="B157" s="3131" t="s">
        <v>8144</v>
      </c>
      <c r="C157" s="1842" t="s">
        <v>7993</v>
      </c>
      <c r="D157" s="2797"/>
      <c r="E157" s="2797"/>
      <c r="F157" s="2798">
        <f t="shared" si="4"/>
        <v>0</v>
      </c>
      <c r="G157" s="1871">
        <f t="shared" si="5"/>
        <v>0</v>
      </c>
      <c r="H157" s="1173">
        <v>0.70079999999999998</v>
      </c>
      <c r="I157" s="3132" t="s">
        <v>0</v>
      </c>
    </row>
    <row r="158" spans="1:9" ht="16.5">
      <c r="A158" s="1874" t="s">
        <v>2131</v>
      </c>
      <c r="B158" s="3131" t="s">
        <v>8145</v>
      </c>
      <c r="C158" s="1842" t="s">
        <v>7993</v>
      </c>
      <c r="D158" s="2797"/>
      <c r="E158" s="2797"/>
      <c r="F158" s="2798">
        <f t="shared" si="4"/>
        <v>0</v>
      </c>
      <c r="G158" s="1871">
        <f t="shared" si="5"/>
        <v>0</v>
      </c>
      <c r="H158" s="1173">
        <v>1.677</v>
      </c>
      <c r="I158" s="3132" t="s">
        <v>0</v>
      </c>
    </row>
    <row r="159" spans="1:9" ht="16.5">
      <c r="A159" s="1874" t="s">
        <v>2132</v>
      </c>
      <c r="B159" s="3131" t="s">
        <v>8146</v>
      </c>
      <c r="C159" s="1842" t="s">
        <v>7993</v>
      </c>
      <c r="D159" s="2797"/>
      <c r="E159" s="2797"/>
      <c r="F159" s="2798">
        <f t="shared" si="4"/>
        <v>0</v>
      </c>
      <c r="G159" s="1871">
        <f t="shared" si="5"/>
        <v>0</v>
      </c>
      <c r="H159" s="1173">
        <v>1.2484999999999999</v>
      </c>
      <c r="I159" s="3132" t="s">
        <v>0</v>
      </c>
    </row>
    <row r="160" spans="1:9" ht="16.5">
      <c r="A160" s="1874" t="s">
        <v>2133</v>
      </c>
      <c r="B160" s="3131" t="s">
        <v>8147</v>
      </c>
      <c r="C160" s="1842" t="s">
        <v>7993</v>
      </c>
      <c r="D160" s="2797"/>
      <c r="E160" s="2797"/>
      <c r="F160" s="2798">
        <f t="shared" si="4"/>
        <v>0</v>
      </c>
      <c r="G160" s="1871">
        <f t="shared" si="5"/>
        <v>0</v>
      </c>
      <c r="H160" s="1173">
        <v>0.4037</v>
      </c>
      <c r="I160" s="3132" t="s">
        <v>0</v>
      </c>
    </row>
    <row r="161" spans="1:9" ht="16.5">
      <c r="A161" s="1874" t="s">
        <v>2134</v>
      </c>
      <c r="B161" s="3131" t="s">
        <v>8148</v>
      </c>
      <c r="C161" s="1842" t="s">
        <v>7993</v>
      </c>
      <c r="D161" s="2797"/>
      <c r="E161" s="2797"/>
      <c r="F161" s="2798">
        <f t="shared" si="4"/>
        <v>0</v>
      </c>
      <c r="G161" s="1871">
        <f t="shared" si="5"/>
        <v>0</v>
      </c>
      <c r="H161" s="1173">
        <v>1.4913000000000001</v>
      </c>
      <c r="I161" s="3132" t="s">
        <v>0</v>
      </c>
    </row>
    <row r="162" spans="1:9" ht="16.5">
      <c r="A162" s="1874" t="s">
        <v>2135</v>
      </c>
      <c r="B162" s="3131" t="s">
        <v>8149</v>
      </c>
      <c r="C162" s="1842" t="s">
        <v>7993</v>
      </c>
      <c r="D162" s="2797"/>
      <c r="E162" s="2797"/>
      <c r="F162" s="2798">
        <f t="shared" si="4"/>
        <v>0</v>
      </c>
      <c r="G162" s="1871">
        <f t="shared" si="5"/>
        <v>0</v>
      </c>
      <c r="H162" s="1173">
        <v>1.5809</v>
      </c>
      <c r="I162" s="3132" t="s">
        <v>0</v>
      </c>
    </row>
    <row r="163" spans="1:9" ht="16.5">
      <c r="A163" s="1874" t="s">
        <v>2136</v>
      </c>
      <c r="B163" s="3131" t="s">
        <v>8150</v>
      </c>
      <c r="C163" s="1842" t="s">
        <v>7993</v>
      </c>
      <c r="D163" s="2797"/>
      <c r="E163" s="2797"/>
      <c r="F163" s="2798">
        <f t="shared" si="4"/>
        <v>0</v>
      </c>
      <c r="G163" s="1871">
        <f t="shared" si="5"/>
        <v>0</v>
      </c>
      <c r="H163" s="1173">
        <v>0.55549999999999999</v>
      </c>
      <c r="I163" s="3132" t="s">
        <v>0</v>
      </c>
    </row>
    <row r="164" spans="1:9" ht="16.5">
      <c r="A164" s="1874" t="s">
        <v>3323</v>
      </c>
      <c r="B164" s="3131" t="s">
        <v>8151</v>
      </c>
      <c r="C164" s="1842" t="s">
        <v>7993</v>
      </c>
      <c r="D164" s="2797"/>
      <c r="E164" s="2797"/>
      <c r="F164" s="2798">
        <f t="shared" si="4"/>
        <v>0</v>
      </c>
      <c r="G164" s="1871">
        <f t="shared" si="5"/>
        <v>0</v>
      </c>
      <c r="H164" s="1173">
        <v>0.78669999999999995</v>
      </c>
      <c r="I164" s="3132" t="s">
        <v>0</v>
      </c>
    </row>
    <row r="165" spans="1:9" ht="16.5">
      <c r="A165" s="1874" t="s">
        <v>2137</v>
      </c>
      <c r="B165" s="3131" t="s">
        <v>8152</v>
      </c>
      <c r="C165" s="1842" t="s">
        <v>7993</v>
      </c>
      <c r="D165" s="2797"/>
      <c r="E165" s="2797"/>
      <c r="F165" s="2798">
        <f t="shared" si="4"/>
        <v>0</v>
      </c>
      <c r="G165" s="1871">
        <f t="shared" si="5"/>
        <v>0</v>
      </c>
      <c r="H165" s="1173">
        <v>0.77059999999999995</v>
      </c>
      <c r="I165" s="3132" t="s">
        <v>0</v>
      </c>
    </row>
    <row r="166" spans="1:9" ht="16.5">
      <c r="A166" s="1874" t="s">
        <v>2138</v>
      </c>
      <c r="B166" s="3131" t="s">
        <v>8153</v>
      </c>
      <c r="C166" s="1842" t="s">
        <v>7993</v>
      </c>
      <c r="D166" s="2797"/>
      <c r="E166" s="2797"/>
      <c r="F166" s="2798">
        <f t="shared" si="4"/>
        <v>0</v>
      </c>
      <c r="G166" s="1871">
        <f t="shared" si="5"/>
        <v>0</v>
      </c>
      <c r="H166" s="1173">
        <v>1.3342000000000001</v>
      </c>
      <c r="I166" s="3132" t="s">
        <v>0</v>
      </c>
    </row>
    <row r="167" spans="1:9" ht="16.5">
      <c r="A167" s="1874" t="s">
        <v>2139</v>
      </c>
      <c r="B167" s="3131" t="s">
        <v>8154</v>
      </c>
      <c r="C167" s="1842" t="s">
        <v>7993</v>
      </c>
      <c r="D167" s="2797"/>
      <c r="E167" s="2797"/>
      <c r="F167" s="2798">
        <f t="shared" si="4"/>
        <v>0</v>
      </c>
      <c r="G167" s="1871">
        <f t="shared" si="5"/>
        <v>0</v>
      </c>
      <c r="H167" s="1173">
        <v>1.1042000000000001</v>
      </c>
      <c r="I167" s="3132" t="s">
        <v>0</v>
      </c>
    </row>
    <row r="168" spans="1:9" ht="16.5">
      <c r="A168" s="1874" t="s">
        <v>2140</v>
      </c>
      <c r="B168" s="3131" t="s">
        <v>8155</v>
      </c>
      <c r="C168" s="1842" t="s">
        <v>7993</v>
      </c>
      <c r="D168" s="2797"/>
      <c r="E168" s="2797"/>
      <c r="F168" s="2798">
        <f t="shared" si="4"/>
        <v>0</v>
      </c>
      <c r="G168" s="1871">
        <f t="shared" si="5"/>
        <v>0</v>
      </c>
      <c r="H168" s="1173">
        <v>0.96009999999999995</v>
      </c>
      <c r="I168" s="3132" t="s">
        <v>0</v>
      </c>
    </row>
    <row r="169" spans="1:9" ht="16.5">
      <c r="A169" s="1874" t="s">
        <v>2141</v>
      </c>
      <c r="B169" s="3131" t="s">
        <v>8156</v>
      </c>
      <c r="C169" s="1842" t="s">
        <v>7993</v>
      </c>
      <c r="D169" s="2797"/>
      <c r="E169" s="2797"/>
      <c r="F169" s="2798">
        <f t="shared" si="4"/>
        <v>0</v>
      </c>
      <c r="G169" s="1871">
        <f t="shared" si="5"/>
        <v>0</v>
      </c>
      <c r="H169" s="1173">
        <v>1.4397</v>
      </c>
      <c r="I169" s="3132" t="s">
        <v>0</v>
      </c>
    </row>
    <row r="170" spans="1:9" ht="16.5">
      <c r="A170" s="1874" t="s">
        <v>2142</v>
      </c>
      <c r="B170" s="3131" t="s">
        <v>8157</v>
      </c>
      <c r="C170" s="1842" t="s">
        <v>7993</v>
      </c>
      <c r="D170" s="2797"/>
      <c r="E170" s="2797"/>
      <c r="F170" s="2798">
        <f t="shared" si="4"/>
        <v>0</v>
      </c>
      <c r="G170" s="1871">
        <f t="shared" si="5"/>
        <v>0</v>
      </c>
      <c r="H170" s="1173">
        <v>0.47149999999999997</v>
      </c>
      <c r="I170" s="3132" t="s">
        <v>0</v>
      </c>
    </row>
    <row r="171" spans="1:9" ht="16.5">
      <c r="A171" s="1874" t="s">
        <v>2143</v>
      </c>
      <c r="B171" s="3131" t="s">
        <v>8158</v>
      </c>
      <c r="C171" s="1842" t="s">
        <v>7993</v>
      </c>
      <c r="D171" s="2797"/>
      <c r="E171" s="2797"/>
      <c r="F171" s="2798">
        <f t="shared" si="4"/>
        <v>0</v>
      </c>
      <c r="G171" s="1871">
        <f t="shared" si="5"/>
        <v>0</v>
      </c>
      <c r="H171" s="1173">
        <v>1.2237</v>
      </c>
      <c r="I171" s="3132" t="s">
        <v>0</v>
      </c>
    </row>
    <row r="172" spans="1:9" ht="16.5">
      <c r="A172" s="1874" t="s">
        <v>2144</v>
      </c>
      <c r="B172" s="3131" t="s">
        <v>8159</v>
      </c>
      <c r="C172" s="1842" t="s">
        <v>7993</v>
      </c>
      <c r="D172" s="2797"/>
      <c r="E172" s="2797"/>
      <c r="F172" s="2798">
        <f t="shared" si="4"/>
        <v>0</v>
      </c>
      <c r="G172" s="1871">
        <f t="shared" si="5"/>
        <v>0</v>
      </c>
      <c r="H172" s="1173">
        <v>0.83499999999999996</v>
      </c>
      <c r="I172" s="3132" t="s">
        <v>0</v>
      </c>
    </row>
    <row r="173" spans="1:9" ht="16.5">
      <c r="A173" s="1874" t="s">
        <v>2145</v>
      </c>
      <c r="B173" s="3131" t="s">
        <v>8160</v>
      </c>
      <c r="C173" s="1842" t="s">
        <v>7993</v>
      </c>
      <c r="D173" s="2797"/>
      <c r="E173" s="2797"/>
      <c r="F173" s="2798">
        <f t="shared" si="4"/>
        <v>0</v>
      </c>
      <c r="G173" s="1871">
        <f t="shared" si="5"/>
        <v>0</v>
      </c>
      <c r="H173" s="1173">
        <v>1.4441999999999999</v>
      </c>
      <c r="I173" s="3132" t="s">
        <v>0</v>
      </c>
    </row>
    <row r="174" spans="1:9" ht="16.5">
      <c r="A174" s="1874" t="s">
        <v>2146</v>
      </c>
      <c r="B174" s="3131" t="s">
        <v>8161</v>
      </c>
      <c r="C174" s="1842" t="s">
        <v>7993</v>
      </c>
      <c r="D174" s="2797"/>
      <c r="E174" s="2797"/>
      <c r="F174" s="2798">
        <f t="shared" si="4"/>
        <v>0</v>
      </c>
      <c r="G174" s="1871">
        <f t="shared" si="5"/>
        <v>0</v>
      </c>
      <c r="H174" s="1173">
        <v>0.95640000000000003</v>
      </c>
      <c r="I174" s="3132" t="s">
        <v>0</v>
      </c>
    </row>
    <row r="175" spans="1:9" ht="16.5">
      <c r="A175" s="1874" t="s">
        <v>2147</v>
      </c>
      <c r="B175" s="3131" t="s">
        <v>8162</v>
      </c>
      <c r="C175" s="1842" t="s">
        <v>7993</v>
      </c>
      <c r="D175" s="2797"/>
      <c r="E175" s="2797"/>
      <c r="F175" s="2798">
        <f t="shared" si="4"/>
        <v>0</v>
      </c>
      <c r="G175" s="1871">
        <f t="shared" si="5"/>
        <v>0</v>
      </c>
      <c r="H175" s="1173">
        <v>1.0606</v>
      </c>
      <c r="I175" s="3132" t="s">
        <v>0</v>
      </c>
    </row>
    <row r="176" spans="1:9" ht="16.5">
      <c r="A176" s="1874" t="s">
        <v>2148</v>
      </c>
      <c r="B176" s="3131" t="s">
        <v>8163</v>
      </c>
      <c r="C176" s="1842" t="s">
        <v>7993</v>
      </c>
      <c r="D176" s="2797"/>
      <c r="E176" s="2797"/>
      <c r="F176" s="2798">
        <f t="shared" si="4"/>
        <v>0</v>
      </c>
      <c r="G176" s="1871">
        <f t="shared" si="5"/>
        <v>0</v>
      </c>
      <c r="H176" s="1173">
        <v>1.0606</v>
      </c>
      <c r="I176" s="3132" t="s">
        <v>0</v>
      </c>
    </row>
    <row r="177" spans="1:9" ht="16.5">
      <c r="A177" s="1874" t="s">
        <v>2149</v>
      </c>
      <c r="B177" s="3131" t="s">
        <v>8164</v>
      </c>
      <c r="C177" s="1842" t="s">
        <v>7993</v>
      </c>
      <c r="D177" s="2797"/>
      <c r="E177" s="2797"/>
      <c r="F177" s="2798">
        <f t="shared" si="4"/>
        <v>0</v>
      </c>
      <c r="G177" s="1871">
        <f t="shared" si="5"/>
        <v>0</v>
      </c>
      <c r="H177" s="1173">
        <v>1.1258999999999999</v>
      </c>
      <c r="I177" s="3132" t="s">
        <v>0</v>
      </c>
    </row>
    <row r="178" spans="1:9" ht="16.5">
      <c r="A178" s="1874" t="s">
        <v>2150</v>
      </c>
      <c r="B178" s="3131" t="s">
        <v>8165</v>
      </c>
      <c r="C178" s="1842" t="s">
        <v>7993</v>
      </c>
      <c r="D178" s="2797"/>
      <c r="E178" s="2797"/>
      <c r="F178" s="2798">
        <f t="shared" si="4"/>
        <v>0</v>
      </c>
      <c r="G178" s="1871">
        <f t="shared" si="5"/>
        <v>0</v>
      </c>
      <c r="H178" s="1173">
        <v>1.2604</v>
      </c>
      <c r="I178" s="3132" t="s">
        <v>0</v>
      </c>
    </row>
    <row r="179" spans="1:9" ht="16.5">
      <c r="A179" s="1874" t="s">
        <v>2151</v>
      </c>
      <c r="B179" s="3131" t="s">
        <v>8166</v>
      </c>
      <c r="C179" s="1842" t="s">
        <v>7993</v>
      </c>
      <c r="D179" s="2797"/>
      <c r="E179" s="2797"/>
      <c r="F179" s="2798">
        <f t="shared" si="4"/>
        <v>0</v>
      </c>
      <c r="G179" s="1871">
        <f t="shared" si="5"/>
        <v>0</v>
      </c>
      <c r="H179" s="1173">
        <v>1.4456</v>
      </c>
      <c r="I179" s="3132" t="s">
        <v>0</v>
      </c>
    </row>
    <row r="180" spans="1:9" ht="16.5">
      <c r="A180" s="1874" t="s">
        <v>2152</v>
      </c>
      <c r="B180" s="3131" t="s">
        <v>8167</v>
      </c>
      <c r="C180" s="1842" t="s">
        <v>7993</v>
      </c>
      <c r="D180" s="2797"/>
      <c r="E180" s="2797"/>
      <c r="F180" s="2798">
        <f t="shared" si="4"/>
        <v>0</v>
      </c>
      <c r="G180" s="1871">
        <f t="shared" si="5"/>
        <v>0</v>
      </c>
      <c r="H180" s="1173">
        <v>1.0714999999999999</v>
      </c>
      <c r="I180" s="3132" t="s">
        <v>0</v>
      </c>
    </row>
    <row r="181" spans="1:9" ht="16.5">
      <c r="A181" s="1874" t="s">
        <v>2153</v>
      </c>
      <c r="B181" s="3131" t="s">
        <v>8168</v>
      </c>
      <c r="C181" s="1842" t="s">
        <v>7993</v>
      </c>
      <c r="D181" s="2797"/>
      <c r="E181" s="2797"/>
      <c r="F181" s="2798">
        <f t="shared" si="4"/>
        <v>0</v>
      </c>
      <c r="G181" s="1871">
        <f t="shared" si="5"/>
        <v>0</v>
      </c>
      <c r="H181" s="1173">
        <v>1.0765</v>
      </c>
      <c r="I181" s="3132" t="s">
        <v>0</v>
      </c>
    </row>
    <row r="182" spans="1:9" ht="16.5">
      <c r="A182" s="1874" t="s">
        <v>2154</v>
      </c>
      <c r="B182" s="3131" t="s">
        <v>8169</v>
      </c>
      <c r="C182" s="1842" t="s">
        <v>7993</v>
      </c>
      <c r="D182" s="2797"/>
      <c r="E182" s="2797"/>
      <c r="F182" s="2798">
        <f t="shared" si="4"/>
        <v>0</v>
      </c>
      <c r="G182" s="1871">
        <f t="shared" si="5"/>
        <v>0</v>
      </c>
      <c r="H182" s="1173">
        <v>0.85680000000000001</v>
      </c>
      <c r="I182" s="3132" t="s">
        <v>0</v>
      </c>
    </row>
    <row r="183" spans="1:9" ht="16.5">
      <c r="A183" s="1874" t="s">
        <v>2155</v>
      </c>
      <c r="B183" s="3131" t="s">
        <v>8170</v>
      </c>
      <c r="C183" s="1842" t="s">
        <v>7993</v>
      </c>
      <c r="D183" s="2797"/>
      <c r="E183" s="2797"/>
      <c r="F183" s="2798">
        <f t="shared" si="4"/>
        <v>0</v>
      </c>
      <c r="G183" s="1871">
        <f t="shared" si="5"/>
        <v>0</v>
      </c>
      <c r="H183" s="1173">
        <v>0.75160000000000005</v>
      </c>
      <c r="I183" s="3132" t="s">
        <v>0</v>
      </c>
    </row>
    <row r="184" spans="1:9" ht="16.5">
      <c r="A184" s="1874" t="s">
        <v>2156</v>
      </c>
      <c r="B184" s="3131" t="s">
        <v>8171</v>
      </c>
      <c r="C184" s="1842" t="s">
        <v>7993</v>
      </c>
      <c r="D184" s="2797"/>
      <c r="E184" s="2797"/>
      <c r="F184" s="2798">
        <f t="shared" si="4"/>
        <v>0</v>
      </c>
      <c r="G184" s="1871">
        <f t="shared" si="5"/>
        <v>0</v>
      </c>
      <c r="H184" s="1173">
        <v>1.2801</v>
      </c>
      <c r="I184" s="3132" t="s">
        <v>0</v>
      </c>
    </row>
    <row r="185" spans="1:9" ht="16.5">
      <c r="A185" s="1874" t="s">
        <v>2157</v>
      </c>
      <c r="B185" s="3131" t="s">
        <v>8172</v>
      </c>
      <c r="C185" s="1842" t="s">
        <v>7993</v>
      </c>
      <c r="D185" s="2797"/>
      <c r="E185" s="2797"/>
      <c r="F185" s="2798">
        <f t="shared" si="4"/>
        <v>0</v>
      </c>
      <c r="G185" s="1871">
        <f t="shared" si="5"/>
        <v>0</v>
      </c>
      <c r="H185" s="1173">
        <v>1.1576</v>
      </c>
      <c r="I185" s="3132" t="s">
        <v>0</v>
      </c>
    </row>
    <row r="186" spans="1:9" ht="16.5">
      <c r="A186" s="1874" t="s">
        <v>2158</v>
      </c>
      <c r="B186" s="3131" t="s">
        <v>8173</v>
      </c>
      <c r="C186" s="1842" t="s">
        <v>7993</v>
      </c>
      <c r="D186" s="2797"/>
      <c r="E186" s="2797"/>
      <c r="F186" s="2798">
        <f t="shared" si="4"/>
        <v>0</v>
      </c>
      <c r="G186" s="1871">
        <f t="shared" si="5"/>
        <v>0</v>
      </c>
      <c r="H186" s="1173">
        <v>0.41810000000000003</v>
      </c>
      <c r="I186" s="3132" t="s">
        <v>0</v>
      </c>
    </row>
    <row r="187" spans="1:9" ht="16.5">
      <c r="A187" s="1874" t="s">
        <v>2159</v>
      </c>
      <c r="B187" s="3131" t="s">
        <v>8174</v>
      </c>
      <c r="C187" s="1842" t="s">
        <v>7993</v>
      </c>
      <c r="D187" s="2797"/>
      <c r="E187" s="2797"/>
      <c r="F187" s="2798">
        <f t="shared" si="4"/>
        <v>0</v>
      </c>
      <c r="G187" s="1871">
        <f t="shared" si="5"/>
        <v>0</v>
      </c>
      <c r="H187" s="1173">
        <v>0.78469999999999995</v>
      </c>
      <c r="I187" s="3132" t="s">
        <v>0</v>
      </c>
    </row>
    <row r="188" spans="1:9" ht="16.5">
      <c r="A188" s="1874" t="s">
        <v>2160</v>
      </c>
      <c r="B188" s="3131" t="s">
        <v>8175</v>
      </c>
      <c r="C188" s="1842" t="s">
        <v>7993</v>
      </c>
      <c r="D188" s="2797"/>
      <c r="E188" s="2797"/>
      <c r="F188" s="2798">
        <f t="shared" si="4"/>
        <v>0</v>
      </c>
      <c r="G188" s="1871">
        <f t="shared" si="5"/>
        <v>0</v>
      </c>
      <c r="H188" s="1173">
        <v>0.40460000000000002</v>
      </c>
      <c r="I188" s="3132" t="s">
        <v>0</v>
      </c>
    </row>
    <row r="189" spans="1:9" ht="16.5">
      <c r="A189" s="1874" t="s">
        <v>2161</v>
      </c>
      <c r="B189" s="3131" t="s">
        <v>8176</v>
      </c>
      <c r="C189" s="1842" t="s">
        <v>7993</v>
      </c>
      <c r="D189" s="2797"/>
      <c r="E189" s="2797"/>
      <c r="F189" s="2798">
        <f t="shared" si="4"/>
        <v>0</v>
      </c>
      <c r="G189" s="1871">
        <f t="shared" si="5"/>
        <v>0</v>
      </c>
      <c r="H189" s="1173">
        <v>0.94550000000000001</v>
      </c>
      <c r="I189" s="3132" t="s">
        <v>0</v>
      </c>
    </row>
    <row r="190" spans="1:9" ht="16.5">
      <c r="A190" s="1874" t="s">
        <v>2162</v>
      </c>
      <c r="B190" s="3131" t="s">
        <v>8177</v>
      </c>
      <c r="C190" s="1842" t="s">
        <v>7993</v>
      </c>
      <c r="D190" s="2797"/>
      <c r="E190" s="2797"/>
      <c r="F190" s="2798">
        <f t="shared" si="4"/>
        <v>0</v>
      </c>
      <c r="G190" s="1871">
        <f t="shared" si="5"/>
        <v>0</v>
      </c>
      <c r="H190" s="1173">
        <v>0.96599999999999997</v>
      </c>
      <c r="I190" s="3132" t="s">
        <v>0</v>
      </c>
    </row>
    <row r="191" spans="1:9" ht="16.5">
      <c r="A191" s="1874" t="s">
        <v>2163</v>
      </c>
      <c r="B191" s="3131" t="s">
        <v>8178</v>
      </c>
      <c r="C191" s="1842" t="s">
        <v>7993</v>
      </c>
      <c r="D191" s="2797"/>
      <c r="E191" s="2797"/>
      <c r="F191" s="2798">
        <f t="shared" si="4"/>
        <v>0</v>
      </c>
      <c r="G191" s="1871">
        <f t="shared" si="5"/>
        <v>0</v>
      </c>
      <c r="H191" s="1173">
        <v>1.4984</v>
      </c>
      <c r="I191" s="3132" t="s">
        <v>0</v>
      </c>
    </row>
    <row r="192" spans="1:9" ht="16.5">
      <c r="A192" s="1874" t="s">
        <v>2164</v>
      </c>
      <c r="B192" s="3131" t="s">
        <v>8179</v>
      </c>
      <c r="C192" s="1842" t="s">
        <v>7993</v>
      </c>
      <c r="D192" s="2797"/>
      <c r="E192" s="2797"/>
      <c r="F192" s="2798">
        <f t="shared" si="4"/>
        <v>0</v>
      </c>
      <c r="G192" s="1871">
        <f t="shared" si="5"/>
        <v>0</v>
      </c>
      <c r="H192" s="1173">
        <v>0.51129999999999998</v>
      </c>
      <c r="I192" s="3132" t="s">
        <v>0</v>
      </c>
    </row>
    <row r="193" spans="1:9" ht="16.5">
      <c r="A193" s="1874" t="s">
        <v>2165</v>
      </c>
      <c r="B193" s="3131" t="s">
        <v>8180</v>
      </c>
      <c r="C193" s="1842" t="s">
        <v>7993</v>
      </c>
      <c r="D193" s="2797"/>
      <c r="E193" s="2797"/>
      <c r="F193" s="2798">
        <f t="shared" si="4"/>
        <v>0</v>
      </c>
      <c r="G193" s="1871">
        <f t="shared" si="5"/>
        <v>0</v>
      </c>
      <c r="H193" s="1173">
        <v>1.1497999999999999</v>
      </c>
      <c r="I193" s="3132" t="s">
        <v>0</v>
      </c>
    </row>
    <row r="194" spans="1:9" ht="16.5">
      <c r="A194" s="1874" t="s">
        <v>2166</v>
      </c>
      <c r="B194" s="3131" t="s">
        <v>8181</v>
      </c>
      <c r="C194" s="1842" t="s">
        <v>7993</v>
      </c>
      <c r="D194" s="2797"/>
      <c r="E194" s="2797"/>
      <c r="F194" s="2798">
        <f t="shared" si="4"/>
        <v>0</v>
      </c>
      <c r="G194" s="1871">
        <f t="shared" si="5"/>
        <v>0</v>
      </c>
      <c r="H194" s="1173">
        <v>1.3642000000000001</v>
      </c>
      <c r="I194" s="3132" t="s">
        <v>0</v>
      </c>
    </row>
    <row r="195" spans="1:9" ht="16.5">
      <c r="A195" s="1874" t="s">
        <v>2167</v>
      </c>
      <c r="B195" s="3131" t="s">
        <v>8182</v>
      </c>
      <c r="C195" s="1842" t="s">
        <v>7993</v>
      </c>
      <c r="D195" s="2797"/>
      <c r="E195" s="2797"/>
      <c r="F195" s="2798">
        <f t="shared" si="4"/>
        <v>0</v>
      </c>
      <c r="G195" s="1871">
        <f t="shared" si="5"/>
        <v>0</v>
      </c>
      <c r="H195" s="1173">
        <v>0.61270000000000002</v>
      </c>
      <c r="I195" s="3132" t="s">
        <v>0</v>
      </c>
    </row>
    <row r="196" spans="1:9" ht="16.5">
      <c r="A196" s="1874" t="s">
        <v>2168</v>
      </c>
      <c r="B196" s="3131" t="s">
        <v>8183</v>
      </c>
      <c r="C196" s="1842" t="s">
        <v>7993</v>
      </c>
      <c r="D196" s="2797"/>
      <c r="E196" s="2797"/>
      <c r="F196" s="2798">
        <f t="shared" si="4"/>
        <v>0</v>
      </c>
      <c r="G196" s="1871">
        <f t="shared" si="5"/>
        <v>0</v>
      </c>
      <c r="H196" s="1173">
        <v>0.36770000000000003</v>
      </c>
      <c r="I196" s="3132" t="s">
        <v>0</v>
      </c>
    </row>
    <row r="197" spans="1:9" ht="16.5">
      <c r="A197" s="1874" t="s">
        <v>2169</v>
      </c>
      <c r="B197" s="3131" t="s">
        <v>8184</v>
      </c>
      <c r="C197" s="1842" t="s">
        <v>7993</v>
      </c>
      <c r="D197" s="2797"/>
      <c r="E197" s="2797"/>
      <c r="F197" s="2798">
        <f t="shared" ref="F197:F260" si="6">D197*E197</f>
        <v>0</v>
      </c>
      <c r="G197" s="1871">
        <f t="shared" ref="G197:G260" si="7">IF($F$855=0,0,F197/$F$855)</f>
        <v>0</v>
      </c>
      <c r="H197" s="1173">
        <v>1.3752</v>
      </c>
      <c r="I197" s="3132" t="s">
        <v>0</v>
      </c>
    </row>
    <row r="198" spans="1:9" ht="16.5">
      <c r="A198" s="1874" t="s">
        <v>2170</v>
      </c>
      <c r="B198" s="3131" t="s">
        <v>8185</v>
      </c>
      <c r="C198" s="1842" t="s">
        <v>7993</v>
      </c>
      <c r="D198" s="2797"/>
      <c r="E198" s="2797"/>
      <c r="F198" s="2798">
        <f t="shared" si="6"/>
        <v>0</v>
      </c>
      <c r="G198" s="1871">
        <f t="shared" si="7"/>
        <v>0</v>
      </c>
      <c r="H198" s="1173">
        <v>1.5406</v>
      </c>
      <c r="I198" s="3132" t="s">
        <v>0</v>
      </c>
    </row>
    <row r="199" spans="1:9" ht="16.5">
      <c r="A199" s="1874" t="s">
        <v>2171</v>
      </c>
      <c r="B199" s="3131" t="s">
        <v>8186</v>
      </c>
      <c r="C199" s="1842" t="s">
        <v>7993</v>
      </c>
      <c r="D199" s="2797"/>
      <c r="E199" s="2797"/>
      <c r="F199" s="2798">
        <f t="shared" si="6"/>
        <v>0</v>
      </c>
      <c r="G199" s="1871">
        <f t="shared" si="7"/>
        <v>0</v>
      </c>
      <c r="H199" s="1173">
        <v>1.2252000000000001</v>
      </c>
      <c r="I199" s="3132" t="s">
        <v>0</v>
      </c>
    </row>
    <row r="200" spans="1:9" ht="16.5">
      <c r="A200" s="1874" t="s">
        <v>2172</v>
      </c>
      <c r="B200" s="3131" t="s">
        <v>8187</v>
      </c>
      <c r="C200" s="1842" t="s">
        <v>7993</v>
      </c>
      <c r="D200" s="2797"/>
      <c r="E200" s="2797"/>
      <c r="F200" s="2798">
        <f t="shared" si="6"/>
        <v>0</v>
      </c>
      <c r="G200" s="1871">
        <f t="shared" si="7"/>
        <v>0</v>
      </c>
      <c r="H200" s="1173">
        <v>0.71560000000000001</v>
      </c>
      <c r="I200" s="3132" t="s">
        <v>0</v>
      </c>
    </row>
    <row r="201" spans="1:9" ht="16.5">
      <c r="A201" s="1874" t="s">
        <v>2173</v>
      </c>
      <c r="B201" s="3131" t="s">
        <v>8188</v>
      </c>
      <c r="C201" s="1842" t="s">
        <v>7993</v>
      </c>
      <c r="D201" s="2797"/>
      <c r="E201" s="2797"/>
      <c r="F201" s="2798">
        <f t="shared" si="6"/>
        <v>0</v>
      </c>
      <c r="G201" s="1871">
        <f t="shared" si="7"/>
        <v>0</v>
      </c>
      <c r="H201" s="1173">
        <v>0.45910000000000001</v>
      </c>
      <c r="I201" s="3132" t="s">
        <v>0</v>
      </c>
    </row>
    <row r="202" spans="1:9" ht="16.5">
      <c r="A202" s="1874" t="s">
        <v>2174</v>
      </c>
      <c r="B202" s="3131" t="s">
        <v>8189</v>
      </c>
      <c r="C202" s="1842" t="s">
        <v>7993</v>
      </c>
      <c r="D202" s="2797"/>
      <c r="E202" s="2797"/>
      <c r="F202" s="2798">
        <f t="shared" si="6"/>
        <v>0</v>
      </c>
      <c r="G202" s="1871">
        <f t="shared" si="7"/>
        <v>0</v>
      </c>
      <c r="H202" s="1173">
        <v>1.2033</v>
      </c>
      <c r="I202" s="3132" t="s">
        <v>0</v>
      </c>
    </row>
    <row r="203" spans="1:9" ht="16.5">
      <c r="A203" s="1874" t="s">
        <v>2175</v>
      </c>
      <c r="B203" s="3131" t="s">
        <v>8190</v>
      </c>
      <c r="C203" s="1842" t="s">
        <v>7993</v>
      </c>
      <c r="D203" s="2797"/>
      <c r="E203" s="2797"/>
      <c r="F203" s="2798">
        <f t="shared" si="6"/>
        <v>0</v>
      </c>
      <c r="G203" s="1871">
        <f t="shared" si="7"/>
        <v>0</v>
      </c>
      <c r="H203" s="1173">
        <v>1.7862</v>
      </c>
      <c r="I203" s="3132" t="s">
        <v>0</v>
      </c>
    </row>
    <row r="204" spans="1:9" ht="16.5">
      <c r="A204" s="1874" t="s">
        <v>2176</v>
      </c>
      <c r="B204" s="3131" t="s">
        <v>8191</v>
      </c>
      <c r="C204" s="1842" t="s">
        <v>7993</v>
      </c>
      <c r="D204" s="2797"/>
      <c r="E204" s="2797"/>
      <c r="F204" s="2798">
        <f t="shared" si="6"/>
        <v>0</v>
      </c>
      <c r="G204" s="1871">
        <f t="shared" si="7"/>
        <v>0</v>
      </c>
      <c r="H204" s="1173">
        <v>0.75829999999999997</v>
      </c>
      <c r="I204" s="3121" t="s">
        <v>0</v>
      </c>
    </row>
    <row r="205" spans="1:9" ht="16.5">
      <c r="A205" s="1874" t="s">
        <v>2177</v>
      </c>
      <c r="B205" s="3131" t="s">
        <v>8192</v>
      </c>
      <c r="C205" s="1842" t="s">
        <v>7993</v>
      </c>
      <c r="D205" s="2797"/>
      <c r="E205" s="2797"/>
      <c r="F205" s="2798">
        <f t="shared" si="6"/>
        <v>0</v>
      </c>
      <c r="G205" s="1871">
        <f t="shared" si="7"/>
        <v>0</v>
      </c>
      <c r="H205" s="1173">
        <v>0.42130000000000001</v>
      </c>
      <c r="I205" s="3132" t="s">
        <v>0</v>
      </c>
    </row>
    <row r="206" spans="1:9" ht="16.5">
      <c r="A206" s="1874" t="s">
        <v>2178</v>
      </c>
      <c r="B206" s="3131" t="s">
        <v>8193</v>
      </c>
      <c r="C206" s="1842" t="s">
        <v>7993</v>
      </c>
      <c r="D206" s="2797"/>
      <c r="E206" s="2797"/>
      <c r="F206" s="2798">
        <f t="shared" si="6"/>
        <v>0</v>
      </c>
      <c r="G206" s="1871">
        <f t="shared" si="7"/>
        <v>0</v>
      </c>
      <c r="H206" s="1173">
        <v>0.65290000000000004</v>
      </c>
      <c r="I206" s="3132" t="s">
        <v>0</v>
      </c>
    </row>
    <row r="207" spans="1:9" ht="16.5">
      <c r="A207" s="1874" t="s">
        <v>2179</v>
      </c>
      <c r="B207" s="3131" t="s">
        <v>8194</v>
      </c>
      <c r="C207" s="1842" t="s">
        <v>7993</v>
      </c>
      <c r="D207" s="2797"/>
      <c r="E207" s="2797"/>
      <c r="F207" s="2798">
        <f t="shared" si="6"/>
        <v>0</v>
      </c>
      <c r="G207" s="1871">
        <f t="shared" si="7"/>
        <v>0</v>
      </c>
      <c r="H207" s="1173">
        <v>1.2890999999999999</v>
      </c>
      <c r="I207" s="3132" t="s">
        <v>0</v>
      </c>
    </row>
    <row r="208" spans="1:9" ht="16.5">
      <c r="A208" s="1874" t="s">
        <v>2180</v>
      </c>
      <c r="B208" s="3131" t="s">
        <v>8195</v>
      </c>
      <c r="C208" s="1842" t="s">
        <v>7993</v>
      </c>
      <c r="D208" s="2797"/>
      <c r="E208" s="2797"/>
      <c r="F208" s="2798">
        <f t="shared" si="6"/>
        <v>0</v>
      </c>
      <c r="G208" s="1871">
        <f t="shared" si="7"/>
        <v>0</v>
      </c>
      <c r="H208" s="1173">
        <v>1.5072000000000001</v>
      </c>
      <c r="I208" s="3132" t="s">
        <v>0</v>
      </c>
    </row>
    <row r="209" spans="1:9" ht="16.5">
      <c r="A209" s="1874" t="s">
        <v>2181</v>
      </c>
      <c r="B209" s="3131" t="s">
        <v>8196</v>
      </c>
      <c r="C209" s="1842" t="s">
        <v>7993</v>
      </c>
      <c r="D209" s="2797"/>
      <c r="E209" s="2797"/>
      <c r="F209" s="2798">
        <f t="shared" si="6"/>
        <v>0</v>
      </c>
      <c r="G209" s="1871">
        <f t="shared" si="7"/>
        <v>0</v>
      </c>
      <c r="H209" s="1173">
        <v>1.2295</v>
      </c>
      <c r="I209" s="3132" t="s">
        <v>0</v>
      </c>
    </row>
    <row r="210" spans="1:9" ht="16.5">
      <c r="A210" s="1874" t="s">
        <v>2182</v>
      </c>
      <c r="B210" s="3131" t="s">
        <v>8197</v>
      </c>
      <c r="C210" s="1842" t="s">
        <v>7993</v>
      </c>
      <c r="D210" s="2797"/>
      <c r="E210" s="2797"/>
      <c r="F210" s="2798">
        <f t="shared" si="6"/>
        <v>0</v>
      </c>
      <c r="G210" s="1871">
        <f t="shared" si="7"/>
        <v>0</v>
      </c>
      <c r="H210" s="1173">
        <v>1.2524</v>
      </c>
      <c r="I210" s="3132" t="s">
        <v>0</v>
      </c>
    </row>
    <row r="211" spans="1:9" ht="16.5">
      <c r="A211" s="1874" t="s">
        <v>2183</v>
      </c>
      <c r="B211" s="3131" t="s">
        <v>8198</v>
      </c>
      <c r="C211" s="1842" t="s">
        <v>7993</v>
      </c>
      <c r="D211" s="2797"/>
      <c r="E211" s="2797"/>
      <c r="F211" s="2798">
        <f t="shared" si="6"/>
        <v>0</v>
      </c>
      <c r="G211" s="1871">
        <f t="shared" si="7"/>
        <v>0</v>
      </c>
      <c r="H211" s="1173">
        <v>0.83189999999999997</v>
      </c>
      <c r="I211" s="3132" t="s">
        <v>0</v>
      </c>
    </row>
    <row r="212" spans="1:9" ht="16.5">
      <c r="A212" s="1874" t="s">
        <v>2184</v>
      </c>
      <c r="B212" s="3131" t="s">
        <v>8199</v>
      </c>
      <c r="C212" s="1842" t="s">
        <v>7993</v>
      </c>
      <c r="D212" s="2797"/>
      <c r="E212" s="2797"/>
      <c r="F212" s="2798">
        <f t="shared" si="6"/>
        <v>0</v>
      </c>
      <c r="G212" s="1871">
        <f t="shared" si="7"/>
        <v>0</v>
      </c>
      <c r="H212" s="1173">
        <v>0.56359999999999999</v>
      </c>
      <c r="I212" s="3132" t="s">
        <v>0</v>
      </c>
    </row>
    <row r="213" spans="1:9" ht="16.5">
      <c r="A213" s="1874" t="s">
        <v>2185</v>
      </c>
      <c r="B213" s="3131" t="s">
        <v>8200</v>
      </c>
      <c r="C213" s="1842" t="s">
        <v>7993</v>
      </c>
      <c r="D213" s="2797"/>
      <c r="E213" s="2797"/>
      <c r="F213" s="2798">
        <f t="shared" si="6"/>
        <v>0</v>
      </c>
      <c r="G213" s="1871">
        <f t="shared" si="7"/>
        <v>0</v>
      </c>
      <c r="H213" s="1173">
        <v>0.40579999999999999</v>
      </c>
      <c r="I213" s="3132" t="s">
        <v>0</v>
      </c>
    </row>
    <row r="214" spans="1:9" ht="16.5">
      <c r="A214" s="1874" t="s">
        <v>2186</v>
      </c>
      <c r="B214" s="3131" t="s">
        <v>8201</v>
      </c>
      <c r="C214" s="1842" t="s">
        <v>7993</v>
      </c>
      <c r="D214" s="2797"/>
      <c r="E214" s="2797"/>
      <c r="F214" s="2798">
        <f t="shared" si="6"/>
        <v>0</v>
      </c>
      <c r="G214" s="1871">
        <f t="shared" si="7"/>
        <v>0</v>
      </c>
      <c r="H214" s="1173">
        <v>1.3951</v>
      </c>
      <c r="I214" s="3132" t="s">
        <v>0</v>
      </c>
    </row>
    <row r="215" spans="1:9" ht="16.5">
      <c r="A215" s="1874" t="s">
        <v>2187</v>
      </c>
      <c r="B215" s="3131" t="s">
        <v>8202</v>
      </c>
      <c r="C215" s="1842" t="s">
        <v>7993</v>
      </c>
      <c r="D215" s="2797"/>
      <c r="E215" s="2797"/>
      <c r="F215" s="2798">
        <f t="shared" si="6"/>
        <v>0</v>
      </c>
      <c r="G215" s="1871">
        <f t="shared" si="7"/>
        <v>0</v>
      </c>
      <c r="H215" s="1173">
        <v>1.1231</v>
      </c>
      <c r="I215" s="3132" t="s">
        <v>0</v>
      </c>
    </row>
    <row r="216" spans="1:9" ht="16.5">
      <c r="A216" s="1874" t="s">
        <v>2188</v>
      </c>
      <c r="B216" s="3131" t="s">
        <v>8203</v>
      </c>
      <c r="C216" s="1842" t="s">
        <v>7993</v>
      </c>
      <c r="D216" s="2797"/>
      <c r="E216" s="2797"/>
      <c r="F216" s="2798">
        <f t="shared" si="6"/>
        <v>0</v>
      </c>
      <c r="G216" s="1871">
        <f t="shared" si="7"/>
        <v>0</v>
      </c>
      <c r="H216" s="1173">
        <v>1.1560999999999999</v>
      </c>
      <c r="I216" s="3132" t="s">
        <v>0</v>
      </c>
    </row>
    <row r="217" spans="1:9" ht="16.5">
      <c r="A217" s="1874" t="s">
        <v>2189</v>
      </c>
      <c r="B217" s="3131" t="s">
        <v>8204</v>
      </c>
      <c r="C217" s="1842" t="s">
        <v>7993</v>
      </c>
      <c r="D217" s="2797"/>
      <c r="E217" s="2797"/>
      <c r="F217" s="2798">
        <f t="shared" si="6"/>
        <v>0</v>
      </c>
      <c r="G217" s="1871">
        <f t="shared" si="7"/>
        <v>0</v>
      </c>
      <c r="H217" s="1173">
        <v>0.79079999999999995</v>
      </c>
      <c r="I217" s="3132" t="s">
        <v>0</v>
      </c>
    </row>
    <row r="218" spans="1:9" ht="16.5">
      <c r="A218" s="1874" t="s">
        <v>2190</v>
      </c>
      <c r="B218" s="3131" t="s">
        <v>8205</v>
      </c>
      <c r="C218" s="1842" t="s">
        <v>7993</v>
      </c>
      <c r="D218" s="2797"/>
      <c r="E218" s="2797"/>
      <c r="F218" s="2798">
        <f t="shared" si="6"/>
        <v>0</v>
      </c>
      <c r="G218" s="1871">
        <f t="shared" si="7"/>
        <v>0</v>
      </c>
      <c r="H218" s="1173">
        <v>0.49530000000000002</v>
      </c>
      <c r="I218" s="3132" t="s">
        <v>0</v>
      </c>
    </row>
    <row r="219" spans="1:9" ht="16.5">
      <c r="A219" s="1874" t="s">
        <v>2191</v>
      </c>
      <c r="B219" s="3131" t="s">
        <v>8206</v>
      </c>
      <c r="C219" s="1842" t="s">
        <v>7993</v>
      </c>
      <c r="D219" s="2797"/>
      <c r="E219" s="2797"/>
      <c r="F219" s="2798">
        <f t="shared" si="6"/>
        <v>0</v>
      </c>
      <c r="G219" s="1871">
        <f t="shared" si="7"/>
        <v>0</v>
      </c>
      <c r="H219" s="1173">
        <v>0.49730000000000002</v>
      </c>
      <c r="I219" s="3132" t="s">
        <v>0</v>
      </c>
    </row>
    <row r="220" spans="1:9" ht="16.5">
      <c r="A220" s="1874" t="s">
        <v>2192</v>
      </c>
      <c r="B220" s="3131" t="s">
        <v>8207</v>
      </c>
      <c r="C220" s="1842" t="s">
        <v>7993</v>
      </c>
      <c r="D220" s="2797"/>
      <c r="E220" s="2797"/>
      <c r="F220" s="2798">
        <f t="shared" si="6"/>
        <v>0</v>
      </c>
      <c r="G220" s="1871">
        <f t="shared" si="7"/>
        <v>0</v>
      </c>
      <c r="H220" s="1173">
        <v>0.98299999999999998</v>
      </c>
      <c r="I220" s="3132" t="s">
        <v>0</v>
      </c>
    </row>
    <row r="221" spans="1:9" ht="16.5">
      <c r="A221" s="1874" t="s">
        <v>2193</v>
      </c>
      <c r="B221" s="3131" t="s">
        <v>8208</v>
      </c>
      <c r="C221" s="1842" t="s">
        <v>7993</v>
      </c>
      <c r="D221" s="2797"/>
      <c r="E221" s="2797"/>
      <c r="F221" s="2798">
        <f t="shared" si="6"/>
        <v>0</v>
      </c>
      <c r="G221" s="1871">
        <f t="shared" si="7"/>
        <v>0</v>
      </c>
      <c r="H221" s="1173">
        <v>0.38240000000000002</v>
      </c>
      <c r="I221" s="3132" t="s">
        <v>0</v>
      </c>
    </row>
    <row r="222" spans="1:9" ht="16.5">
      <c r="A222" s="1874" t="s">
        <v>2194</v>
      </c>
      <c r="B222" s="3131" t="s">
        <v>8209</v>
      </c>
      <c r="C222" s="1842" t="s">
        <v>7993</v>
      </c>
      <c r="D222" s="2797"/>
      <c r="E222" s="2797"/>
      <c r="F222" s="2798">
        <f t="shared" si="6"/>
        <v>0</v>
      </c>
      <c r="G222" s="1871">
        <f t="shared" si="7"/>
        <v>0</v>
      </c>
      <c r="H222" s="1173">
        <v>0.42209999999999998</v>
      </c>
      <c r="I222" s="3132" t="s">
        <v>0</v>
      </c>
    </row>
    <row r="223" spans="1:9" ht="16.5">
      <c r="A223" s="1874" t="s">
        <v>2195</v>
      </c>
      <c r="B223" s="3131" t="s">
        <v>8210</v>
      </c>
      <c r="C223" s="1842" t="s">
        <v>7993</v>
      </c>
      <c r="D223" s="2797"/>
      <c r="E223" s="2797"/>
      <c r="F223" s="2798">
        <f t="shared" si="6"/>
        <v>0</v>
      </c>
      <c r="G223" s="1871">
        <f t="shared" si="7"/>
        <v>0</v>
      </c>
      <c r="H223" s="1173">
        <v>0.1643</v>
      </c>
      <c r="I223" s="3132" t="s">
        <v>0</v>
      </c>
    </row>
    <row r="224" spans="1:9" ht="16.5">
      <c r="A224" s="1874" t="s">
        <v>2197</v>
      </c>
      <c r="B224" s="3131" t="s">
        <v>8211</v>
      </c>
      <c r="C224" s="1842" t="s">
        <v>7993</v>
      </c>
      <c r="D224" s="2797"/>
      <c r="E224" s="2797"/>
      <c r="F224" s="2798">
        <f t="shared" si="6"/>
        <v>0</v>
      </c>
      <c r="G224" s="1871">
        <f t="shared" si="7"/>
        <v>0</v>
      </c>
      <c r="H224" s="1173">
        <v>1.1073999999999999</v>
      </c>
      <c r="I224" s="3132" t="s">
        <v>0</v>
      </c>
    </row>
    <row r="225" spans="1:9" ht="16.5">
      <c r="A225" s="1874" t="s">
        <v>2198</v>
      </c>
      <c r="B225" s="3131" t="s">
        <v>8212</v>
      </c>
      <c r="C225" s="1842" t="s">
        <v>7993</v>
      </c>
      <c r="D225" s="2797"/>
      <c r="E225" s="2797"/>
      <c r="F225" s="2798">
        <f t="shared" si="6"/>
        <v>0</v>
      </c>
      <c r="G225" s="1871">
        <f t="shared" si="7"/>
        <v>0</v>
      </c>
      <c r="H225" s="1173">
        <v>0.69550000000000001</v>
      </c>
      <c r="I225" s="3132" t="s">
        <v>0</v>
      </c>
    </row>
    <row r="226" spans="1:9" ht="16.5">
      <c r="A226" s="1874" t="s">
        <v>2199</v>
      </c>
      <c r="B226" s="3131" t="s">
        <v>8213</v>
      </c>
      <c r="C226" s="1842" t="s">
        <v>7993</v>
      </c>
      <c r="D226" s="2797"/>
      <c r="E226" s="2797"/>
      <c r="F226" s="2798">
        <f t="shared" si="6"/>
        <v>0</v>
      </c>
      <c r="G226" s="1871">
        <f t="shared" si="7"/>
        <v>0</v>
      </c>
      <c r="H226" s="1173">
        <v>0.86439999999999995</v>
      </c>
      <c r="I226" s="3132" t="s">
        <v>0</v>
      </c>
    </row>
    <row r="227" spans="1:9" ht="16.5">
      <c r="A227" s="1874" t="s">
        <v>2200</v>
      </c>
      <c r="B227" s="3131" t="s">
        <v>8214</v>
      </c>
      <c r="C227" s="1842" t="s">
        <v>7993</v>
      </c>
      <c r="D227" s="2797"/>
      <c r="E227" s="2797"/>
      <c r="F227" s="2798">
        <f t="shared" si="6"/>
        <v>0</v>
      </c>
      <c r="G227" s="1871">
        <f t="shared" si="7"/>
        <v>0</v>
      </c>
      <c r="H227" s="1173">
        <v>0.23380000000000001</v>
      </c>
      <c r="I227" s="3132" t="s">
        <v>0</v>
      </c>
    </row>
    <row r="228" spans="1:9" ht="16.5">
      <c r="A228" s="1874" t="s">
        <v>2201</v>
      </c>
      <c r="B228" s="3131" t="s">
        <v>8215</v>
      </c>
      <c r="C228" s="1842" t="s">
        <v>7993</v>
      </c>
      <c r="D228" s="2797"/>
      <c r="E228" s="2797"/>
      <c r="F228" s="2798">
        <f t="shared" si="6"/>
        <v>0</v>
      </c>
      <c r="G228" s="1871">
        <f t="shared" si="7"/>
        <v>0</v>
      </c>
      <c r="H228" s="1173">
        <v>1.3931</v>
      </c>
      <c r="I228" s="3132" t="s">
        <v>0</v>
      </c>
    </row>
    <row r="229" spans="1:9" ht="16.5">
      <c r="A229" s="1874" t="s">
        <v>2202</v>
      </c>
      <c r="B229" s="3131" t="s">
        <v>8216</v>
      </c>
      <c r="C229" s="1842" t="s">
        <v>7993</v>
      </c>
      <c r="D229" s="2797"/>
      <c r="E229" s="2797"/>
      <c r="F229" s="2798">
        <f t="shared" si="6"/>
        <v>0</v>
      </c>
      <c r="G229" s="1871">
        <f t="shared" si="7"/>
        <v>0</v>
      </c>
      <c r="H229" s="1173">
        <v>1.4153</v>
      </c>
      <c r="I229" s="3132" t="s">
        <v>0</v>
      </c>
    </row>
    <row r="230" spans="1:9" ht="16.5">
      <c r="A230" s="1874" t="s">
        <v>2203</v>
      </c>
      <c r="B230" s="3131" t="s">
        <v>8217</v>
      </c>
      <c r="C230" s="1842" t="s">
        <v>7993</v>
      </c>
      <c r="D230" s="2797"/>
      <c r="E230" s="2797"/>
      <c r="F230" s="2798">
        <f t="shared" si="6"/>
        <v>0</v>
      </c>
      <c r="G230" s="1871">
        <f t="shared" si="7"/>
        <v>0</v>
      </c>
      <c r="H230" s="1173">
        <v>0.41360000000000002</v>
      </c>
      <c r="I230" s="3132" t="s">
        <v>0</v>
      </c>
    </row>
    <row r="231" spans="1:9" ht="16.5">
      <c r="A231" s="1874" t="s">
        <v>2204</v>
      </c>
      <c r="B231" s="3131" t="s">
        <v>8218</v>
      </c>
      <c r="C231" s="1842" t="s">
        <v>7993</v>
      </c>
      <c r="D231" s="2797"/>
      <c r="E231" s="2797"/>
      <c r="F231" s="2798">
        <f t="shared" si="6"/>
        <v>0</v>
      </c>
      <c r="G231" s="1871">
        <f t="shared" si="7"/>
        <v>0</v>
      </c>
      <c r="H231" s="1173">
        <v>0.57979999999999998</v>
      </c>
      <c r="I231" s="3132" t="s">
        <v>0</v>
      </c>
    </row>
    <row r="232" spans="1:9" ht="16.5">
      <c r="A232" s="1874" t="s">
        <v>2205</v>
      </c>
      <c r="B232" s="3131" t="s">
        <v>8219</v>
      </c>
      <c r="C232" s="1842" t="s">
        <v>7993</v>
      </c>
      <c r="D232" s="2797"/>
      <c r="E232" s="2797"/>
      <c r="F232" s="2798">
        <f t="shared" si="6"/>
        <v>0</v>
      </c>
      <c r="G232" s="1871">
        <f t="shared" si="7"/>
        <v>0</v>
      </c>
      <c r="H232" s="1173">
        <v>1.0428999999999999</v>
      </c>
      <c r="I232" s="3132" t="s">
        <v>0</v>
      </c>
    </row>
    <row r="233" spans="1:9" ht="16.5">
      <c r="A233" s="1874" t="s">
        <v>2206</v>
      </c>
      <c r="B233" s="3131" t="s">
        <v>8220</v>
      </c>
      <c r="C233" s="1842" t="s">
        <v>7993</v>
      </c>
      <c r="D233" s="2797"/>
      <c r="E233" s="2797"/>
      <c r="F233" s="2798">
        <f t="shared" si="6"/>
        <v>0</v>
      </c>
      <c r="G233" s="1871">
        <f t="shared" si="7"/>
        <v>0</v>
      </c>
      <c r="H233" s="1173">
        <v>1.5841000000000001</v>
      </c>
      <c r="I233" s="3132" t="s">
        <v>0</v>
      </c>
    </row>
    <row r="234" spans="1:9" ht="16.5">
      <c r="A234" s="1874" t="s">
        <v>2207</v>
      </c>
      <c r="B234" s="3131" t="s">
        <v>8221</v>
      </c>
      <c r="C234" s="1842" t="s">
        <v>7993</v>
      </c>
      <c r="D234" s="2797"/>
      <c r="E234" s="2797"/>
      <c r="F234" s="2798">
        <f t="shared" si="6"/>
        <v>0</v>
      </c>
      <c r="G234" s="1871">
        <f t="shared" si="7"/>
        <v>0</v>
      </c>
      <c r="H234" s="1173">
        <v>1.2318</v>
      </c>
      <c r="I234" s="3121" t="s">
        <v>0</v>
      </c>
    </row>
    <row r="235" spans="1:9" ht="16.5">
      <c r="A235" s="1874" t="s">
        <v>2208</v>
      </c>
      <c r="B235" s="3131" t="s">
        <v>8222</v>
      </c>
      <c r="C235" s="1842" t="s">
        <v>7993</v>
      </c>
      <c r="D235" s="2797"/>
      <c r="E235" s="2797"/>
      <c r="F235" s="2798">
        <f t="shared" si="6"/>
        <v>0</v>
      </c>
      <c r="G235" s="1871">
        <f t="shared" si="7"/>
        <v>0</v>
      </c>
      <c r="H235" s="1173">
        <v>1.2805</v>
      </c>
      <c r="I235" s="3132" t="s">
        <v>0</v>
      </c>
    </row>
    <row r="236" spans="1:9" ht="16.5">
      <c r="A236" s="1874" t="s">
        <v>2209</v>
      </c>
      <c r="B236" s="3131" t="s">
        <v>8223</v>
      </c>
      <c r="C236" s="1842" t="s">
        <v>7993</v>
      </c>
      <c r="D236" s="2797"/>
      <c r="E236" s="2797"/>
      <c r="F236" s="2798">
        <f t="shared" si="6"/>
        <v>0</v>
      </c>
      <c r="G236" s="1871">
        <f t="shared" si="7"/>
        <v>0</v>
      </c>
      <c r="H236" s="1173">
        <v>1.0677000000000001</v>
      </c>
      <c r="I236" s="3132" t="s">
        <v>0</v>
      </c>
    </row>
    <row r="237" spans="1:9" ht="16.5">
      <c r="A237" s="1874" t="s">
        <v>2210</v>
      </c>
      <c r="B237" s="3131" t="s">
        <v>8224</v>
      </c>
      <c r="C237" s="1842" t="s">
        <v>7993</v>
      </c>
      <c r="D237" s="2797"/>
      <c r="E237" s="2797"/>
      <c r="F237" s="2798">
        <f t="shared" si="6"/>
        <v>0</v>
      </c>
      <c r="G237" s="1871">
        <f t="shared" si="7"/>
        <v>0</v>
      </c>
      <c r="H237" s="1173">
        <v>0.9083</v>
      </c>
      <c r="I237" s="3132" t="s">
        <v>0</v>
      </c>
    </row>
    <row r="238" spans="1:9" ht="16.5">
      <c r="A238" s="1874" t="s">
        <v>2211</v>
      </c>
      <c r="B238" s="3131" t="s">
        <v>8225</v>
      </c>
      <c r="C238" s="1842" t="s">
        <v>7993</v>
      </c>
      <c r="D238" s="2797"/>
      <c r="E238" s="2797"/>
      <c r="F238" s="2798">
        <f t="shared" si="6"/>
        <v>0</v>
      </c>
      <c r="G238" s="1871">
        <f t="shared" si="7"/>
        <v>0</v>
      </c>
      <c r="H238" s="1173">
        <v>0.89600000000000002</v>
      </c>
      <c r="I238" s="3132" t="s">
        <v>0</v>
      </c>
    </row>
    <row r="239" spans="1:9" ht="16.5">
      <c r="A239" s="1874" t="s">
        <v>2212</v>
      </c>
      <c r="B239" s="3131" t="s">
        <v>8226</v>
      </c>
      <c r="C239" s="1842" t="s">
        <v>7993</v>
      </c>
      <c r="D239" s="2797"/>
      <c r="E239" s="2797"/>
      <c r="F239" s="2798">
        <f t="shared" si="6"/>
        <v>0</v>
      </c>
      <c r="G239" s="1871">
        <f t="shared" si="7"/>
        <v>0</v>
      </c>
      <c r="H239" s="1173">
        <v>0.55289999999999995</v>
      </c>
      <c r="I239" s="3132" t="s">
        <v>0</v>
      </c>
    </row>
    <row r="240" spans="1:9" ht="16.5">
      <c r="A240" s="1874" t="s">
        <v>2213</v>
      </c>
      <c r="B240" s="3131" t="s">
        <v>8227</v>
      </c>
      <c r="C240" s="1842" t="s">
        <v>7993</v>
      </c>
      <c r="D240" s="2797"/>
      <c r="E240" s="2797"/>
      <c r="F240" s="2798">
        <f t="shared" si="6"/>
        <v>0</v>
      </c>
      <c r="G240" s="1871">
        <f t="shared" si="7"/>
        <v>0</v>
      </c>
      <c r="H240" s="1173">
        <v>0.372</v>
      </c>
      <c r="I240" s="3132" t="s">
        <v>0</v>
      </c>
    </row>
    <row r="241" spans="1:9" ht="16.5">
      <c r="A241" s="1874" t="s">
        <v>2214</v>
      </c>
      <c r="B241" s="3131" t="s">
        <v>8228</v>
      </c>
      <c r="C241" s="1842" t="s">
        <v>7993</v>
      </c>
      <c r="D241" s="2797"/>
      <c r="E241" s="2797"/>
      <c r="F241" s="2798">
        <f t="shared" si="6"/>
        <v>0</v>
      </c>
      <c r="G241" s="1871">
        <f t="shared" si="7"/>
        <v>0</v>
      </c>
      <c r="H241" s="1173">
        <v>0.32879999999999998</v>
      </c>
      <c r="I241" s="3132" t="s">
        <v>0</v>
      </c>
    </row>
    <row r="242" spans="1:9" ht="16.5">
      <c r="A242" s="1874" t="s">
        <v>2215</v>
      </c>
      <c r="B242" s="3131" t="s">
        <v>8229</v>
      </c>
      <c r="C242" s="1842" t="s">
        <v>7993</v>
      </c>
      <c r="D242" s="2797"/>
      <c r="E242" s="2797"/>
      <c r="F242" s="2798">
        <f t="shared" si="6"/>
        <v>0</v>
      </c>
      <c r="G242" s="1871">
        <f t="shared" si="7"/>
        <v>0</v>
      </c>
      <c r="H242" s="1173">
        <v>0.52529999999999999</v>
      </c>
      <c r="I242" s="3132" t="s">
        <v>0</v>
      </c>
    </row>
    <row r="243" spans="1:9" ht="16.5">
      <c r="A243" s="1874" t="s">
        <v>2216</v>
      </c>
      <c r="B243" s="3131" t="s">
        <v>8230</v>
      </c>
      <c r="C243" s="1842" t="s">
        <v>7993</v>
      </c>
      <c r="D243" s="2797"/>
      <c r="E243" s="2797"/>
      <c r="F243" s="2798">
        <f t="shared" si="6"/>
        <v>0</v>
      </c>
      <c r="G243" s="1871">
        <f t="shared" si="7"/>
        <v>0</v>
      </c>
      <c r="H243" s="1173">
        <v>1.0965</v>
      </c>
      <c r="I243" s="3132" t="s">
        <v>0</v>
      </c>
    </row>
    <row r="244" spans="1:9" ht="16.5">
      <c r="A244" s="1874" t="s">
        <v>2217</v>
      </c>
      <c r="B244" s="3131" t="s">
        <v>8231</v>
      </c>
      <c r="C244" s="1842" t="s">
        <v>7993</v>
      </c>
      <c r="D244" s="2797"/>
      <c r="E244" s="2797"/>
      <c r="F244" s="2798">
        <f t="shared" si="6"/>
        <v>0</v>
      </c>
      <c r="G244" s="1871">
        <f t="shared" si="7"/>
        <v>0</v>
      </c>
      <c r="H244" s="1173">
        <v>0.34520000000000001</v>
      </c>
      <c r="I244" s="3132" t="s">
        <v>0</v>
      </c>
    </row>
    <row r="245" spans="1:9" ht="16.5">
      <c r="A245" s="1874" t="s">
        <v>2218</v>
      </c>
      <c r="B245" s="3131" t="s">
        <v>8232</v>
      </c>
      <c r="C245" s="1842" t="s">
        <v>7993</v>
      </c>
      <c r="D245" s="2797"/>
      <c r="E245" s="2797"/>
      <c r="F245" s="2798">
        <f t="shared" si="6"/>
        <v>0</v>
      </c>
      <c r="G245" s="1871">
        <f t="shared" si="7"/>
        <v>0</v>
      </c>
      <c r="H245" s="1173">
        <v>1.0068999999999999</v>
      </c>
      <c r="I245" s="3132" t="s">
        <v>0</v>
      </c>
    </row>
    <row r="246" spans="1:9" ht="16.5">
      <c r="A246" s="1874" t="s">
        <v>2219</v>
      </c>
      <c r="B246" s="3131" t="s">
        <v>8233</v>
      </c>
      <c r="C246" s="1842" t="s">
        <v>7993</v>
      </c>
      <c r="D246" s="2797"/>
      <c r="E246" s="2797"/>
      <c r="F246" s="2798">
        <f t="shared" si="6"/>
        <v>0</v>
      </c>
      <c r="G246" s="1871">
        <f t="shared" si="7"/>
        <v>0</v>
      </c>
      <c r="H246" s="1173">
        <v>0.5655</v>
      </c>
      <c r="I246" s="3132" t="s">
        <v>0</v>
      </c>
    </row>
    <row r="247" spans="1:9" ht="16.5">
      <c r="A247" s="1874" t="s">
        <v>2220</v>
      </c>
      <c r="B247" s="3131" t="s">
        <v>8234</v>
      </c>
      <c r="C247" s="1842" t="s">
        <v>7993</v>
      </c>
      <c r="D247" s="2797"/>
      <c r="E247" s="2797"/>
      <c r="F247" s="2798">
        <f t="shared" si="6"/>
        <v>0</v>
      </c>
      <c r="G247" s="1871">
        <f t="shared" si="7"/>
        <v>0</v>
      </c>
      <c r="H247" s="1173">
        <v>0.67920000000000003</v>
      </c>
      <c r="I247" s="3132" t="s">
        <v>0</v>
      </c>
    </row>
    <row r="248" spans="1:9" ht="16.5">
      <c r="A248" s="1874" t="s">
        <v>2221</v>
      </c>
      <c r="B248" s="3131" t="s">
        <v>8235</v>
      </c>
      <c r="C248" s="1842" t="s">
        <v>7993</v>
      </c>
      <c r="D248" s="2797"/>
      <c r="E248" s="2797"/>
      <c r="F248" s="2798">
        <f t="shared" si="6"/>
        <v>0</v>
      </c>
      <c r="G248" s="1871">
        <f t="shared" si="7"/>
        <v>0</v>
      </c>
      <c r="H248" s="1173">
        <v>0.58960000000000001</v>
      </c>
      <c r="I248" s="3132" t="s">
        <v>0</v>
      </c>
    </row>
    <row r="249" spans="1:9" ht="16.5">
      <c r="A249" s="1874" t="s">
        <v>2222</v>
      </c>
      <c r="B249" s="3131" t="s">
        <v>8236</v>
      </c>
      <c r="C249" s="1842" t="s">
        <v>7993</v>
      </c>
      <c r="D249" s="2797"/>
      <c r="E249" s="2797"/>
      <c r="F249" s="2798">
        <f t="shared" si="6"/>
        <v>0</v>
      </c>
      <c r="G249" s="1871">
        <f t="shared" si="7"/>
        <v>0</v>
      </c>
      <c r="H249" s="1173">
        <v>0.82840000000000003</v>
      </c>
      <c r="I249" s="3132" t="s">
        <v>0</v>
      </c>
    </row>
    <row r="250" spans="1:9" ht="16.5">
      <c r="A250" s="1874" t="s">
        <v>2223</v>
      </c>
      <c r="B250" s="3131" t="s">
        <v>8237</v>
      </c>
      <c r="C250" s="1842" t="s">
        <v>7993</v>
      </c>
      <c r="D250" s="2797"/>
      <c r="E250" s="2797"/>
      <c r="F250" s="2798">
        <f t="shared" si="6"/>
        <v>0</v>
      </c>
      <c r="G250" s="1871">
        <f t="shared" si="7"/>
        <v>0</v>
      </c>
      <c r="H250" s="1173">
        <v>0.81920000000000004</v>
      </c>
      <c r="I250" s="3132" t="s">
        <v>0</v>
      </c>
    </row>
    <row r="251" spans="1:9" ht="16.5">
      <c r="A251" s="1874" t="s">
        <v>2224</v>
      </c>
      <c r="B251" s="3131" t="s">
        <v>8238</v>
      </c>
      <c r="C251" s="1842" t="s">
        <v>7993</v>
      </c>
      <c r="D251" s="2797"/>
      <c r="E251" s="2797"/>
      <c r="F251" s="2798">
        <f t="shared" si="6"/>
        <v>0</v>
      </c>
      <c r="G251" s="1871">
        <f t="shared" si="7"/>
        <v>0</v>
      </c>
      <c r="H251" s="1173">
        <v>0.24829999999999999</v>
      </c>
      <c r="I251" s="3132" t="s">
        <v>0</v>
      </c>
    </row>
    <row r="252" spans="1:9" ht="16.5">
      <c r="A252" s="1874" t="s">
        <v>2225</v>
      </c>
      <c r="B252" s="3131" t="s">
        <v>8239</v>
      </c>
      <c r="C252" s="1842" t="s">
        <v>7993</v>
      </c>
      <c r="D252" s="2797"/>
      <c r="E252" s="2797"/>
      <c r="F252" s="2798">
        <f t="shared" si="6"/>
        <v>0</v>
      </c>
      <c r="G252" s="1871">
        <f t="shared" si="7"/>
        <v>0</v>
      </c>
      <c r="H252" s="1173">
        <v>0.81100000000000005</v>
      </c>
      <c r="I252" s="3132" t="s">
        <v>0</v>
      </c>
    </row>
    <row r="253" spans="1:9" ht="16.5">
      <c r="A253" s="1874" t="s">
        <v>2226</v>
      </c>
      <c r="B253" s="3131" t="s">
        <v>8240</v>
      </c>
      <c r="C253" s="1842" t="s">
        <v>7993</v>
      </c>
      <c r="D253" s="2797"/>
      <c r="E253" s="2797"/>
      <c r="F253" s="2798">
        <f t="shared" si="6"/>
        <v>0</v>
      </c>
      <c r="G253" s="1871">
        <f t="shared" si="7"/>
        <v>0</v>
      </c>
      <c r="H253" s="1173">
        <v>0.95269999999999999</v>
      </c>
      <c r="I253" s="3132" t="s">
        <v>0</v>
      </c>
    </row>
    <row r="254" spans="1:9" ht="16.5">
      <c r="A254" s="1874" t="s">
        <v>2227</v>
      </c>
      <c r="B254" s="3131" t="s">
        <v>8241</v>
      </c>
      <c r="C254" s="1842" t="s">
        <v>7993</v>
      </c>
      <c r="D254" s="2797"/>
      <c r="E254" s="2797"/>
      <c r="F254" s="2798">
        <f t="shared" si="6"/>
        <v>0</v>
      </c>
      <c r="G254" s="1871">
        <f t="shared" si="7"/>
        <v>0</v>
      </c>
      <c r="H254" s="1173">
        <v>0.70550000000000002</v>
      </c>
      <c r="I254" s="3132" t="s">
        <v>0</v>
      </c>
    </row>
    <row r="255" spans="1:9" ht="16.5">
      <c r="A255" s="1874" t="s">
        <v>2228</v>
      </c>
      <c r="B255" s="3131" t="s">
        <v>8242</v>
      </c>
      <c r="C255" s="1842" t="s">
        <v>7993</v>
      </c>
      <c r="D255" s="2797"/>
      <c r="E255" s="2797"/>
      <c r="F255" s="2798">
        <f t="shared" si="6"/>
        <v>0</v>
      </c>
      <c r="G255" s="1871">
        <f t="shared" si="7"/>
        <v>0</v>
      </c>
      <c r="H255" s="1173">
        <v>0.5504</v>
      </c>
      <c r="I255" s="3132" t="s">
        <v>0</v>
      </c>
    </row>
    <row r="256" spans="1:9" ht="16.5">
      <c r="A256" s="1874" t="s">
        <v>2229</v>
      </c>
      <c r="B256" s="3131" t="s">
        <v>8243</v>
      </c>
      <c r="C256" s="1842" t="s">
        <v>7993</v>
      </c>
      <c r="D256" s="2797"/>
      <c r="E256" s="2797"/>
      <c r="F256" s="2798">
        <f t="shared" si="6"/>
        <v>0</v>
      </c>
      <c r="G256" s="1871">
        <f t="shared" si="7"/>
        <v>0</v>
      </c>
      <c r="H256" s="1173">
        <v>0.55389999999999995</v>
      </c>
      <c r="I256" s="3132" t="s">
        <v>0</v>
      </c>
    </row>
    <row r="257" spans="1:9" ht="16.5">
      <c r="A257" s="1874" t="s">
        <v>2230</v>
      </c>
      <c r="B257" s="3131" t="s">
        <v>8244</v>
      </c>
      <c r="C257" s="1842" t="s">
        <v>7993</v>
      </c>
      <c r="D257" s="2797"/>
      <c r="E257" s="2797"/>
      <c r="F257" s="2798">
        <f t="shared" si="6"/>
        <v>0</v>
      </c>
      <c r="G257" s="1871">
        <f t="shared" si="7"/>
        <v>0</v>
      </c>
      <c r="H257" s="1173">
        <v>0.73350000000000004</v>
      </c>
      <c r="I257" s="3132" t="s">
        <v>0</v>
      </c>
    </row>
    <row r="258" spans="1:9" ht="16.5">
      <c r="A258" s="1874" t="s">
        <v>2231</v>
      </c>
      <c r="B258" s="3131" t="s">
        <v>8245</v>
      </c>
      <c r="C258" s="1842" t="s">
        <v>7993</v>
      </c>
      <c r="D258" s="2797"/>
      <c r="E258" s="2797"/>
      <c r="F258" s="2798">
        <f t="shared" si="6"/>
        <v>0</v>
      </c>
      <c r="G258" s="1871">
        <f t="shared" si="7"/>
        <v>0</v>
      </c>
      <c r="H258" s="1173">
        <v>-6.6299999999999998E-2</v>
      </c>
      <c r="I258" s="3132" t="s">
        <v>0</v>
      </c>
    </row>
    <row r="259" spans="1:9" ht="16.5">
      <c r="A259" s="1874" t="s">
        <v>2232</v>
      </c>
      <c r="B259" s="3131" t="s">
        <v>8246</v>
      </c>
      <c r="C259" s="1842" t="s">
        <v>7993</v>
      </c>
      <c r="D259" s="2797"/>
      <c r="E259" s="2797"/>
      <c r="F259" s="2798">
        <f t="shared" si="6"/>
        <v>0</v>
      </c>
      <c r="G259" s="1871">
        <f t="shared" si="7"/>
        <v>0</v>
      </c>
      <c r="H259" s="1173">
        <v>0.94210000000000005</v>
      </c>
      <c r="I259" s="3132" t="s">
        <v>0</v>
      </c>
    </row>
    <row r="260" spans="1:9" ht="16.5">
      <c r="A260" s="1874" t="s">
        <v>2233</v>
      </c>
      <c r="B260" s="3131" t="s">
        <v>8247</v>
      </c>
      <c r="C260" s="1842" t="s">
        <v>7993</v>
      </c>
      <c r="D260" s="2797"/>
      <c r="E260" s="2797"/>
      <c r="F260" s="2798">
        <f t="shared" si="6"/>
        <v>0</v>
      </c>
      <c r="G260" s="1871">
        <f t="shared" si="7"/>
        <v>0</v>
      </c>
      <c r="H260" s="1173">
        <v>0.78490000000000004</v>
      </c>
      <c r="I260" s="3132" t="s">
        <v>0</v>
      </c>
    </row>
    <row r="261" spans="1:9" ht="16.5">
      <c r="A261" s="1874" t="s">
        <v>2234</v>
      </c>
      <c r="B261" s="3131" t="s">
        <v>8248</v>
      </c>
      <c r="C261" s="1842" t="s">
        <v>7993</v>
      </c>
      <c r="D261" s="2797"/>
      <c r="E261" s="2797"/>
      <c r="F261" s="2798">
        <f t="shared" ref="F261:F324" si="8">D261*E261</f>
        <v>0</v>
      </c>
      <c r="G261" s="1871">
        <f t="shared" ref="G261:G324" si="9">IF($F$855=0,0,F261/$F$855)</f>
        <v>0</v>
      </c>
      <c r="H261" s="1173">
        <v>0.49809999999999999</v>
      </c>
      <c r="I261" s="3132" t="s">
        <v>0</v>
      </c>
    </row>
    <row r="262" spans="1:9" ht="16.5">
      <c r="A262" s="1874" t="s">
        <v>2235</v>
      </c>
      <c r="B262" s="3131" t="s">
        <v>8249</v>
      </c>
      <c r="C262" s="1842" t="s">
        <v>7993</v>
      </c>
      <c r="D262" s="2797"/>
      <c r="E262" s="2797"/>
      <c r="F262" s="2798">
        <f t="shared" si="8"/>
        <v>0</v>
      </c>
      <c r="G262" s="1871">
        <f t="shared" si="9"/>
        <v>0</v>
      </c>
      <c r="H262" s="1173">
        <v>0.48320000000000002</v>
      </c>
      <c r="I262" s="3132" t="s">
        <v>0</v>
      </c>
    </row>
    <row r="263" spans="1:9" ht="16.5">
      <c r="A263" s="1874" t="s">
        <v>2236</v>
      </c>
      <c r="B263" s="3131" t="s">
        <v>8250</v>
      </c>
      <c r="C263" s="1842" t="s">
        <v>7993</v>
      </c>
      <c r="D263" s="2797"/>
      <c r="E263" s="2797"/>
      <c r="F263" s="2798">
        <f t="shared" si="8"/>
        <v>0</v>
      </c>
      <c r="G263" s="1871">
        <f t="shared" si="9"/>
        <v>0</v>
      </c>
      <c r="H263" s="1173">
        <v>1.0259</v>
      </c>
      <c r="I263" s="3132" t="s">
        <v>0</v>
      </c>
    </row>
    <row r="264" spans="1:9" ht="16.5">
      <c r="A264" s="1874" t="s">
        <v>2237</v>
      </c>
      <c r="B264" s="3131" t="s">
        <v>8251</v>
      </c>
      <c r="C264" s="1842" t="s">
        <v>7993</v>
      </c>
      <c r="D264" s="2797"/>
      <c r="E264" s="2797"/>
      <c r="F264" s="2798">
        <f t="shared" si="8"/>
        <v>0</v>
      </c>
      <c r="G264" s="1871">
        <f t="shared" si="9"/>
        <v>0</v>
      </c>
      <c r="H264" s="1173">
        <v>0.77200000000000002</v>
      </c>
      <c r="I264" s="3132" t="s">
        <v>0</v>
      </c>
    </row>
    <row r="265" spans="1:9" ht="16.5">
      <c r="A265" s="1874" t="s">
        <v>2238</v>
      </c>
      <c r="B265" s="3131" t="s">
        <v>8252</v>
      </c>
      <c r="C265" s="1842" t="s">
        <v>7993</v>
      </c>
      <c r="D265" s="2797"/>
      <c r="E265" s="2797"/>
      <c r="F265" s="2798">
        <f t="shared" si="8"/>
        <v>0</v>
      </c>
      <c r="G265" s="1871">
        <f t="shared" si="9"/>
        <v>0</v>
      </c>
      <c r="H265" s="1173">
        <v>0.94930000000000003</v>
      </c>
      <c r="I265" s="3132" t="s">
        <v>0</v>
      </c>
    </row>
    <row r="266" spans="1:9" ht="16.5">
      <c r="A266" s="1874" t="s">
        <v>2239</v>
      </c>
      <c r="B266" s="3131" t="s">
        <v>8253</v>
      </c>
      <c r="C266" s="1842" t="s">
        <v>7993</v>
      </c>
      <c r="D266" s="2797"/>
      <c r="E266" s="2797"/>
      <c r="F266" s="2798">
        <f t="shared" si="8"/>
        <v>0</v>
      </c>
      <c r="G266" s="1871">
        <f t="shared" si="9"/>
        <v>0</v>
      </c>
      <c r="H266" s="1173">
        <v>0.39140000000000003</v>
      </c>
      <c r="I266" s="3132" t="s">
        <v>0</v>
      </c>
    </row>
    <row r="267" spans="1:9" ht="16.5">
      <c r="A267" s="1874" t="s">
        <v>2240</v>
      </c>
      <c r="B267" s="3131" t="s">
        <v>8254</v>
      </c>
      <c r="C267" s="1842" t="s">
        <v>7993</v>
      </c>
      <c r="D267" s="2797"/>
      <c r="E267" s="2797"/>
      <c r="F267" s="2798">
        <f t="shared" si="8"/>
        <v>0</v>
      </c>
      <c r="G267" s="1871">
        <f t="shared" si="9"/>
        <v>0</v>
      </c>
      <c r="H267" s="1173">
        <v>0.7742</v>
      </c>
      <c r="I267" s="3132" t="s">
        <v>0</v>
      </c>
    </row>
    <row r="268" spans="1:9" ht="16.5">
      <c r="A268" s="1874" t="s">
        <v>2241</v>
      </c>
      <c r="B268" s="3131" t="s">
        <v>8255</v>
      </c>
      <c r="C268" s="1842" t="s">
        <v>7993</v>
      </c>
      <c r="D268" s="2797"/>
      <c r="E268" s="2797"/>
      <c r="F268" s="2798">
        <f t="shared" si="8"/>
        <v>0</v>
      </c>
      <c r="G268" s="1871">
        <f t="shared" si="9"/>
        <v>0</v>
      </c>
      <c r="H268" s="1173">
        <v>0.65629999999999999</v>
      </c>
      <c r="I268" s="3132" t="s">
        <v>0</v>
      </c>
    </row>
    <row r="269" spans="1:9" ht="16.5">
      <c r="A269" s="1874" t="s">
        <v>2242</v>
      </c>
      <c r="B269" s="3131" t="s">
        <v>8256</v>
      </c>
      <c r="C269" s="1842" t="s">
        <v>7993</v>
      </c>
      <c r="D269" s="2797"/>
      <c r="E269" s="2797"/>
      <c r="F269" s="2798">
        <f t="shared" si="8"/>
        <v>0</v>
      </c>
      <c r="G269" s="1871">
        <f t="shared" si="9"/>
        <v>0</v>
      </c>
      <c r="H269" s="1173">
        <v>0.74380000000000002</v>
      </c>
      <c r="I269" s="3132" t="s">
        <v>0</v>
      </c>
    </row>
    <row r="270" spans="1:9" ht="16.5">
      <c r="A270" s="1874" t="s">
        <v>2243</v>
      </c>
      <c r="B270" s="3131" t="s">
        <v>8257</v>
      </c>
      <c r="C270" s="1842" t="s">
        <v>7993</v>
      </c>
      <c r="D270" s="2797"/>
      <c r="E270" s="2797"/>
      <c r="F270" s="2798">
        <f t="shared" si="8"/>
        <v>0</v>
      </c>
      <c r="G270" s="1871">
        <f t="shared" si="9"/>
        <v>0</v>
      </c>
      <c r="H270" s="1173">
        <v>0.4456</v>
      </c>
      <c r="I270" s="3132" t="s">
        <v>0</v>
      </c>
    </row>
    <row r="271" spans="1:9" ht="16.5">
      <c r="A271" s="1874" t="s">
        <v>2244</v>
      </c>
      <c r="B271" s="3131" t="s">
        <v>8258</v>
      </c>
      <c r="C271" s="1842" t="s">
        <v>7993</v>
      </c>
      <c r="D271" s="2797"/>
      <c r="E271" s="2797"/>
      <c r="F271" s="2798">
        <f t="shared" si="8"/>
        <v>0</v>
      </c>
      <c r="G271" s="1871">
        <f t="shared" si="9"/>
        <v>0</v>
      </c>
      <c r="H271" s="1173">
        <v>0.59740000000000004</v>
      </c>
      <c r="I271" s="3132" t="s">
        <v>0</v>
      </c>
    </row>
    <row r="272" spans="1:9" ht="16.5">
      <c r="A272" s="1874" t="s">
        <v>2245</v>
      </c>
      <c r="B272" s="3131" t="s">
        <v>8259</v>
      </c>
      <c r="C272" s="1842" t="s">
        <v>7993</v>
      </c>
      <c r="D272" s="2797"/>
      <c r="E272" s="2797"/>
      <c r="F272" s="2798">
        <f t="shared" si="8"/>
        <v>0</v>
      </c>
      <c r="G272" s="1871">
        <f t="shared" si="9"/>
        <v>0</v>
      </c>
      <c r="H272" s="1173">
        <v>0.31740000000000002</v>
      </c>
      <c r="I272" s="3132" t="s">
        <v>0</v>
      </c>
    </row>
    <row r="273" spans="1:9" ht="16.5">
      <c r="A273" s="1874" t="s">
        <v>2246</v>
      </c>
      <c r="B273" s="3131" t="s">
        <v>8260</v>
      </c>
      <c r="C273" s="1842" t="s">
        <v>7993</v>
      </c>
      <c r="D273" s="2797"/>
      <c r="E273" s="2797"/>
      <c r="F273" s="2798">
        <f t="shared" si="8"/>
        <v>0</v>
      </c>
      <c r="G273" s="1871">
        <f t="shared" si="9"/>
        <v>0</v>
      </c>
      <c r="H273" s="1173">
        <v>0.48909999999999998</v>
      </c>
      <c r="I273" s="3132" t="s">
        <v>0</v>
      </c>
    </row>
    <row r="274" spans="1:9" ht="16.5">
      <c r="A274" s="1874" t="s">
        <v>2247</v>
      </c>
      <c r="B274" s="3131" t="s">
        <v>8261</v>
      </c>
      <c r="C274" s="1842" t="s">
        <v>7993</v>
      </c>
      <c r="D274" s="2797"/>
      <c r="E274" s="2797"/>
      <c r="F274" s="2798">
        <f t="shared" si="8"/>
        <v>0</v>
      </c>
      <c r="G274" s="1871">
        <f t="shared" si="9"/>
        <v>0</v>
      </c>
      <c r="H274" s="1173">
        <v>0.75229999999999997</v>
      </c>
      <c r="I274" s="3132" t="s">
        <v>0</v>
      </c>
    </row>
    <row r="275" spans="1:9" ht="16.5">
      <c r="A275" s="1874" t="s">
        <v>2248</v>
      </c>
      <c r="B275" s="3131" t="s">
        <v>8262</v>
      </c>
      <c r="C275" s="1842" t="s">
        <v>7993</v>
      </c>
      <c r="D275" s="2797"/>
      <c r="E275" s="2797"/>
      <c r="F275" s="2798">
        <f t="shared" si="8"/>
        <v>0</v>
      </c>
      <c r="G275" s="1871">
        <f t="shared" si="9"/>
        <v>0</v>
      </c>
      <c r="H275" s="1173">
        <v>0.74270000000000003</v>
      </c>
      <c r="I275" s="3132" t="s">
        <v>0</v>
      </c>
    </row>
    <row r="276" spans="1:9" ht="16.5">
      <c r="A276" s="1874" t="s">
        <v>2249</v>
      </c>
      <c r="B276" s="3131" t="s">
        <v>8263</v>
      </c>
      <c r="C276" s="1842" t="s">
        <v>7993</v>
      </c>
      <c r="D276" s="2797"/>
      <c r="E276" s="2797"/>
      <c r="F276" s="2798">
        <f t="shared" si="8"/>
        <v>0</v>
      </c>
      <c r="G276" s="1871">
        <f t="shared" si="9"/>
        <v>0</v>
      </c>
      <c r="H276" s="1173">
        <v>0.35639999999999999</v>
      </c>
      <c r="I276" s="3132" t="s">
        <v>0</v>
      </c>
    </row>
    <row r="277" spans="1:9" ht="16.5">
      <c r="A277" s="1874" t="s">
        <v>2250</v>
      </c>
      <c r="B277" s="3131" t="s">
        <v>8264</v>
      </c>
      <c r="C277" s="1842" t="s">
        <v>7993</v>
      </c>
      <c r="D277" s="2797"/>
      <c r="E277" s="2797"/>
      <c r="F277" s="2798">
        <f t="shared" si="8"/>
        <v>0</v>
      </c>
      <c r="G277" s="1871">
        <f t="shared" si="9"/>
        <v>0</v>
      </c>
      <c r="H277" s="1173">
        <v>0.17180000000000001</v>
      </c>
      <c r="I277" s="3132" t="s">
        <v>0</v>
      </c>
    </row>
    <row r="278" spans="1:9" ht="16.5">
      <c r="A278" s="1874" t="s">
        <v>2251</v>
      </c>
      <c r="B278" s="3131" t="s">
        <v>8265</v>
      </c>
      <c r="C278" s="1842" t="s">
        <v>7993</v>
      </c>
      <c r="D278" s="2797"/>
      <c r="E278" s="2797"/>
      <c r="F278" s="2798">
        <f t="shared" si="8"/>
        <v>0</v>
      </c>
      <c r="G278" s="1871">
        <f t="shared" si="9"/>
        <v>0</v>
      </c>
      <c r="H278" s="1173">
        <v>0.37069999999999997</v>
      </c>
      <c r="I278" s="3132" t="s">
        <v>0</v>
      </c>
    </row>
    <row r="279" spans="1:9" ht="16.5">
      <c r="A279" s="1874" t="s">
        <v>2252</v>
      </c>
      <c r="B279" s="3131" t="s">
        <v>8266</v>
      </c>
      <c r="C279" s="1842" t="s">
        <v>7993</v>
      </c>
      <c r="D279" s="2797"/>
      <c r="E279" s="2797"/>
      <c r="F279" s="2798">
        <f t="shared" si="8"/>
        <v>0</v>
      </c>
      <c r="G279" s="1871">
        <f t="shared" si="9"/>
        <v>0</v>
      </c>
      <c r="H279" s="1173">
        <v>1.4872000000000001</v>
      </c>
      <c r="I279" s="3132" t="s">
        <v>0</v>
      </c>
    </row>
    <row r="280" spans="1:9" ht="16.5">
      <c r="A280" s="1874" t="s">
        <v>2253</v>
      </c>
      <c r="B280" s="3131" t="s">
        <v>8267</v>
      </c>
      <c r="C280" s="1842" t="s">
        <v>7993</v>
      </c>
      <c r="D280" s="2797"/>
      <c r="E280" s="2797"/>
      <c r="F280" s="2798">
        <f t="shared" si="8"/>
        <v>0</v>
      </c>
      <c r="G280" s="1871">
        <f t="shared" si="9"/>
        <v>0</v>
      </c>
      <c r="H280" s="1173">
        <v>0.77159999999999995</v>
      </c>
      <c r="I280" s="3132" t="s">
        <v>0</v>
      </c>
    </row>
    <row r="281" spans="1:9" ht="16.5">
      <c r="A281" s="1874" t="s">
        <v>2254</v>
      </c>
      <c r="B281" s="3131" t="s">
        <v>8268</v>
      </c>
      <c r="C281" s="1842" t="s">
        <v>7993</v>
      </c>
      <c r="D281" s="2797"/>
      <c r="E281" s="2797"/>
      <c r="F281" s="2798">
        <f t="shared" si="8"/>
        <v>0</v>
      </c>
      <c r="G281" s="1871">
        <f t="shared" si="9"/>
        <v>0</v>
      </c>
      <c r="H281" s="1173">
        <v>0.40060000000000001</v>
      </c>
      <c r="I281" s="3132" t="s">
        <v>0</v>
      </c>
    </row>
    <row r="282" spans="1:9" ht="16.5">
      <c r="A282" s="1874" t="s">
        <v>2255</v>
      </c>
      <c r="B282" s="3131" t="s">
        <v>8269</v>
      </c>
      <c r="C282" s="1842" t="s">
        <v>7993</v>
      </c>
      <c r="D282" s="2797"/>
      <c r="E282" s="2797"/>
      <c r="F282" s="2798">
        <f t="shared" si="8"/>
        <v>0</v>
      </c>
      <c r="G282" s="1871">
        <f t="shared" si="9"/>
        <v>0</v>
      </c>
      <c r="H282" s="1173">
        <v>0.77490000000000003</v>
      </c>
      <c r="I282" s="3132" t="s">
        <v>0</v>
      </c>
    </row>
    <row r="283" spans="1:9" ht="16.5">
      <c r="A283" s="1874" t="s">
        <v>2256</v>
      </c>
      <c r="B283" s="3131" t="s">
        <v>8270</v>
      </c>
      <c r="C283" s="1842" t="s">
        <v>7993</v>
      </c>
      <c r="D283" s="2797"/>
      <c r="E283" s="2797"/>
      <c r="F283" s="2798">
        <f t="shared" si="8"/>
        <v>0</v>
      </c>
      <c r="G283" s="1871">
        <f t="shared" si="9"/>
        <v>0</v>
      </c>
      <c r="H283" s="1173">
        <v>0.84960000000000002</v>
      </c>
      <c r="I283" s="3132" t="s">
        <v>0</v>
      </c>
    </row>
    <row r="284" spans="1:9" ht="16.5">
      <c r="A284" s="1874" t="s">
        <v>2257</v>
      </c>
      <c r="B284" s="3131" t="s">
        <v>8271</v>
      </c>
      <c r="C284" s="1842" t="s">
        <v>7993</v>
      </c>
      <c r="D284" s="2797"/>
      <c r="E284" s="2797"/>
      <c r="F284" s="2798">
        <f t="shared" si="8"/>
        <v>0</v>
      </c>
      <c r="G284" s="1871">
        <f t="shared" si="9"/>
        <v>0</v>
      </c>
      <c r="H284" s="1173">
        <v>0.24909999999999999</v>
      </c>
      <c r="I284" s="3132" t="s">
        <v>0</v>
      </c>
    </row>
    <row r="285" spans="1:9" ht="16.5">
      <c r="A285" s="1874" t="s">
        <v>2258</v>
      </c>
      <c r="B285" s="3131" t="s">
        <v>8272</v>
      </c>
      <c r="C285" s="1842" t="s">
        <v>7993</v>
      </c>
      <c r="D285" s="2797"/>
      <c r="E285" s="2797"/>
      <c r="F285" s="2798">
        <f t="shared" si="8"/>
        <v>0</v>
      </c>
      <c r="G285" s="1871">
        <f t="shared" si="9"/>
        <v>0</v>
      </c>
      <c r="H285" s="1173">
        <v>0.66539999999999999</v>
      </c>
      <c r="I285" s="3132" t="s">
        <v>0</v>
      </c>
    </row>
    <row r="286" spans="1:9" ht="16.5">
      <c r="A286" s="1874" t="s">
        <v>2259</v>
      </c>
      <c r="B286" s="3131" t="s">
        <v>8273</v>
      </c>
      <c r="C286" s="1842" t="s">
        <v>7993</v>
      </c>
      <c r="D286" s="2797"/>
      <c r="E286" s="2797"/>
      <c r="F286" s="2798">
        <f t="shared" si="8"/>
        <v>0</v>
      </c>
      <c r="G286" s="1871">
        <f t="shared" si="9"/>
        <v>0</v>
      </c>
      <c r="H286" s="1173">
        <v>0.32879999999999998</v>
      </c>
      <c r="I286" s="3132" t="s">
        <v>0</v>
      </c>
    </row>
    <row r="287" spans="1:9" ht="16.5">
      <c r="A287" s="1874" t="s">
        <v>2260</v>
      </c>
      <c r="B287" s="3131" t="s">
        <v>8274</v>
      </c>
      <c r="C287" s="1842" t="s">
        <v>7993</v>
      </c>
      <c r="D287" s="2797"/>
      <c r="E287" s="2797"/>
      <c r="F287" s="2798">
        <f t="shared" si="8"/>
        <v>0</v>
      </c>
      <c r="G287" s="1871">
        <f t="shared" si="9"/>
        <v>0</v>
      </c>
      <c r="H287" s="1173">
        <v>0.2029</v>
      </c>
      <c r="I287" s="3132" t="s">
        <v>0</v>
      </c>
    </row>
    <row r="288" spans="1:9" ht="16.5">
      <c r="A288" s="1874" t="s">
        <v>2261</v>
      </c>
      <c r="B288" s="3131" t="s">
        <v>8275</v>
      </c>
      <c r="C288" s="1842" t="s">
        <v>7993</v>
      </c>
      <c r="D288" s="2797"/>
      <c r="E288" s="2797"/>
      <c r="F288" s="2798">
        <f t="shared" si="8"/>
        <v>0</v>
      </c>
      <c r="G288" s="1871">
        <f t="shared" si="9"/>
        <v>0</v>
      </c>
      <c r="H288" s="1173">
        <v>0.4491</v>
      </c>
      <c r="I288" s="3132" t="s">
        <v>0</v>
      </c>
    </row>
    <row r="289" spans="1:9" ht="16.5">
      <c r="A289" s="1874" t="s">
        <v>2262</v>
      </c>
      <c r="B289" s="3131" t="s">
        <v>8276</v>
      </c>
      <c r="C289" s="1842" t="s">
        <v>7993</v>
      </c>
      <c r="D289" s="2797"/>
      <c r="E289" s="2797"/>
      <c r="F289" s="2798">
        <f t="shared" si="8"/>
        <v>0</v>
      </c>
      <c r="G289" s="1871">
        <f t="shared" si="9"/>
        <v>0</v>
      </c>
      <c r="H289" s="1173">
        <v>0.49990000000000001</v>
      </c>
      <c r="I289" s="3132" t="s">
        <v>0</v>
      </c>
    </row>
    <row r="290" spans="1:9" ht="16.5">
      <c r="A290" s="1874" t="s">
        <v>2263</v>
      </c>
      <c r="B290" s="3131" t="s">
        <v>8277</v>
      </c>
      <c r="C290" s="1842" t="s">
        <v>7993</v>
      </c>
      <c r="D290" s="2797"/>
      <c r="E290" s="2797"/>
      <c r="F290" s="2798">
        <f t="shared" si="8"/>
        <v>0</v>
      </c>
      <c r="G290" s="1871">
        <f t="shared" si="9"/>
        <v>0</v>
      </c>
      <c r="H290" s="1173">
        <v>0.22550000000000001</v>
      </c>
      <c r="I290" s="3132" t="s">
        <v>0</v>
      </c>
    </row>
    <row r="291" spans="1:9" ht="16.5">
      <c r="A291" s="1874" t="s">
        <v>2264</v>
      </c>
      <c r="B291" s="3131" t="s">
        <v>8278</v>
      </c>
      <c r="C291" s="1842" t="s">
        <v>7993</v>
      </c>
      <c r="D291" s="2797"/>
      <c r="E291" s="2797"/>
      <c r="F291" s="2798">
        <f t="shared" si="8"/>
        <v>0</v>
      </c>
      <c r="G291" s="1871">
        <f t="shared" si="9"/>
        <v>0</v>
      </c>
      <c r="H291" s="1173">
        <v>0.60750000000000004</v>
      </c>
      <c r="I291" s="3132" t="s">
        <v>0</v>
      </c>
    </row>
    <row r="292" spans="1:9" ht="16.5">
      <c r="A292" s="1874" t="s">
        <v>2265</v>
      </c>
      <c r="B292" s="3131" t="s">
        <v>8279</v>
      </c>
      <c r="C292" s="1842" t="s">
        <v>7993</v>
      </c>
      <c r="D292" s="2797"/>
      <c r="E292" s="2797"/>
      <c r="F292" s="2798">
        <f t="shared" si="8"/>
        <v>0</v>
      </c>
      <c r="G292" s="1871">
        <f t="shared" si="9"/>
        <v>0</v>
      </c>
      <c r="H292" s="1173">
        <v>0.2029</v>
      </c>
      <c r="I292" s="3132" t="s">
        <v>0</v>
      </c>
    </row>
    <row r="293" spans="1:9" ht="16.5">
      <c r="A293" s="1874" t="s">
        <v>3531</v>
      </c>
      <c r="B293" s="3131" t="s">
        <v>8280</v>
      </c>
      <c r="C293" s="1842" t="s">
        <v>7993</v>
      </c>
      <c r="D293" s="2797"/>
      <c r="E293" s="2797"/>
      <c r="F293" s="2798">
        <f t="shared" si="8"/>
        <v>0</v>
      </c>
      <c r="G293" s="1871">
        <f t="shared" si="9"/>
        <v>0</v>
      </c>
      <c r="H293" s="1173">
        <v>0.33750000000000002</v>
      </c>
      <c r="I293" s="3132" t="s">
        <v>0</v>
      </c>
    </row>
    <row r="294" spans="1:9" ht="16.5">
      <c r="A294" s="1874" t="s">
        <v>2266</v>
      </c>
      <c r="B294" s="3131" t="s">
        <v>8281</v>
      </c>
      <c r="C294" s="1842" t="s">
        <v>7993</v>
      </c>
      <c r="D294" s="2797"/>
      <c r="E294" s="2797"/>
      <c r="F294" s="2798">
        <f t="shared" si="8"/>
        <v>0</v>
      </c>
      <c r="G294" s="1871">
        <f t="shared" si="9"/>
        <v>0</v>
      </c>
      <c r="H294" s="1173">
        <v>0.3075</v>
      </c>
      <c r="I294" s="3132" t="s">
        <v>0</v>
      </c>
    </row>
    <row r="295" spans="1:9" ht="16.5">
      <c r="A295" s="1874" t="s">
        <v>2267</v>
      </c>
      <c r="B295" s="3131" t="s">
        <v>8282</v>
      </c>
      <c r="C295" s="1842" t="s">
        <v>7993</v>
      </c>
      <c r="D295" s="2797"/>
      <c r="E295" s="2797"/>
      <c r="F295" s="2798">
        <f t="shared" si="8"/>
        <v>0</v>
      </c>
      <c r="G295" s="1871">
        <f t="shared" si="9"/>
        <v>0</v>
      </c>
      <c r="H295" s="1173">
        <v>1.1702999999999999</v>
      </c>
      <c r="I295" s="3132" t="s">
        <v>0</v>
      </c>
    </row>
    <row r="296" spans="1:9" ht="16.5">
      <c r="A296" s="1874" t="s">
        <v>2268</v>
      </c>
      <c r="B296" s="3131" t="s">
        <v>8283</v>
      </c>
      <c r="C296" s="1842" t="s">
        <v>7993</v>
      </c>
      <c r="D296" s="2797"/>
      <c r="E296" s="2797"/>
      <c r="F296" s="2798">
        <f t="shared" si="8"/>
        <v>0</v>
      </c>
      <c r="G296" s="1871">
        <f t="shared" si="9"/>
        <v>0</v>
      </c>
      <c r="H296" s="1173">
        <v>0.35220000000000001</v>
      </c>
      <c r="I296" s="3132" t="s">
        <v>0</v>
      </c>
    </row>
    <row r="297" spans="1:9" ht="16.5">
      <c r="A297" s="1874" t="s">
        <v>2269</v>
      </c>
      <c r="B297" s="3131" t="s">
        <v>8284</v>
      </c>
      <c r="C297" s="1842" t="s">
        <v>7993</v>
      </c>
      <c r="D297" s="2797"/>
      <c r="E297" s="2797"/>
      <c r="F297" s="2798">
        <f t="shared" si="8"/>
        <v>0</v>
      </c>
      <c r="G297" s="1871">
        <f t="shared" si="9"/>
        <v>0</v>
      </c>
      <c r="H297" s="1173">
        <v>1.0806</v>
      </c>
      <c r="I297" s="3132" t="s">
        <v>0</v>
      </c>
    </row>
    <row r="298" spans="1:9" ht="16.5">
      <c r="A298" s="1874" t="s">
        <v>2270</v>
      </c>
      <c r="B298" s="3131" t="s">
        <v>8285</v>
      </c>
      <c r="C298" s="1842" t="s">
        <v>7993</v>
      </c>
      <c r="D298" s="2797"/>
      <c r="E298" s="2797"/>
      <c r="F298" s="2798">
        <f t="shared" si="8"/>
        <v>0</v>
      </c>
      <c r="G298" s="1871">
        <f t="shared" si="9"/>
        <v>0</v>
      </c>
      <c r="H298" s="1173">
        <v>1.1284000000000001</v>
      </c>
      <c r="I298" s="3132" t="s">
        <v>0</v>
      </c>
    </row>
    <row r="299" spans="1:9" ht="16.5">
      <c r="A299" s="1874" t="s">
        <v>2271</v>
      </c>
      <c r="B299" s="3131" t="s">
        <v>8286</v>
      </c>
      <c r="C299" s="1842" t="s">
        <v>7993</v>
      </c>
      <c r="D299" s="2797"/>
      <c r="E299" s="2797"/>
      <c r="F299" s="2798">
        <f t="shared" si="8"/>
        <v>0</v>
      </c>
      <c r="G299" s="1871">
        <f t="shared" si="9"/>
        <v>0</v>
      </c>
      <c r="H299" s="1173">
        <v>1.004</v>
      </c>
      <c r="I299" s="3132" t="s">
        <v>0</v>
      </c>
    </row>
    <row r="300" spans="1:9" ht="16.5">
      <c r="A300" s="1874" t="s">
        <v>2272</v>
      </c>
      <c r="B300" s="3131" t="s">
        <v>8287</v>
      </c>
      <c r="C300" s="1842" t="s">
        <v>7993</v>
      </c>
      <c r="D300" s="2797"/>
      <c r="E300" s="2797"/>
      <c r="F300" s="2798">
        <f t="shared" si="8"/>
        <v>0</v>
      </c>
      <c r="G300" s="1871">
        <f t="shared" si="9"/>
        <v>0</v>
      </c>
      <c r="H300" s="1173">
        <v>0.56259999999999999</v>
      </c>
      <c r="I300" s="3132" t="s">
        <v>0</v>
      </c>
    </row>
    <row r="301" spans="1:9" ht="16.5">
      <c r="A301" s="1874" t="s">
        <v>2273</v>
      </c>
      <c r="B301" s="3131" t="s">
        <v>8288</v>
      </c>
      <c r="C301" s="1842" t="s">
        <v>7993</v>
      </c>
      <c r="D301" s="2797"/>
      <c r="E301" s="2797"/>
      <c r="F301" s="2798">
        <f t="shared" si="8"/>
        <v>0</v>
      </c>
      <c r="G301" s="1871">
        <f t="shared" si="9"/>
        <v>0</v>
      </c>
      <c r="H301" s="1173">
        <v>0.24379999999999999</v>
      </c>
      <c r="I301" s="3132" t="s">
        <v>0</v>
      </c>
    </row>
    <row r="302" spans="1:9" ht="16.5">
      <c r="A302" s="1874" t="s">
        <v>2274</v>
      </c>
      <c r="B302" s="3131" t="s">
        <v>8289</v>
      </c>
      <c r="C302" s="1842" t="s">
        <v>7993</v>
      </c>
      <c r="D302" s="2797"/>
      <c r="E302" s="2797"/>
      <c r="F302" s="2798">
        <f t="shared" si="8"/>
        <v>0</v>
      </c>
      <c r="G302" s="1871">
        <f t="shared" si="9"/>
        <v>0</v>
      </c>
      <c r="H302" s="1173">
        <v>0.40820000000000001</v>
      </c>
      <c r="I302" s="3132" t="s">
        <v>0</v>
      </c>
    </row>
    <row r="303" spans="1:9" ht="16.5">
      <c r="A303" s="1874" t="s">
        <v>2275</v>
      </c>
      <c r="B303" s="3131" t="s">
        <v>8290</v>
      </c>
      <c r="C303" s="1842" t="s">
        <v>7993</v>
      </c>
      <c r="D303" s="2797"/>
      <c r="E303" s="2797"/>
      <c r="F303" s="2798">
        <f t="shared" si="8"/>
        <v>0</v>
      </c>
      <c r="G303" s="1871">
        <f t="shared" si="9"/>
        <v>0</v>
      </c>
      <c r="H303" s="1173">
        <v>0.1038</v>
      </c>
      <c r="I303" s="3132" t="s">
        <v>0</v>
      </c>
    </row>
    <row r="304" spans="1:9" ht="16.5">
      <c r="A304" s="1874" t="s">
        <v>2276</v>
      </c>
      <c r="B304" s="3131" t="s">
        <v>8291</v>
      </c>
      <c r="C304" s="1842" t="s">
        <v>7993</v>
      </c>
      <c r="D304" s="2797"/>
      <c r="E304" s="2797"/>
      <c r="F304" s="2798">
        <f t="shared" si="8"/>
        <v>0</v>
      </c>
      <c r="G304" s="1871">
        <f t="shared" si="9"/>
        <v>0</v>
      </c>
      <c r="H304" s="1173">
        <v>1.4758</v>
      </c>
      <c r="I304" s="3132" t="s">
        <v>0</v>
      </c>
    </row>
    <row r="305" spans="1:9" ht="16.5">
      <c r="A305" s="1874" t="s">
        <v>2277</v>
      </c>
      <c r="B305" s="3131" t="s">
        <v>8292</v>
      </c>
      <c r="C305" s="1842" t="s">
        <v>7993</v>
      </c>
      <c r="D305" s="2797"/>
      <c r="E305" s="2797"/>
      <c r="F305" s="2798">
        <f t="shared" si="8"/>
        <v>0</v>
      </c>
      <c r="G305" s="1871">
        <f t="shared" si="9"/>
        <v>0</v>
      </c>
      <c r="H305" s="1173">
        <v>1.2799</v>
      </c>
      <c r="I305" s="3132" t="s">
        <v>0</v>
      </c>
    </row>
    <row r="306" spans="1:9" ht="16.5">
      <c r="A306" s="1874" t="s">
        <v>2278</v>
      </c>
      <c r="B306" s="3131" t="s">
        <v>8293</v>
      </c>
      <c r="C306" s="1842" t="s">
        <v>7993</v>
      </c>
      <c r="D306" s="2797"/>
      <c r="E306" s="2797"/>
      <c r="F306" s="2798">
        <f t="shared" si="8"/>
        <v>0</v>
      </c>
      <c r="G306" s="1871">
        <f t="shared" si="9"/>
        <v>0</v>
      </c>
      <c r="H306" s="1173">
        <v>0.27889999999999998</v>
      </c>
      <c r="I306" s="3132" t="s">
        <v>0</v>
      </c>
    </row>
    <row r="307" spans="1:9" ht="16.5">
      <c r="A307" s="1874" t="s">
        <v>2279</v>
      </c>
      <c r="B307" s="3131" t="s">
        <v>8294</v>
      </c>
      <c r="C307" s="1842" t="s">
        <v>7993</v>
      </c>
      <c r="D307" s="2797"/>
      <c r="E307" s="2797"/>
      <c r="F307" s="2798">
        <f t="shared" si="8"/>
        <v>0</v>
      </c>
      <c r="G307" s="1871">
        <f t="shared" si="9"/>
        <v>0</v>
      </c>
      <c r="H307" s="1173">
        <v>0.52800000000000002</v>
      </c>
      <c r="I307" s="3132" t="s">
        <v>0</v>
      </c>
    </row>
    <row r="308" spans="1:9" ht="16.5">
      <c r="A308" s="1874" t="s">
        <v>2280</v>
      </c>
      <c r="B308" s="3131" t="s">
        <v>8295</v>
      </c>
      <c r="C308" s="1842" t="s">
        <v>7993</v>
      </c>
      <c r="D308" s="2797"/>
      <c r="E308" s="2797"/>
      <c r="F308" s="2798">
        <f t="shared" si="8"/>
        <v>0</v>
      </c>
      <c r="G308" s="1871">
        <f t="shared" si="9"/>
        <v>0</v>
      </c>
      <c r="H308" s="1173">
        <v>0.7349</v>
      </c>
      <c r="I308" s="3132" t="s">
        <v>0</v>
      </c>
    </row>
    <row r="309" spans="1:9" ht="16.5">
      <c r="A309" s="1874" t="s">
        <v>2281</v>
      </c>
      <c r="B309" s="3131" t="s">
        <v>8296</v>
      </c>
      <c r="C309" s="1842" t="s">
        <v>7993</v>
      </c>
      <c r="D309" s="2797"/>
      <c r="E309" s="2797"/>
      <c r="F309" s="2798">
        <f t="shared" si="8"/>
        <v>0</v>
      </c>
      <c r="G309" s="1871">
        <f t="shared" si="9"/>
        <v>0</v>
      </c>
      <c r="H309" s="1173">
        <v>1.5047999999999999</v>
      </c>
      <c r="I309" s="3132" t="s">
        <v>0</v>
      </c>
    </row>
    <row r="310" spans="1:9" ht="16.5">
      <c r="A310" s="1874" t="s">
        <v>2282</v>
      </c>
      <c r="B310" s="3131" t="s">
        <v>8297</v>
      </c>
      <c r="C310" s="1842" t="s">
        <v>7993</v>
      </c>
      <c r="D310" s="2797"/>
      <c r="E310" s="2797"/>
      <c r="F310" s="2798">
        <f t="shared" si="8"/>
        <v>0</v>
      </c>
      <c r="G310" s="1871">
        <f t="shared" si="9"/>
        <v>0</v>
      </c>
      <c r="H310" s="1173">
        <v>1.5429999999999999</v>
      </c>
      <c r="I310" s="3132" t="s">
        <v>0</v>
      </c>
    </row>
    <row r="311" spans="1:9" ht="16.5">
      <c r="A311" s="1874" t="s">
        <v>2283</v>
      </c>
      <c r="B311" s="3131" t="s">
        <v>8298</v>
      </c>
      <c r="C311" s="1842" t="s">
        <v>7993</v>
      </c>
      <c r="D311" s="2797"/>
      <c r="E311" s="2797"/>
      <c r="F311" s="2798">
        <f t="shared" si="8"/>
        <v>0</v>
      </c>
      <c r="G311" s="1871">
        <f t="shared" si="9"/>
        <v>0</v>
      </c>
      <c r="H311" s="1173">
        <v>1.143</v>
      </c>
      <c r="I311" s="3132" t="s">
        <v>0</v>
      </c>
    </row>
    <row r="312" spans="1:9" ht="16.5">
      <c r="A312" s="1874" t="s">
        <v>2284</v>
      </c>
      <c r="B312" s="3131" t="s">
        <v>8299</v>
      </c>
      <c r="C312" s="1842" t="s">
        <v>7993</v>
      </c>
      <c r="D312" s="2797"/>
      <c r="E312" s="2797"/>
      <c r="F312" s="2798">
        <f t="shared" si="8"/>
        <v>0</v>
      </c>
      <c r="G312" s="1871">
        <f t="shared" si="9"/>
        <v>0</v>
      </c>
      <c r="H312" s="1173">
        <v>0.58040000000000003</v>
      </c>
      <c r="I312" s="3132" t="s">
        <v>0</v>
      </c>
    </row>
    <row r="313" spans="1:9" ht="16.5">
      <c r="A313" s="1874" t="s">
        <v>2285</v>
      </c>
      <c r="B313" s="3131" t="s">
        <v>8300</v>
      </c>
      <c r="C313" s="1842" t="s">
        <v>7993</v>
      </c>
      <c r="D313" s="2797"/>
      <c r="E313" s="2797"/>
      <c r="F313" s="2798">
        <f t="shared" si="8"/>
        <v>0</v>
      </c>
      <c r="G313" s="1871">
        <f t="shared" si="9"/>
        <v>0</v>
      </c>
      <c r="H313" s="1173">
        <v>0.70169999999999999</v>
      </c>
      <c r="I313" s="3132" t="s">
        <v>0</v>
      </c>
    </row>
    <row r="314" spans="1:9" ht="16.5">
      <c r="A314" s="1874" t="s">
        <v>2286</v>
      </c>
      <c r="B314" s="3131" t="s">
        <v>8301</v>
      </c>
      <c r="C314" s="1842" t="s">
        <v>7993</v>
      </c>
      <c r="D314" s="2797"/>
      <c r="E314" s="2797"/>
      <c r="F314" s="2798">
        <f t="shared" si="8"/>
        <v>0</v>
      </c>
      <c r="G314" s="1871">
        <f t="shared" si="9"/>
        <v>0</v>
      </c>
      <c r="H314" s="1173">
        <v>0.64770000000000005</v>
      </c>
      <c r="I314" s="3121" t="s">
        <v>0</v>
      </c>
    </row>
    <row r="315" spans="1:9" ht="16.5">
      <c r="A315" s="1874" t="s">
        <v>3324</v>
      </c>
      <c r="B315" s="3131" t="s">
        <v>8302</v>
      </c>
      <c r="C315" s="1842" t="s">
        <v>7993</v>
      </c>
      <c r="D315" s="2797"/>
      <c r="E315" s="2797"/>
      <c r="F315" s="2798">
        <f t="shared" si="8"/>
        <v>0</v>
      </c>
      <c r="G315" s="1871">
        <f t="shared" si="9"/>
        <v>0</v>
      </c>
      <c r="H315" s="1173">
        <v>0.61780000000000002</v>
      </c>
      <c r="I315" s="3132" t="s">
        <v>0</v>
      </c>
    </row>
    <row r="316" spans="1:9" ht="16.5">
      <c r="A316" s="1874" t="s">
        <v>2287</v>
      </c>
      <c r="B316" s="3131" t="s">
        <v>8303</v>
      </c>
      <c r="C316" s="1842" t="s">
        <v>7993</v>
      </c>
      <c r="D316" s="2797"/>
      <c r="E316" s="2797"/>
      <c r="F316" s="2798">
        <f t="shared" si="8"/>
        <v>0</v>
      </c>
      <c r="G316" s="1871">
        <f t="shared" si="9"/>
        <v>0</v>
      </c>
      <c r="H316" s="1173">
        <v>1.3947000000000001</v>
      </c>
      <c r="I316" s="3132" t="s">
        <v>0</v>
      </c>
    </row>
    <row r="317" spans="1:9" ht="16.5">
      <c r="A317" s="1874" t="s">
        <v>2288</v>
      </c>
      <c r="B317" s="3131" t="s">
        <v>8304</v>
      </c>
      <c r="C317" s="1842" t="s">
        <v>7993</v>
      </c>
      <c r="D317" s="2797"/>
      <c r="E317" s="2797"/>
      <c r="F317" s="2798">
        <f t="shared" si="8"/>
        <v>0</v>
      </c>
      <c r="G317" s="1871">
        <f t="shared" si="9"/>
        <v>0</v>
      </c>
      <c r="H317" s="1173">
        <v>1.2888999999999999</v>
      </c>
      <c r="I317" s="3132" t="s">
        <v>0</v>
      </c>
    </row>
    <row r="318" spans="1:9" ht="16.5">
      <c r="A318" s="1874" t="s">
        <v>2289</v>
      </c>
      <c r="B318" s="3131" t="s">
        <v>8305</v>
      </c>
      <c r="C318" s="1842" t="s">
        <v>7993</v>
      </c>
      <c r="D318" s="2797"/>
      <c r="E318" s="2797"/>
      <c r="F318" s="2798">
        <f t="shared" si="8"/>
        <v>0</v>
      </c>
      <c r="G318" s="1871">
        <f t="shared" si="9"/>
        <v>0</v>
      </c>
      <c r="H318" s="1173">
        <v>0.436</v>
      </c>
      <c r="I318" s="3132" t="s">
        <v>0</v>
      </c>
    </row>
    <row r="319" spans="1:9" ht="16.5">
      <c r="A319" s="1874" t="s">
        <v>3325</v>
      </c>
      <c r="B319" s="3131" t="s">
        <v>8306</v>
      </c>
      <c r="C319" s="1842" t="s">
        <v>7993</v>
      </c>
      <c r="D319" s="2797"/>
      <c r="E319" s="2797"/>
      <c r="F319" s="2798">
        <f t="shared" si="8"/>
        <v>0</v>
      </c>
      <c r="G319" s="1871">
        <f t="shared" si="9"/>
        <v>0</v>
      </c>
      <c r="H319" s="1173">
        <v>0.31240000000000001</v>
      </c>
      <c r="I319" s="3132" t="s">
        <v>0</v>
      </c>
    </row>
    <row r="320" spans="1:9" ht="16.5">
      <c r="A320" s="1874" t="s">
        <v>2290</v>
      </c>
      <c r="B320" s="3131" t="s">
        <v>8307</v>
      </c>
      <c r="C320" s="1842" t="s">
        <v>7993</v>
      </c>
      <c r="D320" s="2797"/>
      <c r="E320" s="2797"/>
      <c r="F320" s="2798">
        <f t="shared" si="8"/>
        <v>0</v>
      </c>
      <c r="G320" s="1871">
        <f t="shared" si="9"/>
        <v>0</v>
      </c>
      <c r="H320" s="1173">
        <v>0.37909999999999999</v>
      </c>
      <c r="I320" s="3132" t="s">
        <v>0</v>
      </c>
    </row>
    <row r="321" spans="1:9" ht="16.5">
      <c r="A321" s="1874" t="s">
        <v>3326</v>
      </c>
      <c r="B321" s="3131" t="s">
        <v>8308</v>
      </c>
      <c r="C321" s="1842" t="s">
        <v>7993</v>
      </c>
      <c r="D321" s="2797"/>
      <c r="E321" s="2797"/>
      <c r="F321" s="2798">
        <f t="shared" si="8"/>
        <v>0</v>
      </c>
      <c r="G321" s="1871">
        <f t="shared" si="9"/>
        <v>0</v>
      </c>
      <c r="H321" s="1173">
        <v>0.51419999999999999</v>
      </c>
      <c r="I321" s="3132" t="s">
        <v>0</v>
      </c>
    </row>
    <row r="322" spans="1:9" ht="16.5">
      <c r="A322" s="1874" t="s">
        <v>2291</v>
      </c>
      <c r="B322" s="3131" t="s">
        <v>8309</v>
      </c>
      <c r="C322" s="1842" t="s">
        <v>7993</v>
      </c>
      <c r="D322" s="2797"/>
      <c r="E322" s="2797"/>
      <c r="F322" s="2798">
        <f t="shared" si="8"/>
        <v>0</v>
      </c>
      <c r="G322" s="1871">
        <f t="shared" si="9"/>
        <v>0</v>
      </c>
      <c r="H322" s="1173">
        <v>5.8900000000000001E-2</v>
      </c>
      <c r="I322" s="3132" t="s">
        <v>0</v>
      </c>
    </row>
    <row r="323" spans="1:9" ht="16.5">
      <c r="A323" s="1874" t="s">
        <v>2292</v>
      </c>
      <c r="B323" s="3131" t="s">
        <v>8310</v>
      </c>
      <c r="C323" s="1842" t="s">
        <v>7993</v>
      </c>
      <c r="D323" s="2797"/>
      <c r="E323" s="2797"/>
      <c r="F323" s="2798">
        <f t="shared" si="8"/>
        <v>0</v>
      </c>
      <c r="G323" s="1871">
        <f t="shared" si="9"/>
        <v>0</v>
      </c>
      <c r="H323" s="1173">
        <v>0.4042</v>
      </c>
      <c r="I323" s="3132" t="s">
        <v>0</v>
      </c>
    </row>
    <row r="324" spans="1:9" ht="16.5">
      <c r="A324" s="1874" t="s">
        <v>2293</v>
      </c>
      <c r="B324" s="3131" t="s">
        <v>8311</v>
      </c>
      <c r="C324" s="1842" t="s">
        <v>7993</v>
      </c>
      <c r="D324" s="2797"/>
      <c r="E324" s="2797"/>
      <c r="F324" s="2798">
        <f t="shared" si="8"/>
        <v>0</v>
      </c>
      <c r="G324" s="1871">
        <f t="shared" si="9"/>
        <v>0</v>
      </c>
      <c r="H324" s="1173">
        <v>0.50039999999999996</v>
      </c>
      <c r="I324" s="3132" t="s">
        <v>0</v>
      </c>
    </row>
    <row r="325" spans="1:9" ht="16.5">
      <c r="A325" s="1874" t="s">
        <v>2294</v>
      </c>
      <c r="B325" s="3131" t="s">
        <v>8312</v>
      </c>
      <c r="C325" s="1842" t="s">
        <v>7993</v>
      </c>
      <c r="D325" s="2797"/>
      <c r="E325" s="2797"/>
      <c r="F325" s="2798">
        <f t="shared" ref="F325:F388" si="10">D325*E325</f>
        <v>0</v>
      </c>
      <c r="G325" s="1871">
        <f t="shared" ref="G325:G388" si="11">IF($F$855=0,0,F325/$F$855)</f>
        <v>0</v>
      </c>
      <c r="H325" s="1173">
        <v>0.53169999999999995</v>
      </c>
      <c r="I325" s="3132" t="s">
        <v>0</v>
      </c>
    </row>
    <row r="326" spans="1:9" ht="16.5">
      <c r="A326" s="1874" t="s">
        <v>2295</v>
      </c>
      <c r="B326" s="3131" t="s">
        <v>8313</v>
      </c>
      <c r="C326" s="1842" t="s">
        <v>7993</v>
      </c>
      <c r="D326" s="2797"/>
      <c r="E326" s="2797"/>
      <c r="F326" s="2798">
        <f t="shared" si="10"/>
        <v>0</v>
      </c>
      <c r="G326" s="1871">
        <f t="shared" si="11"/>
        <v>0</v>
      </c>
      <c r="H326" s="1173">
        <v>0.6885</v>
      </c>
      <c r="I326" s="3132" t="s">
        <v>0</v>
      </c>
    </row>
    <row r="327" spans="1:9" ht="16.5">
      <c r="A327" s="1874" t="s">
        <v>2296</v>
      </c>
      <c r="B327" s="3131" t="s">
        <v>8314</v>
      </c>
      <c r="C327" s="1842" t="s">
        <v>7993</v>
      </c>
      <c r="D327" s="2797"/>
      <c r="E327" s="2797"/>
      <c r="F327" s="2798">
        <f t="shared" si="10"/>
        <v>0</v>
      </c>
      <c r="G327" s="1871">
        <f t="shared" si="11"/>
        <v>0</v>
      </c>
      <c r="H327" s="1173">
        <v>1.4710000000000001</v>
      </c>
      <c r="I327" s="3132" t="s">
        <v>0</v>
      </c>
    </row>
    <row r="328" spans="1:9" ht="16.5">
      <c r="A328" s="1874" t="s">
        <v>2297</v>
      </c>
      <c r="B328" s="3131" t="s">
        <v>8315</v>
      </c>
      <c r="C328" s="1842" t="s">
        <v>7993</v>
      </c>
      <c r="D328" s="2797"/>
      <c r="E328" s="2797"/>
      <c r="F328" s="2798">
        <f t="shared" si="10"/>
        <v>0</v>
      </c>
      <c r="G328" s="1871">
        <f t="shared" si="11"/>
        <v>0</v>
      </c>
      <c r="H328" s="1173">
        <v>1.1533</v>
      </c>
      <c r="I328" s="3132" t="s">
        <v>0</v>
      </c>
    </row>
    <row r="329" spans="1:9" ht="16.5">
      <c r="A329" s="1874" t="s">
        <v>2298</v>
      </c>
      <c r="B329" s="3131" t="s">
        <v>8316</v>
      </c>
      <c r="C329" s="1842" t="s">
        <v>7993</v>
      </c>
      <c r="D329" s="2797"/>
      <c r="E329" s="2797"/>
      <c r="F329" s="2798">
        <f t="shared" si="10"/>
        <v>0</v>
      </c>
      <c r="G329" s="1871">
        <f t="shared" si="11"/>
        <v>0</v>
      </c>
      <c r="H329" s="1173">
        <v>1.0189999999999999</v>
      </c>
      <c r="I329" s="3132" t="s">
        <v>0</v>
      </c>
    </row>
    <row r="330" spans="1:9" ht="16.5">
      <c r="A330" s="1874" t="s">
        <v>2299</v>
      </c>
      <c r="B330" s="3131" t="s">
        <v>8317</v>
      </c>
      <c r="C330" s="1842" t="s">
        <v>7993</v>
      </c>
      <c r="D330" s="2797"/>
      <c r="E330" s="2797"/>
      <c r="F330" s="2798">
        <f t="shared" si="10"/>
        <v>0</v>
      </c>
      <c r="G330" s="1871">
        <f t="shared" si="11"/>
        <v>0</v>
      </c>
      <c r="H330" s="1173">
        <v>0.88570000000000004</v>
      </c>
      <c r="I330" s="3132" t="s">
        <v>0</v>
      </c>
    </row>
    <row r="331" spans="1:9" ht="16.5">
      <c r="A331" s="1874" t="s">
        <v>2300</v>
      </c>
      <c r="B331" s="3131" t="s">
        <v>8318</v>
      </c>
      <c r="C331" s="1842" t="s">
        <v>7993</v>
      </c>
      <c r="D331" s="2797"/>
      <c r="E331" s="2797"/>
      <c r="F331" s="2798">
        <f t="shared" si="10"/>
        <v>0</v>
      </c>
      <c r="G331" s="1871">
        <f t="shared" si="11"/>
        <v>0</v>
      </c>
      <c r="H331" s="1173">
        <v>0.41320000000000001</v>
      </c>
      <c r="I331" s="3132" t="s">
        <v>0</v>
      </c>
    </row>
    <row r="332" spans="1:9" ht="16.5">
      <c r="A332" s="1874" t="s">
        <v>2301</v>
      </c>
      <c r="B332" s="3131" t="s">
        <v>8319</v>
      </c>
      <c r="C332" s="1842" t="s">
        <v>7993</v>
      </c>
      <c r="D332" s="2797"/>
      <c r="E332" s="2797"/>
      <c r="F332" s="2798">
        <f t="shared" si="10"/>
        <v>0</v>
      </c>
      <c r="G332" s="1871">
        <f t="shared" si="11"/>
        <v>0</v>
      </c>
      <c r="H332" s="1173">
        <v>1.3445</v>
      </c>
      <c r="I332" s="3132" t="s">
        <v>0</v>
      </c>
    </row>
    <row r="333" spans="1:9" ht="16.5">
      <c r="A333" s="1874" t="s">
        <v>2302</v>
      </c>
      <c r="B333" s="3131" t="s">
        <v>8320</v>
      </c>
      <c r="C333" s="1842" t="s">
        <v>7993</v>
      </c>
      <c r="D333" s="2797"/>
      <c r="E333" s="2797"/>
      <c r="F333" s="2798">
        <f t="shared" si="10"/>
        <v>0</v>
      </c>
      <c r="G333" s="1871">
        <f t="shared" si="11"/>
        <v>0</v>
      </c>
      <c r="H333" s="1173">
        <v>0.38590000000000002</v>
      </c>
      <c r="I333" s="3132" t="s">
        <v>0</v>
      </c>
    </row>
    <row r="334" spans="1:9" ht="16.5">
      <c r="A334" s="1874" t="s">
        <v>2304</v>
      </c>
      <c r="B334" s="3131" t="s">
        <v>8321</v>
      </c>
      <c r="C334" s="1842" t="s">
        <v>7993</v>
      </c>
      <c r="D334" s="2797"/>
      <c r="E334" s="2797"/>
      <c r="F334" s="2798">
        <f t="shared" si="10"/>
        <v>0</v>
      </c>
      <c r="G334" s="1871">
        <f t="shared" si="11"/>
        <v>0</v>
      </c>
      <c r="H334" s="1173">
        <v>0.39429999999999998</v>
      </c>
      <c r="I334" s="3132" t="s">
        <v>0</v>
      </c>
    </row>
    <row r="335" spans="1:9" ht="16.5">
      <c r="A335" s="1874" t="s">
        <v>2305</v>
      </c>
      <c r="B335" s="3131" t="s">
        <v>8322</v>
      </c>
      <c r="C335" s="1842" t="s">
        <v>7993</v>
      </c>
      <c r="D335" s="2797"/>
      <c r="E335" s="2797"/>
      <c r="F335" s="2798">
        <f t="shared" si="10"/>
        <v>0</v>
      </c>
      <c r="G335" s="1871">
        <f t="shared" si="11"/>
        <v>0</v>
      </c>
      <c r="H335" s="1173">
        <v>1.1114999999999999</v>
      </c>
      <c r="I335" s="3132" t="s">
        <v>0</v>
      </c>
    </row>
    <row r="336" spans="1:9" ht="16.5">
      <c r="A336" s="1874" t="s">
        <v>2306</v>
      </c>
      <c r="B336" s="3131" t="s">
        <v>8323</v>
      </c>
      <c r="C336" s="1842" t="s">
        <v>7993</v>
      </c>
      <c r="D336" s="2797"/>
      <c r="E336" s="2797"/>
      <c r="F336" s="2798">
        <f t="shared" si="10"/>
        <v>0</v>
      </c>
      <c r="G336" s="1871">
        <f t="shared" si="11"/>
        <v>0</v>
      </c>
      <c r="H336" s="1173">
        <v>0.77800000000000002</v>
      </c>
      <c r="I336" s="3132" t="s">
        <v>0</v>
      </c>
    </row>
    <row r="337" spans="1:9" ht="16.5">
      <c r="A337" s="1874" t="s">
        <v>2307</v>
      </c>
      <c r="B337" s="3131" t="s">
        <v>8324</v>
      </c>
      <c r="C337" s="1842" t="s">
        <v>7993</v>
      </c>
      <c r="D337" s="2797"/>
      <c r="E337" s="2797"/>
      <c r="F337" s="2798">
        <f t="shared" si="10"/>
        <v>0</v>
      </c>
      <c r="G337" s="1871">
        <f t="shared" si="11"/>
        <v>0</v>
      </c>
      <c r="H337" s="1173">
        <v>0.31969999999999998</v>
      </c>
      <c r="I337" s="3132" t="s">
        <v>0</v>
      </c>
    </row>
    <row r="338" spans="1:9" ht="16.5">
      <c r="A338" s="1874" t="s">
        <v>2308</v>
      </c>
      <c r="B338" s="3131" t="s">
        <v>8325</v>
      </c>
      <c r="C338" s="1842" t="s">
        <v>7993</v>
      </c>
      <c r="D338" s="2797"/>
      <c r="E338" s="2797"/>
      <c r="F338" s="2798">
        <f t="shared" si="10"/>
        <v>0</v>
      </c>
      <c r="G338" s="1871">
        <f t="shared" si="11"/>
        <v>0</v>
      </c>
      <c r="H338" s="1173">
        <v>0.34510000000000002</v>
      </c>
      <c r="I338" s="3132" t="s">
        <v>0</v>
      </c>
    </row>
    <row r="339" spans="1:9" ht="16.5">
      <c r="A339" s="1874" t="s">
        <v>2309</v>
      </c>
      <c r="B339" s="3131" t="s">
        <v>8326</v>
      </c>
      <c r="C339" s="1842" t="s">
        <v>7993</v>
      </c>
      <c r="D339" s="2797"/>
      <c r="E339" s="2797"/>
      <c r="F339" s="2798">
        <f t="shared" si="10"/>
        <v>0</v>
      </c>
      <c r="G339" s="1871">
        <f t="shared" si="11"/>
        <v>0</v>
      </c>
      <c r="H339" s="1173">
        <v>0.42320000000000002</v>
      </c>
      <c r="I339" s="3132" t="s">
        <v>0</v>
      </c>
    </row>
    <row r="340" spans="1:9" ht="16.5">
      <c r="A340" s="1874" t="s">
        <v>2310</v>
      </c>
      <c r="B340" s="3131" t="s">
        <v>8327</v>
      </c>
      <c r="C340" s="1842" t="s">
        <v>7993</v>
      </c>
      <c r="D340" s="2797"/>
      <c r="E340" s="2797"/>
      <c r="F340" s="2798">
        <f t="shared" si="10"/>
        <v>0</v>
      </c>
      <c r="G340" s="1871">
        <f t="shared" si="11"/>
        <v>0</v>
      </c>
      <c r="H340" s="1173">
        <v>1.1483000000000001</v>
      </c>
      <c r="I340" s="3132" t="s">
        <v>0</v>
      </c>
    </row>
    <row r="341" spans="1:9" ht="16.5">
      <c r="A341" s="1874" t="s">
        <v>2311</v>
      </c>
      <c r="B341" s="3131" t="s">
        <v>8328</v>
      </c>
      <c r="C341" s="1842" t="s">
        <v>7993</v>
      </c>
      <c r="D341" s="2797"/>
      <c r="E341" s="2797"/>
      <c r="F341" s="2798">
        <f t="shared" si="10"/>
        <v>0</v>
      </c>
      <c r="G341" s="1871">
        <f t="shared" si="11"/>
        <v>0</v>
      </c>
      <c r="H341" s="1173">
        <v>0.65839999999999999</v>
      </c>
      <c r="I341" s="3132" t="s">
        <v>0</v>
      </c>
    </row>
    <row r="342" spans="1:9" ht="16.5">
      <c r="A342" s="1874" t="s">
        <v>3327</v>
      </c>
      <c r="B342" s="3131" t="s">
        <v>8329</v>
      </c>
      <c r="C342" s="1842" t="s">
        <v>7993</v>
      </c>
      <c r="D342" s="2797"/>
      <c r="E342" s="2797"/>
      <c r="F342" s="2798">
        <f t="shared" si="10"/>
        <v>0</v>
      </c>
      <c r="G342" s="1871">
        <f t="shared" si="11"/>
        <v>0</v>
      </c>
      <c r="H342" s="1173">
        <v>1.3272999999999999</v>
      </c>
      <c r="I342" s="3132" t="s">
        <v>0</v>
      </c>
    </row>
    <row r="343" spans="1:9" ht="16.5">
      <c r="A343" s="1874" t="s">
        <v>6143</v>
      </c>
      <c r="B343" s="3131" t="s">
        <v>8330</v>
      </c>
      <c r="C343" s="1842" t="s">
        <v>7993</v>
      </c>
      <c r="D343" s="2797"/>
      <c r="E343" s="2797"/>
      <c r="F343" s="2798">
        <f t="shared" si="10"/>
        <v>0</v>
      </c>
      <c r="G343" s="1871">
        <f t="shared" si="11"/>
        <v>0</v>
      </c>
      <c r="H343" s="1173">
        <v>1</v>
      </c>
      <c r="I343" s="3132" t="s">
        <v>7998</v>
      </c>
    </row>
    <row r="344" spans="1:9" ht="16.5">
      <c r="A344" s="1874" t="s">
        <v>2312</v>
      </c>
      <c r="B344" s="3131" t="s">
        <v>8331</v>
      </c>
      <c r="C344" s="1842" t="s">
        <v>7993</v>
      </c>
      <c r="D344" s="2797"/>
      <c r="E344" s="2797"/>
      <c r="F344" s="2798">
        <f t="shared" si="10"/>
        <v>0</v>
      </c>
      <c r="G344" s="1871">
        <f t="shared" si="11"/>
        <v>0</v>
      </c>
      <c r="H344" s="1173">
        <v>0.55740000000000001</v>
      </c>
      <c r="I344" s="3132" t="s">
        <v>0</v>
      </c>
    </row>
    <row r="345" spans="1:9" ht="16.5">
      <c r="A345" s="1874" t="s">
        <v>2313</v>
      </c>
      <c r="B345" s="3131" t="s">
        <v>8332</v>
      </c>
      <c r="C345" s="1842" t="s">
        <v>7993</v>
      </c>
      <c r="D345" s="2797"/>
      <c r="E345" s="2797"/>
      <c r="F345" s="2798">
        <f t="shared" si="10"/>
        <v>0</v>
      </c>
      <c r="G345" s="1871">
        <f t="shared" si="11"/>
        <v>0</v>
      </c>
      <c r="H345" s="1173">
        <v>9.5299999999999996E-2</v>
      </c>
      <c r="I345" s="3132" t="s">
        <v>0</v>
      </c>
    </row>
    <row r="346" spans="1:9" ht="16.5">
      <c r="A346" s="1874" t="s">
        <v>2314</v>
      </c>
      <c r="B346" s="3131" t="s">
        <v>8333</v>
      </c>
      <c r="C346" s="1842" t="s">
        <v>7993</v>
      </c>
      <c r="D346" s="2797"/>
      <c r="E346" s="2797"/>
      <c r="F346" s="2798">
        <f t="shared" si="10"/>
        <v>0</v>
      </c>
      <c r="G346" s="1871">
        <f t="shared" si="11"/>
        <v>0</v>
      </c>
      <c r="H346" s="1173">
        <v>0.83430000000000004</v>
      </c>
      <c r="I346" s="3132" t="s">
        <v>0</v>
      </c>
    </row>
    <row r="347" spans="1:9" ht="16.5">
      <c r="A347" s="1874" t="s">
        <v>2315</v>
      </c>
      <c r="B347" s="3131" t="s">
        <v>8334</v>
      </c>
      <c r="C347" s="1842" t="s">
        <v>7993</v>
      </c>
      <c r="D347" s="2797"/>
      <c r="E347" s="2797"/>
      <c r="F347" s="2798">
        <f t="shared" si="10"/>
        <v>0</v>
      </c>
      <c r="G347" s="1871">
        <f t="shared" si="11"/>
        <v>0</v>
      </c>
      <c r="H347" s="1173">
        <v>0.7016</v>
      </c>
      <c r="I347" s="3132" t="s">
        <v>0</v>
      </c>
    </row>
    <row r="348" spans="1:9" ht="16.5">
      <c r="A348" s="1874" t="s">
        <v>2316</v>
      </c>
      <c r="B348" s="3131" t="s">
        <v>8335</v>
      </c>
      <c r="C348" s="1842" t="s">
        <v>7993</v>
      </c>
      <c r="D348" s="2797"/>
      <c r="E348" s="2797"/>
      <c r="F348" s="2798">
        <f t="shared" si="10"/>
        <v>0</v>
      </c>
      <c r="G348" s="1871">
        <f t="shared" si="11"/>
        <v>0</v>
      </c>
      <c r="H348" s="1173">
        <v>1.0464</v>
      </c>
      <c r="I348" s="3132" t="s">
        <v>0</v>
      </c>
    </row>
    <row r="349" spans="1:9" ht="16.5">
      <c r="A349" s="1874" t="s">
        <v>2317</v>
      </c>
      <c r="B349" s="3131" t="s">
        <v>8336</v>
      </c>
      <c r="C349" s="1842" t="s">
        <v>7993</v>
      </c>
      <c r="D349" s="2797"/>
      <c r="E349" s="2797"/>
      <c r="F349" s="2798">
        <f t="shared" si="10"/>
        <v>0</v>
      </c>
      <c r="G349" s="1871">
        <f t="shared" si="11"/>
        <v>0</v>
      </c>
      <c r="H349" s="1173">
        <v>1.6867000000000001</v>
      </c>
      <c r="I349" s="3132" t="s">
        <v>0</v>
      </c>
    </row>
    <row r="350" spans="1:9" ht="16.5">
      <c r="A350" s="1874" t="s">
        <v>2318</v>
      </c>
      <c r="B350" s="3131" t="s">
        <v>8337</v>
      </c>
      <c r="C350" s="1842" t="s">
        <v>7993</v>
      </c>
      <c r="D350" s="2797"/>
      <c r="E350" s="2797"/>
      <c r="F350" s="2798">
        <f t="shared" si="10"/>
        <v>0</v>
      </c>
      <c r="G350" s="1871">
        <f t="shared" si="11"/>
        <v>0</v>
      </c>
      <c r="H350" s="1173">
        <v>1.8794</v>
      </c>
      <c r="I350" s="3132" t="s">
        <v>0</v>
      </c>
    </row>
    <row r="351" spans="1:9" ht="16.5">
      <c r="A351" s="1874" t="s">
        <v>2319</v>
      </c>
      <c r="B351" s="3131" t="s">
        <v>8338</v>
      </c>
      <c r="C351" s="1842" t="s">
        <v>7993</v>
      </c>
      <c r="D351" s="2797"/>
      <c r="E351" s="2797"/>
      <c r="F351" s="2798">
        <f t="shared" si="10"/>
        <v>0</v>
      </c>
      <c r="G351" s="1871">
        <f t="shared" si="11"/>
        <v>0</v>
      </c>
      <c r="H351" s="1173">
        <v>0.62260000000000004</v>
      </c>
      <c r="I351" s="3121" t="s">
        <v>0</v>
      </c>
    </row>
    <row r="352" spans="1:9" ht="16.5">
      <c r="A352" s="1874" t="s">
        <v>3328</v>
      </c>
      <c r="B352" s="3131" t="s">
        <v>8339</v>
      </c>
      <c r="C352" s="1842" t="s">
        <v>7993</v>
      </c>
      <c r="D352" s="2797"/>
      <c r="E352" s="2797"/>
      <c r="F352" s="2798">
        <f t="shared" si="10"/>
        <v>0</v>
      </c>
      <c r="G352" s="1871">
        <f t="shared" si="11"/>
        <v>0</v>
      </c>
      <c r="H352" s="1173">
        <v>0.63819999999999999</v>
      </c>
      <c r="I352" s="3132" t="s">
        <v>0</v>
      </c>
    </row>
    <row r="353" spans="1:9" ht="16.5">
      <c r="A353" s="1874" t="s">
        <v>2320</v>
      </c>
      <c r="B353" s="3131" t="s">
        <v>8340</v>
      </c>
      <c r="C353" s="1842" t="s">
        <v>7993</v>
      </c>
      <c r="D353" s="2797"/>
      <c r="E353" s="2797"/>
      <c r="F353" s="2798">
        <f t="shared" si="10"/>
        <v>0</v>
      </c>
      <c r="G353" s="1871">
        <f t="shared" si="11"/>
        <v>0</v>
      </c>
      <c r="H353" s="1173">
        <v>0.91790000000000005</v>
      </c>
      <c r="I353" s="3132" t="s">
        <v>0</v>
      </c>
    </row>
    <row r="354" spans="1:9" ht="16.5">
      <c r="A354" s="1874" t="s">
        <v>2321</v>
      </c>
      <c r="B354" s="3131" t="s">
        <v>8341</v>
      </c>
      <c r="C354" s="1842" t="s">
        <v>7993</v>
      </c>
      <c r="D354" s="2797"/>
      <c r="E354" s="2797"/>
      <c r="F354" s="2798">
        <f t="shared" si="10"/>
        <v>0</v>
      </c>
      <c r="G354" s="1871">
        <f t="shared" si="11"/>
        <v>0</v>
      </c>
      <c r="H354" s="1173">
        <v>1.2104999999999999</v>
      </c>
      <c r="I354" s="3132" t="s">
        <v>0</v>
      </c>
    </row>
    <row r="355" spans="1:9" ht="16.5">
      <c r="A355" s="1874" t="s">
        <v>2322</v>
      </c>
      <c r="B355" s="3131" t="s">
        <v>8342</v>
      </c>
      <c r="C355" s="1842" t="s">
        <v>7993</v>
      </c>
      <c r="D355" s="2797"/>
      <c r="E355" s="2797"/>
      <c r="F355" s="2798">
        <f t="shared" si="10"/>
        <v>0</v>
      </c>
      <c r="G355" s="1871">
        <f t="shared" si="11"/>
        <v>0</v>
      </c>
      <c r="H355" s="1173">
        <v>1.0475000000000001</v>
      </c>
      <c r="I355" s="3132" t="s">
        <v>0</v>
      </c>
    </row>
    <row r="356" spans="1:9" ht="16.5">
      <c r="A356" s="1874" t="s">
        <v>2323</v>
      </c>
      <c r="B356" s="3131" t="s">
        <v>8343</v>
      </c>
      <c r="C356" s="1842" t="s">
        <v>7993</v>
      </c>
      <c r="D356" s="2797"/>
      <c r="E356" s="2797"/>
      <c r="F356" s="2798">
        <f t="shared" si="10"/>
        <v>0</v>
      </c>
      <c r="G356" s="1871">
        <f t="shared" si="11"/>
        <v>0</v>
      </c>
      <c r="H356" s="1173">
        <v>1.0787</v>
      </c>
      <c r="I356" s="3132" t="s">
        <v>0</v>
      </c>
    </row>
    <row r="357" spans="1:9" ht="16.5">
      <c r="A357" s="1874" t="s">
        <v>2324</v>
      </c>
      <c r="B357" s="3131" t="s">
        <v>8344</v>
      </c>
      <c r="C357" s="1842" t="s">
        <v>7993</v>
      </c>
      <c r="D357" s="2797"/>
      <c r="E357" s="2797"/>
      <c r="F357" s="2798">
        <f t="shared" si="10"/>
        <v>0</v>
      </c>
      <c r="G357" s="1871">
        <f t="shared" si="11"/>
        <v>0</v>
      </c>
      <c r="H357" s="1173">
        <v>1.6923999999999999</v>
      </c>
      <c r="I357" s="3132" t="s">
        <v>0</v>
      </c>
    </row>
    <row r="358" spans="1:9" ht="16.5">
      <c r="A358" s="1874" t="s">
        <v>2325</v>
      </c>
      <c r="B358" s="3131" t="s">
        <v>8345</v>
      </c>
      <c r="C358" s="1842" t="s">
        <v>7993</v>
      </c>
      <c r="D358" s="2797"/>
      <c r="E358" s="2797"/>
      <c r="F358" s="2798">
        <f t="shared" si="10"/>
        <v>0</v>
      </c>
      <c r="G358" s="1871">
        <f t="shared" si="11"/>
        <v>0</v>
      </c>
      <c r="H358" s="1173">
        <v>0.67520000000000002</v>
      </c>
      <c r="I358" s="3132" t="s">
        <v>0</v>
      </c>
    </row>
    <row r="359" spans="1:9" ht="16.5">
      <c r="A359" s="1874" t="s">
        <v>2326</v>
      </c>
      <c r="B359" s="3131" t="s">
        <v>8346</v>
      </c>
      <c r="C359" s="1842" t="s">
        <v>7993</v>
      </c>
      <c r="D359" s="2797"/>
      <c r="E359" s="2797"/>
      <c r="F359" s="2798">
        <f t="shared" si="10"/>
        <v>0</v>
      </c>
      <c r="G359" s="1871">
        <f t="shared" si="11"/>
        <v>0</v>
      </c>
      <c r="H359" s="1173">
        <v>5.0900000000000001E-2</v>
      </c>
      <c r="I359" s="3132" t="s">
        <v>0</v>
      </c>
    </row>
    <row r="360" spans="1:9" ht="16.5">
      <c r="A360" s="1874" t="s">
        <v>3329</v>
      </c>
      <c r="B360" s="3131" t="s">
        <v>8347</v>
      </c>
      <c r="C360" s="1842" t="s">
        <v>7993</v>
      </c>
      <c r="D360" s="2797"/>
      <c r="E360" s="2797"/>
      <c r="F360" s="2798">
        <f t="shared" si="10"/>
        <v>0</v>
      </c>
      <c r="G360" s="1871">
        <f t="shared" si="11"/>
        <v>0</v>
      </c>
      <c r="H360" s="1173">
        <v>0.80710000000000004</v>
      </c>
      <c r="I360" s="3132" t="s">
        <v>0</v>
      </c>
    </row>
    <row r="361" spans="1:9" ht="16.5">
      <c r="A361" s="1874" t="s">
        <v>2327</v>
      </c>
      <c r="B361" s="3131" t="s">
        <v>8348</v>
      </c>
      <c r="C361" s="1842" t="s">
        <v>7993</v>
      </c>
      <c r="D361" s="2797"/>
      <c r="E361" s="2797"/>
      <c r="F361" s="2798">
        <f t="shared" si="10"/>
        <v>0</v>
      </c>
      <c r="G361" s="1871">
        <f t="shared" si="11"/>
        <v>0</v>
      </c>
      <c r="H361" s="1173">
        <v>1.0168999999999999</v>
      </c>
      <c r="I361" s="3132" t="s">
        <v>0</v>
      </c>
    </row>
    <row r="362" spans="1:9" ht="16.5">
      <c r="A362" s="1874" t="s">
        <v>2328</v>
      </c>
      <c r="B362" s="3131" t="s">
        <v>8349</v>
      </c>
      <c r="C362" s="1842" t="s">
        <v>7993</v>
      </c>
      <c r="D362" s="2797"/>
      <c r="E362" s="2797"/>
      <c r="F362" s="2798">
        <f t="shared" si="10"/>
        <v>0</v>
      </c>
      <c r="G362" s="1871">
        <f t="shared" si="11"/>
        <v>0</v>
      </c>
      <c r="H362" s="1173">
        <v>1.3544</v>
      </c>
      <c r="I362" s="3132" t="s">
        <v>0</v>
      </c>
    </row>
    <row r="363" spans="1:9" ht="16.5">
      <c r="A363" s="1874" t="s">
        <v>2329</v>
      </c>
      <c r="B363" s="3131" t="s">
        <v>3330</v>
      </c>
      <c r="C363" s="1842" t="s">
        <v>7993</v>
      </c>
      <c r="D363" s="2797"/>
      <c r="E363" s="2797"/>
      <c r="F363" s="2798">
        <f t="shared" si="10"/>
        <v>0</v>
      </c>
      <c r="G363" s="1871">
        <f t="shared" si="11"/>
        <v>0</v>
      </c>
      <c r="H363" s="1173">
        <v>0.88790000000000002</v>
      </c>
      <c r="I363" s="3132" t="s">
        <v>0</v>
      </c>
    </row>
    <row r="364" spans="1:9" ht="16.5">
      <c r="A364" s="1874" t="s">
        <v>2330</v>
      </c>
      <c r="B364" s="3131" t="s">
        <v>8350</v>
      </c>
      <c r="C364" s="1842" t="s">
        <v>7993</v>
      </c>
      <c r="D364" s="2797"/>
      <c r="E364" s="2797"/>
      <c r="F364" s="2798">
        <f t="shared" si="10"/>
        <v>0</v>
      </c>
      <c r="G364" s="1871">
        <f t="shared" si="11"/>
        <v>0</v>
      </c>
      <c r="H364" s="1173">
        <v>0.29830000000000001</v>
      </c>
      <c r="I364" s="3132" t="s">
        <v>0</v>
      </c>
    </row>
    <row r="365" spans="1:9" ht="16.5">
      <c r="A365" s="1874" t="s">
        <v>2331</v>
      </c>
      <c r="B365" s="3131" t="s">
        <v>8351</v>
      </c>
      <c r="C365" s="1842" t="s">
        <v>7993</v>
      </c>
      <c r="D365" s="2797"/>
      <c r="E365" s="2797"/>
      <c r="F365" s="2798">
        <f t="shared" si="10"/>
        <v>0</v>
      </c>
      <c r="G365" s="1871">
        <f t="shared" si="11"/>
        <v>0</v>
      </c>
      <c r="H365" s="1173">
        <v>1.2708999999999999</v>
      </c>
      <c r="I365" s="3132" t="s">
        <v>0</v>
      </c>
    </row>
    <row r="366" spans="1:9" ht="16.5">
      <c r="A366" s="1874" t="s">
        <v>2332</v>
      </c>
      <c r="B366" s="3131" t="s">
        <v>8352</v>
      </c>
      <c r="C366" s="1842" t="s">
        <v>7993</v>
      </c>
      <c r="D366" s="2797"/>
      <c r="E366" s="2797"/>
      <c r="F366" s="2798">
        <f t="shared" si="10"/>
        <v>0</v>
      </c>
      <c r="G366" s="1871">
        <f t="shared" si="11"/>
        <v>0</v>
      </c>
      <c r="H366" s="1173">
        <v>0.4214</v>
      </c>
      <c r="I366" s="3132" t="s">
        <v>0</v>
      </c>
    </row>
    <row r="367" spans="1:9" ht="16.5">
      <c r="A367" s="1874" t="s">
        <v>2333</v>
      </c>
      <c r="B367" s="3131" t="s">
        <v>8353</v>
      </c>
      <c r="C367" s="1842" t="s">
        <v>7993</v>
      </c>
      <c r="D367" s="2797"/>
      <c r="E367" s="2797"/>
      <c r="F367" s="2798">
        <f t="shared" si="10"/>
        <v>0</v>
      </c>
      <c r="G367" s="1871">
        <f t="shared" si="11"/>
        <v>0</v>
      </c>
      <c r="H367" s="1173">
        <v>1.7221</v>
      </c>
      <c r="I367" s="3132" t="s">
        <v>0</v>
      </c>
    </row>
    <row r="368" spans="1:9" ht="16.5">
      <c r="A368" s="1874" t="s">
        <v>2334</v>
      </c>
      <c r="B368" s="3131" t="s">
        <v>8354</v>
      </c>
      <c r="C368" s="1842" t="s">
        <v>7993</v>
      </c>
      <c r="D368" s="2797"/>
      <c r="E368" s="2797"/>
      <c r="F368" s="2798">
        <f t="shared" si="10"/>
        <v>0</v>
      </c>
      <c r="G368" s="1871">
        <f t="shared" si="11"/>
        <v>0</v>
      </c>
      <c r="H368" s="1173">
        <v>0.1779</v>
      </c>
      <c r="I368" s="3132" t="s">
        <v>0</v>
      </c>
    </row>
    <row r="369" spans="1:9" ht="16.5">
      <c r="A369" s="1874" t="s">
        <v>2335</v>
      </c>
      <c r="B369" s="3131" t="s">
        <v>8355</v>
      </c>
      <c r="C369" s="1842" t="s">
        <v>7993</v>
      </c>
      <c r="D369" s="2797"/>
      <c r="E369" s="2797"/>
      <c r="F369" s="2798">
        <f t="shared" si="10"/>
        <v>0</v>
      </c>
      <c r="G369" s="1871">
        <f t="shared" si="11"/>
        <v>0</v>
      </c>
      <c r="H369" s="1173">
        <v>1.0653999999999999</v>
      </c>
      <c r="I369" s="3132" t="s">
        <v>0</v>
      </c>
    </row>
    <row r="370" spans="1:9" ht="16.5">
      <c r="A370" s="1874" t="s">
        <v>2336</v>
      </c>
      <c r="B370" s="3131" t="s">
        <v>8356</v>
      </c>
      <c r="C370" s="1842" t="s">
        <v>7993</v>
      </c>
      <c r="D370" s="2797"/>
      <c r="E370" s="2797"/>
      <c r="F370" s="2798">
        <f t="shared" si="10"/>
        <v>0</v>
      </c>
      <c r="G370" s="1871">
        <f t="shared" si="11"/>
        <v>0</v>
      </c>
      <c r="H370" s="1173">
        <v>0.50609999999999999</v>
      </c>
      <c r="I370" s="3132" t="s">
        <v>0</v>
      </c>
    </row>
    <row r="371" spans="1:9" ht="16.5">
      <c r="A371" s="1874" t="s">
        <v>2337</v>
      </c>
      <c r="B371" s="3131" t="s">
        <v>8357</v>
      </c>
      <c r="C371" s="1842" t="s">
        <v>7993</v>
      </c>
      <c r="D371" s="2797"/>
      <c r="E371" s="2797"/>
      <c r="F371" s="2798">
        <f t="shared" si="10"/>
        <v>0</v>
      </c>
      <c r="G371" s="1871">
        <f t="shared" si="11"/>
        <v>0</v>
      </c>
      <c r="H371" s="1173">
        <v>0.60960000000000003</v>
      </c>
      <c r="I371" s="3132" t="s">
        <v>0</v>
      </c>
    </row>
    <row r="372" spans="1:9" ht="16.5">
      <c r="A372" s="1874" t="s">
        <v>2338</v>
      </c>
      <c r="B372" s="3131" t="s">
        <v>8358</v>
      </c>
      <c r="C372" s="1842" t="s">
        <v>7993</v>
      </c>
      <c r="D372" s="2797"/>
      <c r="E372" s="2797"/>
      <c r="F372" s="2798">
        <f t="shared" si="10"/>
        <v>0</v>
      </c>
      <c r="G372" s="1871">
        <f t="shared" si="11"/>
        <v>0</v>
      </c>
      <c r="H372" s="1173">
        <v>0.61260000000000003</v>
      </c>
      <c r="I372" s="3132" t="s">
        <v>0</v>
      </c>
    </row>
    <row r="373" spans="1:9" ht="16.5">
      <c r="A373" s="1874" t="s">
        <v>2339</v>
      </c>
      <c r="B373" s="3131" t="s">
        <v>8359</v>
      </c>
      <c r="C373" s="1842" t="s">
        <v>7993</v>
      </c>
      <c r="D373" s="2797"/>
      <c r="E373" s="2797"/>
      <c r="F373" s="2798">
        <f t="shared" si="10"/>
        <v>0</v>
      </c>
      <c r="G373" s="1871">
        <f t="shared" si="11"/>
        <v>0</v>
      </c>
      <c r="H373" s="1173">
        <v>0.22090000000000001</v>
      </c>
      <c r="I373" s="3132" t="s">
        <v>0</v>
      </c>
    </row>
    <row r="374" spans="1:9" ht="16.5">
      <c r="A374" s="1874" t="s">
        <v>2340</v>
      </c>
      <c r="B374" s="3131" t="s">
        <v>8360</v>
      </c>
      <c r="C374" s="1842" t="s">
        <v>7993</v>
      </c>
      <c r="D374" s="2797"/>
      <c r="E374" s="2797"/>
      <c r="F374" s="2798">
        <f t="shared" si="10"/>
        <v>0</v>
      </c>
      <c r="G374" s="1871">
        <f t="shared" si="11"/>
        <v>0</v>
      </c>
      <c r="H374" s="1173">
        <v>0.66479999999999995</v>
      </c>
      <c r="I374" s="3132" t="s">
        <v>0</v>
      </c>
    </row>
    <row r="375" spans="1:9" ht="16.5">
      <c r="A375" s="1874" t="s">
        <v>2341</v>
      </c>
      <c r="B375" s="3131" t="s">
        <v>8361</v>
      </c>
      <c r="C375" s="1842" t="s">
        <v>7993</v>
      </c>
      <c r="D375" s="2797"/>
      <c r="E375" s="2797"/>
      <c r="F375" s="2798">
        <f t="shared" si="10"/>
        <v>0</v>
      </c>
      <c r="G375" s="1871">
        <f t="shared" si="11"/>
        <v>0</v>
      </c>
      <c r="H375" s="1173">
        <v>0.31169999999999998</v>
      </c>
      <c r="I375" s="3132" t="s">
        <v>0</v>
      </c>
    </row>
    <row r="376" spans="1:9" ht="16.5">
      <c r="A376" s="1874" t="s">
        <v>2342</v>
      </c>
      <c r="B376" s="3131" t="s">
        <v>8362</v>
      </c>
      <c r="C376" s="1842" t="s">
        <v>7993</v>
      </c>
      <c r="D376" s="2797"/>
      <c r="E376" s="2797"/>
      <c r="F376" s="2798">
        <f t="shared" si="10"/>
        <v>0</v>
      </c>
      <c r="G376" s="1871">
        <f t="shared" si="11"/>
        <v>0</v>
      </c>
      <c r="H376" s="1173">
        <v>7.9399999999999998E-2</v>
      </c>
      <c r="I376" s="3132" t="s">
        <v>0</v>
      </c>
    </row>
    <row r="377" spans="1:9" ht="16.5">
      <c r="A377" s="1874" t="s">
        <v>2343</v>
      </c>
      <c r="B377" s="3131" t="s">
        <v>8363</v>
      </c>
      <c r="C377" s="1842" t="s">
        <v>7993</v>
      </c>
      <c r="D377" s="2797"/>
      <c r="E377" s="2797"/>
      <c r="F377" s="2798">
        <f t="shared" si="10"/>
        <v>0</v>
      </c>
      <c r="G377" s="1871">
        <f t="shared" si="11"/>
        <v>0</v>
      </c>
      <c r="H377" s="1173">
        <v>0.42820000000000003</v>
      </c>
      <c r="I377" s="3132" t="s">
        <v>0</v>
      </c>
    </row>
    <row r="378" spans="1:9" ht="16.5">
      <c r="A378" s="1874" t="s">
        <v>2344</v>
      </c>
      <c r="B378" s="3131" t="s">
        <v>8364</v>
      </c>
      <c r="C378" s="1842" t="s">
        <v>7993</v>
      </c>
      <c r="D378" s="2797"/>
      <c r="E378" s="2797"/>
      <c r="F378" s="2798">
        <f t="shared" si="10"/>
        <v>0</v>
      </c>
      <c r="G378" s="1871">
        <f t="shared" si="11"/>
        <v>0</v>
      </c>
      <c r="H378" s="1173">
        <v>1.2797000000000001</v>
      </c>
      <c r="I378" s="3132" t="s">
        <v>0</v>
      </c>
    </row>
    <row r="379" spans="1:9" ht="16.5">
      <c r="A379" s="1874" t="s">
        <v>2345</v>
      </c>
      <c r="B379" s="3131" t="s">
        <v>8365</v>
      </c>
      <c r="C379" s="1842" t="s">
        <v>7993</v>
      </c>
      <c r="D379" s="2797"/>
      <c r="E379" s="2797"/>
      <c r="F379" s="2798">
        <f t="shared" si="10"/>
        <v>0</v>
      </c>
      <c r="G379" s="1871">
        <f t="shared" si="11"/>
        <v>0</v>
      </c>
      <c r="H379" s="1173">
        <v>0.47860000000000003</v>
      </c>
      <c r="I379" s="3132" t="s">
        <v>0</v>
      </c>
    </row>
    <row r="380" spans="1:9" ht="16.5">
      <c r="A380" s="1874" t="s">
        <v>2346</v>
      </c>
      <c r="B380" s="3131" t="s">
        <v>8366</v>
      </c>
      <c r="C380" s="1842" t="s">
        <v>7993</v>
      </c>
      <c r="D380" s="2797"/>
      <c r="E380" s="2797"/>
      <c r="F380" s="2798">
        <f t="shared" si="10"/>
        <v>0</v>
      </c>
      <c r="G380" s="1871">
        <f t="shared" si="11"/>
        <v>0</v>
      </c>
      <c r="H380" s="1173">
        <v>1.0766</v>
      </c>
      <c r="I380" s="3132" t="s">
        <v>0</v>
      </c>
    </row>
    <row r="381" spans="1:9" ht="16.5">
      <c r="A381" s="1874" t="s">
        <v>2347</v>
      </c>
      <c r="B381" s="3131" t="s">
        <v>8367</v>
      </c>
      <c r="C381" s="1842" t="s">
        <v>7993</v>
      </c>
      <c r="D381" s="2797"/>
      <c r="E381" s="2797"/>
      <c r="F381" s="2798">
        <f t="shared" si="10"/>
        <v>0</v>
      </c>
      <c r="G381" s="1871">
        <f t="shared" si="11"/>
        <v>0</v>
      </c>
      <c r="H381" s="1173">
        <v>0.54649999999999999</v>
      </c>
      <c r="I381" s="3132" t="s">
        <v>0</v>
      </c>
    </row>
    <row r="382" spans="1:9" ht="16.5">
      <c r="A382" s="1874" t="s">
        <v>2348</v>
      </c>
      <c r="B382" s="3131" t="s">
        <v>8368</v>
      </c>
      <c r="C382" s="1842" t="s">
        <v>7993</v>
      </c>
      <c r="D382" s="2797"/>
      <c r="E382" s="2797"/>
      <c r="F382" s="2798">
        <f t="shared" si="10"/>
        <v>0</v>
      </c>
      <c r="G382" s="1871">
        <f t="shared" si="11"/>
        <v>0</v>
      </c>
      <c r="H382" s="1173">
        <v>0.93689999999999996</v>
      </c>
      <c r="I382" s="3121" t="s">
        <v>0</v>
      </c>
    </row>
    <row r="383" spans="1:9" ht="16.5">
      <c r="A383" s="1874" t="s">
        <v>2349</v>
      </c>
      <c r="B383" s="3131" t="s">
        <v>8369</v>
      </c>
      <c r="C383" s="1842" t="s">
        <v>7993</v>
      </c>
      <c r="D383" s="2797"/>
      <c r="E383" s="2797"/>
      <c r="F383" s="2798">
        <f t="shared" si="10"/>
        <v>0</v>
      </c>
      <c r="G383" s="1871">
        <f t="shared" si="11"/>
        <v>0</v>
      </c>
      <c r="H383" s="1173">
        <v>0.79800000000000004</v>
      </c>
      <c r="I383" s="3132" t="s">
        <v>0</v>
      </c>
    </row>
    <row r="384" spans="1:9" ht="16.5">
      <c r="A384" s="1874" t="s">
        <v>2350</v>
      </c>
      <c r="B384" s="3131" t="s">
        <v>8370</v>
      </c>
      <c r="C384" s="1842" t="s">
        <v>7993</v>
      </c>
      <c r="D384" s="2797"/>
      <c r="E384" s="2797"/>
      <c r="F384" s="2798">
        <f t="shared" si="10"/>
        <v>0</v>
      </c>
      <c r="G384" s="1871">
        <f t="shared" si="11"/>
        <v>0</v>
      </c>
      <c r="H384" s="1173">
        <v>0.46160000000000001</v>
      </c>
      <c r="I384" s="3132" t="s">
        <v>0</v>
      </c>
    </row>
    <row r="385" spans="1:9" ht="16.5">
      <c r="A385" s="1874" t="s">
        <v>2351</v>
      </c>
      <c r="B385" s="3131" t="s">
        <v>8371</v>
      </c>
      <c r="C385" s="1842" t="s">
        <v>7993</v>
      </c>
      <c r="D385" s="2797"/>
      <c r="E385" s="2797"/>
      <c r="F385" s="2798">
        <f t="shared" si="10"/>
        <v>0</v>
      </c>
      <c r="G385" s="1871">
        <f t="shared" si="11"/>
        <v>0</v>
      </c>
      <c r="H385" s="1173">
        <v>0.83350000000000002</v>
      </c>
      <c r="I385" s="3132" t="s">
        <v>0</v>
      </c>
    </row>
    <row r="386" spans="1:9" ht="16.5">
      <c r="A386" s="1874" t="s">
        <v>2352</v>
      </c>
      <c r="B386" s="3131" t="s">
        <v>8372</v>
      </c>
      <c r="C386" s="1842" t="s">
        <v>7993</v>
      </c>
      <c r="D386" s="2797"/>
      <c r="E386" s="2797"/>
      <c r="F386" s="2798">
        <f t="shared" si="10"/>
        <v>0</v>
      </c>
      <c r="G386" s="1871">
        <f t="shared" si="11"/>
        <v>0</v>
      </c>
      <c r="H386" s="1173">
        <v>0.61839999999999995</v>
      </c>
      <c r="I386" s="3132" t="s">
        <v>0</v>
      </c>
    </row>
    <row r="387" spans="1:9" ht="16.5">
      <c r="A387" s="1874" t="s">
        <v>2353</v>
      </c>
      <c r="B387" s="3131" t="s">
        <v>8373</v>
      </c>
      <c r="C387" s="1842" t="s">
        <v>7993</v>
      </c>
      <c r="D387" s="2797"/>
      <c r="E387" s="2797"/>
      <c r="F387" s="2798">
        <f t="shared" si="10"/>
        <v>0</v>
      </c>
      <c r="G387" s="1871">
        <f t="shared" si="11"/>
        <v>0</v>
      </c>
      <c r="H387" s="1173">
        <v>0.76670000000000005</v>
      </c>
      <c r="I387" s="3132" t="s">
        <v>0</v>
      </c>
    </row>
    <row r="388" spans="1:9" ht="16.5">
      <c r="A388" s="1874" t="s">
        <v>2354</v>
      </c>
      <c r="B388" s="3131" t="s">
        <v>8374</v>
      </c>
      <c r="C388" s="1842" t="s">
        <v>7993</v>
      </c>
      <c r="D388" s="2797"/>
      <c r="E388" s="2797"/>
      <c r="F388" s="2798">
        <f t="shared" si="10"/>
        <v>0</v>
      </c>
      <c r="G388" s="1871">
        <f t="shared" si="11"/>
        <v>0</v>
      </c>
      <c r="H388" s="1173">
        <v>0.71719999999999995</v>
      </c>
      <c r="I388" s="3132" t="s">
        <v>0</v>
      </c>
    </row>
    <row r="389" spans="1:9" ht="16.5">
      <c r="A389" s="1874" t="s">
        <v>3331</v>
      </c>
      <c r="B389" s="3131" t="s">
        <v>8375</v>
      </c>
      <c r="C389" s="1842" t="s">
        <v>7993</v>
      </c>
      <c r="D389" s="2797"/>
      <c r="E389" s="2797"/>
      <c r="F389" s="2798">
        <f t="shared" ref="F389:F452" si="12">D389*E389</f>
        <v>0</v>
      </c>
      <c r="G389" s="1871">
        <f t="shared" ref="G389:G452" si="13">IF($F$855=0,0,F389/$F$855)</f>
        <v>0</v>
      </c>
      <c r="H389" s="1173">
        <v>0.45519999999999999</v>
      </c>
      <c r="I389" s="3132" t="s">
        <v>0</v>
      </c>
    </row>
    <row r="390" spans="1:9" ht="16.5">
      <c r="A390" s="1874" t="s">
        <v>2355</v>
      </c>
      <c r="B390" s="3131" t="s">
        <v>8376</v>
      </c>
      <c r="C390" s="1842" t="s">
        <v>7993</v>
      </c>
      <c r="D390" s="2797"/>
      <c r="E390" s="2797"/>
      <c r="F390" s="2798">
        <f t="shared" si="12"/>
        <v>0</v>
      </c>
      <c r="G390" s="1871">
        <f t="shared" si="13"/>
        <v>0</v>
      </c>
      <c r="H390" s="1173">
        <v>1.4081999999999999</v>
      </c>
      <c r="I390" s="3132" t="s">
        <v>0</v>
      </c>
    </row>
    <row r="391" spans="1:9" ht="16.5">
      <c r="A391" s="1874" t="s">
        <v>3230</v>
      </c>
      <c r="B391" s="3131" t="s">
        <v>8377</v>
      </c>
      <c r="C391" s="1842" t="s">
        <v>7993</v>
      </c>
      <c r="D391" s="2797"/>
      <c r="E391" s="2797"/>
      <c r="F391" s="2798">
        <f t="shared" si="12"/>
        <v>0</v>
      </c>
      <c r="G391" s="1871">
        <f t="shared" si="13"/>
        <v>0</v>
      </c>
      <c r="H391" s="1173">
        <v>1.3433999999999999</v>
      </c>
      <c r="I391" s="3132" t="s">
        <v>0</v>
      </c>
    </row>
    <row r="392" spans="1:9" ht="16.5">
      <c r="A392" s="1874" t="s">
        <v>2356</v>
      </c>
      <c r="B392" s="3131" t="s">
        <v>8378</v>
      </c>
      <c r="C392" s="1842" t="s">
        <v>7993</v>
      </c>
      <c r="D392" s="2797"/>
      <c r="E392" s="2797"/>
      <c r="F392" s="2798">
        <f t="shared" si="12"/>
        <v>0</v>
      </c>
      <c r="G392" s="1871">
        <f t="shared" si="13"/>
        <v>0</v>
      </c>
      <c r="H392" s="1173">
        <v>0.63</v>
      </c>
      <c r="I392" s="3132" t="s">
        <v>0</v>
      </c>
    </row>
    <row r="393" spans="1:9" ht="16.5">
      <c r="A393" s="1874" t="s">
        <v>2357</v>
      </c>
      <c r="B393" s="3131" t="s">
        <v>8379</v>
      </c>
      <c r="C393" s="1842" t="s">
        <v>7993</v>
      </c>
      <c r="D393" s="2797"/>
      <c r="E393" s="2797"/>
      <c r="F393" s="2798">
        <f t="shared" si="12"/>
        <v>0</v>
      </c>
      <c r="G393" s="1871">
        <f t="shared" si="13"/>
        <v>0</v>
      </c>
      <c r="H393" s="1173">
        <v>1.4158999999999999</v>
      </c>
      <c r="I393" s="3132" t="s">
        <v>0</v>
      </c>
    </row>
    <row r="394" spans="1:9" ht="16.5">
      <c r="A394" s="1874" t="s">
        <v>2358</v>
      </c>
      <c r="B394" s="3131" t="s">
        <v>8380</v>
      </c>
      <c r="C394" s="1842" t="s">
        <v>7993</v>
      </c>
      <c r="D394" s="2797"/>
      <c r="E394" s="2797"/>
      <c r="F394" s="2798">
        <f t="shared" si="12"/>
        <v>0</v>
      </c>
      <c r="G394" s="1871">
        <f t="shared" si="13"/>
        <v>0</v>
      </c>
      <c r="H394" s="1173">
        <v>1.1720999999999999</v>
      </c>
      <c r="I394" s="3132" t="s">
        <v>0</v>
      </c>
    </row>
    <row r="395" spans="1:9" ht="16.5">
      <c r="A395" s="1874" t="s">
        <v>2359</v>
      </c>
      <c r="B395" s="3131" t="s">
        <v>8381</v>
      </c>
      <c r="C395" s="1842" t="s">
        <v>7993</v>
      </c>
      <c r="D395" s="2797"/>
      <c r="E395" s="2797"/>
      <c r="F395" s="2798">
        <f t="shared" si="12"/>
        <v>0</v>
      </c>
      <c r="G395" s="1871">
        <f t="shared" si="13"/>
        <v>0</v>
      </c>
      <c r="H395" s="1173">
        <v>1.3972</v>
      </c>
      <c r="I395" s="3132" t="s">
        <v>0</v>
      </c>
    </row>
    <row r="396" spans="1:9" ht="16.5">
      <c r="A396" s="1874" t="s">
        <v>2360</v>
      </c>
      <c r="B396" s="3131" t="s">
        <v>8382</v>
      </c>
      <c r="C396" s="1842" t="s">
        <v>7993</v>
      </c>
      <c r="D396" s="2797"/>
      <c r="E396" s="2797"/>
      <c r="F396" s="2798">
        <f t="shared" si="12"/>
        <v>0</v>
      </c>
      <c r="G396" s="1871">
        <f t="shared" si="13"/>
        <v>0</v>
      </c>
      <c r="H396" s="1173">
        <v>1.5214000000000001</v>
      </c>
      <c r="I396" s="3132" t="s">
        <v>0</v>
      </c>
    </row>
    <row r="397" spans="1:9" ht="16.5">
      <c r="A397" s="1874" t="s">
        <v>2361</v>
      </c>
      <c r="B397" s="3131" t="s">
        <v>8383</v>
      </c>
      <c r="C397" s="1842" t="s">
        <v>7993</v>
      </c>
      <c r="D397" s="2797"/>
      <c r="E397" s="2797"/>
      <c r="F397" s="2798">
        <f t="shared" si="12"/>
        <v>0</v>
      </c>
      <c r="G397" s="1871">
        <f t="shared" si="13"/>
        <v>0</v>
      </c>
      <c r="H397" s="1173">
        <v>0.65529999999999999</v>
      </c>
      <c r="I397" s="3132" t="s">
        <v>0</v>
      </c>
    </row>
    <row r="398" spans="1:9" ht="16.5">
      <c r="A398" s="1874" t="s">
        <v>2362</v>
      </c>
      <c r="B398" s="3131" t="s">
        <v>8384</v>
      </c>
      <c r="C398" s="1842" t="s">
        <v>7993</v>
      </c>
      <c r="D398" s="2797"/>
      <c r="E398" s="2797"/>
      <c r="F398" s="2798">
        <f t="shared" si="12"/>
        <v>0</v>
      </c>
      <c r="G398" s="1871">
        <f t="shared" si="13"/>
        <v>0</v>
      </c>
      <c r="H398" s="1173">
        <v>0.51280000000000003</v>
      </c>
      <c r="I398" s="3132" t="s">
        <v>0</v>
      </c>
    </row>
    <row r="399" spans="1:9" ht="16.5">
      <c r="A399" s="1874" t="s">
        <v>2363</v>
      </c>
      <c r="B399" s="3131" t="s">
        <v>8385</v>
      </c>
      <c r="C399" s="1842" t="s">
        <v>7993</v>
      </c>
      <c r="D399" s="2797"/>
      <c r="E399" s="2797"/>
      <c r="F399" s="2798">
        <f t="shared" si="12"/>
        <v>0</v>
      </c>
      <c r="G399" s="1871">
        <f t="shared" si="13"/>
        <v>0</v>
      </c>
      <c r="H399" s="1173">
        <v>0.22020000000000001</v>
      </c>
      <c r="I399" s="3132" t="s">
        <v>0</v>
      </c>
    </row>
    <row r="400" spans="1:9" ht="16.5">
      <c r="A400" s="1874" t="s">
        <v>2364</v>
      </c>
      <c r="B400" s="3131" t="s">
        <v>8386</v>
      </c>
      <c r="C400" s="1842" t="s">
        <v>7993</v>
      </c>
      <c r="D400" s="2797"/>
      <c r="E400" s="2797"/>
      <c r="F400" s="2798">
        <f t="shared" si="12"/>
        <v>0</v>
      </c>
      <c r="G400" s="1871">
        <f t="shared" si="13"/>
        <v>0</v>
      </c>
      <c r="H400" s="1173">
        <v>1.0517000000000001</v>
      </c>
      <c r="I400" s="3132" t="s">
        <v>0</v>
      </c>
    </row>
    <row r="401" spans="1:9" ht="16.5">
      <c r="A401" s="1874" t="s">
        <v>2365</v>
      </c>
      <c r="B401" s="3131" t="s">
        <v>8387</v>
      </c>
      <c r="C401" s="1842" t="s">
        <v>7993</v>
      </c>
      <c r="D401" s="2797"/>
      <c r="E401" s="2797"/>
      <c r="F401" s="2798">
        <f t="shared" si="12"/>
        <v>0</v>
      </c>
      <c r="G401" s="1871">
        <f t="shared" si="13"/>
        <v>0</v>
      </c>
      <c r="H401" s="1173">
        <v>0.55289999999999995</v>
      </c>
      <c r="I401" s="3132" t="s">
        <v>0</v>
      </c>
    </row>
    <row r="402" spans="1:9" ht="16.5">
      <c r="A402" s="1874" t="s">
        <v>2366</v>
      </c>
      <c r="B402" s="3131" t="s">
        <v>8388</v>
      </c>
      <c r="C402" s="1842" t="s">
        <v>7993</v>
      </c>
      <c r="D402" s="2797"/>
      <c r="E402" s="2797"/>
      <c r="F402" s="2798">
        <f t="shared" si="12"/>
        <v>0</v>
      </c>
      <c r="G402" s="1871">
        <f t="shared" si="13"/>
        <v>0</v>
      </c>
      <c r="H402" s="1173">
        <v>0.91810000000000003</v>
      </c>
      <c r="I402" s="3132" t="s">
        <v>0</v>
      </c>
    </row>
    <row r="403" spans="1:9" ht="16.5">
      <c r="A403" s="1874" t="s">
        <v>2367</v>
      </c>
      <c r="B403" s="3131" t="s">
        <v>8389</v>
      </c>
      <c r="C403" s="1842" t="s">
        <v>7993</v>
      </c>
      <c r="D403" s="2797"/>
      <c r="E403" s="2797"/>
      <c r="F403" s="2798">
        <f t="shared" si="12"/>
        <v>0</v>
      </c>
      <c r="G403" s="1871">
        <f t="shared" si="13"/>
        <v>0</v>
      </c>
      <c r="H403" s="1173">
        <v>0.58709999999999996</v>
      </c>
      <c r="I403" s="3132" t="s">
        <v>0</v>
      </c>
    </row>
    <row r="404" spans="1:9" ht="16.5">
      <c r="A404" s="1874" t="s">
        <v>2368</v>
      </c>
      <c r="B404" s="3131" t="s">
        <v>8390</v>
      </c>
      <c r="C404" s="1842" t="s">
        <v>7993</v>
      </c>
      <c r="D404" s="2797"/>
      <c r="E404" s="2797"/>
      <c r="F404" s="2798">
        <f t="shared" si="12"/>
        <v>0</v>
      </c>
      <c r="G404" s="1871">
        <f t="shared" si="13"/>
        <v>0</v>
      </c>
      <c r="H404" s="1173">
        <v>0.91710000000000003</v>
      </c>
      <c r="I404" s="3132" t="s">
        <v>0</v>
      </c>
    </row>
    <row r="405" spans="1:9" ht="16.5">
      <c r="A405" s="1874" t="s">
        <v>2370</v>
      </c>
      <c r="B405" s="3131" t="s">
        <v>8391</v>
      </c>
      <c r="C405" s="1842" t="s">
        <v>7993</v>
      </c>
      <c r="D405" s="2797"/>
      <c r="E405" s="2797"/>
      <c r="F405" s="2798">
        <f t="shared" si="12"/>
        <v>0</v>
      </c>
      <c r="G405" s="1871">
        <f t="shared" si="13"/>
        <v>0</v>
      </c>
      <c r="H405" s="1173">
        <v>1.1711</v>
      </c>
      <c r="I405" s="3132" t="s">
        <v>0</v>
      </c>
    </row>
    <row r="406" spans="1:9" ht="16.5">
      <c r="A406" s="1874" t="s">
        <v>2371</v>
      </c>
      <c r="B406" s="3131" t="s">
        <v>8392</v>
      </c>
      <c r="C406" s="1842" t="s">
        <v>7993</v>
      </c>
      <c r="D406" s="2797"/>
      <c r="E406" s="2797"/>
      <c r="F406" s="2798">
        <f t="shared" si="12"/>
        <v>0</v>
      </c>
      <c r="G406" s="1871">
        <f t="shared" si="13"/>
        <v>0</v>
      </c>
      <c r="H406" s="1173">
        <v>0.11840000000000001</v>
      </c>
      <c r="I406" s="3132" t="s">
        <v>0</v>
      </c>
    </row>
    <row r="407" spans="1:9" ht="16.5">
      <c r="A407" s="1874" t="s">
        <v>2372</v>
      </c>
      <c r="B407" s="3131" t="s">
        <v>8393</v>
      </c>
      <c r="C407" s="1842" t="s">
        <v>7993</v>
      </c>
      <c r="D407" s="2797"/>
      <c r="E407" s="2797"/>
      <c r="F407" s="2798">
        <f t="shared" si="12"/>
        <v>0</v>
      </c>
      <c r="G407" s="1871">
        <f t="shared" si="13"/>
        <v>0</v>
      </c>
      <c r="H407" s="1173">
        <v>0.28639999999999999</v>
      </c>
      <c r="I407" s="3132" t="s">
        <v>0</v>
      </c>
    </row>
    <row r="408" spans="1:9" ht="16.5">
      <c r="A408" s="1874" t="s">
        <v>2373</v>
      </c>
      <c r="B408" s="3131" t="s">
        <v>8394</v>
      </c>
      <c r="C408" s="1842" t="s">
        <v>7993</v>
      </c>
      <c r="D408" s="2797"/>
      <c r="E408" s="2797"/>
      <c r="F408" s="2798">
        <f t="shared" si="12"/>
        <v>0</v>
      </c>
      <c r="G408" s="1871">
        <f t="shared" si="13"/>
        <v>0</v>
      </c>
      <c r="H408" s="1173">
        <v>1.7862</v>
      </c>
      <c r="I408" s="3132" t="s">
        <v>0</v>
      </c>
    </row>
    <row r="409" spans="1:9" ht="16.5">
      <c r="A409" s="1874" t="s">
        <v>2374</v>
      </c>
      <c r="B409" s="3131" t="s">
        <v>8395</v>
      </c>
      <c r="C409" s="1842" t="s">
        <v>7993</v>
      </c>
      <c r="D409" s="2797"/>
      <c r="E409" s="2797"/>
      <c r="F409" s="2798">
        <f t="shared" si="12"/>
        <v>0</v>
      </c>
      <c r="G409" s="1871">
        <f t="shared" si="13"/>
        <v>0</v>
      </c>
      <c r="H409" s="1173">
        <v>0.51539999999999997</v>
      </c>
      <c r="I409" s="3132" t="s">
        <v>0</v>
      </c>
    </row>
    <row r="410" spans="1:9" ht="16.5">
      <c r="A410" s="1874" t="s">
        <v>2375</v>
      </c>
      <c r="B410" s="3131" t="s">
        <v>8396</v>
      </c>
      <c r="C410" s="1842" t="s">
        <v>7993</v>
      </c>
      <c r="D410" s="2797"/>
      <c r="E410" s="2797"/>
      <c r="F410" s="2798">
        <f t="shared" si="12"/>
        <v>0</v>
      </c>
      <c r="G410" s="1871">
        <f t="shared" si="13"/>
        <v>0</v>
      </c>
      <c r="H410" s="1173">
        <v>0.71530000000000005</v>
      </c>
      <c r="I410" s="3132" t="s">
        <v>0</v>
      </c>
    </row>
    <row r="411" spans="1:9" ht="16.5">
      <c r="A411" s="1874" t="s">
        <v>2376</v>
      </c>
      <c r="B411" s="3131" t="s">
        <v>8397</v>
      </c>
      <c r="C411" s="1842" t="s">
        <v>7993</v>
      </c>
      <c r="D411" s="2797"/>
      <c r="E411" s="2797"/>
      <c r="F411" s="2798">
        <f t="shared" si="12"/>
        <v>0</v>
      </c>
      <c r="G411" s="1871">
        <f t="shared" si="13"/>
        <v>0</v>
      </c>
      <c r="H411" s="1173">
        <v>0.8256</v>
      </c>
      <c r="I411" s="3132" t="s">
        <v>0</v>
      </c>
    </row>
    <row r="412" spans="1:9" ht="16.5">
      <c r="A412" s="1874" t="s">
        <v>2377</v>
      </c>
      <c r="B412" s="3131" t="s">
        <v>8398</v>
      </c>
      <c r="C412" s="1842" t="s">
        <v>7993</v>
      </c>
      <c r="D412" s="2797"/>
      <c r="E412" s="2797"/>
      <c r="F412" s="2798">
        <f t="shared" si="12"/>
        <v>0</v>
      </c>
      <c r="G412" s="1871">
        <f t="shared" si="13"/>
        <v>0</v>
      </c>
      <c r="H412" s="1173">
        <v>1.0894999999999999</v>
      </c>
      <c r="I412" s="3132" t="s">
        <v>0</v>
      </c>
    </row>
    <row r="413" spans="1:9" ht="16.5">
      <c r="A413" s="1874" t="s">
        <v>2378</v>
      </c>
      <c r="B413" s="3131" t="s">
        <v>8399</v>
      </c>
      <c r="C413" s="1842" t="s">
        <v>7993</v>
      </c>
      <c r="D413" s="2797"/>
      <c r="E413" s="2797"/>
      <c r="F413" s="2798">
        <f t="shared" si="12"/>
        <v>0</v>
      </c>
      <c r="G413" s="1871">
        <f t="shared" si="13"/>
        <v>0</v>
      </c>
      <c r="H413" s="1173">
        <v>1.4257</v>
      </c>
      <c r="I413" s="3132" t="s">
        <v>0</v>
      </c>
    </row>
    <row r="414" spans="1:9" ht="16.5">
      <c r="A414" s="1874" t="s">
        <v>2379</v>
      </c>
      <c r="B414" s="3131" t="s">
        <v>8400</v>
      </c>
      <c r="C414" s="1842" t="s">
        <v>7993</v>
      </c>
      <c r="D414" s="2797"/>
      <c r="E414" s="2797"/>
      <c r="F414" s="2798">
        <f t="shared" si="12"/>
        <v>0</v>
      </c>
      <c r="G414" s="1871">
        <f t="shared" si="13"/>
        <v>0</v>
      </c>
      <c r="H414" s="1173">
        <v>0.98909999999999998</v>
      </c>
      <c r="I414" s="3132" t="s">
        <v>0</v>
      </c>
    </row>
    <row r="415" spans="1:9" ht="16.5">
      <c r="A415" s="1874" t="s">
        <v>2380</v>
      </c>
      <c r="B415" s="3131" t="s">
        <v>8401</v>
      </c>
      <c r="C415" s="1842" t="s">
        <v>7993</v>
      </c>
      <c r="D415" s="2797"/>
      <c r="E415" s="2797"/>
      <c r="F415" s="2798">
        <f t="shared" si="12"/>
        <v>0</v>
      </c>
      <c r="G415" s="1871">
        <f t="shared" si="13"/>
        <v>0</v>
      </c>
      <c r="H415" s="1173">
        <v>0.48549999999999999</v>
      </c>
      <c r="I415" s="3132" t="s">
        <v>0</v>
      </c>
    </row>
    <row r="416" spans="1:9" ht="16.5">
      <c r="A416" s="1874" t="s">
        <v>2381</v>
      </c>
      <c r="B416" s="3131" t="s">
        <v>8402</v>
      </c>
      <c r="C416" s="1842" t="s">
        <v>7993</v>
      </c>
      <c r="D416" s="2797"/>
      <c r="E416" s="2797"/>
      <c r="F416" s="2798">
        <f t="shared" si="12"/>
        <v>0</v>
      </c>
      <c r="G416" s="1871">
        <f t="shared" si="13"/>
        <v>0</v>
      </c>
      <c r="H416" s="1173">
        <v>0.74829999999999997</v>
      </c>
      <c r="I416" s="3132" t="s">
        <v>0</v>
      </c>
    </row>
    <row r="417" spans="1:9" ht="16.5">
      <c r="A417" s="1874" t="s">
        <v>2382</v>
      </c>
      <c r="B417" s="3131" t="s">
        <v>8403</v>
      </c>
      <c r="C417" s="1842" t="s">
        <v>7993</v>
      </c>
      <c r="D417" s="2797"/>
      <c r="E417" s="2797"/>
      <c r="F417" s="2798">
        <f t="shared" si="12"/>
        <v>0</v>
      </c>
      <c r="G417" s="1871">
        <f t="shared" si="13"/>
        <v>0</v>
      </c>
      <c r="H417" s="1173">
        <v>0.4385</v>
      </c>
      <c r="I417" s="3132" t="s">
        <v>0</v>
      </c>
    </row>
    <row r="418" spans="1:9" ht="16.5">
      <c r="A418" s="1874" t="s">
        <v>2383</v>
      </c>
      <c r="B418" s="3131" t="s">
        <v>8404</v>
      </c>
      <c r="C418" s="1842" t="s">
        <v>7993</v>
      </c>
      <c r="D418" s="2797"/>
      <c r="E418" s="2797"/>
      <c r="F418" s="2798">
        <f t="shared" si="12"/>
        <v>0</v>
      </c>
      <c r="G418" s="1871">
        <f t="shared" si="13"/>
        <v>0</v>
      </c>
      <c r="H418" s="1173">
        <v>1.3541000000000001</v>
      </c>
      <c r="I418" s="3132" t="s">
        <v>0</v>
      </c>
    </row>
    <row r="419" spans="1:9" ht="16.5">
      <c r="A419" s="1874" t="s">
        <v>2384</v>
      </c>
      <c r="B419" s="3131" t="s">
        <v>8405</v>
      </c>
      <c r="C419" s="1842" t="s">
        <v>7993</v>
      </c>
      <c r="D419" s="2797"/>
      <c r="E419" s="2797"/>
      <c r="F419" s="2798">
        <f t="shared" si="12"/>
        <v>0</v>
      </c>
      <c r="G419" s="1871">
        <f t="shared" si="13"/>
        <v>0</v>
      </c>
      <c r="H419" s="1173">
        <v>0.93440000000000001</v>
      </c>
      <c r="I419" s="3132" t="s">
        <v>0</v>
      </c>
    </row>
    <row r="420" spans="1:9" ht="16.5">
      <c r="A420" s="1874" t="s">
        <v>2385</v>
      </c>
      <c r="B420" s="3131" t="s">
        <v>8406</v>
      </c>
      <c r="C420" s="1842" t="s">
        <v>7993</v>
      </c>
      <c r="D420" s="2797"/>
      <c r="E420" s="2797"/>
      <c r="F420" s="2798">
        <f t="shared" si="12"/>
        <v>0</v>
      </c>
      <c r="G420" s="1871">
        <f t="shared" si="13"/>
        <v>0</v>
      </c>
      <c r="H420" s="1173">
        <v>0.89690000000000003</v>
      </c>
      <c r="I420" s="3132" t="s">
        <v>0</v>
      </c>
    </row>
    <row r="421" spans="1:9" ht="16.5">
      <c r="A421" s="1874" t="s">
        <v>2386</v>
      </c>
      <c r="B421" s="3131" t="s">
        <v>8407</v>
      </c>
      <c r="C421" s="1842" t="s">
        <v>7993</v>
      </c>
      <c r="D421" s="2797"/>
      <c r="E421" s="2797"/>
      <c r="F421" s="2798">
        <f t="shared" si="12"/>
        <v>0</v>
      </c>
      <c r="G421" s="1871">
        <f t="shared" si="13"/>
        <v>0</v>
      </c>
      <c r="H421" s="1173">
        <v>0.7288</v>
      </c>
      <c r="I421" s="3132" t="s">
        <v>0</v>
      </c>
    </row>
    <row r="422" spans="1:9" ht="16.5">
      <c r="A422" s="1874" t="s">
        <v>2387</v>
      </c>
      <c r="B422" s="3131" t="s">
        <v>8408</v>
      </c>
      <c r="C422" s="1842" t="s">
        <v>7993</v>
      </c>
      <c r="D422" s="2797"/>
      <c r="E422" s="2797"/>
      <c r="F422" s="2798">
        <f t="shared" si="12"/>
        <v>0</v>
      </c>
      <c r="G422" s="1871">
        <f t="shared" si="13"/>
        <v>0</v>
      </c>
      <c r="H422" s="1173">
        <v>0.71250000000000002</v>
      </c>
      <c r="I422" s="3132" t="s">
        <v>0</v>
      </c>
    </row>
    <row r="423" spans="1:9" ht="16.5">
      <c r="A423" s="1874" t="s">
        <v>2388</v>
      </c>
      <c r="B423" s="3131" t="s">
        <v>8409</v>
      </c>
      <c r="C423" s="1842" t="s">
        <v>7993</v>
      </c>
      <c r="D423" s="2797"/>
      <c r="E423" s="2797"/>
      <c r="F423" s="2798">
        <f t="shared" si="12"/>
        <v>0</v>
      </c>
      <c r="G423" s="1871">
        <f t="shared" si="13"/>
        <v>0</v>
      </c>
      <c r="H423" s="1173">
        <v>1.298</v>
      </c>
      <c r="I423" s="3132" t="s">
        <v>0</v>
      </c>
    </row>
    <row r="424" spans="1:9" ht="16.5">
      <c r="A424" s="1874" t="s">
        <v>2389</v>
      </c>
      <c r="B424" s="3131" t="s">
        <v>8410</v>
      </c>
      <c r="C424" s="1842" t="s">
        <v>7993</v>
      </c>
      <c r="D424" s="2797"/>
      <c r="E424" s="2797"/>
      <c r="F424" s="2798">
        <f t="shared" si="12"/>
        <v>0</v>
      </c>
      <c r="G424" s="1871">
        <f t="shared" si="13"/>
        <v>0</v>
      </c>
      <c r="H424" s="1173">
        <v>1.0186999999999999</v>
      </c>
      <c r="I424" s="3132" t="s">
        <v>0</v>
      </c>
    </row>
    <row r="425" spans="1:9" ht="16.5">
      <c r="A425" s="1874" t="s">
        <v>2390</v>
      </c>
      <c r="B425" s="3131" t="s">
        <v>8411</v>
      </c>
      <c r="C425" s="1842" t="s">
        <v>7993</v>
      </c>
      <c r="D425" s="2797"/>
      <c r="E425" s="2797"/>
      <c r="F425" s="2798">
        <f t="shared" si="12"/>
        <v>0</v>
      </c>
      <c r="G425" s="1871">
        <f t="shared" si="13"/>
        <v>0</v>
      </c>
      <c r="H425" s="1173">
        <v>0.81020000000000003</v>
      </c>
      <c r="I425" s="3132" t="s">
        <v>0</v>
      </c>
    </row>
    <row r="426" spans="1:9" ht="16.5">
      <c r="A426" s="1874" t="s">
        <v>2391</v>
      </c>
      <c r="B426" s="3131" t="s">
        <v>8412</v>
      </c>
      <c r="C426" s="1842" t="s">
        <v>7993</v>
      </c>
      <c r="D426" s="2797"/>
      <c r="E426" s="2797"/>
      <c r="F426" s="2798">
        <f t="shared" si="12"/>
        <v>0</v>
      </c>
      <c r="G426" s="1871">
        <f t="shared" si="13"/>
        <v>0</v>
      </c>
      <c r="H426" s="1173">
        <v>1.4873000000000001</v>
      </c>
      <c r="I426" s="3132" t="s">
        <v>0</v>
      </c>
    </row>
    <row r="427" spans="1:9" ht="16.5">
      <c r="A427" s="1874" t="s">
        <v>2392</v>
      </c>
      <c r="B427" s="3131" t="s">
        <v>8413</v>
      </c>
      <c r="C427" s="1842" t="s">
        <v>7993</v>
      </c>
      <c r="D427" s="2797"/>
      <c r="E427" s="2797"/>
      <c r="F427" s="2798">
        <f t="shared" si="12"/>
        <v>0</v>
      </c>
      <c r="G427" s="1871">
        <f t="shared" si="13"/>
        <v>0</v>
      </c>
      <c r="H427" s="1173">
        <v>0.62009999999999998</v>
      </c>
      <c r="I427" s="3132" t="s">
        <v>0</v>
      </c>
    </row>
    <row r="428" spans="1:9" ht="16.5">
      <c r="A428" s="1874" t="s">
        <v>2393</v>
      </c>
      <c r="B428" s="3131" t="s">
        <v>8414</v>
      </c>
      <c r="C428" s="1842" t="s">
        <v>7993</v>
      </c>
      <c r="D428" s="2797"/>
      <c r="E428" s="2797"/>
      <c r="F428" s="2798">
        <f t="shared" si="12"/>
        <v>0</v>
      </c>
      <c r="G428" s="1871">
        <f t="shared" si="13"/>
        <v>0</v>
      </c>
      <c r="H428" s="1173">
        <v>0.46789999999999998</v>
      </c>
      <c r="I428" s="3132" t="s">
        <v>0</v>
      </c>
    </row>
    <row r="429" spans="1:9" ht="16.5">
      <c r="A429" s="1874" t="s">
        <v>2394</v>
      </c>
      <c r="B429" s="3131" t="s">
        <v>8415</v>
      </c>
      <c r="C429" s="1842" t="s">
        <v>7993</v>
      </c>
      <c r="D429" s="2797"/>
      <c r="E429" s="2797"/>
      <c r="F429" s="2798">
        <f t="shared" si="12"/>
        <v>0</v>
      </c>
      <c r="G429" s="1871">
        <f t="shared" si="13"/>
        <v>0</v>
      </c>
      <c r="H429" s="1173">
        <v>0.66879999999999995</v>
      </c>
      <c r="I429" s="3132" t="s">
        <v>0</v>
      </c>
    </row>
    <row r="430" spans="1:9" ht="16.5">
      <c r="A430" s="1874" t="s">
        <v>2395</v>
      </c>
      <c r="B430" s="3131" t="s">
        <v>8416</v>
      </c>
      <c r="C430" s="1842" t="s">
        <v>7993</v>
      </c>
      <c r="D430" s="2797"/>
      <c r="E430" s="2797"/>
      <c r="F430" s="2798">
        <f t="shared" si="12"/>
        <v>0</v>
      </c>
      <c r="G430" s="1871">
        <f t="shared" si="13"/>
        <v>0</v>
      </c>
      <c r="H430" s="1173">
        <v>1.2142999999999999</v>
      </c>
      <c r="I430" s="3132" t="s">
        <v>0</v>
      </c>
    </row>
    <row r="431" spans="1:9" ht="16.5">
      <c r="A431" s="1874" t="s">
        <v>2396</v>
      </c>
      <c r="B431" s="3131" t="s">
        <v>8417</v>
      </c>
      <c r="C431" s="1842" t="s">
        <v>7993</v>
      </c>
      <c r="D431" s="2797"/>
      <c r="E431" s="2797"/>
      <c r="F431" s="2798">
        <f t="shared" si="12"/>
        <v>0</v>
      </c>
      <c r="G431" s="1871">
        <f t="shared" si="13"/>
        <v>0</v>
      </c>
      <c r="H431" s="1173">
        <v>1.4661</v>
      </c>
      <c r="I431" s="3132" t="s">
        <v>0</v>
      </c>
    </row>
    <row r="432" spans="1:9" ht="16.5">
      <c r="A432" s="1874" t="s">
        <v>2397</v>
      </c>
      <c r="B432" s="3131" t="s">
        <v>8418</v>
      </c>
      <c r="C432" s="1842" t="s">
        <v>7993</v>
      </c>
      <c r="D432" s="2797"/>
      <c r="E432" s="2797"/>
      <c r="F432" s="2798">
        <f t="shared" si="12"/>
        <v>0</v>
      </c>
      <c r="G432" s="1871">
        <f t="shared" si="13"/>
        <v>0</v>
      </c>
      <c r="H432" s="1173">
        <v>1.7694000000000001</v>
      </c>
      <c r="I432" s="3132" t="s">
        <v>0</v>
      </c>
    </row>
    <row r="433" spans="1:9" ht="16.5">
      <c r="A433" s="1874" t="s">
        <v>2398</v>
      </c>
      <c r="B433" s="3131" t="s">
        <v>8419</v>
      </c>
      <c r="C433" s="1842" t="s">
        <v>7993</v>
      </c>
      <c r="D433" s="2797"/>
      <c r="E433" s="2797"/>
      <c r="F433" s="2798">
        <f t="shared" si="12"/>
        <v>0</v>
      </c>
      <c r="G433" s="1871">
        <f t="shared" si="13"/>
        <v>0</v>
      </c>
      <c r="H433" s="1173">
        <v>0.60709999999999997</v>
      </c>
      <c r="I433" s="3132" t="s">
        <v>0</v>
      </c>
    </row>
    <row r="434" spans="1:9" ht="16.5">
      <c r="A434" s="1874" t="s">
        <v>2399</v>
      </c>
      <c r="B434" s="3131" t="s">
        <v>8420</v>
      </c>
      <c r="C434" s="1842" t="s">
        <v>7993</v>
      </c>
      <c r="D434" s="2797"/>
      <c r="E434" s="2797"/>
      <c r="F434" s="2798">
        <f t="shared" si="12"/>
        <v>0</v>
      </c>
      <c r="G434" s="1871">
        <f t="shared" si="13"/>
        <v>0</v>
      </c>
      <c r="H434" s="1173">
        <v>1.2819</v>
      </c>
      <c r="I434" s="3132" t="s">
        <v>0</v>
      </c>
    </row>
    <row r="435" spans="1:9" ht="16.5">
      <c r="A435" s="1874" t="s">
        <v>2400</v>
      </c>
      <c r="B435" s="3131" t="s">
        <v>8421</v>
      </c>
      <c r="C435" s="1842" t="s">
        <v>7993</v>
      </c>
      <c r="D435" s="2797"/>
      <c r="E435" s="2797"/>
      <c r="F435" s="2798">
        <f t="shared" si="12"/>
        <v>0</v>
      </c>
      <c r="G435" s="1871">
        <f t="shared" si="13"/>
        <v>0</v>
      </c>
      <c r="H435" s="1173">
        <v>2.1415999999999999</v>
      </c>
      <c r="I435" s="3132" t="s">
        <v>0</v>
      </c>
    </row>
    <row r="436" spans="1:9" ht="16.5">
      <c r="A436" s="1874" t="s">
        <v>2401</v>
      </c>
      <c r="B436" s="3131" t="s">
        <v>8422</v>
      </c>
      <c r="C436" s="1842" t="s">
        <v>7993</v>
      </c>
      <c r="D436" s="2797"/>
      <c r="E436" s="2797"/>
      <c r="F436" s="2798">
        <f t="shared" si="12"/>
        <v>0</v>
      </c>
      <c r="G436" s="1871">
        <f t="shared" si="13"/>
        <v>0</v>
      </c>
      <c r="H436" s="1173">
        <v>0.66690000000000005</v>
      </c>
      <c r="I436" s="3132" t="s">
        <v>0</v>
      </c>
    </row>
    <row r="437" spans="1:9" ht="16.5">
      <c r="A437" s="1874" t="s">
        <v>2402</v>
      </c>
      <c r="B437" s="3131" t="s">
        <v>8423</v>
      </c>
      <c r="C437" s="1842" t="s">
        <v>7993</v>
      </c>
      <c r="D437" s="2797"/>
      <c r="E437" s="2797"/>
      <c r="F437" s="2798">
        <f t="shared" si="12"/>
        <v>0</v>
      </c>
      <c r="G437" s="1871">
        <f t="shared" si="13"/>
        <v>0</v>
      </c>
      <c r="H437" s="1173">
        <v>1.5122</v>
      </c>
      <c r="I437" s="3132" t="s">
        <v>0</v>
      </c>
    </row>
    <row r="438" spans="1:9" ht="16.5">
      <c r="A438" s="1874" t="s">
        <v>2403</v>
      </c>
      <c r="B438" s="3131" t="s">
        <v>8424</v>
      </c>
      <c r="C438" s="1842" t="s">
        <v>7993</v>
      </c>
      <c r="D438" s="2797"/>
      <c r="E438" s="2797"/>
      <c r="F438" s="2798">
        <f t="shared" si="12"/>
        <v>0</v>
      </c>
      <c r="G438" s="1871">
        <f t="shared" si="13"/>
        <v>0</v>
      </c>
      <c r="H438" s="1173">
        <v>0.69189999999999996</v>
      </c>
      <c r="I438" s="3132" t="s">
        <v>0</v>
      </c>
    </row>
    <row r="439" spans="1:9" ht="16.5">
      <c r="A439" s="1874" t="s">
        <v>2404</v>
      </c>
      <c r="B439" s="3131" t="s">
        <v>8425</v>
      </c>
      <c r="C439" s="1842" t="s">
        <v>7993</v>
      </c>
      <c r="D439" s="2797"/>
      <c r="E439" s="2797"/>
      <c r="F439" s="2798">
        <f t="shared" si="12"/>
        <v>0</v>
      </c>
      <c r="G439" s="1871">
        <f t="shared" si="13"/>
        <v>0</v>
      </c>
      <c r="H439" s="1173">
        <v>1.337</v>
      </c>
      <c r="I439" s="3132" t="s">
        <v>0</v>
      </c>
    </row>
    <row r="440" spans="1:9" ht="16.5">
      <c r="A440" s="1874" t="s">
        <v>2405</v>
      </c>
      <c r="B440" s="3131" t="s">
        <v>8426</v>
      </c>
      <c r="C440" s="1842" t="s">
        <v>7993</v>
      </c>
      <c r="D440" s="2797"/>
      <c r="E440" s="2797"/>
      <c r="F440" s="2798">
        <f t="shared" si="12"/>
        <v>0</v>
      </c>
      <c r="G440" s="1871">
        <f t="shared" si="13"/>
        <v>0</v>
      </c>
      <c r="H440" s="1173">
        <v>0.73740000000000006</v>
      </c>
      <c r="I440" s="3132" t="s">
        <v>0</v>
      </c>
    </row>
    <row r="441" spans="1:9" ht="16.5">
      <c r="A441" s="1874" t="s">
        <v>2406</v>
      </c>
      <c r="B441" s="3131" t="s">
        <v>8427</v>
      </c>
      <c r="C441" s="1842" t="s">
        <v>7993</v>
      </c>
      <c r="D441" s="2797"/>
      <c r="E441" s="2797"/>
      <c r="F441" s="2798">
        <f t="shared" si="12"/>
        <v>0</v>
      </c>
      <c r="G441" s="1871">
        <f t="shared" si="13"/>
        <v>0</v>
      </c>
      <c r="H441" s="1173">
        <v>0.76849999999999996</v>
      </c>
      <c r="I441" s="3132" t="s">
        <v>0</v>
      </c>
    </row>
    <row r="442" spans="1:9" ht="16.5">
      <c r="A442" s="1874" t="s">
        <v>2407</v>
      </c>
      <c r="B442" s="3131" t="s">
        <v>8428</v>
      </c>
      <c r="C442" s="1842" t="s">
        <v>7993</v>
      </c>
      <c r="D442" s="2797"/>
      <c r="E442" s="2797"/>
      <c r="F442" s="2798">
        <f t="shared" si="12"/>
        <v>0</v>
      </c>
      <c r="G442" s="1871">
        <f t="shared" si="13"/>
        <v>0</v>
      </c>
      <c r="H442" s="1173">
        <v>1.2422</v>
      </c>
      <c r="I442" s="3132" t="s">
        <v>0</v>
      </c>
    </row>
    <row r="443" spans="1:9" ht="16.5">
      <c r="A443" s="1874" t="s">
        <v>2408</v>
      </c>
      <c r="B443" s="3131" t="s">
        <v>8429</v>
      </c>
      <c r="C443" s="1842" t="s">
        <v>7993</v>
      </c>
      <c r="D443" s="2797"/>
      <c r="E443" s="2797"/>
      <c r="F443" s="2798">
        <f t="shared" si="12"/>
        <v>0</v>
      </c>
      <c r="G443" s="1871">
        <f t="shared" si="13"/>
        <v>0</v>
      </c>
      <c r="H443" s="1173">
        <v>0.62590000000000001</v>
      </c>
      <c r="I443" s="3132" t="s">
        <v>0</v>
      </c>
    </row>
    <row r="444" spans="1:9" ht="16.5">
      <c r="A444" s="1874" t="s">
        <v>2409</v>
      </c>
      <c r="B444" s="3131" t="s">
        <v>8430</v>
      </c>
      <c r="C444" s="1842" t="s">
        <v>7993</v>
      </c>
      <c r="D444" s="2797"/>
      <c r="E444" s="2797"/>
      <c r="F444" s="2798">
        <f t="shared" si="12"/>
        <v>0</v>
      </c>
      <c r="G444" s="1871">
        <f t="shared" si="13"/>
        <v>0</v>
      </c>
      <c r="H444" s="1173">
        <v>1.6413</v>
      </c>
      <c r="I444" s="3132" t="s">
        <v>0</v>
      </c>
    </row>
    <row r="445" spans="1:9" ht="16.5">
      <c r="A445" s="1874" t="s">
        <v>2410</v>
      </c>
      <c r="B445" s="3131" t="s">
        <v>8431</v>
      </c>
      <c r="C445" s="1842" t="s">
        <v>7993</v>
      </c>
      <c r="D445" s="2797"/>
      <c r="E445" s="2797"/>
      <c r="F445" s="2798">
        <f t="shared" si="12"/>
        <v>0</v>
      </c>
      <c r="G445" s="1871">
        <f t="shared" si="13"/>
        <v>0</v>
      </c>
      <c r="H445" s="1173">
        <v>0.91490000000000005</v>
      </c>
      <c r="I445" s="3132" t="s">
        <v>0</v>
      </c>
    </row>
    <row r="446" spans="1:9" ht="16.5">
      <c r="A446" s="1874" t="s">
        <v>2411</v>
      </c>
      <c r="B446" s="3131" t="s">
        <v>8432</v>
      </c>
      <c r="C446" s="1842" t="s">
        <v>7993</v>
      </c>
      <c r="D446" s="2797"/>
      <c r="E446" s="2797"/>
      <c r="F446" s="2798">
        <f t="shared" si="12"/>
        <v>0</v>
      </c>
      <c r="G446" s="1871">
        <f t="shared" si="13"/>
        <v>0</v>
      </c>
      <c r="H446" s="1173">
        <v>0.82779999999999998</v>
      </c>
      <c r="I446" s="3132" t="s">
        <v>0</v>
      </c>
    </row>
    <row r="447" spans="1:9" ht="16.5">
      <c r="A447" s="1874" t="s">
        <v>2412</v>
      </c>
      <c r="B447" s="3131" t="s">
        <v>8433</v>
      </c>
      <c r="C447" s="1842" t="s">
        <v>7993</v>
      </c>
      <c r="D447" s="2797"/>
      <c r="E447" s="2797"/>
      <c r="F447" s="2798">
        <f t="shared" si="12"/>
        <v>0</v>
      </c>
      <c r="G447" s="1871">
        <f t="shared" si="13"/>
        <v>0</v>
      </c>
      <c r="H447" s="1173">
        <v>0.62570000000000003</v>
      </c>
      <c r="I447" s="3132" t="s">
        <v>0</v>
      </c>
    </row>
    <row r="448" spans="1:9" ht="16.5">
      <c r="A448" s="1874" t="s">
        <v>2413</v>
      </c>
      <c r="B448" s="3131" t="s">
        <v>8434</v>
      </c>
      <c r="C448" s="1842" t="s">
        <v>7993</v>
      </c>
      <c r="D448" s="2797"/>
      <c r="E448" s="2797"/>
      <c r="F448" s="2798">
        <f t="shared" si="12"/>
        <v>0</v>
      </c>
      <c r="G448" s="1871">
        <f t="shared" si="13"/>
        <v>0</v>
      </c>
      <c r="H448" s="1173">
        <v>0.73980000000000001</v>
      </c>
      <c r="I448" s="3132" t="s">
        <v>0</v>
      </c>
    </row>
    <row r="449" spans="1:9" ht="16.5">
      <c r="A449" s="1874" t="s">
        <v>2414</v>
      </c>
      <c r="B449" s="3131" t="s">
        <v>8435</v>
      </c>
      <c r="C449" s="1842" t="s">
        <v>7993</v>
      </c>
      <c r="D449" s="2797"/>
      <c r="E449" s="2797"/>
      <c r="F449" s="2798">
        <f t="shared" si="12"/>
        <v>0</v>
      </c>
      <c r="G449" s="1871">
        <f t="shared" si="13"/>
        <v>0</v>
      </c>
      <c r="H449" s="1173">
        <v>0.56210000000000004</v>
      </c>
      <c r="I449" s="3132" t="s">
        <v>0</v>
      </c>
    </row>
    <row r="450" spans="1:9" ht="16.5">
      <c r="A450" s="1874" t="s">
        <v>2415</v>
      </c>
      <c r="B450" s="3131" t="s">
        <v>8436</v>
      </c>
      <c r="C450" s="1842" t="s">
        <v>7993</v>
      </c>
      <c r="D450" s="2797"/>
      <c r="E450" s="2797"/>
      <c r="F450" s="2798">
        <f t="shared" si="12"/>
        <v>0</v>
      </c>
      <c r="G450" s="1871">
        <f t="shared" si="13"/>
        <v>0</v>
      </c>
      <c r="H450" s="1173">
        <v>1.0209999999999999</v>
      </c>
      <c r="I450" s="3132" t="s">
        <v>0</v>
      </c>
    </row>
    <row r="451" spans="1:9" ht="16.5">
      <c r="A451" s="1874" t="s">
        <v>2416</v>
      </c>
      <c r="B451" s="3131" t="s">
        <v>8437</v>
      </c>
      <c r="C451" s="1842" t="s">
        <v>7993</v>
      </c>
      <c r="D451" s="2797"/>
      <c r="E451" s="2797"/>
      <c r="F451" s="2798">
        <f t="shared" si="12"/>
        <v>0</v>
      </c>
      <c r="G451" s="1871">
        <f t="shared" si="13"/>
        <v>0</v>
      </c>
      <c r="H451" s="1173">
        <v>0.34539999999999998</v>
      </c>
      <c r="I451" s="3132" t="s">
        <v>0</v>
      </c>
    </row>
    <row r="452" spans="1:9" ht="16.5">
      <c r="A452" s="1874" t="s">
        <v>2417</v>
      </c>
      <c r="B452" s="3131" t="s">
        <v>8438</v>
      </c>
      <c r="C452" s="1842" t="s">
        <v>7993</v>
      </c>
      <c r="D452" s="2797"/>
      <c r="E452" s="2797"/>
      <c r="F452" s="2798">
        <f t="shared" si="12"/>
        <v>0</v>
      </c>
      <c r="G452" s="1871">
        <f t="shared" si="13"/>
        <v>0</v>
      </c>
      <c r="H452" s="1173">
        <v>0.99609999999999999</v>
      </c>
      <c r="I452" s="3132" t="s">
        <v>0</v>
      </c>
    </row>
    <row r="453" spans="1:9" ht="16.5">
      <c r="A453" s="1874" t="s">
        <v>2418</v>
      </c>
      <c r="B453" s="3131" t="s">
        <v>8439</v>
      </c>
      <c r="C453" s="1842" t="s">
        <v>7993</v>
      </c>
      <c r="D453" s="2797"/>
      <c r="E453" s="2797"/>
      <c r="F453" s="2798">
        <f t="shared" ref="F453:F516" si="14">D453*E453</f>
        <v>0</v>
      </c>
      <c r="G453" s="1871">
        <f t="shared" ref="G453:G516" si="15">IF($F$855=0,0,F453/$F$855)</f>
        <v>0</v>
      </c>
      <c r="H453" s="1173">
        <v>1.5592999999999999</v>
      </c>
      <c r="I453" s="3132" t="s">
        <v>0</v>
      </c>
    </row>
    <row r="454" spans="1:9" ht="16.5">
      <c r="A454" s="1874" t="s">
        <v>2419</v>
      </c>
      <c r="B454" s="3131" t="s">
        <v>8440</v>
      </c>
      <c r="C454" s="1842" t="s">
        <v>7993</v>
      </c>
      <c r="D454" s="2797"/>
      <c r="E454" s="2797"/>
      <c r="F454" s="2798">
        <f t="shared" si="14"/>
        <v>0</v>
      </c>
      <c r="G454" s="1871">
        <f t="shared" si="15"/>
        <v>0</v>
      </c>
      <c r="H454" s="1173">
        <v>1.3109</v>
      </c>
      <c r="I454" s="3132" t="s">
        <v>0</v>
      </c>
    </row>
    <row r="455" spans="1:9" ht="16.5">
      <c r="A455" s="1874" t="s">
        <v>2420</v>
      </c>
      <c r="B455" s="3131" t="s">
        <v>8441</v>
      </c>
      <c r="C455" s="1842" t="s">
        <v>7993</v>
      </c>
      <c r="D455" s="2797"/>
      <c r="E455" s="2797"/>
      <c r="F455" s="2798">
        <f t="shared" si="14"/>
        <v>0</v>
      </c>
      <c r="G455" s="1871">
        <f t="shared" si="15"/>
        <v>0</v>
      </c>
      <c r="H455" s="1173">
        <v>0.83250000000000002</v>
      </c>
      <c r="I455" s="3132" t="s">
        <v>0</v>
      </c>
    </row>
    <row r="456" spans="1:9" ht="16.5">
      <c r="A456" s="1874" t="s">
        <v>2421</v>
      </c>
      <c r="B456" s="3131" t="s">
        <v>8442</v>
      </c>
      <c r="C456" s="1842" t="s">
        <v>7993</v>
      </c>
      <c r="D456" s="2797"/>
      <c r="E456" s="2797"/>
      <c r="F456" s="2798">
        <f t="shared" si="14"/>
        <v>0</v>
      </c>
      <c r="G456" s="1871">
        <f t="shared" si="15"/>
        <v>0</v>
      </c>
      <c r="H456" s="1173">
        <v>0.4672</v>
      </c>
      <c r="I456" s="3132" t="s">
        <v>0</v>
      </c>
    </row>
    <row r="457" spans="1:9" ht="16.5">
      <c r="A457" s="1874" t="s">
        <v>2422</v>
      </c>
      <c r="B457" s="3131" t="s">
        <v>8443</v>
      </c>
      <c r="C457" s="1842" t="s">
        <v>7993</v>
      </c>
      <c r="D457" s="2797"/>
      <c r="E457" s="2797"/>
      <c r="F457" s="2798">
        <f t="shared" si="14"/>
        <v>0</v>
      </c>
      <c r="G457" s="1871">
        <f t="shared" si="15"/>
        <v>0</v>
      </c>
      <c r="H457" s="1173">
        <v>0.86119999999999997</v>
      </c>
      <c r="I457" s="3132" t="s">
        <v>0</v>
      </c>
    </row>
    <row r="458" spans="1:9" ht="16.5">
      <c r="A458" s="1874" t="s">
        <v>2423</v>
      </c>
      <c r="B458" s="3131" t="s">
        <v>8444</v>
      </c>
      <c r="C458" s="1842" t="s">
        <v>7993</v>
      </c>
      <c r="D458" s="2797"/>
      <c r="E458" s="2797"/>
      <c r="F458" s="2798">
        <f t="shared" si="14"/>
        <v>0</v>
      </c>
      <c r="G458" s="1871">
        <f t="shared" si="15"/>
        <v>0</v>
      </c>
      <c r="H458" s="1173">
        <v>0.1772</v>
      </c>
      <c r="I458" s="3132" t="s">
        <v>0</v>
      </c>
    </row>
    <row r="459" spans="1:9" ht="16.5">
      <c r="A459" s="1874" t="s">
        <v>2424</v>
      </c>
      <c r="B459" s="3131" t="s">
        <v>8445</v>
      </c>
      <c r="C459" s="1842" t="s">
        <v>7993</v>
      </c>
      <c r="D459" s="2797"/>
      <c r="E459" s="2797"/>
      <c r="F459" s="2798">
        <f t="shared" si="14"/>
        <v>0</v>
      </c>
      <c r="G459" s="1871">
        <f t="shared" si="15"/>
        <v>0</v>
      </c>
      <c r="H459" s="1173">
        <v>0.2621</v>
      </c>
      <c r="I459" s="3132" t="s">
        <v>0</v>
      </c>
    </row>
    <row r="460" spans="1:9" ht="16.5">
      <c r="A460" s="1874" t="s">
        <v>2425</v>
      </c>
      <c r="B460" s="3131" t="s">
        <v>8446</v>
      </c>
      <c r="C460" s="1842" t="s">
        <v>7993</v>
      </c>
      <c r="D460" s="2797"/>
      <c r="E460" s="2797"/>
      <c r="F460" s="2798">
        <f t="shared" si="14"/>
        <v>0</v>
      </c>
      <c r="G460" s="1871">
        <f t="shared" si="15"/>
        <v>0</v>
      </c>
      <c r="H460" s="1173">
        <v>0.24940000000000001</v>
      </c>
      <c r="I460" s="3132" t="s">
        <v>0</v>
      </c>
    </row>
    <row r="461" spans="1:9" ht="16.5">
      <c r="A461" s="1874" t="s">
        <v>2426</v>
      </c>
      <c r="B461" s="3131" t="s">
        <v>8447</v>
      </c>
      <c r="C461" s="1842" t="s">
        <v>7993</v>
      </c>
      <c r="D461" s="2797"/>
      <c r="E461" s="2797"/>
      <c r="F461" s="2798">
        <f t="shared" si="14"/>
        <v>0</v>
      </c>
      <c r="G461" s="1871">
        <f t="shared" si="15"/>
        <v>0</v>
      </c>
      <c r="H461" s="1173">
        <v>0.25819999999999999</v>
      </c>
      <c r="I461" s="3132" t="s">
        <v>0</v>
      </c>
    </row>
    <row r="462" spans="1:9" ht="16.5">
      <c r="A462" s="1874" t="s">
        <v>2427</v>
      </c>
      <c r="B462" s="3131" t="s">
        <v>8448</v>
      </c>
      <c r="C462" s="1842" t="s">
        <v>7993</v>
      </c>
      <c r="D462" s="2797"/>
      <c r="E462" s="2797"/>
      <c r="F462" s="2798">
        <f t="shared" si="14"/>
        <v>0</v>
      </c>
      <c r="G462" s="1871">
        <f t="shared" si="15"/>
        <v>0</v>
      </c>
      <c r="H462" s="1173">
        <v>0.69130000000000003</v>
      </c>
      <c r="I462" s="3132" t="s">
        <v>0</v>
      </c>
    </row>
    <row r="463" spans="1:9" ht="16.5">
      <c r="A463" s="1874" t="s">
        <v>2428</v>
      </c>
      <c r="B463" s="3131" t="s">
        <v>8449</v>
      </c>
      <c r="C463" s="1842" t="s">
        <v>7993</v>
      </c>
      <c r="D463" s="2797"/>
      <c r="E463" s="2797"/>
      <c r="F463" s="2798">
        <f t="shared" si="14"/>
        <v>0</v>
      </c>
      <c r="G463" s="1871">
        <f t="shared" si="15"/>
        <v>0</v>
      </c>
      <c r="H463" s="1173">
        <v>0.54010000000000002</v>
      </c>
      <c r="I463" s="3132" t="s">
        <v>0</v>
      </c>
    </row>
    <row r="464" spans="1:9" ht="16.5">
      <c r="A464" s="1874" t="s">
        <v>2429</v>
      </c>
      <c r="B464" s="3131" t="s">
        <v>8450</v>
      </c>
      <c r="C464" s="1842" t="s">
        <v>7993</v>
      </c>
      <c r="D464" s="2797"/>
      <c r="E464" s="2797"/>
      <c r="F464" s="2798">
        <f t="shared" si="14"/>
        <v>0</v>
      </c>
      <c r="G464" s="1871">
        <f t="shared" si="15"/>
        <v>0</v>
      </c>
      <c r="H464" s="1173">
        <v>0.81689999999999996</v>
      </c>
      <c r="I464" s="3132" t="s">
        <v>0</v>
      </c>
    </row>
    <row r="465" spans="1:9" ht="16.5">
      <c r="A465" s="1874" t="s">
        <v>2430</v>
      </c>
      <c r="B465" s="3131" t="s">
        <v>8451</v>
      </c>
      <c r="C465" s="1842" t="s">
        <v>7993</v>
      </c>
      <c r="D465" s="2797"/>
      <c r="E465" s="2797"/>
      <c r="F465" s="2798">
        <f t="shared" si="14"/>
        <v>0</v>
      </c>
      <c r="G465" s="1871">
        <f t="shared" si="15"/>
        <v>0</v>
      </c>
      <c r="H465" s="1173">
        <v>0.64529999999999998</v>
      </c>
      <c r="I465" s="3132" t="s">
        <v>0</v>
      </c>
    </row>
    <row r="466" spans="1:9" ht="16.5">
      <c r="A466" s="1874" t="s">
        <v>6144</v>
      </c>
      <c r="B466" s="3131" t="s">
        <v>8452</v>
      </c>
      <c r="C466" s="1842" t="s">
        <v>7993</v>
      </c>
      <c r="D466" s="2797"/>
      <c r="E466" s="2797"/>
      <c r="F466" s="2798">
        <f t="shared" si="14"/>
        <v>0</v>
      </c>
      <c r="G466" s="1871">
        <f t="shared" si="15"/>
        <v>0</v>
      </c>
      <c r="H466" s="1173">
        <v>1</v>
      </c>
      <c r="I466" s="3132" t="s">
        <v>7998</v>
      </c>
    </row>
    <row r="467" spans="1:9" ht="16.5">
      <c r="A467" s="1874" t="s">
        <v>2431</v>
      </c>
      <c r="B467" s="3131" t="s">
        <v>8453</v>
      </c>
      <c r="C467" s="1842" t="s">
        <v>7993</v>
      </c>
      <c r="D467" s="2797"/>
      <c r="E467" s="2797"/>
      <c r="F467" s="2798">
        <f t="shared" si="14"/>
        <v>0</v>
      </c>
      <c r="G467" s="1871">
        <f t="shared" si="15"/>
        <v>0</v>
      </c>
      <c r="H467" s="1173">
        <v>8.0299999999999996E-2</v>
      </c>
      <c r="I467" s="3132" t="s">
        <v>0</v>
      </c>
    </row>
    <row r="468" spans="1:9" ht="16.5">
      <c r="A468" s="1874" t="s">
        <v>2432</v>
      </c>
      <c r="B468" s="3131" t="s">
        <v>8454</v>
      </c>
      <c r="C468" s="1842" t="s">
        <v>7993</v>
      </c>
      <c r="D468" s="2797"/>
      <c r="E468" s="2797"/>
      <c r="F468" s="2798">
        <f t="shared" si="14"/>
        <v>0</v>
      </c>
      <c r="G468" s="1871">
        <f t="shared" si="15"/>
        <v>0</v>
      </c>
      <c r="H468" s="1173">
        <v>0.60229999999999995</v>
      </c>
      <c r="I468" s="3132" t="s">
        <v>0</v>
      </c>
    </row>
    <row r="469" spans="1:9" ht="16.5">
      <c r="A469" s="1874" t="s">
        <v>2433</v>
      </c>
      <c r="B469" s="3131" t="s">
        <v>8455</v>
      </c>
      <c r="C469" s="1842" t="s">
        <v>7993</v>
      </c>
      <c r="D469" s="2797"/>
      <c r="E469" s="2797"/>
      <c r="F469" s="2798">
        <f t="shared" si="14"/>
        <v>0</v>
      </c>
      <c r="G469" s="1871">
        <f t="shared" si="15"/>
        <v>0</v>
      </c>
      <c r="H469" s="1173">
        <v>0.19919999999999999</v>
      </c>
      <c r="I469" s="3132" t="s">
        <v>0</v>
      </c>
    </row>
    <row r="470" spans="1:9" ht="16.5">
      <c r="A470" s="1874" t="s">
        <v>2434</v>
      </c>
      <c r="B470" s="3131" t="s">
        <v>8456</v>
      </c>
      <c r="C470" s="1842" t="s">
        <v>7993</v>
      </c>
      <c r="D470" s="2797"/>
      <c r="E470" s="2797"/>
      <c r="F470" s="2798">
        <f t="shared" si="14"/>
        <v>0</v>
      </c>
      <c r="G470" s="1871">
        <f t="shared" si="15"/>
        <v>0</v>
      </c>
      <c r="H470" s="1173">
        <v>0.50839999999999996</v>
      </c>
      <c r="I470" s="3132" t="s">
        <v>0</v>
      </c>
    </row>
    <row r="471" spans="1:9" ht="16.5">
      <c r="A471" s="1874" t="s">
        <v>2435</v>
      </c>
      <c r="B471" s="3131" t="s">
        <v>8457</v>
      </c>
      <c r="C471" s="1842" t="s">
        <v>7993</v>
      </c>
      <c r="D471" s="2797"/>
      <c r="E471" s="2797"/>
      <c r="F471" s="2798">
        <f t="shared" si="14"/>
        <v>0</v>
      </c>
      <c r="G471" s="1871">
        <f t="shared" si="15"/>
        <v>0</v>
      </c>
      <c r="H471" s="1173">
        <v>0.43269999999999997</v>
      </c>
      <c r="I471" s="3132" t="s">
        <v>0</v>
      </c>
    </row>
    <row r="472" spans="1:9" ht="16.5">
      <c r="A472" s="1874" t="s">
        <v>2436</v>
      </c>
      <c r="B472" s="3131" t="s">
        <v>8458</v>
      </c>
      <c r="C472" s="1842" t="s">
        <v>7993</v>
      </c>
      <c r="D472" s="2797"/>
      <c r="E472" s="2797"/>
      <c r="F472" s="2798">
        <f t="shared" si="14"/>
        <v>0</v>
      </c>
      <c r="G472" s="1871">
        <f t="shared" si="15"/>
        <v>0</v>
      </c>
      <c r="H472" s="1173">
        <v>0.55820000000000003</v>
      </c>
      <c r="I472" s="3132" t="s">
        <v>0</v>
      </c>
    </row>
    <row r="473" spans="1:9" ht="16.5">
      <c r="A473" s="1874" t="s">
        <v>2437</v>
      </c>
      <c r="B473" s="3131" t="s">
        <v>8459</v>
      </c>
      <c r="C473" s="1842" t="s">
        <v>7993</v>
      </c>
      <c r="D473" s="2797"/>
      <c r="E473" s="2797"/>
      <c r="F473" s="2798">
        <f t="shared" si="14"/>
        <v>0</v>
      </c>
      <c r="G473" s="1871">
        <f t="shared" si="15"/>
        <v>0</v>
      </c>
      <c r="H473" s="1173">
        <v>0.67410000000000003</v>
      </c>
      <c r="I473" s="3132" t="s">
        <v>0</v>
      </c>
    </row>
    <row r="474" spans="1:9" ht="16.5">
      <c r="A474" s="1874" t="s">
        <v>2438</v>
      </c>
      <c r="B474" s="3131" t="s">
        <v>8460</v>
      </c>
      <c r="C474" s="1842" t="s">
        <v>7993</v>
      </c>
      <c r="D474" s="2797"/>
      <c r="E474" s="2797"/>
      <c r="F474" s="2798">
        <f t="shared" si="14"/>
        <v>0</v>
      </c>
      <c r="G474" s="1871">
        <f t="shared" si="15"/>
        <v>0</v>
      </c>
      <c r="H474" s="1173">
        <v>0.79479999999999995</v>
      </c>
      <c r="I474" s="3132" t="s">
        <v>0</v>
      </c>
    </row>
    <row r="475" spans="1:9" ht="16.5">
      <c r="A475" s="1874" t="s">
        <v>2439</v>
      </c>
      <c r="B475" s="3131" t="s">
        <v>8461</v>
      </c>
      <c r="C475" s="1842" t="s">
        <v>7993</v>
      </c>
      <c r="D475" s="2797"/>
      <c r="E475" s="2797"/>
      <c r="F475" s="2798">
        <f t="shared" si="14"/>
        <v>0</v>
      </c>
      <c r="G475" s="1871">
        <f t="shared" si="15"/>
        <v>0</v>
      </c>
      <c r="H475" s="1173">
        <v>9.8000000000000004E-2</v>
      </c>
      <c r="I475" s="3132" t="s">
        <v>0</v>
      </c>
    </row>
    <row r="476" spans="1:9" ht="16.5">
      <c r="A476" s="1874" t="s">
        <v>2440</v>
      </c>
      <c r="B476" s="3131" t="s">
        <v>8462</v>
      </c>
      <c r="C476" s="1842" t="s">
        <v>7993</v>
      </c>
      <c r="D476" s="2797"/>
      <c r="E476" s="2797"/>
      <c r="F476" s="2798">
        <f t="shared" si="14"/>
        <v>0</v>
      </c>
      <c r="G476" s="1871">
        <f t="shared" si="15"/>
        <v>0</v>
      </c>
      <c r="H476" s="1173">
        <v>0.26440000000000002</v>
      </c>
      <c r="I476" s="3132" t="s">
        <v>0</v>
      </c>
    </row>
    <row r="477" spans="1:9" ht="16.5">
      <c r="A477" s="1874" t="s">
        <v>2441</v>
      </c>
      <c r="B477" s="3131" t="s">
        <v>8463</v>
      </c>
      <c r="C477" s="1842" t="s">
        <v>7993</v>
      </c>
      <c r="D477" s="2797"/>
      <c r="E477" s="2797"/>
      <c r="F477" s="2798">
        <f t="shared" si="14"/>
        <v>0</v>
      </c>
      <c r="G477" s="1871">
        <f t="shared" si="15"/>
        <v>0</v>
      </c>
      <c r="H477" s="1173">
        <v>0.16339999999999999</v>
      </c>
      <c r="I477" s="3132" t="s">
        <v>0</v>
      </c>
    </row>
    <row r="478" spans="1:9" ht="16.5">
      <c r="A478" s="1874" t="s">
        <v>2442</v>
      </c>
      <c r="B478" s="3131" t="s">
        <v>8464</v>
      </c>
      <c r="C478" s="1842" t="s">
        <v>7993</v>
      </c>
      <c r="D478" s="2797"/>
      <c r="E478" s="2797"/>
      <c r="F478" s="2798">
        <f t="shared" si="14"/>
        <v>0</v>
      </c>
      <c r="G478" s="1871">
        <f t="shared" si="15"/>
        <v>0</v>
      </c>
      <c r="H478" s="1173">
        <v>0.19819999999999999</v>
      </c>
      <c r="I478" s="3132" t="s">
        <v>0</v>
      </c>
    </row>
    <row r="479" spans="1:9" ht="16.5">
      <c r="A479" s="1874" t="s">
        <v>2443</v>
      </c>
      <c r="B479" s="3131" t="s">
        <v>8465</v>
      </c>
      <c r="C479" s="1842" t="s">
        <v>7993</v>
      </c>
      <c r="D479" s="2797"/>
      <c r="E479" s="2797"/>
      <c r="F479" s="2798">
        <f t="shared" si="14"/>
        <v>0</v>
      </c>
      <c r="G479" s="1871">
        <f t="shared" si="15"/>
        <v>0</v>
      </c>
      <c r="H479" s="1173">
        <v>0.85389999999999999</v>
      </c>
      <c r="I479" s="3132" t="s">
        <v>0</v>
      </c>
    </row>
    <row r="480" spans="1:9" ht="16.5">
      <c r="A480" s="1874" t="s">
        <v>2444</v>
      </c>
      <c r="B480" s="3131" t="s">
        <v>8466</v>
      </c>
      <c r="C480" s="1842" t="s">
        <v>7993</v>
      </c>
      <c r="D480" s="2797"/>
      <c r="E480" s="2797"/>
      <c r="F480" s="2798">
        <f t="shared" si="14"/>
        <v>0</v>
      </c>
      <c r="G480" s="1871">
        <f t="shared" si="15"/>
        <v>0</v>
      </c>
      <c r="H480" s="1173">
        <v>0.8629</v>
      </c>
      <c r="I480" s="3132" t="s">
        <v>0</v>
      </c>
    </row>
    <row r="481" spans="1:9" ht="16.5">
      <c r="A481" s="1874" t="s">
        <v>2445</v>
      </c>
      <c r="B481" s="3131" t="s">
        <v>8467</v>
      </c>
      <c r="C481" s="1842" t="s">
        <v>7993</v>
      </c>
      <c r="D481" s="2797"/>
      <c r="E481" s="2797"/>
      <c r="F481" s="2798">
        <f t="shared" si="14"/>
        <v>0</v>
      </c>
      <c r="G481" s="1871">
        <f t="shared" si="15"/>
        <v>0</v>
      </c>
      <c r="H481" s="1173">
        <v>0.72770000000000001</v>
      </c>
      <c r="I481" s="3132" t="s">
        <v>0</v>
      </c>
    </row>
    <row r="482" spans="1:9" ht="16.5">
      <c r="A482" s="1874" t="s">
        <v>2446</v>
      </c>
      <c r="B482" s="3131" t="s">
        <v>8468</v>
      </c>
      <c r="C482" s="1842" t="s">
        <v>7993</v>
      </c>
      <c r="D482" s="2797"/>
      <c r="E482" s="2797"/>
      <c r="F482" s="2798">
        <f t="shared" si="14"/>
        <v>0</v>
      </c>
      <c r="G482" s="1871">
        <f t="shared" si="15"/>
        <v>0</v>
      </c>
      <c r="H482" s="1173">
        <v>0.15870000000000001</v>
      </c>
      <c r="I482" s="3132" t="s">
        <v>0</v>
      </c>
    </row>
    <row r="483" spans="1:9" ht="16.5">
      <c r="A483" s="1874" t="s">
        <v>2447</v>
      </c>
      <c r="B483" s="3131" t="s">
        <v>8469</v>
      </c>
      <c r="C483" s="1842" t="s">
        <v>7993</v>
      </c>
      <c r="D483" s="2797"/>
      <c r="E483" s="2797"/>
      <c r="F483" s="2798">
        <f t="shared" si="14"/>
        <v>0</v>
      </c>
      <c r="G483" s="1871">
        <f t="shared" si="15"/>
        <v>0</v>
      </c>
      <c r="H483" s="1173">
        <v>0.68889999999999996</v>
      </c>
      <c r="I483" s="3132" t="s">
        <v>0</v>
      </c>
    </row>
    <row r="484" spans="1:9" ht="16.5">
      <c r="A484" s="1874" t="s">
        <v>2448</v>
      </c>
      <c r="B484" s="3131" t="s">
        <v>8470</v>
      </c>
      <c r="C484" s="1842" t="s">
        <v>7993</v>
      </c>
      <c r="D484" s="2797"/>
      <c r="E484" s="2797"/>
      <c r="F484" s="2798">
        <f t="shared" si="14"/>
        <v>0</v>
      </c>
      <c r="G484" s="1871">
        <f t="shared" si="15"/>
        <v>0</v>
      </c>
      <c r="H484" s="1173">
        <v>0.46989999999999998</v>
      </c>
      <c r="I484" s="3132" t="s">
        <v>0</v>
      </c>
    </row>
    <row r="485" spans="1:9" ht="16.5">
      <c r="A485" s="1874" t="s">
        <v>2449</v>
      </c>
      <c r="B485" s="3131" t="s">
        <v>8471</v>
      </c>
      <c r="C485" s="1842" t="s">
        <v>7993</v>
      </c>
      <c r="D485" s="2797"/>
      <c r="E485" s="2797"/>
      <c r="F485" s="2798">
        <f t="shared" si="14"/>
        <v>0</v>
      </c>
      <c r="G485" s="1871">
        <f t="shared" si="15"/>
        <v>0</v>
      </c>
      <c r="H485" s="1173">
        <v>0.63339999999999996</v>
      </c>
      <c r="I485" s="3132" t="s">
        <v>0</v>
      </c>
    </row>
    <row r="486" spans="1:9" ht="16.5">
      <c r="A486" s="1874" t="s">
        <v>2450</v>
      </c>
      <c r="B486" s="3131" t="s">
        <v>8472</v>
      </c>
      <c r="C486" s="1842" t="s">
        <v>7993</v>
      </c>
      <c r="D486" s="2797"/>
      <c r="E486" s="2797"/>
      <c r="F486" s="2798">
        <f t="shared" si="14"/>
        <v>0</v>
      </c>
      <c r="G486" s="1871">
        <f t="shared" si="15"/>
        <v>0</v>
      </c>
      <c r="H486" s="1173">
        <v>0.26669999999999999</v>
      </c>
      <c r="I486" s="3132" t="s">
        <v>0</v>
      </c>
    </row>
    <row r="487" spans="1:9" ht="16.5">
      <c r="A487" s="1874" t="s">
        <v>2451</v>
      </c>
      <c r="B487" s="3131" t="s">
        <v>8473</v>
      </c>
      <c r="C487" s="1842" t="s">
        <v>7993</v>
      </c>
      <c r="D487" s="2797"/>
      <c r="E487" s="2797"/>
      <c r="F487" s="2798">
        <f t="shared" si="14"/>
        <v>0</v>
      </c>
      <c r="G487" s="1871">
        <f t="shared" si="15"/>
        <v>0</v>
      </c>
      <c r="H487" s="1173">
        <v>-0.1285</v>
      </c>
      <c r="I487" s="3132" t="s">
        <v>0</v>
      </c>
    </row>
    <row r="488" spans="1:9" ht="16.5">
      <c r="A488" s="1874" t="s">
        <v>2452</v>
      </c>
      <c r="B488" s="3131" t="s">
        <v>8474</v>
      </c>
      <c r="C488" s="1842" t="s">
        <v>7993</v>
      </c>
      <c r="D488" s="2797"/>
      <c r="E488" s="2797"/>
      <c r="F488" s="2798">
        <f t="shared" si="14"/>
        <v>0</v>
      </c>
      <c r="G488" s="1871">
        <f t="shared" si="15"/>
        <v>0</v>
      </c>
      <c r="H488" s="1173">
        <v>1.7759</v>
      </c>
      <c r="I488" s="3132" t="s">
        <v>0</v>
      </c>
    </row>
    <row r="489" spans="1:9" ht="16.5">
      <c r="A489" s="1874" t="s">
        <v>2453</v>
      </c>
      <c r="B489" s="3131" t="s">
        <v>8475</v>
      </c>
      <c r="C489" s="1842" t="s">
        <v>7993</v>
      </c>
      <c r="D489" s="2797"/>
      <c r="E489" s="2797"/>
      <c r="F489" s="2798">
        <f t="shared" si="14"/>
        <v>0</v>
      </c>
      <c r="G489" s="1871">
        <f t="shared" si="15"/>
        <v>0</v>
      </c>
      <c r="H489" s="1173">
        <v>0.83279999999999998</v>
      </c>
      <c r="I489" s="3132" t="s">
        <v>0</v>
      </c>
    </row>
    <row r="490" spans="1:9" ht="16.5">
      <c r="A490" s="1874" t="s">
        <v>2454</v>
      </c>
      <c r="B490" s="3131" t="s">
        <v>8476</v>
      </c>
      <c r="C490" s="1842" t="s">
        <v>7993</v>
      </c>
      <c r="D490" s="2797"/>
      <c r="E490" s="2797"/>
      <c r="F490" s="2798">
        <f t="shared" si="14"/>
        <v>0</v>
      </c>
      <c r="G490" s="1871">
        <f t="shared" si="15"/>
        <v>0</v>
      </c>
      <c r="H490" s="1173">
        <v>0.73340000000000005</v>
      </c>
      <c r="I490" s="3132" t="s">
        <v>0</v>
      </c>
    </row>
    <row r="491" spans="1:9" ht="16.5">
      <c r="A491" s="1874" t="s">
        <v>2455</v>
      </c>
      <c r="B491" s="3131" t="s">
        <v>8477</v>
      </c>
      <c r="C491" s="1842" t="s">
        <v>7993</v>
      </c>
      <c r="D491" s="2797"/>
      <c r="E491" s="2797"/>
      <c r="F491" s="2798">
        <f t="shared" si="14"/>
        <v>0</v>
      </c>
      <c r="G491" s="1871">
        <f t="shared" si="15"/>
        <v>0</v>
      </c>
      <c r="H491" s="1173">
        <v>1.4571000000000001</v>
      </c>
      <c r="I491" s="3132" t="s">
        <v>0</v>
      </c>
    </row>
    <row r="492" spans="1:9" ht="16.5">
      <c r="A492" s="1874" t="s">
        <v>2456</v>
      </c>
      <c r="B492" s="3131" t="s">
        <v>8478</v>
      </c>
      <c r="C492" s="1842" t="s">
        <v>7993</v>
      </c>
      <c r="D492" s="2797"/>
      <c r="E492" s="2797"/>
      <c r="F492" s="2798">
        <f t="shared" si="14"/>
        <v>0</v>
      </c>
      <c r="G492" s="1871">
        <f t="shared" si="15"/>
        <v>0</v>
      </c>
      <c r="H492" s="1173">
        <v>1.157</v>
      </c>
      <c r="I492" s="3132" t="s">
        <v>0</v>
      </c>
    </row>
    <row r="493" spans="1:9" ht="16.5">
      <c r="A493" s="1874" t="s">
        <v>2457</v>
      </c>
      <c r="B493" s="3131" t="s">
        <v>8479</v>
      </c>
      <c r="C493" s="1842" t="s">
        <v>7993</v>
      </c>
      <c r="D493" s="2797"/>
      <c r="E493" s="2797"/>
      <c r="F493" s="2798">
        <f t="shared" si="14"/>
        <v>0</v>
      </c>
      <c r="G493" s="1871">
        <f t="shared" si="15"/>
        <v>0</v>
      </c>
      <c r="H493" s="1173">
        <v>1.1248</v>
      </c>
      <c r="I493" s="3132" t="s">
        <v>0</v>
      </c>
    </row>
    <row r="494" spans="1:9" ht="16.5">
      <c r="A494" s="1874" t="s">
        <v>2458</v>
      </c>
      <c r="B494" s="3131" t="s">
        <v>8480</v>
      </c>
      <c r="C494" s="1842" t="s">
        <v>7993</v>
      </c>
      <c r="D494" s="2797"/>
      <c r="E494" s="2797"/>
      <c r="F494" s="2798">
        <f t="shared" si="14"/>
        <v>0</v>
      </c>
      <c r="G494" s="1871">
        <f t="shared" si="15"/>
        <v>0</v>
      </c>
      <c r="H494" s="1173">
        <v>0.79759999999999998</v>
      </c>
      <c r="I494" s="3132" t="s">
        <v>0</v>
      </c>
    </row>
    <row r="495" spans="1:9" ht="16.5">
      <c r="A495" s="1874" t="s">
        <v>2459</v>
      </c>
      <c r="B495" s="3131" t="s">
        <v>8481</v>
      </c>
      <c r="C495" s="1842" t="s">
        <v>7993</v>
      </c>
      <c r="D495" s="2797"/>
      <c r="E495" s="2797"/>
      <c r="F495" s="2798">
        <f t="shared" si="14"/>
        <v>0</v>
      </c>
      <c r="G495" s="1871">
        <f t="shared" si="15"/>
        <v>0</v>
      </c>
      <c r="H495" s="1173">
        <v>0.94730000000000003</v>
      </c>
      <c r="I495" s="3132" t="s">
        <v>0</v>
      </c>
    </row>
    <row r="496" spans="1:9" ht="16.5">
      <c r="A496" s="1874" t="s">
        <v>2460</v>
      </c>
      <c r="B496" s="3131" t="s">
        <v>8482</v>
      </c>
      <c r="C496" s="1842" t="s">
        <v>7993</v>
      </c>
      <c r="D496" s="2797"/>
      <c r="E496" s="2797"/>
      <c r="F496" s="2798">
        <f t="shared" si="14"/>
        <v>0</v>
      </c>
      <c r="G496" s="1871">
        <f t="shared" si="15"/>
        <v>0</v>
      </c>
      <c r="H496" s="1173">
        <v>0.50649999999999995</v>
      </c>
      <c r="I496" s="3132" t="s">
        <v>0</v>
      </c>
    </row>
    <row r="497" spans="1:9" ht="16.5">
      <c r="A497" s="1874" t="s">
        <v>2461</v>
      </c>
      <c r="B497" s="3131" t="s">
        <v>8483</v>
      </c>
      <c r="C497" s="1842" t="s">
        <v>7993</v>
      </c>
      <c r="D497" s="2797"/>
      <c r="E497" s="2797"/>
      <c r="F497" s="2798">
        <f t="shared" si="14"/>
        <v>0</v>
      </c>
      <c r="G497" s="1871">
        <f t="shared" si="15"/>
        <v>0</v>
      </c>
      <c r="H497" s="1173">
        <v>1.2136</v>
      </c>
      <c r="I497" s="3132" t="s">
        <v>0</v>
      </c>
    </row>
    <row r="498" spans="1:9" ht="16.5">
      <c r="A498" s="1874" t="s">
        <v>2462</v>
      </c>
      <c r="B498" s="3131" t="s">
        <v>8484</v>
      </c>
      <c r="C498" s="1842" t="s">
        <v>7993</v>
      </c>
      <c r="D498" s="2797"/>
      <c r="E498" s="2797"/>
      <c r="F498" s="2798">
        <f t="shared" si="14"/>
        <v>0</v>
      </c>
      <c r="G498" s="1871">
        <f t="shared" si="15"/>
        <v>0</v>
      </c>
      <c r="H498" s="1173">
        <v>1.7481</v>
      </c>
      <c r="I498" s="3132" t="s">
        <v>0</v>
      </c>
    </row>
    <row r="499" spans="1:9" ht="16.5">
      <c r="A499" s="1874" t="s">
        <v>2463</v>
      </c>
      <c r="B499" s="3131" t="s">
        <v>8485</v>
      </c>
      <c r="C499" s="1842" t="s">
        <v>7993</v>
      </c>
      <c r="D499" s="2797"/>
      <c r="E499" s="2797"/>
      <c r="F499" s="2798">
        <f t="shared" si="14"/>
        <v>0</v>
      </c>
      <c r="G499" s="1871">
        <f t="shared" si="15"/>
        <v>0</v>
      </c>
      <c r="H499" s="1173">
        <v>1.3211999999999999</v>
      </c>
      <c r="I499" s="3132" t="s">
        <v>0</v>
      </c>
    </row>
    <row r="500" spans="1:9" ht="16.5">
      <c r="A500" s="1874" t="s">
        <v>2464</v>
      </c>
      <c r="B500" s="3131" t="s">
        <v>8486</v>
      </c>
      <c r="C500" s="1842" t="s">
        <v>7993</v>
      </c>
      <c r="D500" s="2797"/>
      <c r="E500" s="2797"/>
      <c r="F500" s="2798">
        <f t="shared" si="14"/>
        <v>0</v>
      </c>
      <c r="G500" s="1871">
        <f t="shared" si="15"/>
        <v>0</v>
      </c>
      <c r="H500" s="1173">
        <v>1.3259000000000001</v>
      </c>
      <c r="I500" s="3132" t="s">
        <v>0</v>
      </c>
    </row>
    <row r="501" spans="1:9" ht="16.5">
      <c r="A501" s="1874" t="s">
        <v>2465</v>
      </c>
      <c r="B501" s="3131" t="s">
        <v>8487</v>
      </c>
      <c r="C501" s="1842" t="s">
        <v>7993</v>
      </c>
      <c r="D501" s="2797"/>
      <c r="E501" s="2797"/>
      <c r="F501" s="2798">
        <f t="shared" si="14"/>
        <v>0</v>
      </c>
      <c r="G501" s="1871">
        <f t="shared" si="15"/>
        <v>0</v>
      </c>
      <c r="H501" s="1173">
        <v>1.1561999999999999</v>
      </c>
      <c r="I501" s="3132" t="s">
        <v>0</v>
      </c>
    </row>
    <row r="502" spans="1:9" ht="16.5">
      <c r="A502" s="1874" t="s">
        <v>2466</v>
      </c>
      <c r="B502" s="3131" t="s">
        <v>8488</v>
      </c>
      <c r="C502" s="1842" t="s">
        <v>7993</v>
      </c>
      <c r="D502" s="2797"/>
      <c r="E502" s="2797"/>
      <c r="F502" s="2798">
        <f t="shared" si="14"/>
        <v>0</v>
      </c>
      <c r="G502" s="1871">
        <f t="shared" si="15"/>
        <v>0</v>
      </c>
      <c r="H502" s="1173">
        <v>0.69020000000000004</v>
      </c>
      <c r="I502" s="3132" t="s">
        <v>0</v>
      </c>
    </row>
    <row r="503" spans="1:9" ht="16.5">
      <c r="A503" s="1874" t="s">
        <v>2467</v>
      </c>
      <c r="B503" s="3131" t="s">
        <v>8489</v>
      </c>
      <c r="C503" s="1842" t="s">
        <v>7993</v>
      </c>
      <c r="D503" s="2797"/>
      <c r="E503" s="2797"/>
      <c r="F503" s="2798">
        <f t="shared" si="14"/>
        <v>0</v>
      </c>
      <c r="G503" s="1871">
        <f t="shared" si="15"/>
        <v>0</v>
      </c>
      <c r="H503" s="1173">
        <v>1.3625</v>
      </c>
      <c r="I503" s="3132" t="s">
        <v>0</v>
      </c>
    </row>
    <row r="504" spans="1:9" ht="16.5">
      <c r="A504" s="1874" t="s">
        <v>2468</v>
      </c>
      <c r="B504" s="3131" t="s">
        <v>8490</v>
      </c>
      <c r="C504" s="1842" t="s">
        <v>7993</v>
      </c>
      <c r="D504" s="2797"/>
      <c r="E504" s="2797"/>
      <c r="F504" s="2798">
        <f t="shared" si="14"/>
        <v>0</v>
      </c>
      <c r="G504" s="1871">
        <f t="shared" si="15"/>
        <v>0</v>
      </c>
      <c r="H504" s="1173">
        <v>1.0889</v>
      </c>
      <c r="I504" s="3132" t="s">
        <v>0</v>
      </c>
    </row>
    <row r="505" spans="1:9" ht="16.5">
      <c r="A505" s="1874" t="s">
        <v>2469</v>
      </c>
      <c r="B505" s="3131" t="s">
        <v>8491</v>
      </c>
      <c r="C505" s="1842" t="s">
        <v>7993</v>
      </c>
      <c r="D505" s="2797"/>
      <c r="E505" s="2797"/>
      <c r="F505" s="2798">
        <f t="shared" si="14"/>
        <v>0</v>
      </c>
      <c r="G505" s="1871">
        <f t="shared" si="15"/>
        <v>0</v>
      </c>
      <c r="H505" s="1173">
        <v>1.4419999999999999</v>
      </c>
      <c r="I505" s="3132" t="s">
        <v>0</v>
      </c>
    </row>
    <row r="506" spans="1:9" ht="16.5">
      <c r="A506" s="1874" t="s">
        <v>2470</v>
      </c>
      <c r="B506" s="3131" t="s">
        <v>8492</v>
      </c>
      <c r="C506" s="1842" t="s">
        <v>7993</v>
      </c>
      <c r="D506" s="2797"/>
      <c r="E506" s="2797"/>
      <c r="F506" s="2798">
        <f t="shared" si="14"/>
        <v>0</v>
      </c>
      <c r="G506" s="1871">
        <f t="shared" si="15"/>
        <v>0</v>
      </c>
      <c r="H506" s="1173">
        <v>1.4321999999999999</v>
      </c>
      <c r="I506" s="3132" t="s">
        <v>0</v>
      </c>
    </row>
    <row r="507" spans="1:9" ht="16.5">
      <c r="A507" s="1874" t="s">
        <v>2471</v>
      </c>
      <c r="B507" s="3131" t="s">
        <v>8493</v>
      </c>
      <c r="C507" s="1842" t="s">
        <v>7993</v>
      </c>
      <c r="D507" s="2797"/>
      <c r="E507" s="2797"/>
      <c r="F507" s="2798">
        <f t="shared" si="14"/>
        <v>0</v>
      </c>
      <c r="G507" s="1871">
        <f t="shared" si="15"/>
        <v>0</v>
      </c>
      <c r="H507" s="1173">
        <v>0.1668</v>
      </c>
      <c r="I507" s="3132" t="s">
        <v>0</v>
      </c>
    </row>
    <row r="508" spans="1:9" ht="16.5">
      <c r="A508" s="1874" t="s">
        <v>2472</v>
      </c>
      <c r="B508" s="3131" t="s">
        <v>8494</v>
      </c>
      <c r="C508" s="1842" t="s">
        <v>7993</v>
      </c>
      <c r="D508" s="2797"/>
      <c r="E508" s="2797"/>
      <c r="F508" s="2798">
        <f t="shared" si="14"/>
        <v>0</v>
      </c>
      <c r="G508" s="1871">
        <f t="shared" si="15"/>
        <v>0</v>
      </c>
      <c r="H508" s="1173">
        <v>0.75860000000000005</v>
      </c>
      <c r="I508" s="3132" t="s">
        <v>0</v>
      </c>
    </row>
    <row r="509" spans="1:9" ht="16.5">
      <c r="A509" s="1874" t="s">
        <v>2473</v>
      </c>
      <c r="B509" s="3131" t="s">
        <v>8495</v>
      </c>
      <c r="C509" s="1842" t="s">
        <v>7993</v>
      </c>
      <c r="D509" s="2797"/>
      <c r="E509" s="2797"/>
      <c r="F509" s="2798">
        <f t="shared" si="14"/>
        <v>0</v>
      </c>
      <c r="G509" s="1871">
        <f t="shared" si="15"/>
        <v>0</v>
      </c>
      <c r="H509" s="1173">
        <v>0.53690000000000004</v>
      </c>
      <c r="I509" s="3132" t="s">
        <v>0</v>
      </c>
    </row>
    <row r="510" spans="1:9" ht="16.5">
      <c r="A510" s="1874" t="s">
        <v>2474</v>
      </c>
      <c r="B510" s="3131" t="s">
        <v>8496</v>
      </c>
      <c r="C510" s="1842" t="s">
        <v>7993</v>
      </c>
      <c r="D510" s="2797"/>
      <c r="E510" s="2797"/>
      <c r="F510" s="2798">
        <f t="shared" si="14"/>
        <v>0</v>
      </c>
      <c r="G510" s="1871">
        <f t="shared" si="15"/>
        <v>0</v>
      </c>
      <c r="H510" s="1173">
        <v>1.0849</v>
      </c>
      <c r="I510" s="3132" t="s">
        <v>0</v>
      </c>
    </row>
    <row r="511" spans="1:9" ht="16.5">
      <c r="A511" s="1874" t="s">
        <v>2475</v>
      </c>
      <c r="B511" s="3131" t="s">
        <v>8497</v>
      </c>
      <c r="C511" s="1842" t="s">
        <v>7993</v>
      </c>
      <c r="D511" s="2797"/>
      <c r="E511" s="2797"/>
      <c r="F511" s="2798">
        <f t="shared" si="14"/>
        <v>0</v>
      </c>
      <c r="G511" s="1871">
        <f t="shared" si="15"/>
        <v>0</v>
      </c>
      <c r="H511" s="1173">
        <v>1.1272</v>
      </c>
      <c r="I511" s="3132" t="s">
        <v>0</v>
      </c>
    </row>
    <row r="512" spans="1:9" ht="16.5">
      <c r="A512" s="1874" t="s">
        <v>2476</v>
      </c>
      <c r="B512" s="3131" t="s">
        <v>8498</v>
      </c>
      <c r="C512" s="1842" t="s">
        <v>7993</v>
      </c>
      <c r="D512" s="2797"/>
      <c r="E512" s="2797"/>
      <c r="F512" s="2798">
        <f t="shared" si="14"/>
        <v>0</v>
      </c>
      <c r="G512" s="1871">
        <f t="shared" si="15"/>
        <v>0</v>
      </c>
      <c r="H512" s="1173">
        <v>0.69</v>
      </c>
      <c r="I512" s="3132" t="s">
        <v>0</v>
      </c>
    </row>
    <row r="513" spans="1:9" ht="16.5">
      <c r="A513" s="1874" t="s">
        <v>2477</v>
      </c>
      <c r="B513" s="3131" t="s">
        <v>8499</v>
      </c>
      <c r="C513" s="1842" t="s">
        <v>7993</v>
      </c>
      <c r="D513" s="2797"/>
      <c r="E513" s="2797"/>
      <c r="F513" s="2798">
        <f t="shared" si="14"/>
        <v>0</v>
      </c>
      <c r="G513" s="1871">
        <f t="shared" si="15"/>
        <v>0</v>
      </c>
      <c r="H513" s="1173">
        <v>0.33029999999999998</v>
      </c>
      <c r="I513" s="3132" t="s">
        <v>0</v>
      </c>
    </row>
    <row r="514" spans="1:9" ht="16.5">
      <c r="A514" s="1874" t="s">
        <v>2478</v>
      </c>
      <c r="B514" s="3131" t="s">
        <v>8500</v>
      </c>
      <c r="C514" s="1842" t="s">
        <v>7993</v>
      </c>
      <c r="D514" s="2797"/>
      <c r="E514" s="2797"/>
      <c r="F514" s="2798">
        <f t="shared" si="14"/>
        <v>0</v>
      </c>
      <c r="G514" s="1871">
        <f t="shared" si="15"/>
        <v>0</v>
      </c>
      <c r="H514" s="1173">
        <v>1.2103999999999999</v>
      </c>
      <c r="I514" s="3132" t="s">
        <v>0</v>
      </c>
    </row>
    <row r="515" spans="1:9" ht="16.5">
      <c r="A515" s="1874" t="s">
        <v>2479</v>
      </c>
      <c r="B515" s="3131" t="s">
        <v>8501</v>
      </c>
      <c r="C515" s="1842" t="s">
        <v>7993</v>
      </c>
      <c r="D515" s="2797"/>
      <c r="E515" s="2797"/>
      <c r="F515" s="2798">
        <f t="shared" si="14"/>
        <v>0</v>
      </c>
      <c r="G515" s="1871">
        <f t="shared" si="15"/>
        <v>0</v>
      </c>
      <c r="H515" s="1173">
        <v>0.75660000000000005</v>
      </c>
      <c r="I515" s="3132" t="s">
        <v>0</v>
      </c>
    </row>
    <row r="516" spans="1:9" ht="16.5">
      <c r="A516" s="1874" t="s">
        <v>2480</v>
      </c>
      <c r="B516" s="3131" t="s">
        <v>8502</v>
      </c>
      <c r="C516" s="1842" t="s">
        <v>7993</v>
      </c>
      <c r="D516" s="2797"/>
      <c r="E516" s="2797"/>
      <c r="F516" s="2798">
        <f t="shared" si="14"/>
        <v>0</v>
      </c>
      <c r="G516" s="1871">
        <f t="shared" si="15"/>
        <v>0</v>
      </c>
      <c r="H516" s="1173">
        <v>1.2990999999999999</v>
      </c>
      <c r="I516" s="3132" t="s">
        <v>0</v>
      </c>
    </row>
    <row r="517" spans="1:9" ht="16.5">
      <c r="A517" s="1874" t="s">
        <v>2481</v>
      </c>
      <c r="B517" s="3131" t="s">
        <v>8503</v>
      </c>
      <c r="C517" s="1842" t="s">
        <v>7993</v>
      </c>
      <c r="D517" s="2797"/>
      <c r="E517" s="2797"/>
      <c r="F517" s="2798">
        <f t="shared" ref="F517:F580" si="16">D517*E517</f>
        <v>0</v>
      </c>
      <c r="G517" s="1871">
        <f t="shared" ref="G517:G580" si="17">IF($F$855=0,0,F517/$F$855)</f>
        <v>0</v>
      </c>
      <c r="H517" s="1173">
        <v>1.2306999999999999</v>
      </c>
      <c r="I517" s="3132" t="s">
        <v>0</v>
      </c>
    </row>
    <row r="518" spans="1:9" ht="16.5">
      <c r="A518" s="1874" t="s">
        <v>2482</v>
      </c>
      <c r="B518" s="3131" t="s">
        <v>8504</v>
      </c>
      <c r="C518" s="1842" t="s">
        <v>7993</v>
      </c>
      <c r="D518" s="2797"/>
      <c r="E518" s="2797"/>
      <c r="F518" s="2798">
        <f t="shared" si="16"/>
        <v>0</v>
      </c>
      <c r="G518" s="1871">
        <f t="shared" si="17"/>
        <v>0</v>
      </c>
      <c r="H518" s="1173">
        <v>1.3183</v>
      </c>
      <c r="I518" s="3132" t="s">
        <v>0</v>
      </c>
    </row>
    <row r="519" spans="1:9" ht="16.5">
      <c r="A519" s="1874" t="s">
        <v>2483</v>
      </c>
      <c r="B519" s="3131" t="s">
        <v>8505</v>
      </c>
      <c r="C519" s="1842" t="s">
        <v>7993</v>
      </c>
      <c r="D519" s="2797"/>
      <c r="E519" s="2797"/>
      <c r="F519" s="2798">
        <f t="shared" si="16"/>
        <v>0</v>
      </c>
      <c r="G519" s="1871">
        <f t="shared" si="17"/>
        <v>0</v>
      </c>
      <c r="H519" s="1173">
        <v>1.0187999999999999</v>
      </c>
      <c r="I519" s="3132" t="s">
        <v>0</v>
      </c>
    </row>
    <row r="520" spans="1:9" ht="16.5">
      <c r="A520" s="1874" t="s">
        <v>2484</v>
      </c>
      <c r="B520" s="3131" t="s">
        <v>8506</v>
      </c>
      <c r="C520" s="1842" t="s">
        <v>7993</v>
      </c>
      <c r="D520" s="2797"/>
      <c r="E520" s="2797"/>
      <c r="F520" s="2798">
        <f t="shared" si="16"/>
        <v>0</v>
      </c>
      <c r="G520" s="1871">
        <f t="shared" si="17"/>
        <v>0</v>
      </c>
      <c r="H520" s="1173">
        <v>0.53069999999999995</v>
      </c>
      <c r="I520" s="3132" t="s">
        <v>0</v>
      </c>
    </row>
    <row r="521" spans="1:9" ht="16.5">
      <c r="A521" s="1874" t="s">
        <v>2485</v>
      </c>
      <c r="B521" s="3131" t="s">
        <v>8507</v>
      </c>
      <c r="C521" s="1842" t="s">
        <v>7993</v>
      </c>
      <c r="D521" s="2797"/>
      <c r="E521" s="2797"/>
      <c r="F521" s="2798">
        <f t="shared" si="16"/>
        <v>0</v>
      </c>
      <c r="G521" s="1871">
        <f t="shared" si="17"/>
        <v>0</v>
      </c>
      <c r="H521" s="1173">
        <v>0.70669999999999999</v>
      </c>
      <c r="I521" s="3132" t="s">
        <v>0</v>
      </c>
    </row>
    <row r="522" spans="1:9" ht="16.5">
      <c r="A522" s="1874" t="s">
        <v>2486</v>
      </c>
      <c r="B522" s="3131" t="s">
        <v>8508</v>
      </c>
      <c r="C522" s="1842" t="s">
        <v>7993</v>
      </c>
      <c r="D522" s="2797"/>
      <c r="E522" s="2797"/>
      <c r="F522" s="2798">
        <f t="shared" si="16"/>
        <v>0</v>
      </c>
      <c r="G522" s="1871">
        <f t="shared" si="17"/>
        <v>0</v>
      </c>
      <c r="H522" s="1173">
        <v>0.97619999999999996</v>
      </c>
      <c r="I522" s="3132" t="s">
        <v>0</v>
      </c>
    </row>
    <row r="523" spans="1:9" ht="16.5">
      <c r="A523" s="1874" t="s">
        <v>2487</v>
      </c>
      <c r="B523" s="3131" t="s">
        <v>8509</v>
      </c>
      <c r="C523" s="1842" t="s">
        <v>7993</v>
      </c>
      <c r="D523" s="2797"/>
      <c r="E523" s="2797"/>
      <c r="F523" s="2798">
        <f t="shared" si="16"/>
        <v>0</v>
      </c>
      <c r="G523" s="1871">
        <f t="shared" si="17"/>
        <v>0</v>
      </c>
      <c r="H523" s="1173">
        <v>1.1436999999999999</v>
      </c>
      <c r="I523" s="3132" t="s">
        <v>0</v>
      </c>
    </row>
    <row r="524" spans="1:9" ht="16.5">
      <c r="A524" s="1874" t="s">
        <v>2488</v>
      </c>
      <c r="B524" s="3131" t="s">
        <v>8510</v>
      </c>
      <c r="C524" s="1842" t="s">
        <v>7993</v>
      </c>
      <c r="D524" s="2797"/>
      <c r="E524" s="2797"/>
      <c r="F524" s="2798">
        <f t="shared" si="16"/>
        <v>0</v>
      </c>
      <c r="G524" s="1871">
        <f t="shared" si="17"/>
        <v>0</v>
      </c>
      <c r="H524" s="1173">
        <v>0.55789999999999995</v>
      </c>
      <c r="I524" s="3132" t="s">
        <v>0</v>
      </c>
    </row>
    <row r="525" spans="1:9" ht="16.5">
      <c r="A525" s="1874" t="s">
        <v>2489</v>
      </c>
      <c r="B525" s="3131" t="s">
        <v>8511</v>
      </c>
      <c r="C525" s="1842" t="s">
        <v>7993</v>
      </c>
      <c r="D525" s="2797"/>
      <c r="E525" s="2797"/>
      <c r="F525" s="2798">
        <f t="shared" si="16"/>
        <v>0</v>
      </c>
      <c r="G525" s="1871">
        <f t="shared" si="17"/>
        <v>0</v>
      </c>
      <c r="H525" s="1173">
        <v>0.9012</v>
      </c>
      <c r="I525" s="3132" t="s">
        <v>0</v>
      </c>
    </row>
    <row r="526" spans="1:9" ht="16.5">
      <c r="A526" s="1874" t="s">
        <v>2490</v>
      </c>
      <c r="B526" s="3131" t="s">
        <v>8512</v>
      </c>
      <c r="C526" s="1842" t="s">
        <v>7993</v>
      </c>
      <c r="D526" s="2797"/>
      <c r="E526" s="2797"/>
      <c r="F526" s="2798">
        <f t="shared" si="16"/>
        <v>0</v>
      </c>
      <c r="G526" s="1871">
        <f t="shared" si="17"/>
        <v>0</v>
      </c>
      <c r="H526" s="1173">
        <v>1.0228999999999999</v>
      </c>
      <c r="I526" s="3132" t="s">
        <v>0</v>
      </c>
    </row>
    <row r="527" spans="1:9" ht="16.5">
      <c r="A527" s="1874" t="s">
        <v>2491</v>
      </c>
      <c r="B527" s="3131" t="s">
        <v>8513</v>
      </c>
      <c r="C527" s="1842" t="s">
        <v>7993</v>
      </c>
      <c r="D527" s="2797"/>
      <c r="E527" s="2797"/>
      <c r="F527" s="2798">
        <f t="shared" si="16"/>
        <v>0</v>
      </c>
      <c r="G527" s="1871">
        <f t="shared" si="17"/>
        <v>0</v>
      </c>
      <c r="H527" s="1173">
        <v>0.66810000000000003</v>
      </c>
      <c r="I527" s="3132" t="s">
        <v>0</v>
      </c>
    </row>
    <row r="528" spans="1:9" ht="16.5">
      <c r="A528" s="1874" t="s">
        <v>2492</v>
      </c>
      <c r="B528" s="3131" t="s">
        <v>8514</v>
      </c>
      <c r="C528" s="1842" t="s">
        <v>7993</v>
      </c>
      <c r="D528" s="2797"/>
      <c r="E528" s="2797"/>
      <c r="F528" s="2798">
        <f t="shared" si="16"/>
        <v>0</v>
      </c>
      <c r="G528" s="1871">
        <f t="shared" si="17"/>
        <v>0</v>
      </c>
      <c r="H528" s="1173">
        <v>0.86180000000000001</v>
      </c>
      <c r="I528" s="3132" t="s">
        <v>0</v>
      </c>
    </row>
    <row r="529" spans="1:9" ht="16.5">
      <c r="A529" s="1874" t="s">
        <v>2493</v>
      </c>
      <c r="B529" s="3131" t="s">
        <v>8515</v>
      </c>
      <c r="C529" s="1842" t="s">
        <v>7993</v>
      </c>
      <c r="D529" s="2797"/>
      <c r="E529" s="2797"/>
      <c r="F529" s="2798">
        <f t="shared" si="16"/>
        <v>0</v>
      </c>
      <c r="G529" s="1871">
        <f t="shared" si="17"/>
        <v>0</v>
      </c>
      <c r="H529" s="1173">
        <v>0.47399999999999998</v>
      </c>
      <c r="I529" s="3132" t="s">
        <v>0</v>
      </c>
    </row>
    <row r="530" spans="1:9" ht="16.5">
      <c r="A530" s="1874" t="s">
        <v>2494</v>
      </c>
      <c r="B530" s="3131" t="s">
        <v>8516</v>
      </c>
      <c r="C530" s="1842" t="s">
        <v>7993</v>
      </c>
      <c r="D530" s="2797"/>
      <c r="E530" s="2797"/>
      <c r="F530" s="2798">
        <f t="shared" si="16"/>
        <v>0</v>
      </c>
      <c r="G530" s="1871">
        <f t="shared" si="17"/>
        <v>0</v>
      </c>
      <c r="H530" s="1173">
        <v>1.0001</v>
      </c>
      <c r="I530" s="3132" t="s">
        <v>0</v>
      </c>
    </row>
    <row r="531" spans="1:9" ht="16.5">
      <c r="A531" s="1874" t="s">
        <v>2495</v>
      </c>
      <c r="B531" s="3131" t="s">
        <v>8517</v>
      </c>
      <c r="C531" s="1842" t="s">
        <v>7993</v>
      </c>
      <c r="D531" s="2797"/>
      <c r="E531" s="2797"/>
      <c r="F531" s="2798">
        <f t="shared" si="16"/>
        <v>0</v>
      </c>
      <c r="G531" s="1871">
        <f t="shared" si="17"/>
        <v>0</v>
      </c>
      <c r="H531" s="1173">
        <v>2.0817999999999999</v>
      </c>
      <c r="I531" s="3132" t="s">
        <v>0</v>
      </c>
    </row>
    <row r="532" spans="1:9" ht="16.5">
      <c r="A532" s="1874" t="s">
        <v>2496</v>
      </c>
      <c r="B532" s="3131" t="s">
        <v>8518</v>
      </c>
      <c r="C532" s="1842" t="s">
        <v>7993</v>
      </c>
      <c r="D532" s="2797"/>
      <c r="E532" s="2797"/>
      <c r="F532" s="2798">
        <f t="shared" si="16"/>
        <v>0</v>
      </c>
      <c r="G532" s="1871">
        <f t="shared" si="17"/>
        <v>0</v>
      </c>
      <c r="H532" s="1173">
        <v>1.6516999999999999</v>
      </c>
      <c r="I532" s="3132" t="s">
        <v>0</v>
      </c>
    </row>
    <row r="533" spans="1:9" ht="16.5">
      <c r="A533" s="1874" t="s">
        <v>2497</v>
      </c>
      <c r="B533" s="3131" t="s">
        <v>8519</v>
      </c>
      <c r="C533" s="1842" t="s">
        <v>7993</v>
      </c>
      <c r="D533" s="2797"/>
      <c r="E533" s="2797"/>
      <c r="F533" s="2798">
        <f t="shared" si="16"/>
        <v>0</v>
      </c>
      <c r="G533" s="1871">
        <f t="shared" si="17"/>
        <v>0</v>
      </c>
      <c r="H533" s="1173">
        <v>1.1140000000000001</v>
      </c>
      <c r="I533" s="3132" t="s">
        <v>0</v>
      </c>
    </row>
    <row r="534" spans="1:9" ht="16.5">
      <c r="A534" s="1874" t="s">
        <v>2498</v>
      </c>
      <c r="B534" s="3131" t="s">
        <v>8520</v>
      </c>
      <c r="C534" s="1842" t="s">
        <v>7993</v>
      </c>
      <c r="D534" s="2797"/>
      <c r="E534" s="2797"/>
      <c r="F534" s="2798">
        <f t="shared" si="16"/>
        <v>0</v>
      </c>
      <c r="G534" s="1871">
        <f t="shared" si="17"/>
        <v>0</v>
      </c>
      <c r="H534" s="1173">
        <v>0.92290000000000005</v>
      </c>
      <c r="I534" s="3132" t="s">
        <v>0</v>
      </c>
    </row>
    <row r="535" spans="1:9" ht="16.5">
      <c r="A535" s="1874" t="s">
        <v>2499</v>
      </c>
      <c r="B535" s="3131" t="s">
        <v>8521</v>
      </c>
      <c r="C535" s="1842" t="s">
        <v>7993</v>
      </c>
      <c r="D535" s="2797"/>
      <c r="E535" s="2798"/>
      <c r="F535" s="2798">
        <f t="shared" si="16"/>
        <v>0</v>
      </c>
      <c r="G535" s="1871">
        <f t="shared" si="17"/>
        <v>0</v>
      </c>
      <c r="H535" s="1173">
        <v>0.10489999999999999</v>
      </c>
      <c r="I535" s="3132" t="s">
        <v>0</v>
      </c>
    </row>
    <row r="536" spans="1:9" ht="16.5">
      <c r="A536" s="1874" t="s">
        <v>2500</v>
      </c>
      <c r="B536" s="3131" t="s">
        <v>8522</v>
      </c>
      <c r="C536" s="1842" t="s">
        <v>7993</v>
      </c>
      <c r="D536" s="2797"/>
      <c r="E536" s="2798"/>
      <c r="F536" s="2798">
        <f t="shared" si="16"/>
        <v>0</v>
      </c>
      <c r="G536" s="1871">
        <f t="shared" si="17"/>
        <v>0</v>
      </c>
      <c r="H536" s="1173">
        <v>0.81599999999999995</v>
      </c>
      <c r="I536" s="3132" t="s">
        <v>0</v>
      </c>
    </row>
    <row r="537" spans="1:9" ht="16.5">
      <c r="A537" s="1874" t="s">
        <v>2501</v>
      </c>
      <c r="B537" s="3131" t="s">
        <v>8523</v>
      </c>
      <c r="C537" s="1842" t="s">
        <v>7993</v>
      </c>
      <c r="D537" s="2797"/>
      <c r="E537" s="2798"/>
      <c r="F537" s="2798">
        <f t="shared" si="16"/>
        <v>0</v>
      </c>
      <c r="G537" s="1871">
        <f t="shared" si="17"/>
        <v>0</v>
      </c>
      <c r="H537" s="1173">
        <v>0.33560000000000001</v>
      </c>
      <c r="I537" s="3132" t="s">
        <v>0</v>
      </c>
    </row>
    <row r="538" spans="1:9" ht="16.5">
      <c r="A538" s="1874" t="s">
        <v>2502</v>
      </c>
      <c r="B538" s="3131" t="s">
        <v>8524</v>
      </c>
      <c r="C538" s="1842" t="s">
        <v>7993</v>
      </c>
      <c r="D538" s="2797"/>
      <c r="E538" s="2798"/>
      <c r="F538" s="2798">
        <f t="shared" si="16"/>
        <v>0</v>
      </c>
      <c r="G538" s="1871">
        <f t="shared" si="17"/>
        <v>0</v>
      </c>
      <c r="H538" s="1173">
        <v>0.71819999999999995</v>
      </c>
      <c r="I538" s="3132" t="s">
        <v>0</v>
      </c>
    </row>
    <row r="539" spans="1:9" ht="16.5">
      <c r="A539" s="1874" t="s">
        <v>2503</v>
      </c>
      <c r="B539" s="3131" t="s">
        <v>8525</v>
      </c>
      <c r="C539" s="1842" t="s">
        <v>7993</v>
      </c>
      <c r="D539" s="2797"/>
      <c r="E539" s="2798"/>
      <c r="F539" s="2798">
        <f t="shared" si="16"/>
        <v>0</v>
      </c>
      <c r="G539" s="1871">
        <f t="shared" si="17"/>
        <v>0</v>
      </c>
      <c r="H539" s="1173">
        <v>1.2000999999999999</v>
      </c>
      <c r="I539" s="3132" t="s">
        <v>0</v>
      </c>
    </row>
    <row r="540" spans="1:9" ht="16.5">
      <c r="A540" s="1874" t="s">
        <v>2504</v>
      </c>
      <c r="B540" s="3131" t="s">
        <v>8526</v>
      </c>
      <c r="C540" s="1842" t="s">
        <v>7993</v>
      </c>
      <c r="D540" s="2797"/>
      <c r="E540" s="2798"/>
      <c r="F540" s="2798">
        <f t="shared" si="16"/>
        <v>0</v>
      </c>
      <c r="G540" s="1871">
        <f t="shared" si="17"/>
        <v>0</v>
      </c>
      <c r="H540" s="1173">
        <v>1.7204999999999999</v>
      </c>
      <c r="I540" s="3132" t="s">
        <v>0</v>
      </c>
    </row>
    <row r="541" spans="1:9" ht="16.5">
      <c r="A541" s="1874" t="s">
        <v>2505</v>
      </c>
      <c r="B541" s="3131" t="s">
        <v>8527</v>
      </c>
      <c r="C541" s="1842" t="s">
        <v>7993</v>
      </c>
      <c r="D541" s="2797"/>
      <c r="E541" s="2798"/>
      <c r="F541" s="2798">
        <f t="shared" si="16"/>
        <v>0</v>
      </c>
      <c r="G541" s="1871">
        <f t="shared" si="17"/>
        <v>0</v>
      </c>
      <c r="H541" s="1173">
        <v>0.83130000000000004</v>
      </c>
      <c r="I541" s="3132" t="s">
        <v>0</v>
      </c>
    </row>
    <row r="542" spans="1:9" ht="16.5">
      <c r="A542" s="1874" t="s">
        <v>2506</v>
      </c>
      <c r="B542" s="3131" t="s">
        <v>8528</v>
      </c>
      <c r="C542" s="1842" t="s">
        <v>7993</v>
      </c>
      <c r="D542" s="2797"/>
      <c r="E542" s="2798"/>
      <c r="F542" s="2798">
        <f t="shared" si="16"/>
        <v>0</v>
      </c>
      <c r="G542" s="1871">
        <f t="shared" si="17"/>
        <v>0</v>
      </c>
      <c r="H542" s="1173">
        <v>0.41970000000000002</v>
      </c>
      <c r="I542" s="3132" t="s">
        <v>0</v>
      </c>
    </row>
    <row r="543" spans="1:9" ht="16.5">
      <c r="A543" s="1874" t="s">
        <v>2507</v>
      </c>
      <c r="B543" s="3131" t="s">
        <v>8529</v>
      </c>
      <c r="C543" s="1842" t="s">
        <v>7993</v>
      </c>
      <c r="D543" s="2797"/>
      <c r="E543" s="2798"/>
      <c r="F543" s="2798">
        <f t="shared" si="16"/>
        <v>0</v>
      </c>
      <c r="G543" s="1871">
        <f t="shared" si="17"/>
        <v>0</v>
      </c>
      <c r="H543" s="1173">
        <v>0.59309999999999996</v>
      </c>
      <c r="I543" s="3132" t="s">
        <v>0</v>
      </c>
    </row>
    <row r="544" spans="1:9" ht="16.5">
      <c r="A544" s="1874" t="s">
        <v>2508</v>
      </c>
      <c r="B544" s="3131" t="s">
        <v>8530</v>
      </c>
      <c r="C544" s="1842" t="s">
        <v>7993</v>
      </c>
      <c r="D544" s="2797"/>
      <c r="E544" s="2798"/>
      <c r="F544" s="2798">
        <f t="shared" si="16"/>
        <v>0</v>
      </c>
      <c r="G544" s="1871">
        <f t="shared" si="17"/>
        <v>0</v>
      </c>
      <c r="H544" s="1173">
        <v>1.1338999999999999</v>
      </c>
      <c r="I544" s="3132" t="s">
        <v>0</v>
      </c>
    </row>
    <row r="545" spans="1:9" ht="16.5">
      <c r="A545" s="1874" t="s">
        <v>2509</v>
      </c>
      <c r="B545" s="3131" t="s">
        <v>8531</v>
      </c>
      <c r="C545" s="1842" t="s">
        <v>7993</v>
      </c>
      <c r="D545" s="2797"/>
      <c r="E545" s="2798"/>
      <c r="F545" s="2798">
        <f t="shared" si="16"/>
        <v>0</v>
      </c>
      <c r="G545" s="1871">
        <f t="shared" si="17"/>
        <v>0</v>
      </c>
      <c r="H545" s="1173">
        <v>1.4738</v>
      </c>
      <c r="I545" s="3132" t="s">
        <v>0</v>
      </c>
    </row>
    <row r="546" spans="1:9" ht="16.5">
      <c r="A546" s="1874" t="s">
        <v>2510</v>
      </c>
      <c r="B546" s="3131" t="s">
        <v>8532</v>
      </c>
      <c r="C546" s="1842" t="s">
        <v>7993</v>
      </c>
      <c r="D546" s="2797"/>
      <c r="E546" s="2798"/>
      <c r="F546" s="2798">
        <f t="shared" si="16"/>
        <v>0</v>
      </c>
      <c r="G546" s="1871">
        <f t="shared" si="17"/>
        <v>0</v>
      </c>
      <c r="H546" s="1173">
        <v>0.88390000000000002</v>
      </c>
      <c r="I546" s="3132" t="s">
        <v>0</v>
      </c>
    </row>
    <row r="547" spans="1:9" ht="16.5">
      <c r="A547" s="1874" t="s">
        <v>2511</v>
      </c>
      <c r="B547" s="3131" t="s">
        <v>8533</v>
      </c>
      <c r="C547" s="1842" t="s">
        <v>7993</v>
      </c>
      <c r="D547" s="2797"/>
      <c r="E547" s="2798"/>
      <c r="F547" s="2798">
        <f t="shared" si="16"/>
        <v>0</v>
      </c>
      <c r="G547" s="1871">
        <f t="shared" si="17"/>
        <v>0</v>
      </c>
      <c r="H547" s="1173">
        <v>0.44</v>
      </c>
      <c r="I547" s="3132" t="s">
        <v>0</v>
      </c>
    </row>
    <row r="548" spans="1:9" ht="16.5">
      <c r="A548" s="1874" t="s">
        <v>2512</v>
      </c>
      <c r="B548" s="3131" t="s">
        <v>8534</v>
      </c>
      <c r="C548" s="1842" t="s">
        <v>7993</v>
      </c>
      <c r="D548" s="2797"/>
      <c r="E548" s="2798"/>
      <c r="F548" s="2798">
        <f t="shared" si="16"/>
        <v>0</v>
      </c>
      <c r="G548" s="1871">
        <f t="shared" si="17"/>
        <v>0</v>
      </c>
      <c r="H548" s="1173">
        <v>0.23250000000000001</v>
      </c>
      <c r="I548" s="3132" t="s">
        <v>0</v>
      </c>
    </row>
    <row r="549" spans="1:9" ht="16.5">
      <c r="A549" s="1874" t="s">
        <v>2513</v>
      </c>
      <c r="B549" s="3131" t="s">
        <v>8535</v>
      </c>
      <c r="C549" s="1842" t="s">
        <v>7993</v>
      </c>
      <c r="D549" s="2797"/>
      <c r="E549" s="2798"/>
      <c r="F549" s="2798">
        <f t="shared" si="16"/>
        <v>0</v>
      </c>
      <c r="G549" s="1871">
        <f t="shared" si="17"/>
        <v>0</v>
      </c>
      <c r="H549" s="1173">
        <v>0.69840000000000002</v>
      </c>
      <c r="I549" s="3132" t="s">
        <v>0</v>
      </c>
    </row>
    <row r="550" spans="1:9" ht="16.5">
      <c r="A550" s="1874" t="s">
        <v>2514</v>
      </c>
      <c r="B550" s="3131" t="s">
        <v>8536</v>
      </c>
      <c r="C550" s="1842" t="s">
        <v>7993</v>
      </c>
      <c r="D550" s="2797"/>
      <c r="E550" s="2798"/>
      <c r="F550" s="2798">
        <f t="shared" si="16"/>
        <v>0</v>
      </c>
      <c r="G550" s="1871">
        <f t="shared" si="17"/>
        <v>0</v>
      </c>
      <c r="H550" s="1173">
        <v>1.7611000000000001</v>
      </c>
      <c r="I550" s="3132" t="s">
        <v>0</v>
      </c>
    </row>
    <row r="551" spans="1:9" ht="16.5">
      <c r="A551" s="1874" t="s">
        <v>2515</v>
      </c>
      <c r="B551" s="3131" t="s">
        <v>8537</v>
      </c>
      <c r="C551" s="1842" t="s">
        <v>7993</v>
      </c>
      <c r="D551" s="2797"/>
      <c r="E551" s="2798"/>
      <c r="F551" s="2798">
        <f t="shared" si="16"/>
        <v>0</v>
      </c>
      <c r="G551" s="1871">
        <f t="shared" si="17"/>
        <v>0</v>
      </c>
      <c r="H551" s="1173">
        <v>1.5204</v>
      </c>
      <c r="I551" s="3132" t="s">
        <v>0</v>
      </c>
    </row>
    <row r="552" spans="1:9" ht="16.5">
      <c r="A552" s="1874" t="s">
        <v>2516</v>
      </c>
      <c r="B552" s="3131" t="s">
        <v>8538</v>
      </c>
      <c r="C552" s="1842" t="s">
        <v>7993</v>
      </c>
      <c r="D552" s="2797"/>
      <c r="E552" s="2798"/>
      <c r="F552" s="2798">
        <f t="shared" si="16"/>
        <v>0</v>
      </c>
      <c r="G552" s="1871">
        <f t="shared" si="17"/>
        <v>0</v>
      </c>
      <c r="H552" s="1173">
        <v>0.57730000000000004</v>
      </c>
      <c r="I552" s="3132" t="s">
        <v>0</v>
      </c>
    </row>
    <row r="553" spans="1:9" ht="16.5">
      <c r="A553" s="1874" t="s">
        <v>2517</v>
      </c>
      <c r="B553" s="3131" t="s">
        <v>8539</v>
      </c>
      <c r="C553" s="1842" t="s">
        <v>7993</v>
      </c>
      <c r="D553" s="2797"/>
      <c r="E553" s="2798"/>
      <c r="F553" s="2798">
        <f t="shared" si="16"/>
        <v>0</v>
      </c>
      <c r="G553" s="1871">
        <f t="shared" si="17"/>
        <v>0</v>
      </c>
      <c r="H553" s="1173">
        <v>1.4197</v>
      </c>
      <c r="I553" s="3132" t="s">
        <v>0</v>
      </c>
    </row>
    <row r="554" spans="1:9" ht="16.5">
      <c r="A554" s="1874" t="s">
        <v>2518</v>
      </c>
      <c r="B554" s="3131" t="s">
        <v>8540</v>
      </c>
      <c r="C554" s="1842" t="s">
        <v>7993</v>
      </c>
      <c r="D554" s="2797"/>
      <c r="E554" s="2798"/>
      <c r="F554" s="2798">
        <f t="shared" si="16"/>
        <v>0</v>
      </c>
      <c r="G554" s="1871">
        <f t="shared" si="17"/>
        <v>0</v>
      </c>
      <c r="H554" s="1173">
        <v>1.7315</v>
      </c>
      <c r="I554" s="3132" t="s">
        <v>0</v>
      </c>
    </row>
    <row r="555" spans="1:9" ht="16.5">
      <c r="A555" s="1874" t="s">
        <v>2519</v>
      </c>
      <c r="B555" s="3131" t="s">
        <v>8541</v>
      </c>
      <c r="C555" s="1842" t="s">
        <v>7993</v>
      </c>
      <c r="D555" s="2797"/>
      <c r="E555" s="2798"/>
      <c r="F555" s="2798">
        <f t="shared" si="16"/>
        <v>0</v>
      </c>
      <c r="G555" s="1871">
        <f t="shared" si="17"/>
        <v>0</v>
      </c>
      <c r="H555" s="1173">
        <v>1.4557</v>
      </c>
      <c r="I555" s="3132" t="s">
        <v>0</v>
      </c>
    </row>
    <row r="556" spans="1:9" ht="16.5">
      <c r="A556" s="1874" t="s">
        <v>2520</v>
      </c>
      <c r="B556" s="3131" t="s">
        <v>8542</v>
      </c>
      <c r="C556" s="1842" t="s">
        <v>7993</v>
      </c>
      <c r="D556" s="2797"/>
      <c r="E556" s="2798"/>
      <c r="F556" s="2798">
        <f t="shared" si="16"/>
        <v>0</v>
      </c>
      <c r="G556" s="1871">
        <f t="shared" si="17"/>
        <v>0</v>
      </c>
      <c r="H556" s="1173">
        <v>1.0769</v>
      </c>
      <c r="I556" s="3132" t="s">
        <v>0</v>
      </c>
    </row>
    <row r="557" spans="1:9" ht="16.5">
      <c r="A557" s="1874" t="s">
        <v>2521</v>
      </c>
      <c r="B557" s="3131" t="s">
        <v>8543</v>
      </c>
      <c r="C557" s="1842" t="s">
        <v>7993</v>
      </c>
      <c r="D557" s="2797"/>
      <c r="E557" s="2798"/>
      <c r="F557" s="2798">
        <f t="shared" si="16"/>
        <v>0</v>
      </c>
      <c r="G557" s="1871">
        <f t="shared" si="17"/>
        <v>0</v>
      </c>
      <c r="H557" s="1173">
        <v>0.35580000000000001</v>
      </c>
      <c r="I557" s="3132" t="s">
        <v>0</v>
      </c>
    </row>
    <row r="558" spans="1:9" ht="16.5">
      <c r="A558" s="1874" t="s">
        <v>2522</v>
      </c>
      <c r="B558" s="3131" t="s">
        <v>8544</v>
      </c>
      <c r="C558" s="1842" t="s">
        <v>7993</v>
      </c>
      <c r="D558" s="2797"/>
      <c r="E558" s="2798"/>
      <c r="F558" s="2798">
        <f t="shared" si="16"/>
        <v>0</v>
      </c>
      <c r="G558" s="1871">
        <f t="shared" si="17"/>
        <v>0</v>
      </c>
      <c r="H558" s="1173">
        <v>1.5008999999999999</v>
      </c>
      <c r="I558" s="3132" t="s">
        <v>0</v>
      </c>
    </row>
    <row r="559" spans="1:9" ht="16.5">
      <c r="A559" s="1874" t="s">
        <v>2523</v>
      </c>
      <c r="B559" s="3131" t="s">
        <v>8545</v>
      </c>
      <c r="C559" s="1842" t="s">
        <v>7993</v>
      </c>
      <c r="D559" s="2797"/>
      <c r="E559" s="2798"/>
      <c r="F559" s="2798">
        <f t="shared" si="16"/>
        <v>0</v>
      </c>
      <c r="G559" s="1871">
        <f t="shared" si="17"/>
        <v>0</v>
      </c>
      <c r="H559" s="1173">
        <v>0.59670000000000001</v>
      </c>
      <c r="I559" s="3132" t="s">
        <v>0</v>
      </c>
    </row>
    <row r="560" spans="1:9" ht="16.5">
      <c r="A560" s="1874" t="s">
        <v>2524</v>
      </c>
      <c r="B560" s="3131" t="s">
        <v>8546</v>
      </c>
      <c r="C560" s="1842" t="s">
        <v>7993</v>
      </c>
      <c r="D560" s="2797"/>
      <c r="E560" s="2798"/>
      <c r="F560" s="2798">
        <f t="shared" si="16"/>
        <v>0</v>
      </c>
      <c r="G560" s="1871">
        <f t="shared" si="17"/>
        <v>0</v>
      </c>
      <c r="H560" s="1173">
        <v>0.87439999999999996</v>
      </c>
      <c r="I560" s="3132" t="s">
        <v>0</v>
      </c>
    </row>
    <row r="561" spans="1:9" ht="16.5">
      <c r="A561" s="1874" t="s">
        <v>2525</v>
      </c>
      <c r="B561" s="3131" t="s">
        <v>8547</v>
      </c>
      <c r="C561" s="1842" t="s">
        <v>7993</v>
      </c>
      <c r="D561" s="2797"/>
      <c r="E561" s="2798"/>
      <c r="F561" s="2798">
        <f t="shared" si="16"/>
        <v>0</v>
      </c>
      <c r="G561" s="1871">
        <f t="shared" si="17"/>
        <v>0</v>
      </c>
      <c r="H561" s="1173">
        <v>0.36549999999999999</v>
      </c>
      <c r="I561" s="3132" t="s">
        <v>0</v>
      </c>
    </row>
    <row r="562" spans="1:9" ht="16.5">
      <c r="A562" s="1874" t="s">
        <v>2526</v>
      </c>
      <c r="B562" s="3131" t="s">
        <v>8548</v>
      </c>
      <c r="C562" s="1842" t="s">
        <v>7993</v>
      </c>
      <c r="D562" s="2797"/>
      <c r="E562" s="2798"/>
      <c r="F562" s="2798">
        <f t="shared" si="16"/>
        <v>0</v>
      </c>
      <c r="G562" s="1871">
        <f t="shared" si="17"/>
        <v>0</v>
      </c>
      <c r="H562" s="1173">
        <v>1.0394000000000001</v>
      </c>
      <c r="I562" s="3132" t="s">
        <v>0</v>
      </c>
    </row>
    <row r="563" spans="1:9" ht="16.5">
      <c r="A563" s="1874" t="s">
        <v>2527</v>
      </c>
      <c r="B563" s="3131" t="s">
        <v>8549</v>
      </c>
      <c r="C563" s="1842" t="s">
        <v>7993</v>
      </c>
      <c r="D563" s="2797"/>
      <c r="E563" s="2798"/>
      <c r="F563" s="2798">
        <f t="shared" si="16"/>
        <v>0</v>
      </c>
      <c r="G563" s="1871">
        <f t="shared" si="17"/>
        <v>0</v>
      </c>
      <c r="H563" s="1173">
        <v>1.0008999999999999</v>
      </c>
      <c r="I563" s="3132" t="s">
        <v>0</v>
      </c>
    </row>
    <row r="564" spans="1:9" ht="16.5">
      <c r="A564" s="1874" t="s">
        <v>2528</v>
      </c>
      <c r="B564" s="3131" t="s">
        <v>8550</v>
      </c>
      <c r="C564" s="1842" t="s">
        <v>7993</v>
      </c>
      <c r="D564" s="2797"/>
      <c r="E564" s="2798"/>
      <c r="F564" s="2798">
        <f t="shared" si="16"/>
        <v>0</v>
      </c>
      <c r="G564" s="1871">
        <f t="shared" si="17"/>
        <v>0</v>
      </c>
      <c r="H564" s="1173">
        <v>0.50039999999999996</v>
      </c>
      <c r="I564" s="3132" t="s">
        <v>0</v>
      </c>
    </row>
    <row r="565" spans="1:9" ht="16.5">
      <c r="A565" s="1874" t="s">
        <v>2529</v>
      </c>
      <c r="B565" s="3131" t="s">
        <v>8551</v>
      </c>
      <c r="C565" s="1842" t="s">
        <v>7993</v>
      </c>
      <c r="D565" s="2797"/>
      <c r="E565" s="2798"/>
      <c r="F565" s="2798">
        <f t="shared" si="16"/>
        <v>0</v>
      </c>
      <c r="G565" s="1871">
        <f t="shared" si="17"/>
        <v>0</v>
      </c>
      <c r="H565" s="1173">
        <v>0.53029999999999999</v>
      </c>
      <c r="I565" s="3132" t="s">
        <v>0</v>
      </c>
    </row>
    <row r="566" spans="1:9" ht="16.5">
      <c r="A566" s="1874" t="s">
        <v>2530</v>
      </c>
      <c r="B566" s="3131" t="s">
        <v>8552</v>
      </c>
      <c r="C566" s="1842" t="s">
        <v>7993</v>
      </c>
      <c r="D566" s="2797"/>
      <c r="E566" s="2798"/>
      <c r="F566" s="2798">
        <f t="shared" si="16"/>
        <v>0</v>
      </c>
      <c r="G566" s="1871">
        <f t="shared" si="17"/>
        <v>0</v>
      </c>
      <c r="H566" s="1173">
        <v>0.35949999999999999</v>
      </c>
      <c r="I566" s="3132" t="s">
        <v>0</v>
      </c>
    </row>
    <row r="567" spans="1:9" ht="16.5">
      <c r="A567" s="1874" t="s">
        <v>2531</v>
      </c>
      <c r="B567" s="3131" t="s">
        <v>8553</v>
      </c>
      <c r="C567" s="1842" t="s">
        <v>7993</v>
      </c>
      <c r="D567" s="2797"/>
      <c r="E567" s="2798"/>
      <c r="F567" s="2798">
        <f t="shared" si="16"/>
        <v>0</v>
      </c>
      <c r="G567" s="1871">
        <f t="shared" si="17"/>
        <v>0</v>
      </c>
      <c r="H567" s="1173">
        <v>0.68540000000000001</v>
      </c>
      <c r="I567" s="3132" t="s">
        <v>0</v>
      </c>
    </row>
    <row r="568" spans="1:9" ht="16.5">
      <c r="A568" s="1874" t="s">
        <v>2532</v>
      </c>
      <c r="B568" s="3131" t="s">
        <v>8554</v>
      </c>
      <c r="C568" s="1842" t="s">
        <v>7993</v>
      </c>
      <c r="D568" s="2797"/>
      <c r="E568" s="2798"/>
      <c r="F568" s="2798">
        <f t="shared" si="16"/>
        <v>0</v>
      </c>
      <c r="G568" s="1871">
        <f t="shared" si="17"/>
        <v>0</v>
      </c>
      <c r="H568" s="1173">
        <v>1.1055999999999999</v>
      </c>
      <c r="I568" s="3132" t="s">
        <v>0</v>
      </c>
    </row>
    <row r="569" spans="1:9" ht="16.5">
      <c r="A569" s="1874" t="s">
        <v>2533</v>
      </c>
      <c r="B569" s="3131" t="s">
        <v>8555</v>
      </c>
      <c r="C569" s="1842" t="s">
        <v>7993</v>
      </c>
      <c r="D569" s="2797"/>
      <c r="E569" s="2798"/>
      <c r="F569" s="2798">
        <f t="shared" si="16"/>
        <v>0</v>
      </c>
      <c r="G569" s="1871">
        <f t="shared" si="17"/>
        <v>0</v>
      </c>
      <c r="H569" s="1173">
        <v>0.70720000000000005</v>
      </c>
      <c r="I569" s="3132" t="s">
        <v>0</v>
      </c>
    </row>
    <row r="570" spans="1:9" ht="16.5">
      <c r="A570" s="1874" t="s">
        <v>2534</v>
      </c>
      <c r="B570" s="3131" t="s">
        <v>8556</v>
      </c>
      <c r="C570" s="1842" t="s">
        <v>7993</v>
      </c>
      <c r="D570" s="2797"/>
      <c r="E570" s="2798"/>
      <c r="F570" s="2798">
        <f t="shared" si="16"/>
        <v>0</v>
      </c>
      <c r="G570" s="1871">
        <f t="shared" si="17"/>
        <v>0</v>
      </c>
      <c r="H570" s="1173">
        <v>1.1776</v>
      </c>
      <c r="I570" s="3132" t="s">
        <v>0</v>
      </c>
    </row>
    <row r="571" spans="1:9" ht="16.5">
      <c r="A571" s="1874" t="s">
        <v>2535</v>
      </c>
      <c r="B571" s="3131" t="s">
        <v>8557</v>
      </c>
      <c r="C571" s="1842" t="s">
        <v>7993</v>
      </c>
      <c r="D571" s="2797"/>
      <c r="E571" s="2798"/>
      <c r="F571" s="2798">
        <f t="shared" si="16"/>
        <v>0</v>
      </c>
      <c r="G571" s="1871">
        <f t="shared" si="17"/>
        <v>0</v>
      </c>
      <c r="H571" s="1173">
        <v>0.6502</v>
      </c>
      <c r="I571" s="3132" t="s">
        <v>0</v>
      </c>
    </row>
    <row r="572" spans="1:9" ht="16.5">
      <c r="A572" s="1874" t="s">
        <v>2536</v>
      </c>
      <c r="B572" s="3131" t="s">
        <v>8558</v>
      </c>
      <c r="C572" s="1842" t="s">
        <v>7993</v>
      </c>
      <c r="D572" s="2797"/>
      <c r="E572" s="2798"/>
      <c r="F572" s="2798">
        <f t="shared" si="16"/>
        <v>0</v>
      </c>
      <c r="G572" s="1871">
        <f t="shared" si="17"/>
        <v>0</v>
      </c>
      <c r="H572" s="1173">
        <v>1.2398</v>
      </c>
      <c r="I572" s="3132" t="s">
        <v>0</v>
      </c>
    </row>
    <row r="573" spans="1:9" ht="16.5">
      <c r="A573" s="1874" t="s">
        <v>2537</v>
      </c>
      <c r="B573" s="3131" t="s">
        <v>8559</v>
      </c>
      <c r="C573" s="1842" t="s">
        <v>7993</v>
      </c>
      <c r="D573" s="2798"/>
      <c r="E573" s="2798"/>
      <c r="F573" s="2798">
        <f t="shared" si="16"/>
        <v>0</v>
      </c>
      <c r="G573" s="1871">
        <f t="shared" si="17"/>
        <v>0</v>
      </c>
      <c r="H573" s="1173">
        <v>1.4653</v>
      </c>
      <c r="I573" s="3132" t="s">
        <v>0</v>
      </c>
    </row>
    <row r="574" spans="1:9" ht="16.5">
      <c r="A574" s="1874" t="s">
        <v>2538</v>
      </c>
      <c r="B574" s="3131" t="s">
        <v>8560</v>
      </c>
      <c r="C574" s="1842" t="s">
        <v>7993</v>
      </c>
      <c r="D574" s="2798"/>
      <c r="E574" s="2798"/>
      <c r="F574" s="2798">
        <f t="shared" si="16"/>
        <v>0</v>
      </c>
      <c r="G574" s="1871">
        <f t="shared" si="17"/>
        <v>0</v>
      </c>
      <c r="H574" s="1173">
        <v>1.2546999999999999</v>
      </c>
      <c r="I574" s="3132" t="s">
        <v>0</v>
      </c>
    </row>
    <row r="575" spans="1:9" ht="16.5">
      <c r="A575" s="1874" t="s">
        <v>2539</v>
      </c>
      <c r="B575" s="3131" t="s">
        <v>8561</v>
      </c>
      <c r="C575" s="1842" t="s">
        <v>7993</v>
      </c>
      <c r="D575" s="2798"/>
      <c r="E575" s="2798"/>
      <c r="F575" s="2798">
        <f t="shared" si="16"/>
        <v>0</v>
      </c>
      <c r="G575" s="1871">
        <f t="shared" si="17"/>
        <v>0</v>
      </c>
      <c r="H575" s="1173">
        <v>1.4426000000000001</v>
      </c>
      <c r="I575" s="3132" t="s">
        <v>0</v>
      </c>
    </row>
    <row r="576" spans="1:9" ht="16.5">
      <c r="A576" s="1874" t="s">
        <v>2540</v>
      </c>
      <c r="B576" s="3131" t="s">
        <v>8562</v>
      </c>
      <c r="C576" s="1842" t="s">
        <v>7993</v>
      </c>
      <c r="D576" s="2798"/>
      <c r="E576" s="2798"/>
      <c r="F576" s="2798">
        <f t="shared" si="16"/>
        <v>0</v>
      </c>
      <c r="G576" s="1871">
        <f t="shared" si="17"/>
        <v>0</v>
      </c>
      <c r="H576" s="1173">
        <v>0.71579999999999999</v>
      </c>
      <c r="I576" s="3132" t="s">
        <v>0</v>
      </c>
    </row>
    <row r="577" spans="1:9" ht="16.5">
      <c r="A577" s="1874" t="s">
        <v>2541</v>
      </c>
      <c r="B577" s="3131" t="s">
        <v>8563</v>
      </c>
      <c r="C577" s="1842" t="s">
        <v>7993</v>
      </c>
      <c r="D577" s="2798"/>
      <c r="E577" s="2798"/>
      <c r="F577" s="2798">
        <f t="shared" si="16"/>
        <v>0</v>
      </c>
      <c r="G577" s="1871">
        <f t="shared" si="17"/>
        <v>0</v>
      </c>
      <c r="H577" s="1173">
        <v>1.3019000000000001</v>
      </c>
      <c r="I577" s="3132" t="s">
        <v>0</v>
      </c>
    </row>
    <row r="578" spans="1:9" ht="16.5">
      <c r="A578" s="1874" t="s">
        <v>2542</v>
      </c>
      <c r="B578" s="3131" t="s">
        <v>8564</v>
      </c>
      <c r="C578" s="1842" t="s">
        <v>7993</v>
      </c>
      <c r="D578" s="2798"/>
      <c r="E578" s="2798"/>
      <c r="F578" s="2798">
        <f t="shared" si="16"/>
        <v>0</v>
      </c>
      <c r="G578" s="1871">
        <f t="shared" si="17"/>
        <v>0</v>
      </c>
      <c r="H578" s="1173">
        <v>8.8999999999999996E-2</v>
      </c>
      <c r="I578" s="3132" t="s">
        <v>0</v>
      </c>
    </row>
    <row r="579" spans="1:9" ht="16.5">
      <c r="A579" s="1874" t="s">
        <v>2543</v>
      </c>
      <c r="B579" s="3131" t="s">
        <v>8565</v>
      </c>
      <c r="C579" s="1842" t="s">
        <v>7993</v>
      </c>
      <c r="D579" s="2798"/>
      <c r="E579" s="2798"/>
      <c r="F579" s="2798">
        <f t="shared" si="16"/>
        <v>0</v>
      </c>
      <c r="G579" s="1871">
        <f t="shared" si="17"/>
        <v>0</v>
      </c>
      <c r="H579" s="1173">
        <v>1.3672</v>
      </c>
      <c r="I579" s="3132" t="s">
        <v>0</v>
      </c>
    </row>
    <row r="580" spans="1:9" ht="16.5">
      <c r="A580" s="1874" t="s">
        <v>2544</v>
      </c>
      <c r="B580" s="3131" t="s">
        <v>8566</v>
      </c>
      <c r="C580" s="1842" t="s">
        <v>7993</v>
      </c>
      <c r="D580" s="2798"/>
      <c r="E580" s="2798"/>
      <c r="F580" s="2798">
        <f t="shared" si="16"/>
        <v>0</v>
      </c>
      <c r="G580" s="1871">
        <f t="shared" si="17"/>
        <v>0</v>
      </c>
      <c r="H580" s="1173">
        <v>1.2961</v>
      </c>
      <c r="I580" s="3132" t="s">
        <v>0</v>
      </c>
    </row>
    <row r="581" spans="1:9" ht="16.5">
      <c r="A581" s="1874" t="s">
        <v>2545</v>
      </c>
      <c r="B581" s="3131" t="s">
        <v>8567</v>
      </c>
      <c r="C581" s="1842" t="s">
        <v>7993</v>
      </c>
      <c r="D581" s="2798"/>
      <c r="E581" s="2798"/>
      <c r="F581" s="2798">
        <f t="shared" ref="F581:F644" si="18">D581*E581</f>
        <v>0</v>
      </c>
      <c r="G581" s="1871">
        <f t="shared" ref="G581:G644" si="19">IF($F$855=0,0,F581/$F$855)</f>
        <v>0</v>
      </c>
      <c r="H581" s="1173">
        <v>1.0763</v>
      </c>
      <c r="I581" s="3132" t="s">
        <v>0</v>
      </c>
    </row>
    <row r="582" spans="1:9" ht="16.5">
      <c r="A582" s="1874" t="s">
        <v>2546</v>
      </c>
      <c r="B582" s="3131" t="s">
        <v>8568</v>
      </c>
      <c r="C582" s="1842" t="s">
        <v>7993</v>
      </c>
      <c r="D582" s="2798"/>
      <c r="E582" s="2798"/>
      <c r="F582" s="2798">
        <f t="shared" si="18"/>
        <v>0</v>
      </c>
      <c r="G582" s="1871">
        <f t="shared" si="19"/>
        <v>0</v>
      </c>
      <c r="H582" s="1173">
        <v>0.49080000000000001</v>
      </c>
      <c r="I582" s="3132" t="s">
        <v>0</v>
      </c>
    </row>
    <row r="583" spans="1:9" ht="16.5">
      <c r="A583" s="1874" t="s">
        <v>2547</v>
      </c>
      <c r="B583" s="3131" t="s">
        <v>8569</v>
      </c>
      <c r="C583" s="1842" t="s">
        <v>7993</v>
      </c>
      <c r="D583" s="2798"/>
      <c r="E583" s="2798"/>
      <c r="F583" s="2798">
        <f t="shared" si="18"/>
        <v>0</v>
      </c>
      <c r="G583" s="1871">
        <f t="shared" si="19"/>
        <v>0</v>
      </c>
      <c r="H583" s="1173">
        <v>1.0687</v>
      </c>
      <c r="I583" s="3132" t="s">
        <v>0</v>
      </c>
    </row>
    <row r="584" spans="1:9" ht="16.5">
      <c r="A584" s="1874" t="s">
        <v>2548</v>
      </c>
      <c r="B584" s="3131" t="s">
        <v>8570</v>
      </c>
      <c r="C584" s="1842" t="s">
        <v>7993</v>
      </c>
      <c r="D584" s="2798"/>
      <c r="E584" s="2798"/>
      <c r="F584" s="2798">
        <f t="shared" si="18"/>
        <v>0</v>
      </c>
      <c r="G584" s="1871">
        <f t="shared" si="19"/>
        <v>0</v>
      </c>
      <c r="H584" s="1173">
        <v>0.71650000000000003</v>
      </c>
      <c r="I584" s="3132" t="s">
        <v>0</v>
      </c>
    </row>
    <row r="585" spans="1:9" ht="16.5">
      <c r="A585" s="1874" t="s">
        <v>2549</v>
      </c>
      <c r="B585" s="3131" t="s">
        <v>8571</v>
      </c>
      <c r="C585" s="1842" t="s">
        <v>7993</v>
      </c>
      <c r="D585" s="2798"/>
      <c r="E585" s="2798"/>
      <c r="F585" s="2798">
        <f t="shared" si="18"/>
        <v>0</v>
      </c>
      <c r="G585" s="1871">
        <f t="shared" si="19"/>
        <v>0</v>
      </c>
      <c r="H585" s="1173">
        <v>0.91190000000000004</v>
      </c>
      <c r="I585" s="3132" t="s">
        <v>0</v>
      </c>
    </row>
    <row r="586" spans="1:9" ht="16.5">
      <c r="A586" s="1874" t="s">
        <v>2550</v>
      </c>
      <c r="B586" s="3131" t="s">
        <v>8572</v>
      </c>
      <c r="C586" s="1842" t="s">
        <v>7993</v>
      </c>
      <c r="D586" s="2798"/>
      <c r="E586" s="2798"/>
      <c r="F586" s="2798">
        <f t="shared" si="18"/>
        <v>0</v>
      </c>
      <c r="G586" s="1871">
        <f t="shared" si="19"/>
        <v>0</v>
      </c>
      <c r="H586" s="1173">
        <v>1.0265</v>
      </c>
      <c r="I586" s="3132" t="s">
        <v>0</v>
      </c>
    </row>
    <row r="587" spans="1:9" ht="16.5">
      <c r="A587" s="1874" t="s">
        <v>2551</v>
      </c>
      <c r="B587" s="3131" t="s">
        <v>8573</v>
      </c>
      <c r="C587" s="1842" t="s">
        <v>7993</v>
      </c>
      <c r="D587" s="2798"/>
      <c r="E587" s="2798"/>
      <c r="F587" s="2798">
        <f t="shared" si="18"/>
        <v>0</v>
      </c>
      <c r="G587" s="1871">
        <f t="shared" si="19"/>
        <v>0</v>
      </c>
      <c r="H587" s="1173">
        <v>1.68</v>
      </c>
      <c r="I587" s="3132" t="s">
        <v>0</v>
      </c>
    </row>
    <row r="588" spans="1:9" ht="16.5">
      <c r="A588" s="1874" t="s">
        <v>2553</v>
      </c>
      <c r="B588" s="3131" t="s">
        <v>8574</v>
      </c>
      <c r="C588" s="1842" t="s">
        <v>7993</v>
      </c>
      <c r="D588" s="2798"/>
      <c r="E588" s="2798"/>
      <c r="F588" s="2798">
        <f t="shared" si="18"/>
        <v>0</v>
      </c>
      <c r="G588" s="1871">
        <f t="shared" si="19"/>
        <v>0</v>
      </c>
      <c r="H588" s="1173">
        <v>0.82989999999999997</v>
      </c>
      <c r="I588" s="3132" t="s">
        <v>0</v>
      </c>
    </row>
    <row r="589" spans="1:9" ht="16.5">
      <c r="A589" s="1874" t="s">
        <v>2554</v>
      </c>
      <c r="B589" s="3131" t="s">
        <v>8575</v>
      </c>
      <c r="C589" s="1842" t="s">
        <v>7993</v>
      </c>
      <c r="D589" s="2798"/>
      <c r="E589" s="2798"/>
      <c r="F589" s="2798">
        <f t="shared" si="18"/>
        <v>0</v>
      </c>
      <c r="G589" s="1871">
        <f t="shared" si="19"/>
        <v>0</v>
      </c>
      <c r="H589" s="1173">
        <v>1.1075999999999999</v>
      </c>
      <c r="I589" s="3132" t="s">
        <v>0</v>
      </c>
    </row>
    <row r="590" spans="1:9" ht="16.5">
      <c r="A590" s="1874" t="s">
        <v>2556</v>
      </c>
      <c r="B590" s="3131" t="s">
        <v>8576</v>
      </c>
      <c r="C590" s="1842" t="s">
        <v>7993</v>
      </c>
      <c r="D590" s="2798"/>
      <c r="E590" s="2798"/>
      <c r="F590" s="2798">
        <f t="shared" si="18"/>
        <v>0</v>
      </c>
      <c r="G590" s="1871">
        <f t="shared" si="19"/>
        <v>0</v>
      </c>
      <c r="H590" s="1173">
        <v>0.95530000000000004</v>
      </c>
      <c r="I590" s="3132" t="s">
        <v>0</v>
      </c>
    </row>
    <row r="591" spans="1:9" ht="16.5">
      <c r="A591" s="1874" t="s">
        <v>2558</v>
      </c>
      <c r="B591" s="3131" t="s">
        <v>8577</v>
      </c>
      <c r="C591" s="1842" t="s">
        <v>7993</v>
      </c>
      <c r="D591" s="2798"/>
      <c r="E591" s="2798"/>
      <c r="F591" s="2798">
        <f t="shared" si="18"/>
        <v>0</v>
      </c>
      <c r="G591" s="1871">
        <f t="shared" si="19"/>
        <v>0</v>
      </c>
      <c r="H591" s="1173">
        <v>0.74329999999999996</v>
      </c>
      <c r="I591" s="3132" t="s">
        <v>0</v>
      </c>
    </row>
    <row r="592" spans="1:9" ht="16.5">
      <c r="A592" s="1874" t="s">
        <v>2559</v>
      </c>
      <c r="B592" s="3131" t="s">
        <v>8578</v>
      </c>
      <c r="C592" s="1842" t="s">
        <v>7993</v>
      </c>
      <c r="D592" s="2798"/>
      <c r="E592" s="2798"/>
      <c r="F592" s="2798">
        <f t="shared" si="18"/>
        <v>0</v>
      </c>
      <c r="G592" s="1871">
        <f t="shared" si="19"/>
        <v>0</v>
      </c>
      <c r="H592" s="1173">
        <v>1.6867000000000001</v>
      </c>
      <c r="I592" s="3132" t="s">
        <v>0</v>
      </c>
    </row>
    <row r="593" spans="1:9" ht="16.5">
      <c r="A593" s="1874" t="s">
        <v>2560</v>
      </c>
      <c r="B593" s="3131" t="s">
        <v>8579</v>
      </c>
      <c r="C593" s="1842" t="s">
        <v>7993</v>
      </c>
      <c r="D593" s="2798"/>
      <c r="E593" s="2798"/>
      <c r="F593" s="2798">
        <f t="shared" si="18"/>
        <v>0</v>
      </c>
      <c r="G593" s="1871">
        <f t="shared" si="19"/>
        <v>0</v>
      </c>
      <c r="H593" s="1173">
        <v>0.64370000000000005</v>
      </c>
      <c r="I593" s="3132" t="s">
        <v>0</v>
      </c>
    </row>
    <row r="594" spans="1:9" ht="16.5">
      <c r="A594" s="1874" t="s">
        <v>2561</v>
      </c>
      <c r="B594" s="3131" t="s">
        <v>8580</v>
      </c>
      <c r="C594" s="1842" t="s">
        <v>7993</v>
      </c>
      <c r="D594" s="2798"/>
      <c r="E594" s="2798"/>
      <c r="F594" s="2798">
        <f t="shared" si="18"/>
        <v>0</v>
      </c>
      <c r="G594" s="1871">
        <f t="shared" si="19"/>
        <v>0</v>
      </c>
      <c r="H594" s="1173">
        <v>0.82010000000000005</v>
      </c>
      <c r="I594" s="3132" t="s">
        <v>0</v>
      </c>
    </row>
    <row r="595" spans="1:9" ht="16.5">
      <c r="A595" s="1874" t="s">
        <v>2562</v>
      </c>
      <c r="B595" s="3131" t="s">
        <v>8581</v>
      </c>
      <c r="C595" s="1842" t="s">
        <v>7993</v>
      </c>
      <c r="D595" s="2798"/>
      <c r="E595" s="2798"/>
      <c r="F595" s="2798">
        <f t="shared" si="18"/>
        <v>0</v>
      </c>
      <c r="G595" s="1871">
        <f t="shared" si="19"/>
        <v>0</v>
      </c>
      <c r="H595" s="1173">
        <v>0.90390000000000004</v>
      </c>
      <c r="I595" s="3132" t="s">
        <v>0</v>
      </c>
    </row>
    <row r="596" spans="1:9" ht="16.5">
      <c r="A596" s="1874" t="s">
        <v>2564</v>
      </c>
      <c r="B596" s="3131" t="s">
        <v>8582</v>
      </c>
      <c r="C596" s="1842" t="s">
        <v>7993</v>
      </c>
      <c r="D596" s="2798"/>
      <c r="E596" s="2798"/>
      <c r="F596" s="2798">
        <f t="shared" si="18"/>
        <v>0</v>
      </c>
      <c r="G596" s="1871">
        <f t="shared" si="19"/>
        <v>0</v>
      </c>
      <c r="H596" s="1173">
        <v>0.5504</v>
      </c>
      <c r="I596" s="3132" t="s">
        <v>0</v>
      </c>
    </row>
    <row r="597" spans="1:9" ht="16.5">
      <c r="A597" s="1874" t="s">
        <v>2565</v>
      </c>
      <c r="B597" s="3131" t="s">
        <v>8583</v>
      </c>
      <c r="C597" s="1842" t="s">
        <v>7993</v>
      </c>
      <c r="D597" s="2798"/>
      <c r="E597" s="2798"/>
      <c r="F597" s="2798">
        <f t="shared" si="18"/>
        <v>0</v>
      </c>
      <c r="G597" s="1871">
        <f t="shared" si="19"/>
        <v>0</v>
      </c>
      <c r="H597" s="1173">
        <v>1.3068</v>
      </c>
      <c r="I597" s="3132" t="s">
        <v>0</v>
      </c>
    </row>
    <row r="598" spans="1:9" ht="16.5">
      <c r="A598" s="1874" t="s">
        <v>2566</v>
      </c>
      <c r="B598" s="3131" t="s">
        <v>8584</v>
      </c>
      <c r="C598" s="1842" t="s">
        <v>7993</v>
      </c>
      <c r="D598" s="2798"/>
      <c r="E598" s="2798"/>
      <c r="F598" s="2798">
        <f t="shared" si="18"/>
        <v>0</v>
      </c>
      <c r="G598" s="1871">
        <f t="shared" si="19"/>
        <v>0</v>
      </c>
      <c r="H598" s="1173">
        <v>0.56200000000000006</v>
      </c>
      <c r="I598" s="3132" t="s">
        <v>0</v>
      </c>
    </row>
    <row r="599" spans="1:9" ht="16.5">
      <c r="A599" s="1874" t="s">
        <v>2567</v>
      </c>
      <c r="B599" s="3131" t="s">
        <v>8585</v>
      </c>
      <c r="C599" s="1842" t="s">
        <v>7993</v>
      </c>
      <c r="D599" s="2798"/>
      <c r="E599" s="2798"/>
      <c r="F599" s="2798">
        <f t="shared" si="18"/>
        <v>0</v>
      </c>
      <c r="G599" s="1871">
        <f t="shared" si="19"/>
        <v>0</v>
      </c>
      <c r="H599" s="1173">
        <v>0.84799999999999998</v>
      </c>
      <c r="I599" s="3132" t="s">
        <v>0</v>
      </c>
    </row>
    <row r="600" spans="1:9" ht="16.5">
      <c r="A600" s="1874" t="s">
        <v>2568</v>
      </c>
      <c r="B600" s="3131" t="s">
        <v>8586</v>
      </c>
      <c r="C600" s="1842" t="s">
        <v>7993</v>
      </c>
      <c r="D600" s="2798"/>
      <c r="E600" s="2798"/>
      <c r="F600" s="2798">
        <f t="shared" si="18"/>
        <v>0</v>
      </c>
      <c r="G600" s="1871">
        <f t="shared" si="19"/>
        <v>0</v>
      </c>
      <c r="H600" s="1173">
        <v>0.79930000000000001</v>
      </c>
      <c r="I600" s="3132" t="s">
        <v>0</v>
      </c>
    </row>
    <row r="601" spans="1:9" ht="16.5">
      <c r="A601" s="1874" t="s">
        <v>2569</v>
      </c>
      <c r="B601" s="3131" t="s">
        <v>8587</v>
      </c>
      <c r="C601" s="1842" t="s">
        <v>7993</v>
      </c>
      <c r="D601" s="2798"/>
      <c r="E601" s="2798"/>
      <c r="F601" s="2798">
        <f t="shared" si="18"/>
        <v>0</v>
      </c>
      <c r="G601" s="1871">
        <f t="shared" si="19"/>
        <v>0</v>
      </c>
      <c r="H601" s="1173">
        <v>1.1748000000000001</v>
      </c>
      <c r="I601" s="3132" t="s">
        <v>0</v>
      </c>
    </row>
    <row r="602" spans="1:9" ht="16.5">
      <c r="A602" s="1874" t="s">
        <v>2570</v>
      </c>
      <c r="B602" s="3131" t="s">
        <v>8588</v>
      </c>
      <c r="C602" s="1842" t="s">
        <v>7993</v>
      </c>
      <c r="D602" s="2798"/>
      <c r="E602" s="2798"/>
      <c r="F602" s="2798">
        <f t="shared" si="18"/>
        <v>0</v>
      </c>
      <c r="G602" s="1871">
        <f t="shared" si="19"/>
        <v>0</v>
      </c>
      <c r="H602" s="1173">
        <v>0.50029999999999997</v>
      </c>
      <c r="I602" s="3132" t="s">
        <v>0</v>
      </c>
    </row>
    <row r="603" spans="1:9" ht="16.5">
      <c r="A603" s="1874" t="s">
        <v>2571</v>
      </c>
      <c r="B603" s="3131" t="s">
        <v>8589</v>
      </c>
      <c r="C603" s="1842" t="s">
        <v>7993</v>
      </c>
      <c r="D603" s="2798"/>
      <c r="E603" s="2798"/>
      <c r="F603" s="2798">
        <f t="shared" si="18"/>
        <v>0</v>
      </c>
      <c r="G603" s="1871">
        <f t="shared" si="19"/>
        <v>0</v>
      </c>
      <c r="H603" s="1173">
        <v>0.64559999999999995</v>
      </c>
      <c r="I603" s="3132" t="s">
        <v>0</v>
      </c>
    </row>
    <row r="604" spans="1:9" ht="16.5">
      <c r="A604" s="1874" t="s">
        <v>2572</v>
      </c>
      <c r="B604" s="3131" t="s">
        <v>8590</v>
      </c>
      <c r="C604" s="1842" t="s">
        <v>7993</v>
      </c>
      <c r="D604" s="2798"/>
      <c r="E604" s="2798"/>
      <c r="F604" s="2798">
        <f t="shared" si="18"/>
        <v>0</v>
      </c>
      <c r="G604" s="1871">
        <f t="shared" si="19"/>
        <v>0</v>
      </c>
      <c r="H604" s="1173">
        <v>0.41099999999999998</v>
      </c>
      <c r="I604" s="3132" t="s">
        <v>0</v>
      </c>
    </row>
    <row r="605" spans="1:9" ht="16.5">
      <c r="A605" s="1874" t="s">
        <v>2573</v>
      </c>
      <c r="B605" s="3131" t="s">
        <v>8591</v>
      </c>
      <c r="C605" s="1842" t="s">
        <v>7993</v>
      </c>
      <c r="D605" s="2798"/>
      <c r="E605" s="2798"/>
      <c r="F605" s="2798">
        <f t="shared" si="18"/>
        <v>0</v>
      </c>
      <c r="G605" s="1871">
        <f t="shared" si="19"/>
        <v>0</v>
      </c>
      <c r="H605" s="1173">
        <v>0.3322</v>
      </c>
      <c r="I605" s="3132" t="s">
        <v>0</v>
      </c>
    </row>
    <row r="606" spans="1:9" ht="16.5">
      <c r="A606" s="1874" t="s">
        <v>2574</v>
      </c>
      <c r="B606" s="3131" t="s">
        <v>8592</v>
      </c>
      <c r="C606" s="1842" t="s">
        <v>7993</v>
      </c>
      <c r="D606" s="2798"/>
      <c r="E606" s="2798"/>
      <c r="F606" s="2798">
        <f t="shared" si="18"/>
        <v>0</v>
      </c>
      <c r="G606" s="1871">
        <f t="shared" si="19"/>
        <v>0</v>
      </c>
      <c r="H606" s="1173">
        <v>0.65759999999999996</v>
      </c>
      <c r="I606" s="3132" t="s">
        <v>0</v>
      </c>
    </row>
    <row r="607" spans="1:9" ht="16.5">
      <c r="A607" s="1874" t="s">
        <v>2575</v>
      </c>
      <c r="B607" s="3131" t="s">
        <v>8593</v>
      </c>
      <c r="C607" s="1842" t="s">
        <v>7993</v>
      </c>
      <c r="D607" s="2798"/>
      <c r="E607" s="2798"/>
      <c r="F607" s="2798">
        <f t="shared" si="18"/>
        <v>0</v>
      </c>
      <c r="G607" s="1871">
        <f t="shared" si="19"/>
        <v>0</v>
      </c>
      <c r="H607" s="1173">
        <v>1.091</v>
      </c>
      <c r="I607" s="3132" t="s">
        <v>0</v>
      </c>
    </row>
    <row r="608" spans="1:9" ht="16.5">
      <c r="A608" s="1874" t="s">
        <v>2576</v>
      </c>
      <c r="B608" s="3131" t="s">
        <v>8594</v>
      </c>
      <c r="C608" s="1842" t="s">
        <v>7993</v>
      </c>
      <c r="D608" s="2798"/>
      <c r="E608" s="2798"/>
      <c r="F608" s="2798">
        <f t="shared" si="18"/>
        <v>0</v>
      </c>
      <c r="G608" s="1871">
        <f t="shared" si="19"/>
        <v>0</v>
      </c>
      <c r="H608" s="1173">
        <v>0.72319999999999995</v>
      </c>
      <c r="I608" s="3132" t="s">
        <v>0</v>
      </c>
    </row>
    <row r="609" spans="1:9" ht="16.5">
      <c r="A609" s="1874" t="s">
        <v>2577</v>
      </c>
      <c r="B609" s="3131" t="s">
        <v>8595</v>
      </c>
      <c r="C609" s="1842" t="s">
        <v>7993</v>
      </c>
      <c r="D609" s="2798"/>
      <c r="E609" s="2798"/>
      <c r="F609" s="2798">
        <f t="shared" si="18"/>
        <v>0</v>
      </c>
      <c r="G609" s="1871">
        <f t="shared" si="19"/>
        <v>0</v>
      </c>
      <c r="H609" s="1173">
        <v>0.33279999999999998</v>
      </c>
      <c r="I609" s="3132" t="s">
        <v>0</v>
      </c>
    </row>
    <row r="610" spans="1:9" ht="16.5">
      <c r="A610" s="1874" t="s">
        <v>3332</v>
      </c>
      <c r="B610" s="3131" t="s">
        <v>8596</v>
      </c>
      <c r="C610" s="1842" t="s">
        <v>7993</v>
      </c>
      <c r="D610" s="2798"/>
      <c r="E610" s="2798"/>
      <c r="F610" s="2798">
        <f t="shared" si="18"/>
        <v>0</v>
      </c>
      <c r="G610" s="1871">
        <f t="shared" si="19"/>
        <v>0</v>
      </c>
      <c r="H610" s="1173">
        <v>1.1673</v>
      </c>
      <c r="I610" s="3132" t="s">
        <v>0</v>
      </c>
    </row>
    <row r="611" spans="1:9" ht="16.5">
      <c r="A611" s="1874" t="s">
        <v>2578</v>
      </c>
      <c r="B611" s="3131" t="s">
        <v>8597</v>
      </c>
      <c r="C611" s="1842" t="s">
        <v>7993</v>
      </c>
      <c r="D611" s="2798"/>
      <c r="E611" s="2798"/>
      <c r="F611" s="2798">
        <f t="shared" si="18"/>
        <v>0</v>
      </c>
      <c r="G611" s="1871">
        <f t="shared" si="19"/>
        <v>0</v>
      </c>
      <c r="H611" s="1173">
        <v>0.59689999999999999</v>
      </c>
      <c r="I611" s="3132" t="s">
        <v>0</v>
      </c>
    </row>
    <row r="612" spans="1:9" ht="16.5">
      <c r="A612" s="1874" t="s">
        <v>2579</v>
      </c>
      <c r="B612" s="3131" t="s">
        <v>8598</v>
      </c>
      <c r="C612" s="1842" t="s">
        <v>7993</v>
      </c>
      <c r="D612" s="2798"/>
      <c r="E612" s="2798"/>
      <c r="F612" s="2798">
        <f t="shared" si="18"/>
        <v>0</v>
      </c>
      <c r="G612" s="1871">
        <f t="shared" si="19"/>
        <v>0</v>
      </c>
      <c r="H612" s="1173">
        <v>0.32400000000000001</v>
      </c>
      <c r="I612" s="3132" t="s">
        <v>0</v>
      </c>
    </row>
    <row r="613" spans="1:9" ht="16.5">
      <c r="A613" s="1874" t="s">
        <v>2580</v>
      </c>
      <c r="B613" s="3131" t="s">
        <v>8599</v>
      </c>
      <c r="C613" s="1842" t="s">
        <v>7993</v>
      </c>
      <c r="D613" s="2798"/>
      <c r="E613" s="2798"/>
      <c r="F613" s="2798">
        <f t="shared" si="18"/>
        <v>0</v>
      </c>
      <c r="G613" s="1871">
        <f t="shared" si="19"/>
        <v>0</v>
      </c>
      <c r="H613" s="1173">
        <v>1.4403999999999999</v>
      </c>
      <c r="I613" s="3132" t="s">
        <v>0</v>
      </c>
    </row>
    <row r="614" spans="1:9" ht="16.5">
      <c r="A614" s="1874" t="s">
        <v>2581</v>
      </c>
      <c r="B614" s="3131" t="s">
        <v>8600</v>
      </c>
      <c r="C614" s="1842" t="s">
        <v>7993</v>
      </c>
      <c r="D614" s="2798"/>
      <c r="E614" s="2798"/>
      <c r="F614" s="2798">
        <f t="shared" si="18"/>
        <v>0</v>
      </c>
      <c r="G614" s="1871">
        <f t="shared" si="19"/>
        <v>0</v>
      </c>
      <c r="H614" s="1173">
        <v>1.4432</v>
      </c>
      <c r="I614" s="3132" t="s">
        <v>0</v>
      </c>
    </row>
    <row r="615" spans="1:9" ht="16.5">
      <c r="A615" s="1874" t="s">
        <v>2582</v>
      </c>
      <c r="B615" s="3131" t="s">
        <v>8601</v>
      </c>
      <c r="C615" s="1842" t="s">
        <v>7993</v>
      </c>
      <c r="D615" s="2798"/>
      <c r="E615" s="2798"/>
      <c r="F615" s="2798">
        <f t="shared" si="18"/>
        <v>0</v>
      </c>
      <c r="G615" s="1871">
        <f t="shared" si="19"/>
        <v>0</v>
      </c>
      <c r="H615" s="1173">
        <v>1.2161999999999999</v>
      </c>
      <c r="I615" s="3132" t="s">
        <v>0</v>
      </c>
    </row>
    <row r="616" spans="1:9" ht="16.5">
      <c r="A616" s="1874" t="s">
        <v>2583</v>
      </c>
      <c r="B616" s="3131" t="s">
        <v>8602</v>
      </c>
      <c r="C616" s="1842" t="s">
        <v>7993</v>
      </c>
      <c r="D616" s="2798"/>
      <c r="E616" s="2798"/>
      <c r="F616" s="2798">
        <f t="shared" si="18"/>
        <v>0</v>
      </c>
      <c r="G616" s="1871">
        <f t="shared" si="19"/>
        <v>0</v>
      </c>
      <c r="H616" s="1173">
        <v>0.98219999999999996</v>
      </c>
      <c r="I616" s="3132" t="s">
        <v>0</v>
      </c>
    </row>
    <row r="617" spans="1:9" ht="16.5">
      <c r="A617" s="1874" t="s">
        <v>2584</v>
      </c>
      <c r="B617" s="3131" t="s">
        <v>8603</v>
      </c>
      <c r="C617" s="1842" t="s">
        <v>7993</v>
      </c>
      <c r="D617" s="2798"/>
      <c r="E617" s="2798"/>
      <c r="F617" s="2798">
        <f t="shared" si="18"/>
        <v>0</v>
      </c>
      <c r="G617" s="1871">
        <f t="shared" si="19"/>
        <v>0</v>
      </c>
      <c r="H617" s="1173">
        <v>0.60540000000000005</v>
      </c>
      <c r="I617" s="3132" t="s">
        <v>0</v>
      </c>
    </row>
    <row r="618" spans="1:9" ht="16.5">
      <c r="A618" s="1874" t="s">
        <v>3333</v>
      </c>
      <c r="B618" s="3131" t="s">
        <v>8604</v>
      </c>
      <c r="C618" s="1842" t="s">
        <v>7993</v>
      </c>
      <c r="D618" s="2798"/>
      <c r="E618" s="2798"/>
      <c r="F618" s="2798">
        <f t="shared" si="18"/>
        <v>0</v>
      </c>
      <c r="G618" s="1871">
        <f t="shared" si="19"/>
        <v>0</v>
      </c>
      <c r="H618" s="1173">
        <v>1.6348</v>
      </c>
      <c r="I618" s="3132" t="s">
        <v>0</v>
      </c>
    </row>
    <row r="619" spans="1:9" ht="16.5">
      <c r="A619" s="1874" t="s">
        <v>2585</v>
      </c>
      <c r="B619" s="3131" t="s">
        <v>8605</v>
      </c>
      <c r="C619" s="1842" t="s">
        <v>7993</v>
      </c>
      <c r="D619" s="2798"/>
      <c r="E619" s="2798"/>
      <c r="F619" s="2798">
        <f t="shared" si="18"/>
        <v>0</v>
      </c>
      <c r="G619" s="1871">
        <f t="shared" si="19"/>
        <v>0</v>
      </c>
      <c r="H619" s="1173">
        <v>0.83289999999999997</v>
      </c>
      <c r="I619" s="3132" t="s">
        <v>0</v>
      </c>
    </row>
    <row r="620" spans="1:9" ht="16.5">
      <c r="A620" s="1874" t="s">
        <v>2586</v>
      </c>
      <c r="B620" s="3131" t="s">
        <v>8606</v>
      </c>
      <c r="C620" s="1842" t="s">
        <v>7993</v>
      </c>
      <c r="D620" s="2798"/>
      <c r="E620" s="2798"/>
      <c r="F620" s="2798">
        <f t="shared" si="18"/>
        <v>0</v>
      </c>
      <c r="G620" s="1871">
        <f t="shared" si="19"/>
        <v>0</v>
      </c>
      <c r="H620" s="1173">
        <v>1.0392999999999999</v>
      </c>
      <c r="I620" s="3132" t="s">
        <v>0</v>
      </c>
    </row>
    <row r="621" spans="1:9" ht="16.5">
      <c r="A621" s="1874" t="s">
        <v>2587</v>
      </c>
      <c r="B621" s="3131" t="s">
        <v>8607</v>
      </c>
      <c r="C621" s="1842" t="s">
        <v>7993</v>
      </c>
      <c r="D621" s="2798"/>
      <c r="E621" s="2798"/>
      <c r="F621" s="2798">
        <f t="shared" si="18"/>
        <v>0</v>
      </c>
      <c r="G621" s="1871">
        <f t="shared" si="19"/>
        <v>0</v>
      </c>
      <c r="H621" s="1173">
        <v>0.88070000000000004</v>
      </c>
      <c r="I621" s="3132" t="s">
        <v>0</v>
      </c>
    </row>
    <row r="622" spans="1:9" ht="16.5">
      <c r="A622" s="1874" t="s">
        <v>2588</v>
      </c>
      <c r="B622" s="3131" t="s">
        <v>8608</v>
      </c>
      <c r="C622" s="1842" t="s">
        <v>7993</v>
      </c>
      <c r="D622" s="2798"/>
      <c r="E622" s="2798"/>
      <c r="F622" s="2798">
        <f t="shared" si="18"/>
        <v>0</v>
      </c>
      <c r="G622" s="1871">
        <f t="shared" si="19"/>
        <v>0</v>
      </c>
      <c r="H622" s="1173">
        <v>0.70979999999999999</v>
      </c>
      <c r="I622" s="3132" t="s">
        <v>0</v>
      </c>
    </row>
    <row r="623" spans="1:9" ht="16.5">
      <c r="A623" s="1874" t="s">
        <v>2589</v>
      </c>
      <c r="B623" s="3131" t="s">
        <v>8609</v>
      </c>
      <c r="C623" s="1842" t="s">
        <v>7993</v>
      </c>
      <c r="D623" s="2798"/>
      <c r="E623" s="2798"/>
      <c r="F623" s="2798">
        <f t="shared" si="18"/>
        <v>0</v>
      </c>
      <c r="G623" s="1871">
        <f t="shared" si="19"/>
        <v>0</v>
      </c>
      <c r="H623" s="1173">
        <v>0.56420000000000003</v>
      </c>
      <c r="I623" s="3132" t="s">
        <v>0</v>
      </c>
    </row>
    <row r="624" spans="1:9" ht="16.5">
      <c r="A624" s="1874" t="s">
        <v>2590</v>
      </c>
      <c r="B624" s="3131" t="s">
        <v>8610</v>
      </c>
      <c r="C624" s="1842" t="s">
        <v>7993</v>
      </c>
      <c r="D624" s="2798"/>
      <c r="E624" s="2798"/>
      <c r="F624" s="2798">
        <f t="shared" si="18"/>
        <v>0</v>
      </c>
      <c r="G624" s="1871">
        <f t="shared" si="19"/>
        <v>0</v>
      </c>
      <c r="H624" s="1173">
        <v>0.97599999999999998</v>
      </c>
      <c r="I624" s="3132" t="s">
        <v>0</v>
      </c>
    </row>
    <row r="625" spans="1:9" ht="16.5">
      <c r="A625" s="1874" t="s">
        <v>2591</v>
      </c>
      <c r="B625" s="3131" t="s">
        <v>8611</v>
      </c>
      <c r="C625" s="1842" t="s">
        <v>7993</v>
      </c>
      <c r="D625" s="2798"/>
      <c r="E625" s="2798"/>
      <c r="F625" s="2798">
        <f t="shared" si="18"/>
        <v>0</v>
      </c>
      <c r="G625" s="1871">
        <f t="shared" si="19"/>
        <v>0</v>
      </c>
      <c r="H625" s="1173">
        <v>1.0992999999999999</v>
      </c>
      <c r="I625" s="3132" t="s">
        <v>0</v>
      </c>
    </row>
    <row r="626" spans="1:9" ht="16.5">
      <c r="A626" s="1874" t="s">
        <v>2592</v>
      </c>
      <c r="B626" s="3131" t="s">
        <v>8612</v>
      </c>
      <c r="C626" s="1842" t="s">
        <v>7993</v>
      </c>
      <c r="D626" s="2798"/>
      <c r="E626" s="2798"/>
      <c r="F626" s="2798">
        <f t="shared" si="18"/>
        <v>0</v>
      </c>
      <c r="G626" s="1871">
        <f t="shared" si="19"/>
        <v>0</v>
      </c>
      <c r="H626" s="1173">
        <v>1.2888999999999999</v>
      </c>
      <c r="I626" s="3132" t="s">
        <v>0</v>
      </c>
    </row>
    <row r="627" spans="1:9" ht="16.5">
      <c r="A627" s="1874" t="s">
        <v>2593</v>
      </c>
      <c r="B627" s="3131" t="s">
        <v>8613</v>
      </c>
      <c r="C627" s="1842" t="s">
        <v>7993</v>
      </c>
      <c r="D627" s="2798"/>
      <c r="E627" s="2798"/>
      <c r="F627" s="2798">
        <f t="shared" si="18"/>
        <v>0</v>
      </c>
      <c r="G627" s="1871">
        <f t="shared" si="19"/>
        <v>0</v>
      </c>
      <c r="H627" s="1173">
        <v>-9.5899999999999999E-2</v>
      </c>
      <c r="I627" s="3132" t="s">
        <v>0</v>
      </c>
    </row>
    <row r="628" spans="1:9" ht="16.5">
      <c r="A628" s="1874" t="s">
        <v>2594</v>
      </c>
      <c r="B628" s="3131" t="s">
        <v>8614</v>
      </c>
      <c r="C628" s="1842" t="s">
        <v>7993</v>
      </c>
      <c r="D628" s="2798"/>
      <c r="E628" s="2798"/>
      <c r="F628" s="2798">
        <f t="shared" si="18"/>
        <v>0</v>
      </c>
      <c r="G628" s="1871">
        <f t="shared" si="19"/>
        <v>0</v>
      </c>
      <c r="H628" s="1173">
        <v>0.73599999999999999</v>
      </c>
      <c r="I628" s="3132" t="s">
        <v>0</v>
      </c>
    </row>
    <row r="629" spans="1:9" ht="16.5">
      <c r="A629" s="1874" t="s">
        <v>2595</v>
      </c>
      <c r="B629" s="3131" t="s">
        <v>8615</v>
      </c>
      <c r="C629" s="1842" t="s">
        <v>7993</v>
      </c>
      <c r="D629" s="2798"/>
      <c r="E629" s="2798"/>
      <c r="F629" s="2798">
        <f t="shared" si="18"/>
        <v>0</v>
      </c>
      <c r="G629" s="1871">
        <f t="shared" si="19"/>
        <v>0</v>
      </c>
      <c r="H629" s="1173">
        <v>0.83660000000000001</v>
      </c>
      <c r="I629" s="3132" t="s">
        <v>0</v>
      </c>
    </row>
    <row r="630" spans="1:9" ht="16.5">
      <c r="A630" s="1874" t="s">
        <v>2596</v>
      </c>
      <c r="B630" s="3131" t="s">
        <v>8616</v>
      </c>
      <c r="C630" s="1842" t="s">
        <v>7993</v>
      </c>
      <c r="D630" s="2798"/>
      <c r="E630" s="2798"/>
      <c r="F630" s="2798">
        <f t="shared" si="18"/>
        <v>0</v>
      </c>
      <c r="G630" s="1871">
        <f t="shared" si="19"/>
        <v>0</v>
      </c>
      <c r="H630" s="1173">
        <v>0.98699999999999999</v>
      </c>
      <c r="I630" s="3132" t="s">
        <v>0</v>
      </c>
    </row>
    <row r="631" spans="1:9" ht="16.5">
      <c r="A631" s="1874" t="s">
        <v>3532</v>
      </c>
      <c r="B631" s="3131" t="s">
        <v>8617</v>
      </c>
      <c r="C631" s="1842" t="s">
        <v>7993</v>
      </c>
      <c r="D631" s="2798"/>
      <c r="E631" s="2798"/>
      <c r="F631" s="2798">
        <f t="shared" si="18"/>
        <v>0</v>
      </c>
      <c r="G631" s="1871">
        <f t="shared" si="19"/>
        <v>0</v>
      </c>
      <c r="H631" s="1173">
        <v>1.613</v>
      </c>
      <c r="I631" s="3132" t="s">
        <v>0</v>
      </c>
    </row>
    <row r="632" spans="1:9" ht="16.5">
      <c r="A632" s="1874" t="s">
        <v>2597</v>
      </c>
      <c r="B632" s="3131" t="s">
        <v>8618</v>
      </c>
      <c r="C632" s="1842" t="s">
        <v>7993</v>
      </c>
      <c r="D632" s="2798"/>
      <c r="E632" s="2798"/>
      <c r="F632" s="2798">
        <f t="shared" si="18"/>
        <v>0</v>
      </c>
      <c r="G632" s="1871">
        <f t="shared" si="19"/>
        <v>0</v>
      </c>
      <c r="H632" s="1173">
        <v>0.7591</v>
      </c>
      <c r="I632" s="3121" t="s">
        <v>0</v>
      </c>
    </row>
    <row r="633" spans="1:9" ht="16.5">
      <c r="A633" s="1874" t="s">
        <v>2598</v>
      </c>
      <c r="B633" s="3131" t="s">
        <v>8619</v>
      </c>
      <c r="C633" s="1842" t="s">
        <v>7993</v>
      </c>
      <c r="D633" s="2798"/>
      <c r="E633" s="2798"/>
      <c r="F633" s="2798">
        <f t="shared" si="18"/>
        <v>0</v>
      </c>
      <c r="G633" s="1871">
        <f t="shared" si="19"/>
        <v>0</v>
      </c>
      <c r="H633" s="1173">
        <v>0.7782</v>
      </c>
      <c r="I633" s="3132" t="s">
        <v>0</v>
      </c>
    </row>
    <row r="634" spans="1:9" ht="16.5">
      <c r="A634" s="1874" t="s">
        <v>2599</v>
      </c>
      <c r="B634" s="3131" t="s">
        <v>8620</v>
      </c>
      <c r="C634" s="1842" t="s">
        <v>7993</v>
      </c>
      <c r="D634" s="2798"/>
      <c r="E634" s="2798"/>
      <c r="F634" s="2798">
        <f t="shared" si="18"/>
        <v>0</v>
      </c>
      <c r="G634" s="1871">
        <f t="shared" si="19"/>
        <v>0</v>
      </c>
      <c r="H634" s="1173">
        <v>0.38</v>
      </c>
      <c r="I634" s="3132" t="s">
        <v>0</v>
      </c>
    </row>
    <row r="635" spans="1:9" ht="16.5">
      <c r="A635" s="1874" t="s">
        <v>2600</v>
      </c>
      <c r="B635" s="3131" t="s">
        <v>8621</v>
      </c>
      <c r="C635" s="1842" t="s">
        <v>7993</v>
      </c>
      <c r="D635" s="2798"/>
      <c r="E635" s="2798"/>
      <c r="F635" s="2798">
        <f t="shared" si="18"/>
        <v>0</v>
      </c>
      <c r="G635" s="1871">
        <f t="shared" si="19"/>
        <v>0</v>
      </c>
      <c r="H635" s="1173">
        <v>1.1458999999999999</v>
      </c>
      <c r="I635" s="3132" t="s">
        <v>0</v>
      </c>
    </row>
    <row r="636" spans="1:9" ht="16.5">
      <c r="A636" s="1874" t="s">
        <v>2601</v>
      </c>
      <c r="B636" s="3131" t="s">
        <v>8622</v>
      </c>
      <c r="C636" s="1842" t="s">
        <v>7993</v>
      </c>
      <c r="D636" s="2798"/>
      <c r="E636" s="2798"/>
      <c r="F636" s="2798">
        <f t="shared" si="18"/>
        <v>0</v>
      </c>
      <c r="G636" s="1871">
        <f t="shared" si="19"/>
        <v>0</v>
      </c>
      <c r="H636" s="1173">
        <v>0.4773</v>
      </c>
      <c r="I636" s="3132" t="s">
        <v>0</v>
      </c>
    </row>
    <row r="637" spans="1:9" ht="16.5">
      <c r="A637" s="1874" t="s">
        <v>2602</v>
      </c>
      <c r="B637" s="3131" t="s">
        <v>8623</v>
      </c>
      <c r="C637" s="1842" t="s">
        <v>7993</v>
      </c>
      <c r="D637" s="2798"/>
      <c r="E637" s="2798"/>
      <c r="F637" s="2798">
        <f t="shared" si="18"/>
        <v>0</v>
      </c>
      <c r="G637" s="1871">
        <f t="shared" si="19"/>
        <v>0</v>
      </c>
      <c r="H637" s="1173">
        <v>0.88680000000000003</v>
      </c>
      <c r="I637" s="3132" t="s">
        <v>0</v>
      </c>
    </row>
    <row r="638" spans="1:9" ht="16.5">
      <c r="A638" s="1874" t="s">
        <v>2603</v>
      </c>
      <c r="B638" s="3131" t="s">
        <v>8624</v>
      </c>
      <c r="C638" s="1842" t="s">
        <v>7993</v>
      </c>
      <c r="D638" s="2798"/>
      <c r="E638" s="2798"/>
      <c r="F638" s="2798">
        <f t="shared" si="18"/>
        <v>0</v>
      </c>
      <c r="G638" s="1871">
        <f t="shared" si="19"/>
        <v>0</v>
      </c>
      <c r="H638" s="1173">
        <v>1.0793999999999999</v>
      </c>
      <c r="I638" s="3132" t="s">
        <v>0</v>
      </c>
    </row>
    <row r="639" spans="1:9" ht="16.5">
      <c r="A639" s="1874" t="s">
        <v>2604</v>
      </c>
      <c r="B639" s="3131" t="s">
        <v>8625</v>
      </c>
      <c r="C639" s="1842" t="s">
        <v>7993</v>
      </c>
      <c r="D639" s="2798"/>
      <c r="E639" s="2798"/>
      <c r="F639" s="2798">
        <f t="shared" si="18"/>
        <v>0</v>
      </c>
      <c r="G639" s="1871">
        <f t="shared" si="19"/>
        <v>0</v>
      </c>
      <c r="H639" s="1173">
        <v>0.79139999999999999</v>
      </c>
      <c r="I639" s="3132" t="s">
        <v>0</v>
      </c>
    </row>
    <row r="640" spans="1:9" ht="16.5">
      <c r="A640" s="1874" t="s">
        <v>2605</v>
      </c>
      <c r="B640" s="3131" t="s">
        <v>8626</v>
      </c>
      <c r="C640" s="1842" t="s">
        <v>7993</v>
      </c>
      <c r="D640" s="2798"/>
      <c r="E640" s="2798"/>
      <c r="F640" s="2798">
        <f t="shared" si="18"/>
        <v>0</v>
      </c>
      <c r="G640" s="1871">
        <f t="shared" si="19"/>
        <v>0</v>
      </c>
      <c r="H640" s="1173">
        <v>0.92530000000000001</v>
      </c>
      <c r="I640" s="3132" t="s">
        <v>0</v>
      </c>
    </row>
    <row r="641" spans="1:9" ht="16.5">
      <c r="A641" s="1874" t="s">
        <v>2606</v>
      </c>
      <c r="B641" s="3131" t="s">
        <v>8627</v>
      </c>
      <c r="C641" s="1842" t="s">
        <v>7993</v>
      </c>
      <c r="D641" s="2798"/>
      <c r="E641" s="2798"/>
      <c r="F641" s="2798">
        <f t="shared" si="18"/>
        <v>0</v>
      </c>
      <c r="G641" s="1871">
        <f t="shared" si="19"/>
        <v>0</v>
      </c>
      <c r="H641" s="1173">
        <v>0.73499999999999999</v>
      </c>
      <c r="I641" s="3132" t="s">
        <v>0</v>
      </c>
    </row>
    <row r="642" spans="1:9" ht="16.5">
      <c r="A642" s="1874" t="s">
        <v>2607</v>
      </c>
      <c r="B642" s="3131" t="s">
        <v>8628</v>
      </c>
      <c r="C642" s="1842" t="s">
        <v>7993</v>
      </c>
      <c r="D642" s="2798"/>
      <c r="E642" s="2798"/>
      <c r="F642" s="2798">
        <f t="shared" si="18"/>
        <v>0</v>
      </c>
      <c r="G642" s="1871">
        <f t="shared" si="19"/>
        <v>0</v>
      </c>
      <c r="H642" s="1173">
        <v>0.5534</v>
      </c>
      <c r="I642" s="3132" t="s">
        <v>0</v>
      </c>
    </row>
    <row r="643" spans="1:9" ht="16.5">
      <c r="A643" s="1874" t="s">
        <v>6145</v>
      </c>
      <c r="B643" s="3131" t="s">
        <v>8629</v>
      </c>
      <c r="C643" s="1842" t="s">
        <v>7993</v>
      </c>
      <c r="D643" s="2798"/>
      <c r="E643" s="2798"/>
      <c r="F643" s="2798">
        <f t="shared" si="18"/>
        <v>0</v>
      </c>
      <c r="G643" s="1871">
        <f t="shared" si="19"/>
        <v>0</v>
      </c>
      <c r="H643" s="1173">
        <v>1</v>
      </c>
      <c r="I643" s="3132" t="s">
        <v>7998</v>
      </c>
    </row>
    <row r="644" spans="1:9" ht="16.5">
      <c r="A644" s="1874" t="s">
        <v>2608</v>
      </c>
      <c r="B644" s="3131" t="s">
        <v>8630</v>
      </c>
      <c r="C644" s="1842" t="s">
        <v>7993</v>
      </c>
      <c r="D644" s="2798"/>
      <c r="E644" s="2798"/>
      <c r="F644" s="2798">
        <f t="shared" si="18"/>
        <v>0</v>
      </c>
      <c r="G644" s="1871">
        <f t="shared" si="19"/>
        <v>0</v>
      </c>
      <c r="H644" s="1173">
        <v>9.98E-2</v>
      </c>
      <c r="I644" s="3132" t="s">
        <v>0</v>
      </c>
    </row>
    <row r="645" spans="1:9" ht="16.5">
      <c r="A645" s="1874" t="s">
        <v>2609</v>
      </c>
      <c r="B645" s="3131" t="s">
        <v>8631</v>
      </c>
      <c r="C645" s="1842" t="s">
        <v>7993</v>
      </c>
      <c r="D645" s="2798"/>
      <c r="E645" s="2798"/>
      <c r="F645" s="2798">
        <f t="shared" ref="F645:F708" si="20">D645*E645</f>
        <v>0</v>
      </c>
      <c r="G645" s="1871">
        <f t="shared" ref="G645:G708" si="21">IF($F$855=0,0,F645/$F$855)</f>
        <v>0</v>
      </c>
      <c r="H645" s="1173">
        <v>0.84119999999999995</v>
      </c>
      <c r="I645" s="3132" t="s">
        <v>0</v>
      </c>
    </row>
    <row r="646" spans="1:9" ht="16.5">
      <c r="A646" s="1874" t="s">
        <v>6146</v>
      </c>
      <c r="B646" s="3131" t="s">
        <v>8632</v>
      </c>
      <c r="C646" s="1842" t="s">
        <v>7993</v>
      </c>
      <c r="D646" s="2798"/>
      <c r="E646" s="2798"/>
      <c r="F646" s="2798">
        <f t="shared" si="20"/>
        <v>0</v>
      </c>
      <c r="G646" s="1871">
        <f t="shared" si="21"/>
        <v>0</v>
      </c>
      <c r="H646" s="1173">
        <v>1</v>
      </c>
      <c r="I646" s="3132" t="s">
        <v>7998</v>
      </c>
    </row>
    <row r="647" spans="1:9" ht="16.5">
      <c r="A647" s="1874" t="s">
        <v>2610</v>
      </c>
      <c r="B647" s="3131" t="s">
        <v>8633</v>
      </c>
      <c r="C647" s="1842" t="s">
        <v>7993</v>
      </c>
      <c r="D647" s="2798"/>
      <c r="E647" s="2798"/>
      <c r="F647" s="2798">
        <f t="shared" si="20"/>
        <v>0</v>
      </c>
      <c r="G647" s="1871">
        <f t="shared" si="21"/>
        <v>0</v>
      </c>
      <c r="H647" s="1173">
        <v>1.8546</v>
      </c>
      <c r="I647" s="3121" t="s">
        <v>0</v>
      </c>
    </row>
    <row r="648" spans="1:9" ht="16.5">
      <c r="A648" s="1874" t="s">
        <v>2611</v>
      </c>
      <c r="B648" s="3131" t="s">
        <v>8634</v>
      </c>
      <c r="C648" s="1842" t="s">
        <v>7993</v>
      </c>
      <c r="D648" s="2798"/>
      <c r="E648" s="2798"/>
      <c r="F648" s="2798">
        <f t="shared" si="20"/>
        <v>0</v>
      </c>
      <c r="G648" s="1871">
        <f t="shared" si="21"/>
        <v>0</v>
      </c>
      <c r="H648" s="1173">
        <v>0.76060000000000005</v>
      </c>
      <c r="I648" s="3132" t="s">
        <v>0</v>
      </c>
    </row>
    <row r="649" spans="1:9" ht="16.5">
      <c r="A649" s="1874" t="s">
        <v>2612</v>
      </c>
      <c r="B649" s="3131" t="s">
        <v>3334</v>
      </c>
      <c r="C649" s="1842" t="s">
        <v>7993</v>
      </c>
      <c r="D649" s="2798"/>
      <c r="E649" s="2798"/>
      <c r="F649" s="2798">
        <f t="shared" si="20"/>
        <v>0</v>
      </c>
      <c r="G649" s="1871">
        <f t="shared" si="21"/>
        <v>0</v>
      </c>
      <c r="H649" s="1173">
        <v>1.6033999999999999</v>
      </c>
      <c r="I649" s="3121" t="s">
        <v>0</v>
      </c>
    </row>
    <row r="650" spans="1:9" ht="16.5">
      <c r="A650" s="1874" t="s">
        <v>2613</v>
      </c>
      <c r="B650" s="3131" t="s">
        <v>8635</v>
      </c>
      <c r="C650" s="1842" t="s">
        <v>7993</v>
      </c>
      <c r="D650" s="2798"/>
      <c r="E650" s="2798"/>
      <c r="F650" s="2798">
        <f t="shared" si="20"/>
        <v>0</v>
      </c>
      <c r="G650" s="1871">
        <f t="shared" si="21"/>
        <v>0</v>
      </c>
      <c r="H650" s="1173">
        <v>0.56269999999999998</v>
      </c>
      <c r="I650" s="3132" t="s">
        <v>0</v>
      </c>
    </row>
    <row r="651" spans="1:9" ht="16.5">
      <c r="A651" s="1874" t="s">
        <v>3231</v>
      </c>
      <c r="B651" s="3131" t="s">
        <v>8636</v>
      </c>
      <c r="C651" s="1842" t="s">
        <v>7993</v>
      </c>
      <c r="D651" s="2798"/>
      <c r="E651" s="2798"/>
      <c r="F651" s="2798">
        <f t="shared" si="20"/>
        <v>0</v>
      </c>
      <c r="G651" s="1871">
        <f t="shared" si="21"/>
        <v>0</v>
      </c>
      <c r="H651" s="1173">
        <v>0.95889999999999997</v>
      </c>
      <c r="I651" s="3132" t="s">
        <v>0</v>
      </c>
    </row>
    <row r="652" spans="1:9" ht="16.5">
      <c r="A652" s="1874" t="s">
        <v>2614</v>
      </c>
      <c r="B652" s="3131" t="s">
        <v>8637</v>
      </c>
      <c r="C652" s="1842" t="s">
        <v>7993</v>
      </c>
      <c r="D652" s="2798"/>
      <c r="E652" s="2798"/>
      <c r="F652" s="2798">
        <f t="shared" si="20"/>
        <v>0</v>
      </c>
      <c r="G652" s="1871">
        <f t="shared" si="21"/>
        <v>0</v>
      </c>
      <c r="H652" s="1173">
        <v>0.33989999999999998</v>
      </c>
      <c r="I652" s="3132" t="s">
        <v>0</v>
      </c>
    </row>
    <row r="653" spans="1:9" ht="16.5">
      <c r="A653" s="1874" t="s">
        <v>3232</v>
      </c>
      <c r="B653" s="3131" t="s">
        <v>8638</v>
      </c>
      <c r="C653" s="1842" t="s">
        <v>7993</v>
      </c>
      <c r="D653" s="2798"/>
      <c r="E653" s="2798"/>
      <c r="F653" s="2798">
        <f t="shared" si="20"/>
        <v>0</v>
      </c>
      <c r="G653" s="1871">
        <f t="shared" si="21"/>
        <v>0</v>
      </c>
      <c r="H653" s="1173">
        <v>0.71509999999999996</v>
      </c>
      <c r="I653" s="3132" t="s">
        <v>0</v>
      </c>
    </row>
    <row r="654" spans="1:9" ht="16.5">
      <c r="A654" s="1874" t="s">
        <v>2615</v>
      </c>
      <c r="B654" s="3131" t="s">
        <v>8639</v>
      </c>
      <c r="C654" s="1842" t="s">
        <v>7993</v>
      </c>
      <c r="D654" s="2798"/>
      <c r="E654" s="2798"/>
      <c r="F654" s="2798">
        <f t="shared" si="20"/>
        <v>0</v>
      </c>
      <c r="G654" s="1871">
        <f t="shared" si="21"/>
        <v>0</v>
      </c>
      <c r="H654" s="1173">
        <v>0.2641</v>
      </c>
      <c r="I654" s="3132" t="s">
        <v>0</v>
      </c>
    </row>
    <row r="655" spans="1:9" ht="16.5">
      <c r="A655" s="1874" t="s">
        <v>2616</v>
      </c>
      <c r="B655" s="3131" t="s">
        <v>8640</v>
      </c>
      <c r="C655" s="1842" t="s">
        <v>7993</v>
      </c>
      <c r="D655" s="2798"/>
      <c r="E655" s="2798"/>
      <c r="F655" s="2798">
        <f t="shared" si="20"/>
        <v>0</v>
      </c>
      <c r="G655" s="1871">
        <f t="shared" si="21"/>
        <v>0</v>
      </c>
      <c r="H655" s="1173">
        <v>1.4943</v>
      </c>
      <c r="I655" s="3132" t="s">
        <v>0</v>
      </c>
    </row>
    <row r="656" spans="1:9" ht="16.5">
      <c r="A656" s="1874" t="s">
        <v>2617</v>
      </c>
      <c r="B656" s="3131" t="s">
        <v>8641</v>
      </c>
      <c r="C656" s="1842" t="s">
        <v>7993</v>
      </c>
      <c r="D656" s="2798"/>
      <c r="E656" s="2798"/>
      <c r="F656" s="2798">
        <f t="shared" si="20"/>
        <v>0</v>
      </c>
      <c r="G656" s="1871">
        <f t="shared" si="21"/>
        <v>0</v>
      </c>
      <c r="H656" s="1173">
        <v>1.6900999999999999</v>
      </c>
      <c r="I656" s="3121" t="s">
        <v>0</v>
      </c>
    </row>
    <row r="657" spans="1:9" ht="16.5">
      <c r="A657" s="1874" t="s">
        <v>2618</v>
      </c>
      <c r="B657" s="3131" t="s">
        <v>8642</v>
      </c>
      <c r="C657" s="1842" t="s">
        <v>7993</v>
      </c>
      <c r="D657" s="2798"/>
      <c r="E657" s="2798"/>
      <c r="F657" s="2798">
        <f t="shared" si="20"/>
        <v>0</v>
      </c>
      <c r="G657" s="1871">
        <f t="shared" si="21"/>
        <v>0</v>
      </c>
      <c r="H657" s="1173">
        <v>1.2547999999999999</v>
      </c>
      <c r="I657" s="3132" t="s">
        <v>0</v>
      </c>
    </row>
    <row r="658" spans="1:9" ht="16.5">
      <c r="A658" s="1874" t="s">
        <v>2619</v>
      </c>
      <c r="B658" s="3131" t="s">
        <v>8643</v>
      </c>
      <c r="C658" s="1842" t="s">
        <v>7993</v>
      </c>
      <c r="D658" s="2798"/>
      <c r="E658" s="2798"/>
      <c r="F658" s="2798">
        <f t="shared" si="20"/>
        <v>0</v>
      </c>
      <c r="G658" s="1871">
        <f t="shared" si="21"/>
        <v>0</v>
      </c>
      <c r="H658" s="1173">
        <v>0.71179999999999999</v>
      </c>
      <c r="I658" s="3132" t="s">
        <v>0</v>
      </c>
    </row>
    <row r="659" spans="1:9" ht="16.5">
      <c r="A659" s="1874" t="s">
        <v>2620</v>
      </c>
      <c r="B659" s="3131" t="s">
        <v>8644</v>
      </c>
      <c r="C659" s="1842" t="s">
        <v>7993</v>
      </c>
      <c r="D659" s="2798"/>
      <c r="E659" s="2798"/>
      <c r="F659" s="2798">
        <f t="shared" si="20"/>
        <v>0</v>
      </c>
      <c r="G659" s="1871">
        <f t="shared" si="21"/>
        <v>0</v>
      </c>
      <c r="H659" s="1173">
        <v>1.4096</v>
      </c>
      <c r="I659" s="3121" t="s">
        <v>0</v>
      </c>
    </row>
    <row r="660" spans="1:9" ht="16.5">
      <c r="A660" s="1874" t="s">
        <v>3233</v>
      </c>
      <c r="B660" s="3131" t="s">
        <v>8645</v>
      </c>
      <c r="C660" s="1842" t="s">
        <v>7993</v>
      </c>
      <c r="D660" s="2798"/>
      <c r="E660" s="2798"/>
      <c r="F660" s="2798">
        <f t="shared" si="20"/>
        <v>0</v>
      </c>
      <c r="G660" s="1871">
        <f t="shared" si="21"/>
        <v>0</v>
      </c>
      <c r="H660" s="1173">
        <v>1.3068</v>
      </c>
      <c r="I660" s="3121" t="s">
        <v>0</v>
      </c>
    </row>
    <row r="661" spans="1:9" ht="16.5">
      <c r="A661" s="1874" t="s">
        <v>2621</v>
      </c>
      <c r="B661" s="3131" t="s">
        <v>8646</v>
      </c>
      <c r="C661" s="1842" t="s">
        <v>7993</v>
      </c>
      <c r="D661" s="2798"/>
      <c r="E661" s="2798"/>
      <c r="F661" s="2798">
        <f t="shared" si="20"/>
        <v>0</v>
      </c>
      <c r="G661" s="1871">
        <f t="shared" si="21"/>
        <v>0</v>
      </c>
      <c r="H661" s="1173">
        <v>0.70640000000000003</v>
      </c>
      <c r="I661" s="3121" t="s">
        <v>0</v>
      </c>
    </row>
    <row r="662" spans="1:9" ht="16.5">
      <c r="A662" s="1874" t="s">
        <v>6147</v>
      </c>
      <c r="B662" s="3131" t="s">
        <v>8647</v>
      </c>
      <c r="C662" s="1842" t="s">
        <v>7993</v>
      </c>
      <c r="D662" s="2798"/>
      <c r="E662" s="2798"/>
      <c r="F662" s="2798">
        <f t="shared" si="20"/>
        <v>0</v>
      </c>
      <c r="G662" s="1871">
        <f t="shared" si="21"/>
        <v>0</v>
      </c>
      <c r="H662" s="1173">
        <v>1</v>
      </c>
      <c r="I662" s="3121" t="s">
        <v>7998</v>
      </c>
    </row>
    <row r="663" spans="1:9" ht="16.5">
      <c r="A663" s="1874" t="s">
        <v>3335</v>
      </c>
      <c r="B663" s="3131" t="s">
        <v>8648</v>
      </c>
      <c r="C663" s="1842" t="s">
        <v>7993</v>
      </c>
      <c r="D663" s="2798"/>
      <c r="E663" s="2798"/>
      <c r="F663" s="2798">
        <f t="shared" si="20"/>
        <v>0</v>
      </c>
      <c r="G663" s="1871">
        <f t="shared" si="21"/>
        <v>0</v>
      </c>
      <c r="H663" s="1173">
        <v>0.66869999999999996</v>
      </c>
      <c r="I663" s="3121" t="s">
        <v>0</v>
      </c>
    </row>
    <row r="664" spans="1:9" ht="16.5">
      <c r="A664" s="1874" t="s">
        <v>2622</v>
      </c>
      <c r="B664" s="3131" t="s">
        <v>8649</v>
      </c>
      <c r="C664" s="1842" t="s">
        <v>7993</v>
      </c>
      <c r="D664" s="2798"/>
      <c r="E664" s="2798"/>
      <c r="F664" s="2798">
        <f t="shared" si="20"/>
        <v>0</v>
      </c>
      <c r="G664" s="1871">
        <f t="shared" si="21"/>
        <v>0</v>
      </c>
      <c r="H664" s="1173">
        <v>0.59699999999999998</v>
      </c>
      <c r="I664" s="3121" t="s">
        <v>0</v>
      </c>
    </row>
    <row r="665" spans="1:9" ht="16.5">
      <c r="A665" s="1874" t="s">
        <v>2623</v>
      </c>
      <c r="B665" s="3131" t="s">
        <v>8650</v>
      </c>
      <c r="C665" s="1842" t="s">
        <v>7993</v>
      </c>
      <c r="D665" s="2798"/>
      <c r="E665" s="2798"/>
      <c r="F665" s="2798">
        <f t="shared" si="20"/>
        <v>0</v>
      </c>
      <c r="G665" s="1871">
        <f t="shared" si="21"/>
        <v>0</v>
      </c>
      <c r="H665" s="1173">
        <v>0.80820000000000003</v>
      </c>
      <c r="I665" s="3121" t="s">
        <v>0</v>
      </c>
    </row>
    <row r="666" spans="1:9" ht="16.5">
      <c r="A666" s="1874" t="s">
        <v>3533</v>
      </c>
      <c r="B666" s="3131" t="s">
        <v>8651</v>
      </c>
      <c r="C666" s="1842" t="s">
        <v>7993</v>
      </c>
      <c r="D666" s="2798"/>
      <c r="E666" s="2798"/>
      <c r="F666" s="2798">
        <f t="shared" si="20"/>
        <v>0</v>
      </c>
      <c r="G666" s="1871">
        <f t="shared" si="21"/>
        <v>0</v>
      </c>
      <c r="H666" s="1173">
        <v>0.7964</v>
      </c>
      <c r="I666" s="3121" t="s">
        <v>0</v>
      </c>
    </row>
    <row r="667" spans="1:9" ht="16.5">
      <c r="A667" s="1874" t="s">
        <v>3234</v>
      </c>
      <c r="B667" s="3131" t="s">
        <v>8652</v>
      </c>
      <c r="C667" s="1842" t="s">
        <v>7993</v>
      </c>
      <c r="D667" s="2798"/>
      <c r="E667" s="2798"/>
      <c r="F667" s="2798">
        <f t="shared" si="20"/>
        <v>0</v>
      </c>
      <c r="G667" s="1871">
        <f t="shared" si="21"/>
        <v>0</v>
      </c>
      <c r="H667" s="1173">
        <v>0.67930000000000001</v>
      </c>
      <c r="I667" s="3121" t="s">
        <v>0</v>
      </c>
    </row>
    <row r="668" spans="1:9" ht="16.5">
      <c r="A668" s="1874" t="s">
        <v>2624</v>
      </c>
      <c r="B668" s="3131" t="s">
        <v>8653</v>
      </c>
      <c r="C668" s="1842" t="s">
        <v>7993</v>
      </c>
      <c r="D668" s="2798"/>
      <c r="E668" s="2798"/>
      <c r="F668" s="2798">
        <f t="shared" si="20"/>
        <v>0</v>
      </c>
      <c r="G668" s="1871">
        <f t="shared" si="21"/>
        <v>0</v>
      </c>
      <c r="H668" s="1173">
        <v>1.2363</v>
      </c>
      <c r="I668" s="3132" t="s">
        <v>0</v>
      </c>
    </row>
    <row r="669" spans="1:9" ht="16.5">
      <c r="A669" s="1874" t="s">
        <v>6148</v>
      </c>
      <c r="B669" s="3131" t="s">
        <v>8654</v>
      </c>
      <c r="C669" s="1842" t="s">
        <v>7993</v>
      </c>
      <c r="D669" s="2798"/>
      <c r="E669" s="2798"/>
      <c r="F669" s="2798">
        <f t="shared" si="20"/>
        <v>0</v>
      </c>
      <c r="G669" s="1871">
        <f t="shared" si="21"/>
        <v>0</v>
      </c>
      <c r="H669" s="1173">
        <v>1</v>
      </c>
      <c r="I669" s="3121" t="s">
        <v>7998</v>
      </c>
    </row>
    <row r="670" spans="1:9" ht="16.5">
      <c r="A670" s="1874" t="s">
        <v>3336</v>
      </c>
      <c r="B670" s="3131" t="s">
        <v>8655</v>
      </c>
      <c r="C670" s="1842" t="s">
        <v>7993</v>
      </c>
      <c r="D670" s="2798"/>
      <c r="E670" s="2798"/>
      <c r="F670" s="2798">
        <f t="shared" si="20"/>
        <v>0</v>
      </c>
      <c r="G670" s="1871">
        <f t="shared" si="21"/>
        <v>0</v>
      </c>
      <c r="H670" s="1173">
        <v>8.3099999999999993E-2</v>
      </c>
      <c r="I670" s="3121" t="s">
        <v>0</v>
      </c>
    </row>
    <row r="671" spans="1:9" ht="16.5">
      <c r="A671" s="1874" t="s">
        <v>2625</v>
      </c>
      <c r="B671" s="3131" t="s">
        <v>8656</v>
      </c>
      <c r="C671" s="1842" t="s">
        <v>7993</v>
      </c>
      <c r="D671" s="2798"/>
      <c r="E671" s="2798"/>
      <c r="F671" s="2798">
        <f t="shared" si="20"/>
        <v>0</v>
      </c>
      <c r="G671" s="1871">
        <f t="shared" si="21"/>
        <v>0</v>
      </c>
      <c r="H671" s="1173">
        <v>0.52959999999999996</v>
      </c>
      <c r="I671" s="3132" t="s">
        <v>0</v>
      </c>
    </row>
    <row r="672" spans="1:9" ht="16.5">
      <c r="A672" s="1874" t="s">
        <v>2626</v>
      </c>
      <c r="B672" s="3131" t="s">
        <v>8657</v>
      </c>
      <c r="C672" s="1842" t="s">
        <v>7993</v>
      </c>
      <c r="D672" s="2798"/>
      <c r="E672" s="2798"/>
      <c r="F672" s="2798">
        <f t="shared" si="20"/>
        <v>0</v>
      </c>
      <c r="G672" s="1871">
        <f t="shared" si="21"/>
        <v>0</v>
      </c>
      <c r="H672" s="1173">
        <v>0.33779999999999999</v>
      </c>
      <c r="I672" s="3121" t="s">
        <v>0</v>
      </c>
    </row>
    <row r="673" spans="1:9" ht="16.5">
      <c r="A673" s="1874" t="s">
        <v>2627</v>
      </c>
      <c r="B673" s="3131" t="s">
        <v>8658</v>
      </c>
      <c r="C673" s="1842" t="s">
        <v>7993</v>
      </c>
      <c r="D673" s="2798"/>
      <c r="E673" s="2798"/>
      <c r="F673" s="2798">
        <f t="shared" si="20"/>
        <v>0</v>
      </c>
      <c r="G673" s="1871">
        <f t="shared" si="21"/>
        <v>0</v>
      </c>
      <c r="H673" s="1173">
        <v>1.2444</v>
      </c>
      <c r="I673" s="3121" t="s">
        <v>0</v>
      </c>
    </row>
    <row r="674" spans="1:9" ht="16.5">
      <c r="A674" s="1874" t="s">
        <v>3235</v>
      </c>
      <c r="B674" s="3131" t="s">
        <v>8659</v>
      </c>
      <c r="C674" s="1842" t="s">
        <v>7993</v>
      </c>
      <c r="D674" s="2798"/>
      <c r="E674" s="2798"/>
      <c r="F674" s="2798">
        <f t="shared" si="20"/>
        <v>0</v>
      </c>
      <c r="G674" s="1871">
        <f t="shared" si="21"/>
        <v>0</v>
      </c>
      <c r="H674" s="1173">
        <v>0.63680000000000003</v>
      </c>
      <c r="I674" s="3132" t="s">
        <v>0</v>
      </c>
    </row>
    <row r="675" spans="1:9" ht="16.5">
      <c r="A675" s="1874" t="s">
        <v>3337</v>
      </c>
      <c r="B675" s="3131" t="s">
        <v>8660</v>
      </c>
      <c r="C675" s="1842" t="s">
        <v>7993</v>
      </c>
      <c r="D675" s="2798"/>
      <c r="E675" s="2798"/>
      <c r="F675" s="2798">
        <f t="shared" si="20"/>
        <v>0</v>
      </c>
      <c r="G675" s="1871">
        <f t="shared" si="21"/>
        <v>0</v>
      </c>
      <c r="H675" s="1173">
        <v>1.5537000000000001</v>
      </c>
      <c r="I675" s="3132" t="s">
        <v>0</v>
      </c>
    </row>
    <row r="676" spans="1:9" ht="16.5">
      <c r="A676" s="1874" t="s">
        <v>6149</v>
      </c>
      <c r="B676" s="3131" t="s">
        <v>8661</v>
      </c>
      <c r="C676" s="1842" t="s">
        <v>7993</v>
      </c>
      <c r="D676" s="2798"/>
      <c r="E676" s="2798"/>
      <c r="F676" s="2798">
        <f t="shared" si="20"/>
        <v>0</v>
      </c>
      <c r="G676" s="1871">
        <f t="shared" si="21"/>
        <v>0</v>
      </c>
      <c r="H676" s="1173">
        <v>1</v>
      </c>
      <c r="I676" s="3132" t="s">
        <v>7998</v>
      </c>
    </row>
    <row r="677" spans="1:9" ht="16.5">
      <c r="A677" s="1874" t="s">
        <v>3236</v>
      </c>
      <c r="B677" s="3131" t="s">
        <v>3338</v>
      </c>
      <c r="C677" s="1842" t="s">
        <v>7993</v>
      </c>
      <c r="D677" s="2798"/>
      <c r="E677" s="2798"/>
      <c r="F677" s="2798">
        <f t="shared" si="20"/>
        <v>0</v>
      </c>
      <c r="G677" s="1871">
        <f t="shared" si="21"/>
        <v>0</v>
      </c>
      <c r="H677" s="1173">
        <v>0.82169999999999999</v>
      </c>
      <c r="I677" s="3132" t="s">
        <v>0</v>
      </c>
    </row>
    <row r="678" spans="1:9" ht="16.5">
      <c r="A678" s="1874" t="s">
        <v>3237</v>
      </c>
      <c r="B678" s="3131" t="s">
        <v>8662</v>
      </c>
      <c r="C678" s="1842" t="s">
        <v>7993</v>
      </c>
      <c r="D678" s="2798"/>
      <c r="E678" s="2798"/>
      <c r="F678" s="2798">
        <f t="shared" si="20"/>
        <v>0</v>
      </c>
      <c r="G678" s="1871">
        <f t="shared" si="21"/>
        <v>0</v>
      </c>
      <c r="H678" s="1173">
        <v>0.35959999999999998</v>
      </c>
      <c r="I678" s="3132" t="s">
        <v>0</v>
      </c>
    </row>
    <row r="679" spans="1:9" ht="16.5">
      <c r="A679" s="1874" t="s">
        <v>2628</v>
      </c>
      <c r="B679" s="3131" t="s">
        <v>8663</v>
      </c>
      <c r="C679" s="1842" t="s">
        <v>7993</v>
      </c>
      <c r="D679" s="2798"/>
      <c r="E679" s="2798"/>
      <c r="F679" s="2798">
        <f t="shared" si="20"/>
        <v>0</v>
      </c>
      <c r="G679" s="1871">
        <f t="shared" si="21"/>
        <v>0</v>
      </c>
      <c r="H679" s="1173">
        <v>0.81120000000000003</v>
      </c>
      <c r="I679" s="3132" t="s">
        <v>0</v>
      </c>
    </row>
    <row r="680" spans="1:9" ht="16.5">
      <c r="A680" s="1874" t="s">
        <v>2629</v>
      </c>
      <c r="B680" s="3131" t="s">
        <v>8664</v>
      </c>
      <c r="C680" s="1842" t="s">
        <v>7993</v>
      </c>
      <c r="D680" s="2798"/>
      <c r="E680" s="2798"/>
      <c r="F680" s="2798">
        <f t="shared" si="20"/>
        <v>0</v>
      </c>
      <c r="G680" s="1871">
        <f t="shared" si="21"/>
        <v>0</v>
      </c>
      <c r="H680" s="1173">
        <v>0.68059999999999998</v>
      </c>
      <c r="I680" s="3132" t="s">
        <v>0</v>
      </c>
    </row>
    <row r="681" spans="1:9" ht="16.5">
      <c r="A681" s="1874" t="s">
        <v>3238</v>
      </c>
      <c r="B681" s="3131" t="s">
        <v>8665</v>
      </c>
      <c r="C681" s="1842" t="s">
        <v>7993</v>
      </c>
      <c r="D681" s="2798"/>
      <c r="E681" s="2798"/>
      <c r="F681" s="2798">
        <f t="shared" si="20"/>
        <v>0</v>
      </c>
      <c r="G681" s="1871">
        <f t="shared" si="21"/>
        <v>0</v>
      </c>
      <c r="H681" s="1173">
        <v>0.88249999999999995</v>
      </c>
      <c r="I681" s="3132" t="s">
        <v>0</v>
      </c>
    </row>
    <row r="682" spans="1:9" ht="16.5">
      <c r="A682" s="1874" t="s">
        <v>2630</v>
      </c>
      <c r="B682" s="3131" t="s">
        <v>8666</v>
      </c>
      <c r="C682" s="1842" t="s">
        <v>7993</v>
      </c>
      <c r="D682" s="2798"/>
      <c r="E682" s="2798"/>
      <c r="F682" s="2798">
        <f t="shared" si="20"/>
        <v>0</v>
      </c>
      <c r="G682" s="1871">
        <f t="shared" si="21"/>
        <v>0</v>
      </c>
      <c r="H682" s="1173">
        <v>0.33129999999999998</v>
      </c>
      <c r="I682" s="3132" t="s">
        <v>0</v>
      </c>
    </row>
    <row r="683" spans="1:9" ht="16.5">
      <c r="A683" s="1874" t="s">
        <v>3339</v>
      </c>
      <c r="B683" s="3131" t="s">
        <v>8667</v>
      </c>
      <c r="C683" s="1842" t="s">
        <v>7993</v>
      </c>
      <c r="D683" s="2798"/>
      <c r="E683" s="2798"/>
      <c r="F683" s="2798">
        <f t="shared" si="20"/>
        <v>0</v>
      </c>
      <c r="G683" s="1871">
        <f t="shared" si="21"/>
        <v>0</v>
      </c>
      <c r="H683" s="1173">
        <v>0.94510000000000005</v>
      </c>
      <c r="I683" s="3132" t="s">
        <v>0</v>
      </c>
    </row>
    <row r="684" spans="1:9" ht="16.5">
      <c r="A684" s="1874" t="s">
        <v>3239</v>
      </c>
      <c r="B684" s="3131" t="s">
        <v>8668</v>
      </c>
      <c r="C684" s="1842" t="s">
        <v>7993</v>
      </c>
      <c r="D684" s="2798"/>
      <c r="E684" s="2798"/>
      <c r="F684" s="2798">
        <f t="shared" si="20"/>
        <v>0</v>
      </c>
      <c r="G684" s="1871">
        <f t="shared" si="21"/>
        <v>0</v>
      </c>
      <c r="H684" s="1173">
        <v>0.44869999999999999</v>
      </c>
      <c r="I684" s="3132" t="s">
        <v>0</v>
      </c>
    </row>
    <row r="685" spans="1:9" ht="16.5">
      <c r="A685" s="1874" t="s">
        <v>6150</v>
      </c>
      <c r="B685" s="3131" t="s">
        <v>8669</v>
      </c>
      <c r="C685" s="1842" t="s">
        <v>7993</v>
      </c>
      <c r="D685" s="2798"/>
      <c r="E685" s="2798"/>
      <c r="F685" s="2798">
        <f t="shared" si="20"/>
        <v>0</v>
      </c>
      <c r="G685" s="1871">
        <f t="shared" si="21"/>
        <v>0</v>
      </c>
      <c r="H685" s="1173">
        <v>1</v>
      </c>
      <c r="I685" s="3132" t="s">
        <v>7998</v>
      </c>
    </row>
    <row r="686" spans="1:9" ht="16.5">
      <c r="A686" s="1874" t="s">
        <v>3240</v>
      </c>
      <c r="B686" s="3131" t="s">
        <v>8670</v>
      </c>
      <c r="C686" s="1842" t="s">
        <v>7993</v>
      </c>
      <c r="D686" s="2798"/>
      <c r="E686" s="2798"/>
      <c r="F686" s="2798">
        <f t="shared" si="20"/>
        <v>0</v>
      </c>
      <c r="G686" s="1871">
        <f t="shared" si="21"/>
        <v>0</v>
      </c>
      <c r="H686" s="1173">
        <v>1.5113000000000001</v>
      </c>
      <c r="I686" s="3132" t="s">
        <v>0</v>
      </c>
    </row>
    <row r="687" spans="1:9" ht="16.5">
      <c r="A687" s="1874" t="s">
        <v>3340</v>
      </c>
      <c r="B687" s="3131" t="s">
        <v>8671</v>
      </c>
      <c r="C687" s="1842" t="s">
        <v>7993</v>
      </c>
      <c r="D687" s="2798"/>
      <c r="E687" s="2798"/>
      <c r="F687" s="2798">
        <f t="shared" si="20"/>
        <v>0</v>
      </c>
      <c r="G687" s="1871">
        <f t="shared" si="21"/>
        <v>0</v>
      </c>
      <c r="H687" s="1173">
        <v>0.78849999999999998</v>
      </c>
      <c r="I687" s="3132" t="s">
        <v>0</v>
      </c>
    </row>
    <row r="688" spans="1:9" ht="16.5">
      <c r="A688" s="1874" t="s">
        <v>2631</v>
      </c>
      <c r="B688" s="3131" t="s">
        <v>8672</v>
      </c>
      <c r="C688" s="1842" t="s">
        <v>7993</v>
      </c>
      <c r="D688" s="2798"/>
      <c r="E688" s="2798"/>
      <c r="F688" s="2798">
        <f t="shared" si="20"/>
        <v>0</v>
      </c>
      <c r="G688" s="1871">
        <f t="shared" si="21"/>
        <v>0</v>
      </c>
      <c r="H688" s="1173">
        <v>0.24970000000000001</v>
      </c>
      <c r="I688" s="3132" t="s">
        <v>0</v>
      </c>
    </row>
    <row r="689" spans="1:9" ht="16.5">
      <c r="A689" s="1874" t="s">
        <v>3341</v>
      </c>
      <c r="B689" s="3131" t="s">
        <v>8673</v>
      </c>
      <c r="C689" s="1842" t="s">
        <v>7993</v>
      </c>
      <c r="D689" s="2798"/>
      <c r="E689" s="2798"/>
      <c r="F689" s="2798">
        <f t="shared" si="20"/>
        <v>0</v>
      </c>
      <c r="G689" s="1871">
        <f t="shared" si="21"/>
        <v>0</v>
      </c>
      <c r="H689" s="1173">
        <v>0.47170000000000001</v>
      </c>
      <c r="I689" s="3132" t="s">
        <v>0</v>
      </c>
    </row>
    <row r="690" spans="1:9" ht="16.5">
      <c r="A690" s="1874" t="s">
        <v>3342</v>
      </c>
      <c r="B690" s="3131" t="s">
        <v>8674</v>
      </c>
      <c r="C690" s="1842" t="s">
        <v>7993</v>
      </c>
      <c r="D690" s="2798"/>
      <c r="E690" s="2798"/>
      <c r="F690" s="2798">
        <f t="shared" si="20"/>
        <v>0</v>
      </c>
      <c r="G690" s="1871">
        <f t="shared" si="21"/>
        <v>0</v>
      </c>
      <c r="H690" s="1173">
        <v>1.2089000000000001</v>
      </c>
      <c r="I690" s="3132" t="s">
        <v>0</v>
      </c>
    </row>
    <row r="691" spans="1:9" ht="16.5">
      <c r="A691" s="1874" t="s">
        <v>3534</v>
      </c>
      <c r="B691" s="3131" t="s">
        <v>8675</v>
      </c>
      <c r="C691" s="1842" t="s">
        <v>7993</v>
      </c>
      <c r="D691" s="2798"/>
      <c r="E691" s="2798"/>
      <c r="F691" s="2798">
        <f t="shared" si="20"/>
        <v>0</v>
      </c>
      <c r="G691" s="1871">
        <f t="shared" si="21"/>
        <v>0</v>
      </c>
      <c r="H691" s="1173">
        <v>0.2661</v>
      </c>
      <c r="I691" s="3132" t="s">
        <v>0</v>
      </c>
    </row>
    <row r="692" spans="1:9" ht="16.5">
      <c r="A692" s="1874" t="s">
        <v>3343</v>
      </c>
      <c r="B692" s="1842" t="s">
        <v>8676</v>
      </c>
      <c r="C692" s="1842" t="s">
        <v>7993</v>
      </c>
      <c r="D692" s="2798"/>
      <c r="E692" s="2798"/>
      <c r="F692" s="2798">
        <f t="shared" si="20"/>
        <v>0</v>
      </c>
      <c r="G692" s="1871">
        <f t="shared" si="21"/>
        <v>0</v>
      </c>
      <c r="H692" s="1173">
        <v>0.44159999999999999</v>
      </c>
      <c r="I692" s="3132" t="s">
        <v>0</v>
      </c>
    </row>
    <row r="693" spans="1:9" ht="16.5">
      <c r="A693" s="1874" t="s">
        <v>3344</v>
      </c>
      <c r="B693" s="1842" t="s">
        <v>8677</v>
      </c>
      <c r="C693" s="1842" t="s">
        <v>7993</v>
      </c>
      <c r="D693" s="2798"/>
      <c r="E693" s="2798"/>
      <c r="F693" s="2798">
        <f t="shared" si="20"/>
        <v>0</v>
      </c>
      <c r="G693" s="1871">
        <f t="shared" si="21"/>
        <v>0</v>
      </c>
      <c r="H693" s="1173">
        <v>1.3320000000000001</v>
      </c>
      <c r="I693" s="3132" t="s">
        <v>0</v>
      </c>
    </row>
    <row r="694" spans="1:9" ht="16.5">
      <c r="A694" s="1874" t="s">
        <v>3535</v>
      </c>
      <c r="B694" s="1842" t="s">
        <v>8678</v>
      </c>
      <c r="C694" s="1842" t="s">
        <v>7993</v>
      </c>
      <c r="D694" s="2798"/>
      <c r="E694" s="2798"/>
      <c r="F694" s="2798">
        <f t="shared" si="20"/>
        <v>0</v>
      </c>
      <c r="G694" s="1871">
        <f t="shared" si="21"/>
        <v>0</v>
      </c>
      <c r="H694" s="1173">
        <v>0.56989999999999996</v>
      </c>
      <c r="I694" s="3132" t="s">
        <v>0</v>
      </c>
    </row>
    <row r="695" spans="1:9" ht="16.5">
      <c r="A695" s="1874" t="s">
        <v>3536</v>
      </c>
      <c r="B695" s="1842" t="s">
        <v>8679</v>
      </c>
      <c r="C695" s="1842" t="s">
        <v>7993</v>
      </c>
      <c r="D695" s="2798"/>
      <c r="E695" s="2798"/>
      <c r="F695" s="2798">
        <f t="shared" si="20"/>
        <v>0</v>
      </c>
      <c r="G695" s="1871">
        <f t="shared" si="21"/>
        <v>0</v>
      </c>
      <c r="H695" s="1173">
        <v>0.86709999999999998</v>
      </c>
      <c r="I695" s="3132" t="s">
        <v>0</v>
      </c>
    </row>
    <row r="696" spans="1:9" ht="16.5">
      <c r="A696" s="1874" t="s">
        <v>3345</v>
      </c>
      <c r="B696" s="1842" t="s">
        <v>8680</v>
      </c>
      <c r="C696" s="1842" t="s">
        <v>7993</v>
      </c>
      <c r="D696" s="2798"/>
      <c r="E696" s="2798"/>
      <c r="F696" s="2798">
        <f t="shared" si="20"/>
        <v>0</v>
      </c>
      <c r="G696" s="1871">
        <f t="shared" si="21"/>
        <v>0</v>
      </c>
      <c r="H696" s="1173">
        <v>0.36720000000000003</v>
      </c>
      <c r="I696" s="3132" t="s">
        <v>0</v>
      </c>
    </row>
    <row r="697" spans="1:9" ht="16.5">
      <c r="A697" s="1874" t="s">
        <v>6151</v>
      </c>
      <c r="B697" s="1842" t="s">
        <v>8681</v>
      </c>
      <c r="C697" s="1842" t="s">
        <v>7993</v>
      </c>
      <c r="D697" s="2798"/>
      <c r="E697" s="2798"/>
      <c r="F697" s="2798">
        <f t="shared" si="20"/>
        <v>0</v>
      </c>
      <c r="G697" s="1871">
        <f t="shared" si="21"/>
        <v>0</v>
      </c>
      <c r="H697" s="1173">
        <v>1</v>
      </c>
      <c r="I697" s="3132" t="s">
        <v>7998</v>
      </c>
    </row>
    <row r="698" spans="1:9" ht="16.5">
      <c r="A698" s="1874" t="s">
        <v>3537</v>
      </c>
      <c r="B698" s="1842" t="s">
        <v>8682</v>
      </c>
      <c r="C698" s="1842" t="s">
        <v>7993</v>
      </c>
      <c r="D698" s="2798"/>
      <c r="E698" s="2798"/>
      <c r="F698" s="2798">
        <f t="shared" si="20"/>
        <v>0</v>
      </c>
      <c r="G698" s="1871">
        <f t="shared" si="21"/>
        <v>0</v>
      </c>
      <c r="H698" s="1173">
        <v>0.30790000000000001</v>
      </c>
      <c r="I698" s="3132" t="s">
        <v>0</v>
      </c>
    </row>
    <row r="699" spans="1:9" ht="16.5">
      <c r="A699" s="1874" t="s">
        <v>3346</v>
      </c>
      <c r="B699" s="1842" t="s">
        <v>8683</v>
      </c>
      <c r="C699" s="1842" t="s">
        <v>7993</v>
      </c>
      <c r="D699" s="2798"/>
      <c r="E699" s="2798"/>
      <c r="F699" s="2798">
        <f t="shared" si="20"/>
        <v>0</v>
      </c>
      <c r="G699" s="1871">
        <f t="shared" si="21"/>
        <v>0</v>
      </c>
      <c r="H699" s="1173">
        <v>0.72199999999999998</v>
      </c>
      <c r="I699" s="3132" t="s">
        <v>0</v>
      </c>
    </row>
    <row r="700" spans="1:9" ht="16.5">
      <c r="A700" s="1874" t="s">
        <v>3538</v>
      </c>
      <c r="B700" s="1842" t="s">
        <v>8684</v>
      </c>
      <c r="C700" s="1842" t="s">
        <v>7993</v>
      </c>
      <c r="D700" s="2798"/>
      <c r="E700" s="2798"/>
      <c r="F700" s="2798">
        <f t="shared" si="20"/>
        <v>0</v>
      </c>
      <c r="G700" s="1871">
        <f t="shared" si="21"/>
        <v>0</v>
      </c>
      <c r="H700" s="1173">
        <v>0.2326</v>
      </c>
      <c r="I700" s="3132" t="s">
        <v>0</v>
      </c>
    </row>
    <row r="701" spans="1:9" ht="16.5">
      <c r="A701" s="1874" t="s">
        <v>3347</v>
      </c>
      <c r="B701" s="1842" t="s">
        <v>8685</v>
      </c>
      <c r="C701" s="1842" t="s">
        <v>7993</v>
      </c>
      <c r="D701" s="2798"/>
      <c r="E701" s="2798"/>
      <c r="F701" s="2798">
        <f t="shared" si="20"/>
        <v>0</v>
      </c>
      <c r="G701" s="1871">
        <f t="shared" si="21"/>
        <v>0</v>
      </c>
      <c r="H701" s="1173">
        <v>0.38090000000000002</v>
      </c>
      <c r="I701" s="3121" t="s">
        <v>0</v>
      </c>
    </row>
    <row r="702" spans="1:9" ht="16.5">
      <c r="A702" s="1874" t="s">
        <v>3539</v>
      </c>
      <c r="B702" s="1842" t="s">
        <v>8686</v>
      </c>
      <c r="C702" s="1842" t="s">
        <v>7993</v>
      </c>
      <c r="D702" s="2798"/>
      <c r="E702" s="2798"/>
      <c r="F702" s="2798">
        <f t="shared" si="20"/>
        <v>0</v>
      </c>
      <c r="G702" s="1871">
        <f t="shared" si="21"/>
        <v>0</v>
      </c>
      <c r="H702" s="1173">
        <v>0.4652</v>
      </c>
      <c r="I702" s="3132" t="s">
        <v>0</v>
      </c>
    </row>
    <row r="703" spans="1:9" ht="16.5">
      <c r="A703" s="1874" t="s">
        <v>3540</v>
      </c>
      <c r="B703" s="1842" t="s">
        <v>8687</v>
      </c>
      <c r="C703" s="1842" t="s">
        <v>7993</v>
      </c>
      <c r="D703" s="2798"/>
      <c r="E703" s="2798"/>
      <c r="F703" s="2798">
        <f t="shared" si="20"/>
        <v>0</v>
      </c>
      <c r="G703" s="1871">
        <f t="shared" si="21"/>
        <v>0</v>
      </c>
      <c r="H703" s="1173">
        <v>0.92720000000000002</v>
      </c>
      <c r="I703" s="3132" t="s">
        <v>0</v>
      </c>
    </row>
    <row r="704" spans="1:9" ht="16.5">
      <c r="A704" s="1874" t="s">
        <v>3348</v>
      </c>
      <c r="B704" s="1842" t="s">
        <v>8688</v>
      </c>
      <c r="C704" s="1842" t="s">
        <v>7993</v>
      </c>
      <c r="D704" s="2798"/>
      <c r="E704" s="2798"/>
      <c r="F704" s="2798">
        <f t="shared" si="20"/>
        <v>0</v>
      </c>
      <c r="G704" s="1871">
        <f t="shared" si="21"/>
        <v>0</v>
      </c>
      <c r="H704" s="1173">
        <v>0.84119999999999995</v>
      </c>
      <c r="I704" s="3132" t="s">
        <v>0</v>
      </c>
    </row>
    <row r="705" spans="1:9" ht="16.5">
      <c r="A705" s="1874" t="s">
        <v>6152</v>
      </c>
      <c r="B705" s="1842" t="s">
        <v>8689</v>
      </c>
      <c r="C705" s="1842" t="s">
        <v>7993</v>
      </c>
      <c r="D705" s="2798"/>
      <c r="E705" s="2798"/>
      <c r="F705" s="2798">
        <f t="shared" si="20"/>
        <v>0</v>
      </c>
      <c r="G705" s="1871">
        <f t="shared" si="21"/>
        <v>0</v>
      </c>
      <c r="H705" s="1173">
        <v>1</v>
      </c>
      <c r="I705" s="3132" t="s">
        <v>7998</v>
      </c>
    </row>
    <row r="706" spans="1:9" ht="16.5">
      <c r="A706" s="1874" t="s">
        <v>3541</v>
      </c>
      <c r="B706" s="1842" t="s">
        <v>8690</v>
      </c>
      <c r="C706" s="1842" t="s">
        <v>7993</v>
      </c>
      <c r="D706" s="2798"/>
      <c r="E706" s="2798"/>
      <c r="F706" s="2798">
        <f t="shared" si="20"/>
        <v>0</v>
      </c>
      <c r="G706" s="1871">
        <f t="shared" si="21"/>
        <v>0</v>
      </c>
      <c r="H706" s="1173">
        <v>0.44440000000000002</v>
      </c>
      <c r="I706" s="3132" t="s">
        <v>0</v>
      </c>
    </row>
    <row r="707" spans="1:9" ht="16.5">
      <c r="A707" s="1874" t="s">
        <v>6153</v>
      </c>
      <c r="B707" s="1842" t="s">
        <v>8691</v>
      </c>
      <c r="C707" s="1842" t="s">
        <v>7993</v>
      </c>
      <c r="D707" s="2798"/>
      <c r="E707" s="2798"/>
      <c r="F707" s="2798">
        <f t="shared" si="20"/>
        <v>0</v>
      </c>
      <c r="G707" s="1871">
        <f t="shared" si="21"/>
        <v>0</v>
      </c>
      <c r="H707" s="1173">
        <v>1</v>
      </c>
      <c r="I707" s="3132" t="s">
        <v>7998</v>
      </c>
    </row>
    <row r="708" spans="1:9" ht="16.5">
      <c r="A708" s="1874" t="s">
        <v>3542</v>
      </c>
      <c r="B708" s="1842" t="s">
        <v>8692</v>
      </c>
      <c r="C708" s="1842" t="s">
        <v>7993</v>
      </c>
      <c r="D708" s="2798"/>
      <c r="E708" s="2798"/>
      <c r="F708" s="2798">
        <f t="shared" si="20"/>
        <v>0</v>
      </c>
      <c r="G708" s="1871">
        <f t="shared" si="21"/>
        <v>0</v>
      </c>
      <c r="H708" s="1173">
        <v>0.88039999999999996</v>
      </c>
      <c r="I708" s="3132" t="s">
        <v>0</v>
      </c>
    </row>
    <row r="709" spans="1:9" ht="16.5">
      <c r="A709" s="1874" t="s">
        <v>3543</v>
      </c>
      <c r="B709" s="1842" t="s">
        <v>8693</v>
      </c>
      <c r="C709" s="1842" t="s">
        <v>7993</v>
      </c>
      <c r="D709" s="2798"/>
      <c r="E709" s="2798"/>
      <c r="F709" s="2798">
        <f t="shared" ref="F709:F772" si="22">D709*E709</f>
        <v>0</v>
      </c>
      <c r="G709" s="1871">
        <f t="shared" ref="G709:G772" si="23">IF($F$855=0,0,F709/$F$855)</f>
        <v>0</v>
      </c>
      <c r="H709" s="1173">
        <v>1.2181</v>
      </c>
      <c r="I709" s="3132" t="s">
        <v>0</v>
      </c>
    </row>
    <row r="710" spans="1:9" ht="16.5">
      <c r="A710" s="1874" t="s">
        <v>6154</v>
      </c>
      <c r="B710" s="1842" t="s">
        <v>8694</v>
      </c>
      <c r="C710" s="1842" t="s">
        <v>7993</v>
      </c>
      <c r="D710" s="2798"/>
      <c r="E710" s="2798"/>
      <c r="F710" s="2798">
        <f t="shared" si="22"/>
        <v>0</v>
      </c>
      <c r="G710" s="1871">
        <f t="shared" si="23"/>
        <v>0</v>
      </c>
      <c r="H710" s="1173">
        <v>1</v>
      </c>
      <c r="I710" s="3132" t="s">
        <v>7998</v>
      </c>
    </row>
    <row r="711" spans="1:9" ht="16.5">
      <c r="A711" s="1874" t="s">
        <v>6155</v>
      </c>
      <c r="B711" s="1842" t="s">
        <v>8695</v>
      </c>
      <c r="C711" s="1842" t="s">
        <v>7993</v>
      </c>
      <c r="D711" s="2798"/>
      <c r="E711" s="2798"/>
      <c r="F711" s="2798">
        <f t="shared" si="22"/>
        <v>0</v>
      </c>
      <c r="G711" s="1871">
        <f t="shared" si="23"/>
        <v>0</v>
      </c>
      <c r="H711" s="1173">
        <v>1</v>
      </c>
      <c r="I711" s="3132" t="s">
        <v>7998</v>
      </c>
    </row>
    <row r="712" spans="1:9" ht="16.5">
      <c r="A712" s="1874" t="s">
        <v>3544</v>
      </c>
      <c r="B712" s="1842" t="s">
        <v>8696</v>
      </c>
      <c r="C712" s="1842" t="s">
        <v>7993</v>
      </c>
      <c r="D712" s="2798"/>
      <c r="E712" s="2798"/>
      <c r="F712" s="2798">
        <f t="shared" si="22"/>
        <v>0</v>
      </c>
      <c r="G712" s="1871">
        <f t="shared" si="23"/>
        <v>0</v>
      </c>
      <c r="H712" s="1173">
        <v>0.42670000000000002</v>
      </c>
      <c r="I712" s="3132" t="s">
        <v>0</v>
      </c>
    </row>
    <row r="713" spans="1:9" ht="16.5">
      <c r="A713" s="1874" t="s">
        <v>6156</v>
      </c>
      <c r="B713" s="1842" t="s">
        <v>8697</v>
      </c>
      <c r="C713" s="1842" t="s">
        <v>7993</v>
      </c>
      <c r="D713" s="2798"/>
      <c r="E713" s="2798"/>
      <c r="F713" s="2798">
        <f t="shared" si="22"/>
        <v>0</v>
      </c>
      <c r="G713" s="1871">
        <f t="shared" si="23"/>
        <v>0</v>
      </c>
      <c r="H713" s="1173">
        <v>1</v>
      </c>
      <c r="I713" s="3132" t="s">
        <v>7998</v>
      </c>
    </row>
    <row r="714" spans="1:9" ht="16.5">
      <c r="A714" s="1874" t="s">
        <v>3545</v>
      </c>
      <c r="B714" s="1842" t="s">
        <v>8698</v>
      </c>
      <c r="C714" s="1842" t="s">
        <v>7993</v>
      </c>
      <c r="D714" s="2798"/>
      <c r="E714" s="2798"/>
      <c r="F714" s="2798">
        <f t="shared" si="22"/>
        <v>0</v>
      </c>
      <c r="G714" s="1871">
        <f t="shared" si="23"/>
        <v>0</v>
      </c>
      <c r="H714" s="1173">
        <v>1.2307999999999999</v>
      </c>
      <c r="I714" s="3132" t="s">
        <v>0</v>
      </c>
    </row>
    <row r="715" spans="1:9" ht="16.5">
      <c r="A715" s="1874" t="s">
        <v>6157</v>
      </c>
      <c r="B715" s="1842" t="s">
        <v>8699</v>
      </c>
      <c r="C715" s="1842" t="s">
        <v>7993</v>
      </c>
      <c r="D715" s="2798"/>
      <c r="E715" s="2798"/>
      <c r="F715" s="2798">
        <f t="shared" si="22"/>
        <v>0</v>
      </c>
      <c r="G715" s="1871">
        <f t="shared" si="23"/>
        <v>0</v>
      </c>
      <c r="H715" s="1173">
        <v>1</v>
      </c>
      <c r="I715" s="3132" t="s">
        <v>7998</v>
      </c>
    </row>
    <row r="716" spans="1:9" ht="16.5">
      <c r="A716" s="1874" t="s">
        <v>6158</v>
      </c>
      <c r="B716" s="1842" t="s">
        <v>8700</v>
      </c>
      <c r="C716" s="1842" t="s">
        <v>7993</v>
      </c>
      <c r="D716" s="2798"/>
      <c r="E716" s="2798"/>
      <c r="F716" s="2798">
        <f t="shared" si="22"/>
        <v>0</v>
      </c>
      <c r="G716" s="1871">
        <f t="shared" si="23"/>
        <v>0</v>
      </c>
      <c r="H716" s="1173">
        <v>1</v>
      </c>
      <c r="I716" s="3132" t="s">
        <v>7998</v>
      </c>
    </row>
    <row r="717" spans="1:9" ht="16.5">
      <c r="A717" s="1874" t="s">
        <v>6159</v>
      </c>
      <c r="B717" s="1842" t="s">
        <v>8701</v>
      </c>
      <c r="C717" s="1842" t="s">
        <v>7993</v>
      </c>
      <c r="D717" s="2798"/>
      <c r="E717" s="2798"/>
      <c r="F717" s="2798">
        <f t="shared" si="22"/>
        <v>0</v>
      </c>
      <c r="G717" s="1871">
        <f t="shared" si="23"/>
        <v>0</v>
      </c>
      <c r="H717" s="1173">
        <v>1</v>
      </c>
      <c r="I717" s="3132" t="s">
        <v>7998</v>
      </c>
    </row>
    <row r="718" spans="1:9" ht="16.5">
      <c r="A718" s="1874" t="s">
        <v>6160</v>
      </c>
      <c r="B718" s="1842" t="s">
        <v>8702</v>
      </c>
      <c r="C718" s="1842" t="s">
        <v>7993</v>
      </c>
      <c r="D718" s="2798"/>
      <c r="E718" s="2798"/>
      <c r="F718" s="2798">
        <f t="shared" si="22"/>
        <v>0</v>
      </c>
      <c r="G718" s="1871">
        <f t="shared" si="23"/>
        <v>0</v>
      </c>
      <c r="H718" s="1173">
        <v>1</v>
      </c>
      <c r="I718" s="3132" t="s">
        <v>7998</v>
      </c>
    </row>
    <row r="719" spans="1:9" ht="16.5">
      <c r="A719" s="1874" t="s">
        <v>6161</v>
      </c>
      <c r="B719" s="1842" t="s">
        <v>8703</v>
      </c>
      <c r="C719" s="1842" t="s">
        <v>7993</v>
      </c>
      <c r="D719" s="2798"/>
      <c r="E719" s="2798"/>
      <c r="F719" s="2798">
        <f t="shared" si="22"/>
        <v>0</v>
      </c>
      <c r="G719" s="1871">
        <f t="shared" si="23"/>
        <v>0</v>
      </c>
      <c r="H719" s="1173">
        <v>1</v>
      </c>
      <c r="I719" s="3132" t="s">
        <v>7998</v>
      </c>
    </row>
    <row r="720" spans="1:9" ht="16.5">
      <c r="A720" s="1874" t="s">
        <v>6162</v>
      </c>
      <c r="B720" s="1842" t="s">
        <v>8704</v>
      </c>
      <c r="C720" s="1842" t="s">
        <v>7993</v>
      </c>
      <c r="D720" s="2798"/>
      <c r="E720" s="2798"/>
      <c r="F720" s="2798">
        <f t="shared" si="22"/>
        <v>0</v>
      </c>
      <c r="G720" s="1871">
        <f t="shared" si="23"/>
        <v>0</v>
      </c>
      <c r="H720" s="1173">
        <v>1</v>
      </c>
      <c r="I720" s="3132" t="s">
        <v>7998</v>
      </c>
    </row>
    <row r="721" spans="1:9" ht="16.5">
      <c r="A721" s="1874" t="s">
        <v>6163</v>
      </c>
      <c r="B721" s="1842" t="s">
        <v>8705</v>
      </c>
      <c r="C721" s="1842" t="s">
        <v>7993</v>
      </c>
      <c r="D721" s="2798"/>
      <c r="E721" s="2798"/>
      <c r="F721" s="2798">
        <f t="shared" si="22"/>
        <v>0</v>
      </c>
      <c r="G721" s="1871">
        <f t="shared" si="23"/>
        <v>0</v>
      </c>
      <c r="H721" s="1173">
        <v>1</v>
      </c>
      <c r="I721" s="3132" t="s">
        <v>7998</v>
      </c>
    </row>
    <row r="722" spans="1:9" ht="16.5">
      <c r="A722" s="1874" t="s">
        <v>2632</v>
      </c>
      <c r="B722" s="1842" t="s">
        <v>8706</v>
      </c>
      <c r="C722" s="1842" t="s">
        <v>7993</v>
      </c>
      <c r="D722" s="2798"/>
      <c r="E722" s="2798"/>
      <c r="F722" s="2798">
        <f t="shared" si="22"/>
        <v>0</v>
      </c>
      <c r="G722" s="1871">
        <f t="shared" si="23"/>
        <v>0</v>
      </c>
      <c r="H722" s="1173">
        <v>1.2755000000000001</v>
      </c>
      <c r="I722" s="3132" t="s">
        <v>0</v>
      </c>
    </row>
    <row r="723" spans="1:9" ht="16.5">
      <c r="A723" s="1874" t="s">
        <v>2633</v>
      </c>
      <c r="B723" s="1842" t="s">
        <v>8707</v>
      </c>
      <c r="C723" s="1842" t="s">
        <v>7993</v>
      </c>
      <c r="D723" s="2798"/>
      <c r="E723" s="2798"/>
      <c r="F723" s="2798">
        <f t="shared" si="22"/>
        <v>0</v>
      </c>
      <c r="G723" s="1871">
        <f t="shared" si="23"/>
        <v>0</v>
      </c>
      <c r="H723" s="1173">
        <v>0.85819999999999996</v>
      </c>
      <c r="I723" s="3121" t="s">
        <v>0</v>
      </c>
    </row>
    <row r="724" spans="1:9" ht="16.5">
      <c r="A724" s="1874" t="s">
        <v>6164</v>
      </c>
      <c r="B724" s="1842" t="s">
        <v>8708</v>
      </c>
      <c r="C724" s="1842" t="s">
        <v>7993</v>
      </c>
      <c r="D724" s="2798"/>
      <c r="E724" s="2798"/>
      <c r="F724" s="2798">
        <f t="shared" si="22"/>
        <v>0</v>
      </c>
      <c r="G724" s="1871">
        <f t="shared" si="23"/>
        <v>0</v>
      </c>
      <c r="H724" s="1173">
        <v>1</v>
      </c>
      <c r="I724" s="3132" t="s">
        <v>7998</v>
      </c>
    </row>
    <row r="725" spans="1:9" ht="16.5">
      <c r="A725" s="1874" t="s">
        <v>6165</v>
      </c>
      <c r="B725" s="1842" t="s">
        <v>8709</v>
      </c>
      <c r="C725" s="1842" t="s">
        <v>7993</v>
      </c>
      <c r="D725" s="2798"/>
      <c r="E725" s="2798"/>
      <c r="F725" s="2798">
        <f t="shared" si="22"/>
        <v>0</v>
      </c>
      <c r="G725" s="1871">
        <f t="shared" si="23"/>
        <v>0</v>
      </c>
      <c r="H725" s="1173">
        <v>1</v>
      </c>
      <c r="I725" s="3132" t="s">
        <v>7998</v>
      </c>
    </row>
    <row r="726" spans="1:9" ht="16.5">
      <c r="A726" s="1874" t="s">
        <v>6166</v>
      </c>
      <c r="B726" s="1842" t="s">
        <v>8710</v>
      </c>
      <c r="C726" s="1842" t="s">
        <v>7993</v>
      </c>
      <c r="D726" s="2798"/>
      <c r="E726" s="2798"/>
      <c r="F726" s="2798">
        <f t="shared" si="22"/>
        <v>0</v>
      </c>
      <c r="G726" s="1871">
        <f t="shared" si="23"/>
        <v>0</v>
      </c>
      <c r="H726" s="1173">
        <v>1</v>
      </c>
      <c r="I726" s="3132" t="s">
        <v>7998</v>
      </c>
    </row>
    <row r="727" spans="1:9" ht="16.5">
      <c r="A727" s="1874" t="s">
        <v>6167</v>
      </c>
      <c r="B727" s="1842" t="s">
        <v>8711</v>
      </c>
      <c r="C727" s="1842" t="s">
        <v>7993</v>
      </c>
      <c r="D727" s="2798"/>
      <c r="E727" s="2798"/>
      <c r="F727" s="2798">
        <f t="shared" si="22"/>
        <v>0</v>
      </c>
      <c r="G727" s="1871">
        <f t="shared" si="23"/>
        <v>0</v>
      </c>
      <c r="H727" s="1173">
        <v>1</v>
      </c>
      <c r="I727" s="3132" t="s">
        <v>7998</v>
      </c>
    </row>
    <row r="728" spans="1:9" ht="16.5">
      <c r="A728" s="1874" t="s">
        <v>6168</v>
      </c>
      <c r="B728" s="1842" t="s">
        <v>8712</v>
      </c>
      <c r="C728" s="1842" t="s">
        <v>7993</v>
      </c>
      <c r="D728" s="2798"/>
      <c r="E728" s="2798"/>
      <c r="F728" s="2798">
        <f t="shared" si="22"/>
        <v>0</v>
      </c>
      <c r="G728" s="1871">
        <f t="shared" si="23"/>
        <v>0</v>
      </c>
      <c r="H728" s="1173">
        <v>1</v>
      </c>
      <c r="I728" s="3132" t="s">
        <v>7998</v>
      </c>
    </row>
    <row r="729" spans="1:9" ht="16.5">
      <c r="A729" s="1874" t="s">
        <v>2634</v>
      </c>
      <c r="B729" s="1842" t="s">
        <v>8713</v>
      </c>
      <c r="C729" s="1842" t="s">
        <v>7993</v>
      </c>
      <c r="D729" s="2798"/>
      <c r="E729" s="2798"/>
      <c r="F729" s="2798">
        <f t="shared" si="22"/>
        <v>0</v>
      </c>
      <c r="G729" s="1871">
        <f t="shared" si="23"/>
        <v>0</v>
      </c>
      <c r="H729" s="1173">
        <v>0.67569999999999997</v>
      </c>
      <c r="I729" s="3132" t="s">
        <v>0</v>
      </c>
    </row>
    <row r="730" spans="1:9" ht="16.5">
      <c r="A730" s="1874" t="s">
        <v>2635</v>
      </c>
      <c r="B730" s="1842" t="s">
        <v>8714</v>
      </c>
      <c r="C730" s="1842" t="s">
        <v>7993</v>
      </c>
      <c r="D730" s="2798"/>
      <c r="E730" s="2798"/>
      <c r="F730" s="2798">
        <f t="shared" si="22"/>
        <v>0</v>
      </c>
      <c r="G730" s="1871">
        <f t="shared" si="23"/>
        <v>0</v>
      </c>
      <c r="H730" s="1173">
        <v>1.7857000000000001</v>
      </c>
      <c r="I730" s="3132" t="s">
        <v>0</v>
      </c>
    </row>
    <row r="731" spans="1:9" ht="16.5">
      <c r="A731" s="1874" t="s">
        <v>2636</v>
      </c>
      <c r="B731" s="1842" t="s">
        <v>8715</v>
      </c>
      <c r="C731" s="1842" t="s">
        <v>7993</v>
      </c>
      <c r="D731" s="2798"/>
      <c r="E731" s="2798"/>
      <c r="F731" s="2798">
        <f t="shared" si="22"/>
        <v>0</v>
      </c>
      <c r="G731" s="1871">
        <f t="shared" si="23"/>
        <v>0</v>
      </c>
      <c r="H731" s="1173">
        <v>0.64529999999999998</v>
      </c>
      <c r="I731" s="3132" t="s">
        <v>0</v>
      </c>
    </row>
    <row r="732" spans="1:9" ht="16.5">
      <c r="A732" s="1874" t="s">
        <v>2637</v>
      </c>
      <c r="B732" s="1842" t="s">
        <v>8716</v>
      </c>
      <c r="C732" s="1842" t="s">
        <v>7993</v>
      </c>
      <c r="D732" s="2798"/>
      <c r="E732" s="2798"/>
      <c r="F732" s="2798">
        <f t="shared" si="22"/>
        <v>0</v>
      </c>
      <c r="G732" s="1871">
        <f t="shared" si="23"/>
        <v>0</v>
      </c>
      <c r="H732" s="1173">
        <v>1.0764</v>
      </c>
      <c r="I732" s="3132" t="s">
        <v>0</v>
      </c>
    </row>
    <row r="733" spans="1:9" ht="16.5">
      <c r="A733" s="1874" t="s">
        <v>2638</v>
      </c>
      <c r="B733" s="1842" t="s">
        <v>8717</v>
      </c>
      <c r="C733" s="1842" t="s">
        <v>7993</v>
      </c>
      <c r="D733" s="2798"/>
      <c r="E733" s="2798"/>
      <c r="F733" s="2798">
        <f t="shared" si="22"/>
        <v>0</v>
      </c>
      <c r="G733" s="1871">
        <f t="shared" si="23"/>
        <v>0</v>
      </c>
      <c r="H733" s="1173">
        <v>0.76780000000000004</v>
      </c>
      <c r="I733" s="3132" t="s">
        <v>0</v>
      </c>
    </row>
    <row r="734" spans="1:9" ht="16.5">
      <c r="A734" s="1874" t="s">
        <v>2639</v>
      </c>
      <c r="B734" s="1842" t="s">
        <v>8718</v>
      </c>
      <c r="C734" s="1842" t="s">
        <v>7993</v>
      </c>
      <c r="D734" s="2798"/>
      <c r="E734" s="2798"/>
      <c r="F734" s="2798">
        <f t="shared" si="22"/>
        <v>0</v>
      </c>
      <c r="G734" s="1871">
        <f t="shared" si="23"/>
        <v>0</v>
      </c>
      <c r="H734" s="1173">
        <v>1.1856</v>
      </c>
      <c r="I734" s="3132" t="s">
        <v>0</v>
      </c>
    </row>
    <row r="735" spans="1:9" ht="16.5">
      <c r="A735" s="1874" t="s">
        <v>2640</v>
      </c>
      <c r="B735" s="1842" t="s">
        <v>8719</v>
      </c>
      <c r="C735" s="1842" t="s">
        <v>7993</v>
      </c>
      <c r="D735" s="2798"/>
      <c r="E735" s="2798"/>
      <c r="F735" s="2798">
        <f t="shared" si="22"/>
        <v>0</v>
      </c>
      <c r="G735" s="1871">
        <f t="shared" si="23"/>
        <v>0</v>
      </c>
      <c r="H735" s="1173">
        <v>0.54900000000000004</v>
      </c>
      <c r="I735" s="3132" t="s">
        <v>0</v>
      </c>
    </row>
    <row r="736" spans="1:9" ht="16.5">
      <c r="A736" s="1874" t="s">
        <v>2641</v>
      </c>
      <c r="B736" s="1842" t="s">
        <v>8720</v>
      </c>
      <c r="C736" s="1842" t="s">
        <v>7993</v>
      </c>
      <c r="D736" s="2798"/>
      <c r="E736" s="2798"/>
      <c r="F736" s="2798">
        <f t="shared" si="22"/>
        <v>0</v>
      </c>
      <c r="G736" s="1871">
        <f t="shared" si="23"/>
        <v>0</v>
      </c>
      <c r="H736" s="1173">
        <v>0.88229999999999997</v>
      </c>
      <c r="I736" s="3132" t="s">
        <v>0</v>
      </c>
    </row>
    <row r="737" spans="1:9" ht="16.5">
      <c r="A737" s="1874" t="s">
        <v>2642</v>
      </c>
      <c r="B737" s="1842" t="s">
        <v>8721</v>
      </c>
      <c r="C737" s="1842" t="s">
        <v>7993</v>
      </c>
      <c r="D737" s="2798"/>
      <c r="E737" s="2798"/>
      <c r="F737" s="2798">
        <f t="shared" si="22"/>
        <v>0</v>
      </c>
      <c r="G737" s="1871">
        <f t="shared" si="23"/>
        <v>0</v>
      </c>
      <c r="H737" s="1173">
        <v>0.89470000000000005</v>
      </c>
      <c r="I737" s="3132" t="s">
        <v>0</v>
      </c>
    </row>
    <row r="738" spans="1:9" ht="16.5">
      <c r="A738" s="1874" t="s">
        <v>2643</v>
      </c>
      <c r="B738" s="1842" t="s">
        <v>8722</v>
      </c>
      <c r="C738" s="1842" t="s">
        <v>7993</v>
      </c>
      <c r="D738" s="2798"/>
      <c r="E738" s="2798"/>
      <c r="F738" s="2798">
        <f t="shared" si="22"/>
        <v>0</v>
      </c>
      <c r="G738" s="1871">
        <f t="shared" si="23"/>
        <v>0</v>
      </c>
      <c r="H738" s="1173">
        <v>0.71189999999999998</v>
      </c>
      <c r="I738" s="3132" t="s">
        <v>0</v>
      </c>
    </row>
    <row r="739" spans="1:9" ht="16.5">
      <c r="A739" s="1874" t="s">
        <v>2644</v>
      </c>
      <c r="B739" s="1842" t="s">
        <v>8723</v>
      </c>
      <c r="C739" s="1842" t="s">
        <v>7993</v>
      </c>
      <c r="D739" s="2798"/>
      <c r="E739" s="2798"/>
      <c r="F739" s="2798">
        <f t="shared" si="22"/>
        <v>0</v>
      </c>
      <c r="G739" s="1871">
        <f t="shared" si="23"/>
        <v>0</v>
      </c>
      <c r="H739" s="1173">
        <v>0.99209999999999998</v>
      </c>
      <c r="I739" s="3132" t="s">
        <v>0</v>
      </c>
    </row>
    <row r="740" spans="1:9" ht="16.5">
      <c r="A740" s="1874" t="s">
        <v>2645</v>
      </c>
      <c r="B740" s="1842" t="s">
        <v>8724</v>
      </c>
      <c r="C740" s="1842" t="s">
        <v>7993</v>
      </c>
      <c r="D740" s="2798"/>
      <c r="E740" s="2798"/>
      <c r="F740" s="2798">
        <f t="shared" si="22"/>
        <v>0</v>
      </c>
      <c r="G740" s="1871">
        <f t="shared" si="23"/>
        <v>0</v>
      </c>
      <c r="H740" s="1173">
        <v>0.4093</v>
      </c>
      <c r="I740" s="3132" t="s">
        <v>0</v>
      </c>
    </row>
    <row r="741" spans="1:9" ht="16.5">
      <c r="A741" s="1874" t="s">
        <v>2646</v>
      </c>
      <c r="B741" s="1842" t="s">
        <v>8725</v>
      </c>
      <c r="C741" s="1842" t="s">
        <v>7993</v>
      </c>
      <c r="D741" s="2798"/>
      <c r="E741" s="2798"/>
      <c r="F741" s="2798">
        <f t="shared" si="22"/>
        <v>0</v>
      </c>
      <c r="G741" s="1871">
        <f t="shared" si="23"/>
        <v>0</v>
      </c>
      <c r="H741" s="1173">
        <v>0.78839999999999999</v>
      </c>
      <c r="I741" s="3132" t="s">
        <v>0</v>
      </c>
    </row>
    <row r="742" spans="1:9" ht="16.5">
      <c r="A742" s="1874" t="s">
        <v>2647</v>
      </c>
      <c r="B742" s="1842" t="s">
        <v>8726</v>
      </c>
      <c r="C742" s="1842" t="s">
        <v>7993</v>
      </c>
      <c r="D742" s="2798"/>
      <c r="E742" s="2798"/>
      <c r="F742" s="2798">
        <f t="shared" si="22"/>
        <v>0</v>
      </c>
      <c r="G742" s="1871">
        <f t="shared" si="23"/>
        <v>0</v>
      </c>
      <c r="H742" s="1173">
        <v>1.4145000000000001</v>
      </c>
      <c r="I742" s="3132" t="s">
        <v>0</v>
      </c>
    </row>
    <row r="743" spans="1:9" ht="16.5">
      <c r="A743" s="1874" t="s">
        <v>2648</v>
      </c>
      <c r="B743" s="1842" t="s">
        <v>8727</v>
      </c>
      <c r="C743" s="1842" t="s">
        <v>7993</v>
      </c>
      <c r="D743" s="2798"/>
      <c r="E743" s="2798"/>
      <c r="F743" s="2798">
        <f t="shared" si="22"/>
        <v>0</v>
      </c>
      <c r="G743" s="1871">
        <f t="shared" si="23"/>
        <v>0</v>
      </c>
      <c r="H743" s="1173">
        <v>1.3180000000000001</v>
      </c>
      <c r="I743" s="3132" t="s">
        <v>0</v>
      </c>
    </row>
    <row r="744" spans="1:9" ht="16.5">
      <c r="A744" s="1874" t="s">
        <v>2649</v>
      </c>
      <c r="B744" s="1842" t="s">
        <v>8728</v>
      </c>
      <c r="C744" s="1842" t="s">
        <v>7993</v>
      </c>
      <c r="D744" s="2798"/>
      <c r="E744" s="2798"/>
      <c r="F744" s="2798">
        <f t="shared" si="22"/>
        <v>0</v>
      </c>
      <c r="G744" s="1871">
        <f t="shared" si="23"/>
        <v>0</v>
      </c>
      <c r="H744" s="1173">
        <v>1.71</v>
      </c>
      <c r="I744" s="3132" t="s">
        <v>0</v>
      </c>
    </row>
    <row r="745" spans="1:9" ht="16.5">
      <c r="A745" s="1874" t="s">
        <v>2650</v>
      </c>
      <c r="B745" s="1842" t="s">
        <v>8729</v>
      </c>
      <c r="C745" s="1842" t="s">
        <v>7993</v>
      </c>
      <c r="D745" s="2798"/>
      <c r="E745" s="2798"/>
      <c r="F745" s="2798">
        <f t="shared" si="22"/>
        <v>0</v>
      </c>
      <c r="G745" s="1871">
        <f t="shared" si="23"/>
        <v>0</v>
      </c>
      <c r="H745" s="1173">
        <v>0.2087</v>
      </c>
      <c r="I745" s="3132" t="s">
        <v>0</v>
      </c>
    </row>
    <row r="746" spans="1:9" ht="16.5">
      <c r="A746" s="1874" t="s">
        <v>2651</v>
      </c>
      <c r="B746" s="1842" t="s">
        <v>8730</v>
      </c>
      <c r="C746" s="1842" t="s">
        <v>7993</v>
      </c>
      <c r="D746" s="2798"/>
      <c r="E746" s="2798"/>
      <c r="F746" s="2798">
        <f t="shared" si="22"/>
        <v>0</v>
      </c>
      <c r="G746" s="1871">
        <f t="shared" si="23"/>
        <v>0</v>
      </c>
      <c r="H746" s="1173">
        <v>0.57310000000000005</v>
      </c>
      <c r="I746" s="3132" t="s">
        <v>0</v>
      </c>
    </row>
    <row r="747" spans="1:9" ht="16.5">
      <c r="A747" s="1874" t="s">
        <v>2652</v>
      </c>
      <c r="B747" s="1842" t="s">
        <v>8731</v>
      </c>
      <c r="C747" s="1842" t="s">
        <v>7993</v>
      </c>
      <c r="D747" s="2798"/>
      <c r="E747" s="2798"/>
      <c r="F747" s="2798">
        <f t="shared" si="22"/>
        <v>0</v>
      </c>
      <c r="G747" s="1871">
        <f t="shared" si="23"/>
        <v>0</v>
      </c>
      <c r="H747" s="1173">
        <v>1.2721</v>
      </c>
      <c r="I747" s="3132" t="s">
        <v>0</v>
      </c>
    </row>
    <row r="748" spans="1:9" ht="16.5">
      <c r="A748" s="1874" t="s">
        <v>2653</v>
      </c>
      <c r="B748" s="1842" t="s">
        <v>8732</v>
      </c>
      <c r="C748" s="1842" t="s">
        <v>7993</v>
      </c>
      <c r="D748" s="2798"/>
      <c r="E748" s="2798"/>
      <c r="F748" s="2798">
        <f t="shared" si="22"/>
        <v>0</v>
      </c>
      <c r="G748" s="1871">
        <f t="shared" si="23"/>
        <v>0</v>
      </c>
      <c r="H748" s="1173">
        <v>1.0608</v>
      </c>
      <c r="I748" s="3132" t="s">
        <v>0</v>
      </c>
    </row>
    <row r="749" spans="1:9" ht="16.5">
      <c r="A749" s="1874" t="s">
        <v>2654</v>
      </c>
      <c r="B749" s="1842" t="s">
        <v>8733</v>
      </c>
      <c r="C749" s="1842" t="s">
        <v>7993</v>
      </c>
      <c r="D749" s="2798"/>
      <c r="E749" s="2798"/>
      <c r="F749" s="2798">
        <f t="shared" si="22"/>
        <v>0</v>
      </c>
      <c r="G749" s="1871">
        <f t="shared" si="23"/>
        <v>0</v>
      </c>
      <c r="H749" s="1173">
        <v>1.272</v>
      </c>
      <c r="I749" s="3132" t="s">
        <v>0</v>
      </c>
    </row>
    <row r="750" spans="1:9" ht="16.5">
      <c r="A750" s="1874" t="s">
        <v>2655</v>
      </c>
      <c r="B750" s="1842" t="s">
        <v>8734</v>
      </c>
      <c r="C750" s="1842" t="s">
        <v>7993</v>
      </c>
      <c r="D750" s="2798"/>
      <c r="E750" s="2798"/>
      <c r="F750" s="2798">
        <f t="shared" si="22"/>
        <v>0</v>
      </c>
      <c r="G750" s="1871">
        <f t="shared" si="23"/>
        <v>0</v>
      </c>
      <c r="H750" s="1173">
        <v>0.60299999999999998</v>
      </c>
      <c r="I750" s="3132" t="s">
        <v>0</v>
      </c>
    </row>
    <row r="751" spans="1:9" ht="16.5">
      <c r="A751" s="1874" t="s">
        <v>2656</v>
      </c>
      <c r="B751" s="1842" t="s">
        <v>8735</v>
      </c>
      <c r="C751" s="1842" t="s">
        <v>7993</v>
      </c>
      <c r="D751" s="2798"/>
      <c r="E751" s="2798"/>
      <c r="F751" s="2798">
        <f t="shared" si="22"/>
        <v>0</v>
      </c>
      <c r="G751" s="1871">
        <f t="shared" si="23"/>
        <v>0</v>
      </c>
      <c r="H751" s="1173">
        <v>0.94520000000000004</v>
      </c>
      <c r="I751" s="3132" t="s">
        <v>0</v>
      </c>
    </row>
    <row r="752" spans="1:9" ht="16.5">
      <c r="A752" s="1874" t="s">
        <v>2657</v>
      </c>
      <c r="B752" s="1842" t="s">
        <v>8736</v>
      </c>
      <c r="C752" s="1842" t="s">
        <v>7993</v>
      </c>
      <c r="D752" s="2798"/>
      <c r="E752" s="2798"/>
      <c r="F752" s="2798">
        <f t="shared" si="22"/>
        <v>0</v>
      </c>
      <c r="G752" s="1871">
        <f t="shared" si="23"/>
        <v>0</v>
      </c>
      <c r="H752" s="1173">
        <v>0.3543</v>
      </c>
      <c r="I752" s="3132" t="s">
        <v>0</v>
      </c>
    </row>
    <row r="753" spans="1:9" ht="16.5">
      <c r="A753" s="1874" t="s">
        <v>2658</v>
      </c>
      <c r="B753" s="1842" t="s">
        <v>8737</v>
      </c>
      <c r="C753" s="1842" t="s">
        <v>7993</v>
      </c>
      <c r="D753" s="2798"/>
      <c r="E753" s="2798"/>
      <c r="F753" s="2798">
        <f t="shared" si="22"/>
        <v>0</v>
      </c>
      <c r="G753" s="1871">
        <f t="shared" si="23"/>
        <v>0</v>
      </c>
      <c r="H753" s="1173">
        <v>0.57840000000000003</v>
      </c>
      <c r="I753" s="3132" t="s">
        <v>0</v>
      </c>
    </row>
    <row r="754" spans="1:9" ht="16.5">
      <c r="A754" s="1874" t="s">
        <v>2659</v>
      </c>
      <c r="B754" s="1842" t="s">
        <v>8738</v>
      </c>
      <c r="C754" s="1842" t="s">
        <v>7993</v>
      </c>
      <c r="D754" s="2798"/>
      <c r="E754" s="2798"/>
      <c r="F754" s="2798">
        <f t="shared" si="22"/>
        <v>0</v>
      </c>
      <c r="G754" s="1871">
        <f t="shared" si="23"/>
        <v>0</v>
      </c>
      <c r="H754" s="1173">
        <v>0.23080000000000001</v>
      </c>
      <c r="I754" s="3132" t="s">
        <v>0</v>
      </c>
    </row>
    <row r="755" spans="1:9" ht="16.5">
      <c r="A755" s="1874" t="s">
        <v>2660</v>
      </c>
      <c r="B755" s="1842" t="s">
        <v>8739</v>
      </c>
      <c r="C755" s="1842" t="s">
        <v>7993</v>
      </c>
      <c r="D755" s="2798"/>
      <c r="E755" s="2798"/>
      <c r="F755" s="2798">
        <f t="shared" si="22"/>
        <v>0</v>
      </c>
      <c r="G755" s="1871">
        <f t="shared" si="23"/>
        <v>0</v>
      </c>
      <c r="H755" s="1173">
        <v>1.0416000000000001</v>
      </c>
      <c r="I755" s="3132" t="s">
        <v>0</v>
      </c>
    </row>
    <row r="756" spans="1:9" ht="16.5">
      <c r="A756" s="1874" t="s">
        <v>2661</v>
      </c>
      <c r="B756" s="1842" t="s">
        <v>8740</v>
      </c>
      <c r="C756" s="1842" t="s">
        <v>7993</v>
      </c>
      <c r="D756" s="2798"/>
      <c r="E756" s="2798"/>
      <c r="F756" s="2798">
        <f t="shared" si="22"/>
        <v>0</v>
      </c>
      <c r="G756" s="1871">
        <f t="shared" si="23"/>
        <v>0</v>
      </c>
      <c r="H756" s="1173">
        <v>1.3653999999999999</v>
      </c>
      <c r="I756" s="3132" t="s">
        <v>0</v>
      </c>
    </row>
    <row r="757" spans="1:9" ht="16.5">
      <c r="A757" s="1874" t="s">
        <v>2662</v>
      </c>
      <c r="B757" s="1842" t="s">
        <v>8741</v>
      </c>
      <c r="C757" s="1842" t="s">
        <v>7993</v>
      </c>
      <c r="D757" s="2798"/>
      <c r="E757" s="2798"/>
      <c r="F757" s="2798">
        <f t="shared" si="22"/>
        <v>0</v>
      </c>
      <c r="G757" s="1871">
        <f t="shared" si="23"/>
        <v>0</v>
      </c>
      <c r="H757" s="1173">
        <v>1.5001</v>
      </c>
      <c r="I757" s="3132" t="s">
        <v>0</v>
      </c>
    </row>
    <row r="758" spans="1:9" ht="16.5">
      <c r="A758" s="1874" t="s">
        <v>2663</v>
      </c>
      <c r="B758" s="1842" t="s">
        <v>8742</v>
      </c>
      <c r="C758" s="1842" t="s">
        <v>7993</v>
      </c>
      <c r="D758" s="2798"/>
      <c r="E758" s="2798"/>
      <c r="F758" s="2798">
        <f t="shared" si="22"/>
        <v>0</v>
      </c>
      <c r="G758" s="1871">
        <f t="shared" si="23"/>
        <v>0</v>
      </c>
      <c r="H758" s="1173">
        <v>0.88880000000000003</v>
      </c>
      <c r="I758" s="3132" t="s">
        <v>0</v>
      </c>
    </row>
    <row r="759" spans="1:9" ht="16.5">
      <c r="A759" s="1874" t="s">
        <v>2664</v>
      </c>
      <c r="B759" s="1842" t="s">
        <v>8743</v>
      </c>
      <c r="C759" s="1842" t="s">
        <v>7993</v>
      </c>
      <c r="D759" s="2798"/>
      <c r="E759" s="2798"/>
      <c r="F759" s="2798">
        <f t="shared" si="22"/>
        <v>0</v>
      </c>
      <c r="G759" s="1871">
        <f t="shared" si="23"/>
        <v>0</v>
      </c>
      <c r="H759" s="1173">
        <v>1.1780999999999999</v>
      </c>
      <c r="I759" s="3132" t="s">
        <v>0</v>
      </c>
    </row>
    <row r="760" spans="1:9" ht="16.5">
      <c r="A760" s="1874" t="s">
        <v>2665</v>
      </c>
      <c r="B760" s="1842" t="s">
        <v>8744</v>
      </c>
      <c r="C760" s="1842" t="s">
        <v>7993</v>
      </c>
      <c r="D760" s="2798"/>
      <c r="E760" s="2798"/>
      <c r="F760" s="2798">
        <f t="shared" si="22"/>
        <v>0</v>
      </c>
      <c r="G760" s="1871">
        <f t="shared" si="23"/>
        <v>0</v>
      </c>
      <c r="H760" s="1173">
        <v>1.2159</v>
      </c>
      <c r="I760" s="3132" t="s">
        <v>0</v>
      </c>
    </row>
    <row r="761" spans="1:9" ht="16.5">
      <c r="A761" s="1874" t="s">
        <v>2666</v>
      </c>
      <c r="B761" s="1842" t="s">
        <v>8745</v>
      </c>
      <c r="C761" s="1842" t="s">
        <v>7993</v>
      </c>
      <c r="D761" s="2798"/>
      <c r="E761" s="2798"/>
      <c r="F761" s="2798">
        <f t="shared" si="22"/>
        <v>0</v>
      </c>
      <c r="G761" s="1871">
        <f t="shared" si="23"/>
        <v>0</v>
      </c>
      <c r="H761" s="1173">
        <v>1.4516</v>
      </c>
      <c r="I761" s="3132" t="s">
        <v>0</v>
      </c>
    </row>
    <row r="762" spans="1:9" ht="16.5">
      <c r="A762" s="1874" t="s">
        <v>2667</v>
      </c>
      <c r="B762" s="1842" t="s">
        <v>8746</v>
      </c>
      <c r="C762" s="1842" t="s">
        <v>7993</v>
      </c>
      <c r="D762" s="2798"/>
      <c r="E762" s="2798"/>
      <c r="F762" s="2798">
        <f t="shared" si="22"/>
        <v>0</v>
      </c>
      <c r="G762" s="1871">
        <f t="shared" si="23"/>
        <v>0</v>
      </c>
      <c r="H762" s="1173">
        <v>1.1211</v>
      </c>
      <c r="I762" s="3132" t="s">
        <v>0</v>
      </c>
    </row>
    <row r="763" spans="1:9" ht="16.5">
      <c r="A763" s="1874" t="s">
        <v>2668</v>
      </c>
      <c r="B763" s="1842" t="s">
        <v>8747</v>
      </c>
      <c r="C763" s="1842" t="s">
        <v>7993</v>
      </c>
      <c r="D763" s="2798"/>
      <c r="E763" s="2798"/>
      <c r="F763" s="2798">
        <f t="shared" si="22"/>
        <v>0</v>
      </c>
      <c r="G763" s="1871">
        <f t="shared" si="23"/>
        <v>0</v>
      </c>
      <c r="H763" s="1173">
        <v>0.83279999999999998</v>
      </c>
      <c r="I763" s="3132" t="s">
        <v>0</v>
      </c>
    </row>
    <row r="764" spans="1:9" ht="16.5">
      <c r="A764" s="1874" t="s">
        <v>2669</v>
      </c>
      <c r="B764" s="1842" t="s">
        <v>8748</v>
      </c>
      <c r="C764" s="1842" t="s">
        <v>7993</v>
      </c>
      <c r="D764" s="2798"/>
      <c r="E764" s="2798"/>
      <c r="F764" s="2798">
        <f t="shared" si="22"/>
        <v>0</v>
      </c>
      <c r="G764" s="1871">
        <f t="shared" si="23"/>
        <v>0</v>
      </c>
      <c r="H764" s="1173">
        <v>1.3859999999999999</v>
      </c>
      <c r="I764" s="3132" t="s">
        <v>0</v>
      </c>
    </row>
    <row r="765" spans="1:9" ht="16.5">
      <c r="A765" s="1874" t="s">
        <v>2670</v>
      </c>
      <c r="B765" s="1842" t="s">
        <v>8749</v>
      </c>
      <c r="C765" s="1842" t="s">
        <v>7993</v>
      </c>
      <c r="D765" s="2798"/>
      <c r="E765" s="2798"/>
      <c r="F765" s="2798">
        <f t="shared" si="22"/>
        <v>0</v>
      </c>
      <c r="G765" s="1871">
        <f t="shared" si="23"/>
        <v>0</v>
      </c>
      <c r="H765" s="1173">
        <v>0.52980000000000005</v>
      </c>
      <c r="I765" s="3132" t="s">
        <v>0</v>
      </c>
    </row>
    <row r="766" spans="1:9" ht="16.5">
      <c r="A766" s="1874" t="s">
        <v>2671</v>
      </c>
      <c r="B766" s="1842" t="s">
        <v>8750</v>
      </c>
      <c r="C766" s="1842" t="s">
        <v>7993</v>
      </c>
      <c r="D766" s="2798"/>
      <c r="E766" s="2798"/>
      <c r="F766" s="2798">
        <f t="shared" si="22"/>
        <v>0</v>
      </c>
      <c r="G766" s="1871">
        <f t="shared" si="23"/>
        <v>0</v>
      </c>
      <c r="H766" s="1173">
        <v>0.98350000000000004</v>
      </c>
      <c r="I766" s="3132" t="s">
        <v>0</v>
      </c>
    </row>
    <row r="767" spans="1:9" ht="16.5">
      <c r="A767" s="1874" t="s">
        <v>2672</v>
      </c>
      <c r="B767" s="1842" t="s">
        <v>8751</v>
      </c>
      <c r="C767" s="1842" t="s">
        <v>7993</v>
      </c>
      <c r="D767" s="2798"/>
      <c r="E767" s="2798"/>
      <c r="F767" s="2798">
        <f t="shared" si="22"/>
        <v>0</v>
      </c>
      <c r="G767" s="1871">
        <f t="shared" si="23"/>
        <v>0</v>
      </c>
      <c r="H767" s="1173">
        <v>0.95550000000000002</v>
      </c>
      <c r="I767" s="3132" t="s">
        <v>0</v>
      </c>
    </row>
    <row r="768" spans="1:9" ht="16.5">
      <c r="A768" s="1874" t="s">
        <v>2673</v>
      </c>
      <c r="B768" s="1842" t="s">
        <v>8752</v>
      </c>
      <c r="C768" s="1842" t="s">
        <v>7993</v>
      </c>
      <c r="D768" s="2798"/>
      <c r="E768" s="2798"/>
      <c r="F768" s="2798">
        <f t="shared" si="22"/>
        <v>0</v>
      </c>
      <c r="G768" s="1871">
        <f t="shared" si="23"/>
        <v>0</v>
      </c>
      <c r="H768" s="1173">
        <v>0.39879999999999999</v>
      </c>
      <c r="I768" s="3132" t="s">
        <v>0</v>
      </c>
    </row>
    <row r="769" spans="1:9" ht="16.5">
      <c r="A769" s="1874" t="s">
        <v>2674</v>
      </c>
      <c r="B769" s="1842" t="s">
        <v>8753</v>
      </c>
      <c r="C769" s="1842" t="s">
        <v>7993</v>
      </c>
      <c r="D769" s="2798"/>
      <c r="E769" s="2798"/>
      <c r="F769" s="2798">
        <f t="shared" si="22"/>
        <v>0</v>
      </c>
      <c r="G769" s="1871">
        <f t="shared" si="23"/>
        <v>0</v>
      </c>
      <c r="H769" s="1173">
        <v>1.0814999999999999</v>
      </c>
      <c r="I769" s="3132" t="s">
        <v>0</v>
      </c>
    </row>
    <row r="770" spans="1:9" ht="16.5">
      <c r="A770" s="1874" t="s">
        <v>2675</v>
      </c>
      <c r="B770" s="1842" t="s">
        <v>8754</v>
      </c>
      <c r="C770" s="1842" t="s">
        <v>7993</v>
      </c>
      <c r="D770" s="2798"/>
      <c r="E770" s="2798"/>
      <c r="F770" s="2798">
        <f t="shared" si="22"/>
        <v>0</v>
      </c>
      <c r="G770" s="1871">
        <f t="shared" si="23"/>
        <v>0</v>
      </c>
      <c r="H770" s="1173">
        <v>1.3147</v>
      </c>
      <c r="I770" s="3132" t="s">
        <v>0</v>
      </c>
    </row>
    <row r="771" spans="1:9" ht="16.5">
      <c r="A771" s="1874" t="s">
        <v>2676</v>
      </c>
      <c r="B771" s="1842" t="s">
        <v>8755</v>
      </c>
      <c r="C771" s="1842" t="s">
        <v>7993</v>
      </c>
      <c r="D771" s="2798"/>
      <c r="E771" s="2798"/>
      <c r="F771" s="2798">
        <f t="shared" si="22"/>
        <v>0</v>
      </c>
      <c r="G771" s="1871">
        <f t="shared" si="23"/>
        <v>0</v>
      </c>
      <c r="H771" s="1173">
        <v>1.8773</v>
      </c>
      <c r="I771" s="3132" t="s">
        <v>0</v>
      </c>
    </row>
    <row r="772" spans="1:9" ht="16.5">
      <c r="A772" s="1874" t="s">
        <v>2677</v>
      </c>
      <c r="B772" s="1842" t="s">
        <v>8756</v>
      </c>
      <c r="C772" s="1842" t="s">
        <v>7993</v>
      </c>
      <c r="D772" s="2798"/>
      <c r="E772" s="2798"/>
      <c r="F772" s="2798">
        <f t="shared" si="22"/>
        <v>0</v>
      </c>
      <c r="G772" s="1871">
        <f t="shared" si="23"/>
        <v>0</v>
      </c>
      <c r="H772" s="1173">
        <v>1.1908000000000001</v>
      </c>
      <c r="I772" s="3132" t="s">
        <v>0</v>
      </c>
    </row>
    <row r="773" spans="1:9" ht="16.5">
      <c r="A773" s="1874" t="s">
        <v>2678</v>
      </c>
      <c r="B773" s="1842" t="s">
        <v>8757</v>
      </c>
      <c r="C773" s="1842" t="s">
        <v>7993</v>
      </c>
      <c r="D773" s="2798"/>
      <c r="E773" s="2798"/>
      <c r="F773" s="2798">
        <f t="shared" ref="F773:F818" si="24">D773*E773</f>
        <v>0</v>
      </c>
      <c r="G773" s="1871">
        <f t="shared" ref="G773:G818" si="25">IF($F$855=0,0,F773/$F$855)</f>
        <v>0</v>
      </c>
      <c r="H773" s="1173">
        <v>0.98750000000000004</v>
      </c>
      <c r="I773" s="3132" t="s">
        <v>0</v>
      </c>
    </row>
    <row r="774" spans="1:9" ht="16.5">
      <c r="A774" s="1874" t="s">
        <v>2679</v>
      </c>
      <c r="B774" s="1842" t="s">
        <v>8758</v>
      </c>
      <c r="C774" s="1842" t="s">
        <v>7993</v>
      </c>
      <c r="D774" s="2798"/>
      <c r="E774" s="2798"/>
      <c r="F774" s="2798">
        <f t="shared" si="24"/>
        <v>0</v>
      </c>
      <c r="G774" s="1871">
        <f t="shared" si="25"/>
        <v>0</v>
      </c>
      <c r="H774" s="1173">
        <v>0.74280000000000002</v>
      </c>
      <c r="I774" s="3132" t="s">
        <v>0</v>
      </c>
    </row>
    <row r="775" spans="1:9" ht="16.5">
      <c r="A775" s="1874" t="s">
        <v>2680</v>
      </c>
      <c r="B775" s="1842" t="s">
        <v>8759</v>
      </c>
      <c r="C775" s="1842" t="s">
        <v>7993</v>
      </c>
      <c r="D775" s="2798"/>
      <c r="E775" s="2798"/>
      <c r="F775" s="2798">
        <f t="shared" si="24"/>
        <v>0</v>
      </c>
      <c r="G775" s="1871">
        <f t="shared" si="25"/>
        <v>0</v>
      </c>
      <c r="H775" s="1173">
        <v>0.85329999999999995</v>
      </c>
      <c r="I775" s="3132" t="s">
        <v>0</v>
      </c>
    </row>
    <row r="776" spans="1:9" ht="16.5">
      <c r="A776" s="1874" t="s">
        <v>2681</v>
      </c>
      <c r="B776" s="1842" t="s">
        <v>8760</v>
      </c>
      <c r="C776" s="1842" t="s">
        <v>7993</v>
      </c>
      <c r="D776" s="2798"/>
      <c r="E776" s="2798"/>
      <c r="F776" s="2798">
        <f t="shared" si="24"/>
        <v>0</v>
      </c>
      <c r="G776" s="1871">
        <f t="shared" si="25"/>
        <v>0</v>
      </c>
      <c r="H776" s="1173">
        <v>0.9405</v>
      </c>
      <c r="I776" s="3132" t="s">
        <v>0</v>
      </c>
    </row>
    <row r="777" spans="1:9" ht="16.5">
      <c r="A777" s="1874" t="s">
        <v>3349</v>
      </c>
      <c r="B777" s="1842" t="s">
        <v>8761</v>
      </c>
      <c r="C777" s="1842" t="s">
        <v>7993</v>
      </c>
      <c r="D777" s="2798"/>
      <c r="E777" s="2798"/>
      <c r="F777" s="2798">
        <f t="shared" si="24"/>
        <v>0</v>
      </c>
      <c r="G777" s="1871">
        <f t="shared" si="25"/>
        <v>0</v>
      </c>
      <c r="H777" s="1173">
        <v>1.5637000000000001</v>
      </c>
      <c r="I777" s="3132" t="s">
        <v>0</v>
      </c>
    </row>
    <row r="778" spans="1:9" ht="16.5">
      <c r="A778" s="1874" t="s">
        <v>2682</v>
      </c>
      <c r="B778" s="1842" t="s">
        <v>8762</v>
      </c>
      <c r="C778" s="1842" t="s">
        <v>7993</v>
      </c>
      <c r="D778" s="2798"/>
      <c r="E778" s="2798"/>
      <c r="F778" s="2798">
        <f t="shared" si="24"/>
        <v>0</v>
      </c>
      <c r="G778" s="1871">
        <f t="shared" si="25"/>
        <v>0</v>
      </c>
      <c r="H778" s="1173">
        <v>1.7244999999999999</v>
      </c>
      <c r="I778" s="3132" t="s">
        <v>0</v>
      </c>
    </row>
    <row r="779" spans="1:9" ht="17.649999999999999" customHeight="1">
      <c r="A779" s="1874" t="s">
        <v>2683</v>
      </c>
      <c r="B779" s="1842" t="s">
        <v>8763</v>
      </c>
      <c r="C779" s="1842" t="s">
        <v>7993</v>
      </c>
      <c r="D779" s="2798"/>
      <c r="E779" s="2798"/>
      <c r="F779" s="2798">
        <f t="shared" si="24"/>
        <v>0</v>
      </c>
      <c r="G779" s="1871">
        <f t="shared" si="25"/>
        <v>0</v>
      </c>
      <c r="H779" s="1173">
        <v>0.81030000000000002</v>
      </c>
      <c r="I779" s="3132" t="s">
        <v>0</v>
      </c>
    </row>
    <row r="780" spans="1:9" ht="16.5">
      <c r="A780" s="1874" t="s">
        <v>2684</v>
      </c>
      <c r="B780" s="1842" t="s">
        <v>8764</v>
      </c>
      <c r="C780" s="1842" t="s">
        <v>7993</v>
      </c>
      <c r="D780" s="2798"/>
      <c r="E780" s="2798"/>
      <c r="F780" s="2798">
        <f t="shared" si="24"/>
        <v>0</v>
      </c>
      <c r="G780" s="1871">
        <f t="shared" si="25"/>
        <v>0</v>
      </c>
      <c r="H780" s="1173">
        <v>0.90490000000000004</v>
      </c>
      <c r="I780" s="3132" t="s">
        <v>0</v>
      </c>
    </row>
    <row r="781" spans="1:9" ht="16.5">
      <c r="A781" s="1874" t="s">
        <v>6169</v>
      </c>
      <c r="B781" s="1842" t="s">
        <v>8765</v>
      </c>
      <c r="C781" s="1842" t="s">
        <v>7993</v>
      </c>
      <c r="D781" s="2798"/>
      <c r="E781" s="2798"/>
      <c r="F781" s="2798">
        <f t="shared" si="24"/>
        <v>0</v>
      </c>
      <c r="G781" s="1871">
        <f t="shared" si="25"/>
        <v>0</v>
      </c>
      <c r="H781" s="1173">
        <v>1</v>
      </c>
      <c r="I781" s="3132" t="s">
        <v>7998</v>
      </c>
    </row>
    <row r="782" spans="1:9" ht="16.5">
      <c r="A782" s="1874" t="s">
        <v>2685</v>
      </c>
      <c r="B782" s="1842" t="s">
        <v>8766</v>
      </c>
      <c r="C782" s="1842" t="s">
        <v>7993</v>
      </c>
      <c r="D782" s="2798"/>
      <c r="E782" s="2798"/>
      <c r="F782" s="2798">
        <f t="shared" si="24"/>
        <v>0</v>
      </c>
      <c r="G782" s="1871">
        <f t="shared" si="25"/>
        <v>0</v>
      </c>
      <c r="H782" s="1173">
        <v>1.0286999999999999</v>
      </c>
      <c r="I782" s="3132" t="s">
        <v>0</v>
      </c>
    </row>
    <row r="783" spans="1:9" ht="16.5">
      <c r="A783" s="1874" t="s">
        <v>2686</v>
      </c>
      <c r="B783" s="1842" t="s">
        <v>8767</v>
      </c>
      <c r="C783" s="1842" t="s">
        <v>7993</v>
      </c>
      <c r="D783" s="2799"/>
      <c r="E783" s="2799"/>
      <c r="F783" s="2798">
        <f t="shared" si="24"/>
        <v>0</v>
      </c>
      <c r="G783" s="1871">
        <f t="shared" si="25"/>
        <v>0</v>
      </c>
      <c r="H783" s="1173">
        <v>0.49509999999999998</v>
      </c>
      <c r="I783" s="3132" t="s">
        <v>0</v>
      </c>
    </row>
    <row r="784" spans="1:9" ht="16.5">
      <c r="A784" s="1874" t="s">
        <v>2687</v>
      </c>
      <c r="B784" s="1842" t="s">
        <v>8768</v>
      </c>
      <c r="C784" s="1842" t="s">
        <v>7993</v>
      </c>
      <c r="D784" s="2799"/>
      <c r="E784" s="2799"/>
      <c r="F784" s="2798">
        <f t="shared" si="24"/>
        <v>0</v>
      </c>
      <c r="G784" s="1871">
        <f t="shared" si="25"/>
        <v>0</v>
      </c>
      <c r="H784" s="1173">
        <v>0.28139999999999998</v>
      </c>
      <c r="I784" s="3132" t="s">
        <v>0</v>
      </c>
    </row>
    <row r="785" spans="1:9" ht="16.5">
      <c r="A785" s="1874" t="s">
        <v>2688</v>
      </c>
      <c r="B785" s="1842" t="s">
        <v>8769</v>
      </c>
      <c r="C785" s="1842" t="s">
        <v>7993</v>
      </c>
      <c r="D785" s="2799"/>
      <c r="E785" s="2799"/>
      <c r="F785" s="2798">
        <f t="shared" si="24"/>
        <v>0</v>
      </c>
      <c r="G785" s="1871">
        <f t="shared" si="25"/>
        <v>0</v>
      </c>
      <c r="H785" s="1173">
        <v>0.88319999999999999</v>
      </c>
      <c r="I785" s="3132" t="s">
        <v>0</v>
      </c>
    </row>
    <row r="786" spans="1:9" ht="16.5">
      <c r="A786" s="1874" t="s">
        <v>2689</v>
      </c>
      <c r="B786" s="1842" t="s">
        <v>8770</v>
      </c>
      <c r="C786" s="1842" t="s">
        <v>7993</v>
      </c>
      <c r="D786" s="2799"/>
      <c r="E786" s="2799"/>
      <c r="F786" s="2798">
        <f t="shared" si="24"/>
        <v>0</v>
      </c>
      <c r="G786" s="1871">
        <f t="shared" si="25"/>
        <v>0</v>
      </c>
      <c r="H786" s="1173">
        <v>0.3634</v>
      </c>
      <c r="I786" s="3132" t="s">
        <v>0</v>
      </c>
    </row>
    <row r="787" spans="1:9" ht="16.5">
      <c r="A787" s="1874" t="s">
        <v>2690</v>
      </c>
      <c r="B787" s="1842" t="s">
        <v>8771</v>
      </c>
      <c r="C787" s="1842" t="s">
        <v>7993</v>
      </c>
      <c r="D787" s="2799"/>
      <c r="E787" s="2799"/>
      <c r="F787" s="2798">
        <f t="shared" si="24"/>
        <v>0</v>
      </c>
      <c r="G787" s="1871">
        <f t="shared" si="25"/>
        <v>0</v>
      </c>
      <c r="H787" s="1173">
        <v>1.3649</v>
      </c>
      <c r="I787" s="3133" t="s">
        <v>0</v>
      </c>
    </row>
    <row r="788" spans="1:9" ht="16.5">
      <c r="A788" s="1874" t="s">
        <v>2691</v>
      </c>
      <c r="B788" s="1842" t="s">
        <v>8772</v>
      </c>
      <c r="C788" s="1842" t="s">
        <v>7993</v>
      </c>
      <c r="D788" s="2799"/>
      <c r="E788" s="2799"/>
      <c r="F788" s="2798">
        <f t="shared" si="24"/>
        <v>0</v>
      </c>
      <c r="G788" s="1871">
        <f t="shared" si="25"/>
        <v>0</v>
      </c>
      <c r="H788" s="1173">
        <v>0.56059999999999999</v>
      </c>
      <c r="I788" s="3133" t="s">
        <v>0</v>
      </c>
    </row>
    <row r="789" spans="1:9" ht="16.5">
      <c r="A789" s="1874" t="s">
        <v>2692</v>
      </c>
      <c r="B789" s="1875" t="s">
        <v>8773</v>
      </c>
      <c r="C789" s="1842" t="s">
        <v>7993</v>
      </c>
      <c r="D789" s="2799"/>
      <c r="E789" s="2799"/>
      <c r="F789" s="2798">
        <f t="shared" si="24"/>
        <v>0</v>
      </c>
      <c r="G789" s="1871">
        <f t="shared" si="25"/>
        <v>0</v>
      </c>
      <c r="H789" s="1174">
        <v>0.34039999999999998</v>
      </c>
      <c r="I789" s="3134" t="s">
        <v>0</v>
      </c>
    </row>
    <row r="790" spans="1:9" ht="16.5">
      <c r="A790" s="1874" t="s">
        <v>2693</v>
      </c>
      <c r="B790" s="1875" t="s">
        <v>8774</v>
      </c>
      <c r="C790" s="1842" t="s">
        <v>7993</v>
      </c>
      <c r="D790" s="2799"/>
      <c r="E790" s="2799"/>
      <c r="F790" s="2798">
        <f t="shared" si="24"/>
        <v>0</v>
      </c>
      <c r="G790" s="1871">
        <f t="shared" si="25"/>
        <v>0</v>
      </c>
      <c r="H790" s="1174">
        <v>0.57630000000000003</v>
      </c>
      <c r="I790" s="3134" t="s">
        <v>0</v>
      </c>
    </row>
    <row r="791" spans="1:9" ht="16.5">
      <c r="A791" s="1874" t="s">
        <v>2694</v>
      </c>
      <c r="B791" s="1875" t="s">
        <v>8775</v>
      </c>
      <c r="C791" s="1842" t="s">
        <v>7993</v>
      </c>
      <c r="D791" s="2799"/>
      <c r="E791" s="2799"/>
      <c r="F791" s="2798">
        <f t="shared" si="24"/>
        <v>0</v>
      </c>
      <c r="G791" s="1871">
        <f t="shared" si="25"/>
        <v>0</v>
      </c>
      <c r="H791" s="1174">
        <v>1.1848000000000001</v>
      </c>
      <c r="I791" s="3134" t="s">
        <v>0</v>
      </c>
    </row>
    <row r="792" spans="1:9" ht="16.5">
      <c r="A792" s="1874" t="s">
        <v>2695</v>
      </c>
      <c r="B792" s="1875" t="s">
        <v>8776</v>
      </c>
      <c r="C792" s="1842" t="s">
        <v>7993</v>
      </c>
      <c r="D792" s="2799"/>
      <c r="E792" s="2799"/>
      <c r="F792" s="2798">
        <f t="shared" si="24"/>
        <v>0</v>
      </c>
      <c r="G792" s="1871">
        <f t="shared" si="25"/>
        <v>0</v>
      </c>
      <c r="H792" s="1174">
        <v>0.92610000000000003</v>
      </c>
      <c r="I792" s="3134" t="s">
        <v>0</v>
      </c>
    </row>
    <row r="793" spans="1:9" ht="16.5">
      <c r="A793" s="1874" t="s">
        <v>2696</v>
      </c>
      <c r="B793" s="1875" t="s">
        <v>8777</v>
      </c>
      <c r="C793" s="1842" t="s">
        <v>7993</v>
      </c>
      <c r="D793" s="2799"/>
      <c r="E793" s="2799"/>
      <c r="F793" s="2798">
        <f t="shared" si="24"/>
        <v>0</v>
      </c>
      <c r="G793" s="1871">
        <f t="shared" si="25"/>
        <v>0</v>
      </c>
      <c r="H793" s="1174">
        <v>0.62780000000000002</v>
      </c>
      <c r="I793" s="3134" t="s">
        <v>0</v>
      </c>
    </row>
    <row r="794" spans="1:9" ht="16.5">
      <c r="A794" s="1874" t="s">
        <v>2697</v>
      </c>
      <c r="B794" s="1875" t="s">
        <v>8778</v>
      </c>
      <c r="C794" s="1842" t="s">
        <v>7993</v>
      </c>
      <c r="D794" s="2799"/>
      <c r="E794" s="2799"/>
      <c r="F794" s="2798">
        <f t="shared" si="24"/>
        <v>0</v>
      </c>
      <c r="G794" s="1871">
        <f t="shared" si="25"/>
        <v>0</v>
      </c>
      <c r="H794" s="1174">
        <v>0.54569999999999996</v>
      </c>
      <c r="I794" s="3134" t="s">
        <v>0</v>
      </c>
    </row>
    <row r="795" spans="1:9" ht="16.5">
      <c r="A795" s="1874" t="s">
        <v>2698</v>
      </c>
      <c r="B795" s="1875" t="s">
        <v>8779</v>
      </c>
      <c r="C795" s="1842" t="s">
        <v>7993</v>
      </c>
      <c r="D795" s="2799"/>
      <c r="E795" s="2799"/>
      <c r="F795" s="2798">
        <f t="shared" si="24"/>
        <v>0</v>
      </c>
      <c r="G795" s="1871">
        <f t="shared" si="25"/>
        <v>0</v>
      </c>
      <c r="H795" s="1174">
        <v>0.49969999999999998</v>
      </c>
      <c r="I795" s="3134" t="s">
        <v>0</v>
      </c>
    </row>
    <row r="796" spans="1:9" ht="16.5">
      <c r="A796" s="1874" t="s">
        <v>2699</v>
      </c>
      <c r="B796" s="1875" t="s">
        <v>8780</v>
      </c>
      <c r="C796" s="1842" t="s">
        <v>7993</v>
      </c>
      <c r="D796" s="2799"/>
      <c r="E796" s="2799"/>
      <c r="F796" s="2798">
        <f t="shared" si="24"/>
        <v>0</v>
      </c>
      <c r="G796" s="1871">
        <f t="shared" si="25"/>
        <v>0</v>
      </c>
      <c r="H796" s="1174">
        <v>0.57420000000000004</v>
      </c>
      <c r="I796" s="3134" t="s">
        <v>0</v>
      </c>
    </row>
    <row r="797" spans="1:9" ht="16.5">
      <c r="A797" s="1874" t="s">
        <v>2700</v>
      </c>
      <c r="B797" s="1875" t="s">
        <v>8781</v>
      </c>
      <c r="C797" s="1842" t="s">
        <v>7993</v>
      </c>
      <c r="D797" s="2799"/>
      <c r="E797" s="2799"/>
      <c r="F797" s="2798">
        <f t="shared" si="24"/>
        <v>0</v>
      </c>
      <c r="G797" s="1871">
        <f t="shared" si="25"/>
        <v>0</v>
      </c>
      <c r="H797" s="1174">
        <v>0.90620000000000001</v>
      </c>
      <c r="I797" s="3134" t="s">
        <v>0</v>
      </c>
    </row>
    <row r="798" spans="1:9" ht="16.5">
      <c r="A798" s="1874" t="s">
        <v>2701</v>
      </c>
      <c r="B798" s="1875" t="s">
        <v>8782</v>
      </c>
      <c r="C798" s="1842" t="s">
        <v>7993</v>
      </c>
      <c r="D798" s="2799"/>
      <c r="E798" s="2799"/>
      <c r="F798" s="2798">
        <f t="shared" si="24"/>
        <v>0</v>
      </c>
      <c r="G798" s="1871">
        <f t="shared" si="25"/>
        <v>0</v>
      </c>
      <c r="H798" s="1174">
        <v>0.28029999999999999</v>
      </c>
      <c r="I798" s="3134" t="s">
        <v>0</v>
      </c>
    </row>
    <row r="799" spans="1:9" ht="16.5">
      <c r="A799" s="1874" t="s">
        <v>2702</v>
      </c>
      <c r="B799" s="1875" t="s">
        <v>8783</v>
      </c>
      <c r="C799" s="1842" t="s">
        <v>7993</v>
      </c>
      <c r="D799" s="2799"/>
      <c r="E799" s="2799"/>
      <c r="F799" s="2798">
        <f t="shared" si="24"/>
        <v>0</v>
      </c>
      <c r="G799" s="1871">
        <f t="shared" si="25"/>
        <v>0</v>
      </c>
      <c r="H799" s="1174">
        <v>0.4536</v>
      </c>
      <c r="I799" s="3134" t="s">
        <v>0</v>
      </c>
    </row>
    <row r="800" spans="1:9" ht="16.5">
      <c r="A800" s="1874" t="s">
        <v>2703</v>
      </c>
      <c r="B800" s="1875" t="s">
        <v>8784</v>
      </c>
      <c r="C800" s="1842" t="s">
        <v>7993</v>
      </c>
      <c r="D800" s="2799"/>
      <c r="E800" s="2799"/>
      <c r="F800" s="2798">
        <f t="shared" si="24"/>
        <v>0</v>
      </c>
      <c r="G800" s="1871">
        <f t="shared" si="25"/>
        <v>0</v>
      </c>
      <c r="H800" s="1174">
        <v>0.67279999999999995</v>
      </c>
      <c r="I800" s="3134" t="s">
        <v>0</v>
      </c>
    </row>
    <row r="801" spans="1:9" ht="16.5">
      <c r="A801" s="1874" t="s">
        <v>2704</v>
      </c>
      <c r="B801" s="1875" t="s">
        <v>8785</v>
      </c>
      <c r="C801" s="1842" t="s">
        <v>7993</v>
      </c>
      <c r="D801" s="2799"/>
      <c r="E801" s="2799"/>
      <c r="F801" s="2798">
        <f t="shared" si="24"/>
        <v>0</v>
      </c>
      <c r="G801" s="1871">
        <f t="shared" si="25"/>
        <v>0</v>
      </c>
      <c r="H801" s="1174">
        <v>0.68989999999999996</v>
      </c>
      <c r="I801" s="3134" t="s">
        <v>0</v>
      </c>
    </row>
    <row r="802" spans="1:9" ht="16.5">
      <c r="A802" s="1874" t="s">
        <v>2705</v>
      </c>
      <c r="B802" s="1875" t="s">
        <v>8786</v>
      </c>
      <c r="C802" s="1842" t="s">
        <v>7993</v>
      </c>
      <c r="D802" s="2799"/>
      <c r="E802" s="2799"/>
      <c r="F802" s="2798">
        <f t="shared" si="24"/>
        <v>0</v>
      </c>
      <c r="G802" s="1871">
        <f t="shared" si="25"/>
        <v>0</v>
      </c>
      <c r="H802" s="1174">
        <v>0.22570000000000001</v>
      </c>
      <c r="I802" s="3134" t="s">
        <v>0</v>
      </c>
    </row>
    <row r="803" spans="1:9" ht="16.5">
      <c r="A803" s="1874" t="s">
        <v>2706</v>
      </c>
      <c r="B803" s="1875" t="s">
        <v>8787</v>
      </c>
      <c r="C803" s="1842" t="s">
        <v>7993</v>
      </c>
      <c r="D803" s="2799"/>
      <c r="E803" s="2799"/>
      <c r="F803" s="2798">
        <f t="shared" si="24"/>
        <v>0</v>
      </c>
      <c r="G803" s="1871">
        <f t="shared" si="25"/>
        <v>0</v>
      </c>
      <c r="H803" s="1174">
        <v>0.88460000000000005</v>
      </c>
      <c r="I803" s="3134" t="s">
        <v>0</v>
      </c>
    </row>
    <row r="804" spans="1:9" ht="16.5">
      <c r="A804" s="1874" t="s">
        <v>2707</v>
      </c>
      <c r="B804" s="1875" t="s">
        <v>8788</v>
      </c>
      <c r="C804" s="1842" t="s">
        <v>7993</v>
      </c>
      <c r="D804" s="2799"/>
      <c r="E804" s="2799"/>
      <c r="F804" s="2798">
        <f t="shared" si="24"/>
        <v>0</v>
      </c>
      <c r="G804" s="1871">
        <f t="shared" si="25"/>
        <v>0</v>
      </c>
      <c r="H804" s="1174">
        <v>0.32679999999999998</v>
      </c>
      <c r="I804" s="3134" t="s">
        <v>0</v>
      </c>
    </row>
    <row r="805" spans="1:9" ht="16.5">
      <c r="A805" s="1874" t="s">
        <v>2708</v>
      </c>
      <c r="B805" s="1875" t="s">
        <v>8789</v>
      </c>
      <c r="C805" s="1842" t="s">
        <v>7993</v>
      </c>
      <c r="D805" s="2799"/>
      <c r="E805" s="2799"/>
      <c r="F805" s="2798">
        <f t="shared" si="24"/>
        <v>0</v>
      </c>
      <c r="G805" s="1871">
        <f t="shared" si="25"/>
        <v>0</v>
      </c>
      <c r="H805" s="1174">
        <v>0.72509999999999997</v>
      </c>
      <c r="I805" s="3134" t="s">
        <v>0</v>
      </c>
    </row>
    <row r="806" spans="1:9" ht="16.5">
      <c r="A806" s="1874" t="s">
        <v>2709</v>
      </c>
      <c r="B806" s="1875" t="s">
        <v>8790</v>
      </c>
      <c r="C806" s="1842" t="s">
        <v>7993</v>
      </c>
      <c r="D806" s="2799"/>
      <c r="E806" s="2799"/>
      <c r="F806" s="2798">
        <f t="shared" si="24"/>
        <v>0</v>
      </c>
      <c r="G806" s="1871">
        <f t="shared" si="25"/>
        <v>0</v>
      </c>
      <c r="H806" s="1174">
        <v>0.66539999999999999</v>
      </c>
      <c r="I806" s="3134" t="s">
        <v>0</v>
      </c>
    </row>
    <row r="807" spans="1:9" ht="16.5">
      <c r="A807" s="1874" t="s">
        <v>2710</v>
      </c>
      <c r="B807" s="1875" t="s">
        <v>8791</v>
      </c>
      <c r="C807" s="1842" t="s">
        <v>7993</v>
      </c>
      <c r="D807" s="2799"/>
      <c r="E807" s="2799"/>
      <c r="F807" s="2798">
        <f t="shared" si="24"/>
        <v>0</v>
      </c>
      <c r="G807" s="1871">
        <f t="shared" si="25"/>
        <v>0</v>
      </c>
      <c r="H807" s="1174">
        <v>0.32169999999999999</v>
      </c>
      <c r="I807" s="3134" t="s">
        <v>0</v>
      </c>
    </row>
    <row r="808" spans="1:9" ht="16.5">
      <c r="A808" s="1874" t="s">
        <v>2711</v>
      </c>
      <c r="B808" s="1875" t="s">
        <v>8792</v>
      </c>
      <c r="C808" s="1842" t="s">
        <v>7993</v>
      </c>
      <c r="D808" s="2799"/>
      <c r="E808" s="2799"/>
      <c r="F808" s="2798">
        <f t="shared" si="24"/>
        <v>0</v>
      </c>
      <c r="G808" s="1871">
        <f t="shared" si="25"/>
        <v>0</v>
      </c>
      <c r="H808" s="1174">
        <v>0.55230000000000001</v>
      </c>
      <c r="I808" s="3134" t="s">
        <v>0</v>
      </c>
    </row>
    <row r="809" spans="1:9" ht="16.5">
      <c r="A809" s="1874" t="s">
        <v>2712</v>
      </c>
      <c r="B809" s="1875" t="s">
        <v>8793</v>
      </c>
      <c r="C809" s="1842" t="s">
        <v>7993</v>
      </c>
      <c r="D809" s="2799"/>
      <c r="E809" s="2799"/>
      <c r="F809" s="2798">
        <f t="shared" si="24"/>
        <v>0</v>
      </c>
      <c r="G809" s="1871">
        <f t="shared" si="25"/>
        <v>0</v>
      </c>
      <c r="H809" s="1174">
        <v>0.67379999999999995</v>
      </c>
      <c r="I809" s="3134" t="s">
        <v>0</v>
      </c>
    </row>
    <row r="810" spans="1:9" ht="16.5">
      <c r="A810" s="1874" t="s">
        <v>2713</v>
      </c>
      <c r="B810" s="1875" t="s">
        <v>8794</v>
      </c>
      <c r="C810" s="1842" t="s">
        <v>7993</v>
      </c>
      <c r="D810" s="2799"/>
      <c r="E810" s="2799"/>
      <c r="F810" s="2798">
        <f t="shared" si="24"/>
        <v>0</v>
      </c>
      <c r="G810" s="1871">
        <f t="shared" si="25"/>
        <v>0</v>
      </c>
      <c r="H810" s="1174">
        <v>0.92420000000000002</v>
      </c>
      <c r="I810" s="3134" t="s">
        <v>0</v>
      </c>
    </row>
    <row r="811" spans="1:9" ht="16.5">
      <c r="A811" s="1874" t="s">
        <v>2714</v>
      </c>
      <c r="B811" s="1875" t="s">
        <v>8795</v>
      </c>
      <c r="C811" s="1842" t="s">
        <v>7993</v>
      </c>
      <c r="D811" s="2799"/>
      <c r="E811" s="2799"/>
      <c r="F811" s="2798">
        <f t="shared" si="24"/>
        <v>0</v>
      </c>
      <c r="G811" s="1871">
        <f t="shared" si="25"/>
        <v>0</v>
      </c>
      <c r="H811" s="1174">
        <v>0.57340000000000002</v>
      </c>
      <c r="I811" s="3134" t="s">
        <v>0</v>
      </c>
    </row>
    <row r="812" spans="1:9" ht="16.5">
      <c r="A812" s="1874" t="s">
        <v>2715</v>
      </c>
      <c r="B812" s="1875" t="s">
        <v>8796</v>
      </c>
      <c r="C812" s="1842" t="s">
        <v>7993</v>
      </c>
      <c r="D812" s="2799"/>
      <c r="E812" s="2799"/>
      <c r="F812" s="2798">
        <f t="shared" si="24"/>
        <v>0</v>
      </c>
      <c r="G812" s="1871">
        <f t="shared" si="25"/>
        <v>0</v>
      </c>
      <c r="H812" s="1174">
        <v>0.52659999999999996</v>
      </c>
      <c r="I812" s="3134" t="s">
        <v>0</v>
      </c>
    </row>
    <row r="813" spans="1:9" ht="16.5">
      <c r="A813" s="1874" t="s">
        <v>2716</v>
      </c>
      <c r="B813" s="1875" t="s">
        <v>8797</v>
      </c>
      <c r="C813" s="1842" t="s">
        <v>7993</v>
      </c>
      <c r="D813" s="2799"/>
      <c r="E813" s="2799"/>
      <c r="F813" s="2798">
        <f t="shared" si="24"/>
        <v>0</v>
      </c>
      <c r="G813" s="1871">
        <f t="shared" si="25"/>
        <v>0</v>
      </c>
      <c r="H813" s="1174">
        <v>0.58130000000000004</v>
      </c>
      <c r="I813" s="3134" t="s">
        <v>0</v>
      </c>
    </row>
    <row r="814" spans="1:9" ht="16.5">
      <c r="A814" s="1874" t="s">
        <v>2717</v>
      </c>
      <c r="B814" s="1875" t="s">
        <v>8798</v>
      </c>
      <c r="C814" s="1842" t="s">
        <v>7993</v>
      </c>
      <c r="D814" s="2799"/>
      <c r="E814" s="2799"/>
      <c r="F814" s="2798">
        <f t="shared" si="24"/>
        <v>0</v>
      </c>
      <c r="G814" s="1871">
        <f t="shared" si="25"/>
        <v>0</v>
      </c>
      <c r="H814" s="1174">
        <v>0.83679999999999999</v>
      </c>
      <c r="I814" s="3134" t="s">
        <v>0</v>
      </c>
    </row>
    <row r="815" spans="1:9" ht="16.5">
      <c r="A815" s="1874" t="s">
        <v>2718</v>
      </c>
      <c r="B815" s="1875" t="s">
        <v>8799</v>
      </c>
      <c r="C815" s="1842" t="s">
        <v>7993</v>
      </c>
      <c r="D815" s="2799"/>
      <c r="E815" s="2799"/>
      <c r="F815" s="2798">
        <f t="shared" si="24"/>
        <v>0</v>
      </c>
      <c r="G815" s="1871">
        <f t="shared" si="25"/>
        <v>0</v>
      </c>
      <c r="H815" s="1174">
        <v>0.22450000000000001</v>
      </c>
      <c r="I815" s="3134" t="s">
        <v>0</v>
      </c>
    </row>
    <row r="816" spans="1:9" ht="16.5">
      <c r="A816" s="1874" t="s">
        <v>2720</v>
      </c>
      <c r="B816" s="1875" t="s">
        <v>8800</v>
      </c>
      <c r="C816" s="1842" t="s">
        <v>7993</v>
      </c>
      <c r="D816" s="2799"/>
      <c r="E816" s="2799"/>
      <c r="F816" s="2798">
        <f t="shared" si="24"/>
        <v>0</v>
      </c>
      <c r="G816" s="1871">
        <f t="shared" si="25"/>
        <v>0</v>
      </c>
      <c r="H816" s="1174">
        <v>0.34760000000000002</v>
      </c>
      <c r="I816" s="3134" t="s">
        <v>0</v>
      </c>
    </row>
    <row r="817" spans="1:9" ht="16.5">
      <c r="A817" s="1874" t="s">
        <v>2721</v>
      </c>
      <c r="B817" s="1875" t="s">
        <v>8801</v>
      </c>
      <c r="C817" s="1842" t="s">
        <v>7993</v>
      </c>
      <c r="D817" s="2799"/>
      <c r="E817" s="2799"/>
      <c r="F817" s="2798">
        <f t="shared" si="24"/>
        <v>0</v>
      </c>
      <c r="G817" s="1871">
        <f t="shared" si="25"/>
        <v>0</v>
      </c>
      <c r="H817" s="1174">
        <v>0.24859999999999999</v>
      </c>
      <c r="I817" s="3134" t="s">
        <v>0</v>
      </c>
    </row>
    <row r="818" spans="1:9" ht="16.5">
      <c r="A818" s="1874" t="s">
        <v>2722</v>
      </c>
      <c r="B818" s="1875" t="s">
        <v>8802</v>
      </c>
      <c r="C818" s="1842" t="s">
        <v>7993</v>
      </c>
      <c r="D818" s="2799"/>
      <c r="E818" s="2799"/>
      <c r="F818" s="2798">
        <f t="shared" si="24"/>
        <v>0</v>
      </c>
      <c r="G818" s="1871">
        <f t="shared" si="25"/>
        <v>0</v>
      </c>
      <c r="H818" s="1174">
        <v>0.20549999999999999</v>
      </c>
      <c r="I818" s="3134" t="s">
        <v>0</v>
      </c>
    </row>
    <row r="819" spans="1:9" ht="16.5">
      <c r="A819" s="1874" t="s">
        <v>2723</v>
      </c>
      <c r="B819" s="1875" t="s">
        <v>8803</v>
      </c>
      <c r="C819" s="1842" t="s">
        <v>7993</v>
      </c>
      <c r="D819" s="2799"/>
      <c r="E819" s="2799"/>
      <c r="F819" s="2798">
        <f t="shared" ref="F819:F822" si="26">D819*E819</f>
        <v>0</v>
      </c>
      <c r="G819" s="1871">
        <f t="shared" ref="G819:G822" si="27">IF($F$855=0,0,F819/$F$855)</f>
        <v>0</v>
      </c>
      <c r="H819" s="1174">
        <v>0.84430000000000005</v>
      </c>
      <c r="I819" s="3134" t="s">
        <v>0</v>
      </c>
    </row>
    <row r="820" spans="1:9" ht="16.5">
      <c r="A820" s="1874" t="s">
        <v>2724</v>
      </c>
      <c r="B820" s="1875" t="s">
        <v>8804</v>
      </c>
      <c r="C820" s="1842" t="s">
        <v>7993</v>
      </c>
      <c r="D820" s="2799"/>
      <c r="E820" s="2799"/>
      <c r="F820" s="2798">
        <f t="shared" si="26"/>
        <v>0</v>
      </c>
      <c r="G820" s="1871">
        <f t="shared" si="27"/>
        <v>0</v>
      </c>
      <c r="H820" s="1174">
        <v>0.13669999999999999</v>
      </c>
      <c r="I820" s="3134" t="s">
        <v>0</v>
      </c>
    </row>
    <row r="821" spans="1:9" ht="16.5">
      <c r="A821" s="1874" t="s">
        <v>2725</v>
      </c>
      <c r="B821" s="1875" t="s">
        <v>8805</v>
      </c>
      <c r="C821" s="1842" t="s">
        <v>7993</v>
      </c>
      <c r="D821" s="2799"/>
      <c r="E821" s="2799"/>
      <c r="F821" s="2798">
        <f t="shared" si="26"/>
        <v>0</v>
      </c>
      <c r="G821" s="1871">
        <f t="shared" si="27"/>
        <v>0</v>
      </c>
      <c r="H821" s="1174">
        <v>0.37240000000000001</v>
      </c>
      <c r="I821" s="3134" t="s">
        <v>0</v>
      </c>
    </row>
    <row r="822" spans="1:9" ht="16.5">
      <c r="A822" s="1874" t="s">
        <v>2726</v>
      </c>
      <c r="B822" s="1875" t="s">
        <v>8806</v>
      </c>
      <c r="C822" s="1842" t="s">
        <v>7993</v>
      </c>
      <c r="D822" s="2799"/>
      <c r="E822" s="2799"/>
      <c r="F822" s="2798">
        <f t="shared" si="26"/>
        <v>0</v>
      </c>
      <c r="G822" s="1871">
        <f t="shared" si="27"/>
        <v>0</v>
      </c>
      <c r="H822" s="1174">
        <v>7.8899999999999998E-2</v>
      </c>
      <c r="I822" s="3134" t="s">
        <v>0</v>
      </c>
    </row>
    <row r="823" spans="1:9" ht="16.5">
      <c r="A823" s="1874" t="s">
        <v>2727</v>
      </c>
      <c r="B823" s="1875" t="s">
        <v>8807</v>
      </c>
      <c r="C823" s="1842" t="s">
        <v>7993</v>
      </c>
      <c r="D823" s="2799"/>
      <c r="E823" s="2799"/>
      <c r="F823" s="2798">
        <f t="shared" ref="F823:F849" si="28">D823*E823</f>
        <v>0</v>
      </c>
      <c r="G823" s="1871">
        <f t="shared" ref="G823:G849" si="29">IF($F$855=0,0,F823/$F$855)</f>
        <v>0</v>
      </c>
      <c r="H823" s="1174">
        <v>1.77E-2</v>
      </c>
      <c r="I823" s="3134" t="s">
        <v>0</v>
      </c>
    </row>
    <row r="824" spans="1:9" ht="16.5">
      <c r="A824" s="1874" t="s">
        <v>2728</v>
      </c>
      <c r="B824" s="1875" t="s">
        <v>8808</v>
      </c>
      <c r="C824" s="1842" t="s">
        <v>7993</v>
      </c>
      <c r="D824" s="2799"/>
      <c r="E824" s="2799"/>
      <c r="F824" s="2798">
        <f t="shared" si="28"/>
        <v>0</v>
      </c>
      <c r="G824" s="1871">
        <f t="shared" si="29"/>
        <v>0</v>
      </c>
      <c r="H824" s="1174">
        <v>0.156</v>
      </c>
      <c r="I824" s="3134" t="s">
        <v>0</v>
      </c>
    </row>
    <row r="825" spans="1:9" ht="16.5">
      <c r="A825" s="1874" t="s">
        <v>2729</v>
      </c>
      <c r="B825" s="1875" t="s">
        <v>8809</v>
      </c>
      <c r="C825" s="1842" t="s">
        <v>7993</v>
      </c>
      <c r="D825" s="2799"/>
      <c r="E825" s="2799"/>
      <c r="F825" s="2798">
        <f t="shared" si="28"/>
        <v>0</v>
      </c>
      <c r="G825" s="1871">
        <f t="shared" si="29"/>
        <v>0</v>
      </c>
      <c r="H825" s="1174">
        <v>0.51170000000000004</v>
      </c>
      <c r="I825" s="3134" t="s">
        <v>0</v>
      </c>
    </row>
    <row r="826" spans="1:9" ht="16.5">
      <c r="A826" s="1874" t="s">
        <v>2730</v>
      </c>
      <c r="B826" s="1875" t="s">
        <v>8810</v>
      </c>
      <c r="C826" s="1842" t="s">
        <v>7993</v>
      </c>
      <c r="D826" s="2799"/>
      <c r="E826" s="2799"/>
      <c r="F826" s="2798">
        <f t="shared" si="28"/>
        <v>0</v>
      </c>
      <c r="G826" s="1871">
        <f t="shared" si="29"/>
        <v>0</v>
      </c>
      <c r="H826" s="1174">
        <v>0.67049999999999998</v>
      </c>
      <c r="I826" s="3134" t="s">
        <v>0</v>
      </c>
    </row>
    <row r="827" spans="1:9" ht="16.5">
      <c r="A827" s="1874" t="s">
        <v>2731</v>
      </c>
      <c r="B827" s="1875" t="s">
        <v>8811</v>
      </c>
      <c r="C827" s="1842" t="s">
        <v>7993</v>
      </c>
      <c r="D827" s="2799"/>
      <c r="E827" s="2799"/>
      <c r="F827" s="2798">
        <f t="shared" si="28"/>
        <v>0</v>
      </c>
      <c r="G827" s="1871">
        <f t="shared" si="29"/>
        <v>0</v>
      </c>
      <c r="H827" s="1174">
        <v>0.3609</v>
      </c>
      <c r="I827" s="3134" t="s">
        <v>0</v>
      </c>
    </row>
    <row r="828" spans="1:9" ht="16.5">
      <c r="A828" s="1874" t="s">
        <v>2732</v>
      </c>
      <c r="B828" s="1875" t="s">
        <v>8812</v>
      </c>
      <c r="C828" s="1842" t="s">
        <v>7993</v>
      </c>
      <c r="D828" s="2799"/>
      <c r="E828" s="2799"/>
      <c r="F828" s="2798">
        <f t="shared" si="28"/>
        <v>0</v>
      </c>
      <c r="G828" s="1871">
        <f t="shared" si="29"/>
        <v>0</v>
      </c>
      <c r="H828" s="1174">
        <v>0.41439999999999999</v>
      </c>
      <c r="I828" s="3134" t="s">
        <v>0</v>
      </c>
    </row>
    <row r="829" spans="1:9" ht="16.5">
      <c r="A829" s="1874" t="s">
        <v>2733</v>
      </c>
      <c r="B829" s="1875" t="s">
        <v>8813</v>
      </c>
      <c r="C829" s="1842" t="s">
        <v>7993</v>
      </c>
      <c r="D829" s="2799"/>
      <c r="E829" s="2799"/>
      <c r="F829" s="2798">
        <f t="shared" si="28"/>
        <v>0</v>
      </c>
      <c r="G829" s="1871">
        <f t="shared" si="29"/>
        <v>0</v>
      </c>
      <c r="H829" s="1174">
        <v>0.81240000000000001</v>
      </c>
      <c r="I829" s="3134" t="s">
        <v>0</v>
      </c>
    </row>
    <row r="830" spans="1:9" ht="16.5">
      <c r="A830" s="1874" t="s">
        <v>2734</v>
      </c>
      <c r="B830" s="1875" t="s">
        <v>8814</v>
      </c>
      <c r="C830" s="1842" t="s">
        <v>7993</v>
      </c>
      <c r="D830" s="2799"/>
      <c r="E830" s="2799"/>
      <c r="F830" s="2798">
        <f t="shared" si="28"/>
        <v>0</v>
      </c>
      <c r="G830" s="1871">
        <f t="shared" si="29"/>
        <v>0</v>
      </c>
      <c r="H830" s="1174">
        <v>0.52380000000000004</v>
      </c>
      <c r="I830" s="3134" t="s">
        <v>0</v>
      </c>
    </row>
    <row r="831" spans="1:9" ht="16.5">
      <c r="A831" s="1874" t="s">
        <v>2735</v>
      </c>
      <c r="B831" s="1875" t="s">
        <v>8815</v>
      </c>
      <c r="C831" s="1842" t="s">
        <v>7993</v>
      </c>
      <c r="D831" s="2799"/>
      <c r="E831" s="2799"/>
      <c r="F831" s="2798">
        <f t="shared" si="28"/>
        <v>0</v>
      </c>
      <c r="G831" s="1871">
        <f t="shared" si="29"/>
        <v>0</v>
      </c>
      <c r="H831" s="1174">
        <v>0.47860000000000003</v>
      </c>
      <c r="I831" s="3134" t="s">
        <v>0</v>
      </c>
    </row>
    <row r="832" spans="1:9" ht="16.5">
      <c r="A832" s="1874" t="s">
        <v>2736</v>
      </c>
      <c r="B832" s="1875" t="s">
        <v>8816</v>
      </c>
      <c r="C832" s="1842" t="s">
        <v>7993</v>
      </c>
      <c r="D832" s="2799"/>
      <c r="E832" s="2799"/>
      <c r="F832" s="2798">
        <f t="shared" si="28"/>
        <v>0</v>
      </c>
      <c r="G832" s="1871">
        <f t="shared" si="29"/>
        <v>0</v>
      </c>
      <c r="H832" s="1174">
        <v>0.47599999999999998</v>
      </c>
      <c r="I832" s="3134" t="s">
        <v>0</v>
      </c>
    </row>
    <row r="833" spans="1:9" ht="16.5">
      <c r="A833" s="1874" t="s">
        <v>2737</v>
      </c>
      <c r="B833" s="1875" t="s">
        <v>8817</v>
      </c>
      <c r="C833" s="1842" t="s">
        <v>7993</v>
      </c>
      <c r="D833" s="2799"/>
      <c r="E833" s="2799"/>
      <c r="F833" s="2798">
        <f t="shared" si="28"/>
        <v>0</v>
      </c>
      <c r="G833" s="1871">
        <f t="shared" si="29"/>
        <v>0</v>
      </c>
      <c r="H833" s="1174">
        <v>0.25169999999999998</v>
      </c>
      <c r="I833" s="3134" t="s">
        <v>0</v>
      </c>
    </row>
    <row r="834" spans="1:9" ht="16.5">
      <c r="A834" s="1874" t="s">
        <v>2738</v>
      </c>
      <c r="B834" s="1875" t="s">
        <v>8818</v>
      </c>
      <c r="C834" s="1842" t="s">
        <v>7993</v>
      </c>
      <c r="D834" s="2799"/>
      <c r="E834" s="2799"/>
      <c r="F834" s="2798">
        <f t="shared" si="28"/>
        <v>0</v>
      </c>
      <c r="G834" s="1871">
        <f t="shared" si="29"/>
        <v>0</v>
      </c>
      <c r="H834" s="1174">
        <v>1.3614999999999999</v>
      </c>
      <c r="I834" s="3134" t="s">
        <v>0</v>
      </c>
    </row>
    <row r="835" spans="1:9" ht="16.5">
      <c r="A835" s="1874" t="s">
        <v>2739</v>
      </c>
      <c r="B835" s="1875" t="s">
        <v>8819</v>
      </c>
      <c r="C835" s="1842" t="s">
        <v>7993</v>
      </c>
      <c r="D835" s="2799"/>
      <c r="E835" s="2799"/>
      <c r="F835" s="2798">
        <f t="shared" si="28"/>
        <v>0</v>
      </c>
      <c r="G835" s="1871">
        <f t="shared" si="29"/>
        <v>0</v>
      </c>
      <c r="H835" s="1174">
        <v>0.5484</v>
      </c>
      <c r="I835" s="3134" t="s">
        <v>0</v>
      </c>
    </row>
    <row r="836" spans="1:9" ht="16.5">
      <c r="A836" s="1874" t="s">
        <v>2740</v>
      </c>
      <c r="B836" s="1875" t="s">
        <v>8820</v>
      </c>
      <c r="C836" s="1842" t="s">
        <v>7993</v>
      </c>
      <c r="D836" s="2799"/>
      <c r="E836" s="2799"/>
      <c r="F836" s="2798">
        <f t="shared" si="28"/>
        <v>0</v>
      </c>
      <c r="G836" s="1871">
        <f t="shared" si="29"/>
        <v>0</v>
      </c>
      <c r="H836" s="1174">
        <v>0.4773</v>
      </c>
      <c r="I836" s="3134" t="s">
        <v>0</v>
      </c>
    </row>
    <row r="837" spans="1:9" ht="16.5">
      <c r="A837" s="1874" t="s">
        <v>2741</v>
      </c>
      <c r="B837" s="1875" t="s">
        <v>8821</v>
      </c>
      <c r="C837" s="1842" t="s">
        <v>7993</v>
      </c>
      <c r="D837" s="2799"/>
      <c r="E837" s="2799"/>
      <c r="F837" s="2798">
        <f t="shared" si="28"/>
        <v>0</v>
      </c>
      <c r="G837" s="1871">
        <f t="shared" si="29"/>
        <v>0</v>
      </c>
      <c r="H837" s="1174">
        <v>0.1643</v>
      </c>
      <c r="I837" s="3134" t="s">
        <v>0</v>
      </c>
    </row>
    <row r="838" spans="1:9" ht="16.5">
      <c r="A838" s="1874" t="s">
        <v>2742</v>
      </c>
      <c r="B838" s="1875" t="s">
        <v>8822</v>
      </c>
      <c r="C838" s="1842" t="s">
        <v>7993</v>
      </c>
      <c r="D838" s="2799"/>
      <c r="E838" s="2799"/>
      <c r="F838" s="2798">
        <f t="shared" si="28"/>
        <v>0</v>
      </c>
      <c r="G838" s="1871">
        <f t="shared" si="29"/>
        <v>0</v>
      </c>
      <c r="H838" s="1174">
        <v>0.2964</v>
      </c>
      <c r="I838" s="3134" t="s">
        <v>0</v>
      </c>
    </row>
    <row r="839" spans="1:9" ht="16.5">
      <c r="A839" s="1874" t="s">
        <v>2743</v>
      </c>
      <c r="B839" s="1875" t="s">
        <v>8823</v>
      </c>
      <c r="C839" s="1842" t="s">
        <v>7993</v>
      </c>
      <c r="D839" s="2799"/>
      <c r="E839" s="2799"/>
      <c r="F839" s="2798">
        <f t="shared" si="28"/>
        <v>0</v>
      </c>
      <c r="G839" s="1871">
        <f t="shared" si="29"/>
        <v>0</v>
      </c>
      <c r="H839" s="1174">
        <v>0.2974</v>
      </c>
      <c r="I839" s="3134" t="s">
        <v>0</v>
      </c>
    </row>
    <row r="840" spans="1:9" ht="16.5">
      <c r="A840" s="1874" t="s">
        <v>2744</v>
      </c>
      <c r="B840" s="1875" t="s">
        <v>8824</v>
      </c>
      <c r="C840" s="1842" t="s">
        <v>7993</v>
      </c>
      <c r="D840" s="2799"/>
      <c r="E840" s="2799"/>
      <c r="F840" s="2798">
        <f t="shared" si="28"/>
        <v>0</v>
      </c>
      <c r="G840" s="1871">
        <f t="shared" si="29"/>
        <v>0</v>
      </c>
      <c r="H840" s="1174">
        <v>0.66790000000000005</v>
      </c>
      <c r="I840" s="3134" t="s">
        <v>0</v>
      </c>
    </row>
    <row r="841" spans="1:9" ht="16.5">
      <c r="A841" s="1874" t="s">
        <v>2745</v>
      </c>
      <c r="B841" s="1875" t="s">
        <v>8825</v>
      </c>
      <c r="C841" s="1842" t="s">
        <v>7993</v>
      </c>
      <c r="D841" s="2799"/>
      <c r="E841" s="2799"/>
      <c r="F841" s="2798">
        <f t="shared" si="28"/>
        <v>0</v>
      </c>
      <c r="G841" s="1871">
        <f t="shared" si="29"/>
        <v>0</v>
      </c>
      <c r="H841" s="1174">
        <v>0.41539999999999999</v>
      </c>
      <c r="I841" s="3134" t="s">
        <v>0</v>
      </c>
    </row>
    <row r="842" spans="1:9" ht="16.5">
      <c r="A842" s="1874" t="s">
        <v>2746</v>
      </c>
      <c r="B842" s="1875" t="s">
        <v>8826</v>
      </c>
      <c r="C842" s="1842" t="s">
        <v>7993</v>
      </c>
      <c r="D842" s="2799"/>
      <c r="E842" s="2799"/>
      <c r="F842" s="2798">
        <f t="shared" si="28"/>
        <v>0</v>
      </c>
      <c r="G842" s="1871">
        <f t="shared" si="29"/>
        <v>0</v>
      </c>
      <c r="H842" s="1174">
        <v>0.20319999999999999</v>
      </c>
      <c r="I842" s="3134" t="s">
        <v>0</v>
      </c>
    </row>
    <row r="843" spans="1:9" ht="16.5">
      <c r="A843" s="1874" t="s">
        <v>2747</v>
      </c>
      <c r="B843" s="1875" t="s">
        <v>8827</v>
      </c>
      <c r="C843" s="1842" t="s">
        <v>7993</v>
      </c>
      <c r="D843" s="2799"/>
      <c r="E843" s="2799"/>
      <c r="F843" s="2798">
        <f t="shared" si="28"/>
        <v>0</v>
      </c>
      <c r="G843" s="1871">
        <f t="shared" si="29"/>
        <v>0</v>
      </c>
      <c r="H843" s="1174">
        <v>0.4088</v>
      </c>
      <c r="I843" s="3134" t="s">
        <v>0</v>
      </c>
    </row>
    <row r="844" spans="1:9" ht="16.5">
      <c r="A844" s="1874" t="s">
        <v>1840</v>
      </c>
      <c r="B844" s="1875" t="s">
        <v>8828</v>
      </c>
      <c r="C844" s="1842" t="s">
        <v>8829</v>
      </c>
      <c r="D844" s="2799"/>
      <c r="E844" s="2799"/>
      <c r="F844" s="2798">
        <f t="shared" si="28"/>
        <v>0</v>
      </c>
      <c r="G844" s="1871">
        <f t="shared" si="29"/>
        <v>0</v>
      </c>
      <c r="H844" s="1174">
        <v>1.1061000000000001</v>
      </c>
      <c r="I844" s="3134" t="s">
        <v>0</v>
      </c>
    </row>
    <row r="845" spans="1:9" ht="16.5">
      <c r="A845" s="1874" t="s">
        <v>1841</v>
      </c>
      <c r="B845" s="1875" t="s">
        <v>8830</v>
      </c>
      <c r="C845" s="1842" t="s">
        <v>8829</v>
      </c>
      <c r="D845" s="2799"/>
      <c r="E845" s="2799"/>
      <c r="F845" s="2798">
        <f t="shared" si="28"/>
        <v>0</v>
      </c>
      <c r="G845" s="1871">
        <f t="shared" si="29"/>
        <v>0</v>
      </c>
      <c r="H845" s="1174">
        <v>1.3239000000000001</v>
      </c>
      <c r="I845" s="3134" t="s">
        <v>0</v>
      </c>
    </row>
    <row r="846" spans="1:9" ht="16.5">
      <c r="A846" s="1874" t="s">
        <v>1842</v>
      </c>
      <c r="B846" s="1875" t="s">
        <v>8831</v>
      </c>
      <c r="C846" s="1842" t="s">
        <v>8829</v>
      </c>
      <c r="D846" s="2799"/>
      <c r="E846" s="2799"/>
      <c r="F846" s="2798">
        <f t="shared" si="28"/>
        <v>0</v>
      </c>
      <c r="G846" s="1871">
        <f t="shared" si="29"/>
        <v>0</v>
      </c>
      <c r="H846" s="1174">
        <v>1.2298</v>
      </c>
      <c r="I846" s="3134" t="s">
        <v>0</v>
      </c>
    </row>
    <row r="847" spans="1:9" ht="16.5">
      <c r="A847" s="1874" t="s">
        <v>1843</v>
      </c>
      <c r="B847" s="1875" t="s">
        <v>8832</v>
      </c>
      <c r="C847" s="1842" t="s">
        <v>8829</v>
      </c>
      <c r="D847" s="2799"/>
      <c r="E847" s="2799"/>
      <c r="F847" s="2798">
        <f t="shared" si="28"/>
        <v>0</v>
      </c>
      <c r="G847" s="1871">
        <f t="shared" si="29"/>
        <v>0</v>
      </c>
      <c r="H847" s="1174">
        <v>1.3532999999999999</v>
      </c>
      <c r="I847" s="3134" t="s">
        <v>0</v>
      </c>
    </row>
    <row r="848" spans="1:9" ht="16.5">
      <c r="A848" s="1874" t="s">
        <v>3241</v>
      </c>
      <c r="B848" s="1875" t="s">
        <v>8833</v>
      </c>
      <c r="C848" s="1842" t="s">
        <v>8829</v>
      </c>
      <c r="D848" s="2799"/>
      <c r="E848" s="2799"/>
      <c r="F848" s="2798">
        <f t="shared" si="28"/>
        <v>0</v>
      </c>
      <c r="G848" s="1871">
        <f t="shared" si="29"/>
        <v>0</v>
      </c>
      <c r="H848" s="1174">
        <v>1.2343999999999999</v>
      </c>
      <c r="I848" s="3135" t="s">
        <v>0</v>
      </c>
    </row>
    <row r="849" spans="1:9" ht="16.5">
      <c r="A849" s="1874" t="s">
        <v>1844</v>
      </c>
      <c r="B849" s="1875" t="s">
        <v>8834</v>
      </c>
      <c r="C849" s="1842" t="s">
        <v>8829</v>
      </c>
      <c r="D849" s="2799"/>
      <c r="E849" s="2799"/>
      <c r="F849" s="2798">
        <f t="shared" si="28"/>
        <v>0</v>
      </c>
      <c r="G849" s="1871">
        <f t="shared" si="29"/>
        <v>0</v>
      </c>
      <c r="H849" s="1174">
        <v>1.2345999999999999</v>
      </c>
      <c r="I849" s="3135" t="s">
        <v>0</v>
      </c>
    </row>
    <row r="850" spans="1:9">
      <c r="A850" s="1874"/>
      <c r="B850" s="1875"/>
      <c r="C850" s="1842"/>
      <c r="D850" s="2799"/>
      <c r="E850" s="2799"/>
      <c r="F850" s="2798"/>
      <c r="G850" s="1871"/>
      <c r="H850" s="1174"/>
      <c r="I850" s="3135"/>
    </row>
    <row r="851" spans="1:9">
      <c r="A851" s="1874"/>
      <c r="B851" s="1875"/>
      <c r="C851" s="1842"/>
      <c r="D851" s="2799"/>
      <c r="E851" s="2799"/>
      <c r="F851" s="2798"/>
      <c r="G851" s="1871"/>
      <c r="H851" s="1174"/>
      <c r="I851" s="3135"/>
    </row>
    <row r="852" spans="1:9">
      <c r="A852" s="1874"/>
      <c r="B852" s="1875"/>
      <c r="C852" s="1842"/>
      <c r="D852" s="2799"/>
      <c r="E852" s="2799"/>
      <c r="F852" s="2798"/>
      <c r="G852" s="1871"/>
      <c r="H852" s="1173"/>
      <c r="I852" s="1876"/>
    </row>
    <row r="853" spans="1:9">
      <c r="A853" s="1874"/>
      <c r="B853" s="1875"/>
      <c r="C853" s="1842"/>
      <c r="D853" s="2799"/>
      <c r="E853" s="2799"/>
      <c r="F853" s="2798"/>
      <c r="G853" s="1871"/>
      <c r="H853" s="1173"/>
      <c r="I853" s="3136"/>
    </row>
    <row r="854" spans="1:9" ht="16.5" thickBot="1">
      <c r="A854" s="3137"/>
      <c r="B854" s="3138"/>
      <c r="C854" s="1877"/>
      <c r="D854" s="1878"/>
      <c r="E854" s="1878"/>
      <c r="F854" s="1878"/>
      <c r="G854" s="1879"/>
      <c r="H854" s="1860"/>
      <c r="I854" s="3139"/>
    </row>
    <row r="855" spans="1:9" ht="18" thickTop="1" thickBot="1">
      <c r="A855" s="3968" t="s">
        <v>5088</v>
      </c>
      <c r="B855" s="3968"/>
      <c r="C855" s="3968"/>
      <c r="D855" s="3968"/>
      <c r="E855" s="3968"/>
      <c r="F855" s="1880">
        <f>SUM(F4:F854)</f>
        <v>0</v>
      </c>
      <c r="G855" s="1881">
        <f>IF($F$855=0,0,F855/$F$855)</f>
        <v>0</v>
      </c>
      <c r="H855" s="1882"/>
      <c r="I855" s="3140"/>
    </row>
    <row r="857" spans="1:9" ht="16.5">
      <c r="A857" s="379" t="s">
        <v>5089</v>
      </c>
    </row>
  </sheetData>
  <mergeCells count="1">
    <mergeCell ref="A855:E855"/>
  </mergeCells>
  <phoneticPr fontId="7" type="noConversion"/>
  <printOptions horizontalCentered="1" verticalCentered="1"/>
  <pageMargins left="0.47244094488188981" right="0.47244094488188981" top="0.39370078740157483" bottom="0.39370078740157483" header="0" footer="0"/>
  <pageSetup paperSize="9" scale="41" fitToHeight="7" orientation="portrait" cellComments="asDisplayed" r:id="rId1"/>
  <headerFooter alignWithMargins="0">
    <oddFooter>&amp;C&amp;P/&amp;N&amp;R&amp;F</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工作表25">
    <pageSetUpPr fitToPage="1"/>
  </sheetPr>
  <dimension ref="A1:K1100"/>
  <sheetViews>
    <sheetView workbookViewId="0">
      <selection sqref="A1:XFD1048576"/>
    </sheetView>
  </sheetViews>
  <sheetFormatPr defaultColWidth="24.625" defaultRowHeight="16.5"/>
  <cols>
    <col min="1" max="5" width="15.625" customWidth="1"/>
    <col min="6" max="6" width="1.625" customWidth="1"/>
    <col min="7" max="7" width="30.625" customWidth="1"/>
    <col min="8" max="11" width="15.625" customWidth="1"/>
  </cols>
  <sheetData>
    <row r="1" spans="1:11">
      <c r="A1" s="2808" t="s">
        <v>8835</v>
      </c>
      <c r="B1" s="2808"/>
      <c r="C1" s="2808"/>
      <c r="D1" s="2808"/>
      <c r="E1" s="2808"/>
      <c r="F1" s="2808"/>
      <c r="G1" s="2859" t="s">
        <v>8836</v>
      </c>
      <c r="H1" s="3141">
        <v>45657</v>
      </c>
      <c r="I1" s="2808"/>
      <c r="J1" s="2808"/>
      <c r="K1" s="2808"/>
    </row>
    <row r="2" spans="1:11">
      <c r="A2" t="s">
        <v>8837</v>
      </c>
      <c r="B2" s="2808"/>
      <c r="C2" s="2808"/>
      <c r="D2" s="2808"/>
      <c r="E2" s="2808"/>
      <c r="F2" s="2808"/>
      <c r="G2" s="2859" t="s">
        <v>8838</v>
      </c>
      <c r="H2" s="3142">
        <f>IF(MONTH(H1)=12,VALUE(CONCATENATE(YEAR(H1)-2,"/",1,"/",1)),
IF(MONTH(H1)=6,VALUE(CONCATENATE(YEAR(H1)-3,"/",7,"/",1)),))</f>
        <v>44562</v>
      </c>
      <c r="I2" s="3143"/>
      <c r="J2" s="2808"/>
      <c r="K2" s="2808"/>
    </row>
    <row r="3" spans="1:11" s="3145" customFormat="1" ht="63">
      <c r="A3" s="3144" t="s">
        <v>8839</v>
      </c>
      <c r="B3" s="3144" t="s">
        <v>8840</v>
      </c>
      <c r="C3" s="3144" t="s">
        <v>8841</v>
      </c>
      <c r="D3" s="3144" t="s">
        <v>719</v>
      </c>
      <c r="E3" s="3144" t="s">
        <v>720</v>
      </c>
      <c r="F3" s="9"/>
      <c r="G3" s="3144" t="s">
        <v>8842</v>
      </c>
      <c r="H3" s="3144" t="s">
        <v>8840</v>
      </c>
      <c r="I3" s="3144" t="s">
        <v>8841</v>
      </c>
      <c r="J3" s="3144" t="s">
        <v>719</v>
      </c>
      <c r="K3" s="3144" t="s">
        <v>720</v>
      </c>
    </row>
    <row r="4" spans="1:11" s="3149" customFormat="1">
      <c r="A4" s="3146" t="s">
        <v>8843</v>
      </c>
      <c r="B4" s="3146" t="s">
        <v>8844</v>
      </c>
      <c r="C4" s="3146" t="s">
        <v>8844</v>
      </c>
      <c r="D4" s="3146" t="s">
        <v>8844</v>
      </c>
      <c r="E4" s="3146" t="s">
        <v>8844</v>
      </c>
      <c r="F4" s="3147"/>
      <c r="G4" s="3146" t="s">
        <v>8845</v>
      </c>
      <c r="H4" s="3148">
        <f t="array" aca="1" ref="H4" ca="1">VLOOKUP(MAX((OFFSET($A$5,,,9999,)&lt;=$H$1)*OFFSET($A$5,,,9999,)*(OFFSET(B$5,,,9999,)&lt;&gt;"")),OFFSET($A$5,,,9999,5),2,FALSE)</f>
        <v>50903.23</v>
      </c>
      <c r="I4" s="3148">
        <f t="array" aca="1" ref="I4" ca="1">VLOOKUP(MAX((OFFSET($A$5,,,9999,)&lt;=$H$1)*OFFSET($A$5,,,9999,)*(OFFSET(C$5,,,9999,)&lt;&gt;"")),OFFSET($A$5,,,9999,5),3,FALSE)</f>
        <v>453.52</v>
      </c>
      <c r="J4" s="3148">
        <f t="array" aca="1" ref="J4" ca="1">VLOOKUP(MAX((OFFSET($A$5,,,9999,)&lt;=$H$1)*OFFSET($A$5,,,9999,)*(OFFSET(D$5,,,9999,)&lt;&gt;"")),OFFSET($A$5,,,9999,5),4,FALSE)</f>
        <v>17352.12</v>
      </c>
      <c r="K4" s="3148">
        <f t="array" aca="1" ref="K4" ca="1">VLOOKUP(MAX((OFFSET($A$5,,,9999,)&lt;=$H$1)*OFFSET($A$5,,,9999,)*(OFFSET(E$5,,,9999,)&lt;&gt;"")),OFFSET($A$5,,,9999,5),5,FALSE)</f>
        <v>2853.33</v>
      </c>
    </row>
    <row r="5" spans="1:11" ht="18.75">
      <c r="A5" s="2800">
        <v>45657</v>
      </c>
      <c r="B5" s="2801">
        <v>50903.23</v>
      </c>
      <c r="C5" s="2801">
        <v>453.52</v>
      </c>
      <c r="D5" s="2801">
        <v>17352.12</v>
      </c>
      <c r="E5" s="2801">
        <v>2853.33</v>
      </c>
      <c r="F5" s="2808"/>
      <c r="G5" s="3146" t="s">
        <v>8846</v>
      </c>
      <c r="H5" s="3148">
        <f ca="1">AVERAGE(OFFSET(INDIRECT(ADDRESS(MATCH($H$1,OFFSET($A$5,,,9999,),0)+4,COLUMN(B5),1,1)),,,MATCH($H$2,OFFSET($A$5,,,9999,),0)-MATCH($H$1,OFFSET($A$5,,,9999,),0)+1,))</f>
        <v>37666.107675378291</v>
      </c>
      <c r="I5" s="3148">
        <f ca="1">AVERAGE(OFFSET(INDIRECT(ADDRESS(MATCH($H$1,OFFSET($A$5,,,9999,),0)+4,COLUMN(C5),1,1)),,,MATCH($H$2,OFFSET($A$5,,,9999,),0)-MATCH($H$1,OFFSET($A$5,,,9999,),0)+1,))</f>
        <v>377.99192572214571</v>
      </c>
      <c r="J5" s="3148">
        <f ca="1">AVERAGE(OFFSET(INDIRECT(ADDRESS(MATCH($H$1,OFFSET($A$5,,,9999,),0)+4,COLUMN(D5),1,1)),,,MATCH($H$2,OFFSET($A$5,,,9999,),0)-MATCH($H$1,OFFSET($A$5,,,9999,),0)+1,))</f>
        <v>13873.355920716098</v>
      </c>
      <c r="K5" s="3148">
        <f ca="1">AVERAGE(OFFSET(INDIRECT(ADDRESS(MATCH($H$1,OFFSET($A$5,,,9999,),0)+4,COLUMN(E5),1,1)),,,MATCH($H$2,OFFSET($A$5,,,9999,),0)-MATCH($H$1,OFFSET($A$5,,,9999,),0)+1,))</f>
        <v>2615.7625319693102</v>
      </c>
    </row>
    <row r="6" spans="1:11">
      <c r="A6" s="2800">
        <v>45656</v>
      </c>
      <c r="B6" s="2801">
        <v>51245.97</v>
      </c>
      <c r="C6" s="2801">
        <v>450.82</v>
      </c>
      <c r="D6" s="2801">
        <v>17402.46</v>
      </c>
      <c r="E6" s="2801">
        <v>2861.06</v>
      </c>
      <c r="F6" s="2808"/>
      <c r="G6" s="3146" t="s">
        <v>8847</v>
      </c>
      <c r="H6" s="3150">
        <f ca="1">ROUND(MIN(MAX(((H4-H5)/H5-8%)*0.5,-10%),10%)*0.85,4)</f>
        <v>8.5000000000000006E-2</v>
      </c>
      <c r="I6" s="3150">
        <f ca="1">ROUND(MIN(MAX(((I4-I5)/I5-8%)*0.5,-10%),10%)*0.85,4)</f>
        <v>5.0900000000000001E-2</v>
      </c>
      <c r="J6" s="3150">
        <f ca="1">ROUND(MIN(MAX(((J4-J5)/J5-8%)*0.5,-10%),10%)*0.85,4)</f>
        <v>7.2599999999999998E-2</v>
      </c>
      <c r="K6" s="3150">
        <f ca="1">ROUND(MIN(MAX(((K4-K5)/K5-8%)*0.5,-10%),10%)*0.85,4)</f>
        <v>4.5999999999999999E-3</v>
      </c>
    </row>
    <row r="7" spans="1:11">
      <c r="A7" s="2800">
        <v>45655</v>
      </c>
      <c r="B7" s="2801" t="s">
        <v>0</v>
      </c>
      <c r="C7" s="2801" t="s">
        <v>0</v>
      </c>
      <c r="D7" s="2801" t="s">
        <v>0</v>
      </c>
      <c r="E7" s="2801" t="s">
        <v>0</v>
      </c>
      <c r="F7" s="2808"/>
      <c r="G7" s="3151"/>
      <c r="H7" s="3143"/>
      <c r="I7" s="3143"/>
      <c r="J7" s="3143"/>
      <c r="K7" s="3143"/>
    </row>
    <row r="8" spans="1:11">
      <c r="A8" s="2800">
        <v>45654</v>
      </c>
      <c r="B8" s="2801" t="s">
        <v>0</v>
      </c>
      <c r="C8" s="2801" t="s">
        <v>0</v>
      </c>
      <c r="D8" s="2801" t="s">
        <v>0</v>
      </c>
      <c r="E8" s="2801" t="s">
        <v>0</v>
      </c>
      <c r="F8" s="2808"/>
      <c r="G8" s="2808"/>
      <c r="H8" s="3143"/>
      <c r="I8" s="3143"/>
      <c r="J8" s="3143"/>
      <c r="K8" s="3143"/>
    </row>
    <row r="9" spans="1:11">
      <c r="A9" s="2800">
        <v>45653</v>
      </c>
      <c r="B9" s="2801">
        <v>51434.879999999997</v>
      </c>
      <c r="C9" s="2801">
        <v>453.96</v>
      </c>
      <c r="D9" s="2801">
        <v>17572.36</v>
      </c>
      <c r="E9" s="2801">
        <v>2872.81</v>
      </c>
      <c r="F9" s="2808"/>
      <c r="G9" s="2808"/>
      <c r="H9" s="3143"/>
      <c r="I9" s="3143"/>
      <c r="J9" s="3143"/>
      <c r="K9" s="3143"/>
    </row>
    <row r="10" spans="1:11">
      <c r="A10" s="2800">
        <v>45652</v>
      </c>
      <c r="B10" s="2801">
        <v>51371.360000000001</v>
      </c>
      <c r="C10" s="2801">
        <v>455.89</v>
      </c>
      <c r="D10" s="2801">
        <v>17679.12</v>
      </c>
      <c r="E10" s="2801">
        <v>2876.48</v>
      </c>
      <c r="F10" s="2808"/>
      <c r="G10" s="2808"/>
      <c r="H10" s="3143"/>
      <c r="I10" s="3143"/>
      <c r="J10" s="3143"/>
      <c r="K10" s="3143"/>
    </row>
    <row r="11" spans="1:11">
      <c r="A11" s="2800">
        <v>45651</v>
      </c>
      <c r="B11" s="2801">
        <v>51312.04</v>
      </c>
      <c r="C11" s="2801">
        <v>454.53</v>
      </c>
      <c r="D11" s="2801">
        <v>17677.34</v>
      </c>
      <c r="E11" s="2801">
        <v>2878.87</v>
      </c>
      <c r="F11" s="2808"/>
      <c r="G11" s="2808"/>
      <c r="H11" s="3143"/>
      <c r="I11" s="3143"/>
      <c r="J11" s="3143"/>
      <c r="K11" s="3143"/>
    </row>
    <row r="12" spans="1:11">
      <c r="A12" s="2800">
        <v>45650</v>
      </c>
      <c r="B12" s="2801">
        <v>51091.32</v>
      </c>
      <c r="C12" s="2801">
        <v>452.43</v>
      </c>
      <c r="D12" s="2801">
        <v>17674.36</v>
      </c>
      <c r="E12" s="2801">
        <v>2876.58</v>
      </c>
      <c r="F12" s="2808"/>
      <c r="G12" s="2808"/>
      <c r="H12" s="3152"/>
      <c r="I12" s="2808"/>
      <c r="J12" s="2808"/>
      <c r="K12" s="2808"/>
    </row>
    <row r="13" spans="1:11">
      <c r="A13" s="2800">
        <v>45649</v>
      </c>
      <c r="B13" s="2801">
        <v>51056.61</v>
      </c>
      <c r="C13" s="2801">
        <v>450.44</v>
      </c>
      <c r="D13" s="2801">
        <v>17521.03</v>
      </c>
      <c r="E13" s="2801">
        <v>2868.39</v>
      </c>
      <c r="F13" s="2808"/>
      <c r="G13" s="2808"/>
      <c r="H13" s="3152"/>
      <c r="I13" s="2808"/>
      <c r="J13" s="3153"/>
      <c r="K13" s="3154"/>
    </row>
    <row r="14" spans="1:11">
      <c r="A14" s="2800">
        <v>45648</v>
      </c>
      <c r="B14" s="2801" t="s">
        <v>0</v>
      </c>
      <c r="C14" s="2801" t="s">
        <v>0</v>
      </c>
      <c r="D14" s="2801" t="s">
        <v>0</v>
      </c>
      <c r="E14" s="2801" t="s">
        <v>0</v>
      </c>
      <c r="F14" s="2808"/>
      <c r="G14" s="2808"/>
      <c r="H14" s="3152"/>
      <c r="I14" s="2808"/>
      <c r="J14" s="2808"/>
      <c r="K14" s="2808"/>
    </row>
    <row r="15" spans="1:11">
      <c r="A15" s="2800">
        <v>45647</v>
      </c>
      <c r="B15" s="2801" t="s">
        <v>0</v>
      </c>
      <c r="C15" s="2801" t="s">
        <v>0</v>
      </c>
      <c r="D15" s="2801" t="s">
        <v>0</v>
      </c>
      <c r="E15" s="2801" t="s">
        <v>0</v>
      </c>
      <c r="F15" s="2808"/>
      <c r="G15" s="2808"/>
      <c r="H15" s="3155"/>
      <c r="I15" s="2808"/>
      <c r="J15" s="2808"/>
      <c r="K15" s="2808"/>
    </row>
    <row r="16" spans="1:11">
      <c r="A16" s="2800">
        <v>45646</v>
      </c>
      <c r="B16" s="2801">
        <v>49743.34</v>
      </c>
      <c r="C16" s="2801">
        <v>447.28</v>
      </c>
      <c r="D16" s="2801">
        <v>17417.82</v>
      </c>
      <c r="E16" s="2801">
        <v>2842.67</v>
      </c>
      <c r="F16" s="2808"/>
      <c r="G16" s="2808"/>
      <c r="H16" s="3155"/>
      <c r="I16" s="2808"/>
      <c r="J16" s="2808"/>
      <c r="K16" s="2808"/>
    </row>
    <row r="17" spans="1:11">
      <c r="A17" s="2800">
        <v>45645</v>
      </c>
      <c r="B17" s="2801">
        <v>50675.89</v>
      </c>
      <c r="C17" s="2801">
        <v>451.43</v>
      </c>
      <c r="D17" s="2801">
        <v>17290.03</v>
      </c>
      <c r="E17" s="2801">
        <v>2867.57</v>
      </c>
      <c r="F17" s="2808"/>
      <c r="G17" s="2808"/>
      <c r="H17" s="3155"/>
      <c r="I17" s="2808"/>
      <c r="J17" s="2808"/>
      <c r="K17" s="2808"/>
    </row>
    <row r="18" spans="1:11">
      <c r="A18" s="2800">
        <v>45644</v>
      </c>
      <c r="B18" s="2801">
        <v>51197.77</v>
      </c>
      <c r="C18" s="2801">
        <v>452.06</v>
      </c>
      <c r="D18" s="2801">
        <v>17403.490000000002</v>
      </c>
      <c r="E18" s="2801">
        <v>2903.47</v>
      </c>
      <c r="F18" s="2808"/>
      <c r="G18" s="2808"/>
      <c r="H18" s="3155"/>
      <c r="I18" s="2808"/>
      <c r="J18" s="2808"/>
      <c r="K18" s="2808"/>
    </row>
    <row r="19" spans="1:11">
      <c r="A19" s="2800">
        <v>45643</v>
      </c>
      <c r="B19" s="2801">
        <v>50863.3</v>
      </c>
      <c r="C19" s="2801">
        <v>449.75</v>
      </c>
      <c r="D19" s="2801">
        <v>17832.03</v>
      </c>
      <c r="E19" s="2801">
        <v>2897.83</v>
      </c>
      <c r="F19" s="2808"/>
      <c r="G19" s="2808"/>
      <c r="H19" s="3155"/>
      <c r="I19" s="2808"/>
      <c r="J19" s="2808"/>
      <c r="K19" s="2808"/>
    </row>
    <row r="20" spans="1:11">
      <c r="A20" s="2800">
        <v>45642</v>
      </c>
      <c r="B20" s="2801">
        <v>50911.67</v>
      </c>
      <c r="C20" s="2801">
        <v>443.16</v>
      </c>
      <c r="D20" s="2801">
        <v>17901.310000000001</v>
      </c>
      <c r="E20" s="2801">
        <v>2924.07</v>
      </c>
      <c r="F20" s="2808"/>
      <c r="G20" s="2808"/>
      <c r="H20" s="3155"/>
      <c r="I20" s="2808"/>
      <c r="J20" s="2808"/>
      <c r="K20" s="2808"/>
    </row>
    <row r="21" spans="1:11">
      <c r="A21" s="2800">
        <v>45641</v>
      </c>
      <c r="B21" s="2801" t="s">
        <v>0</v>
      </c>
      <c r="C21" s="2801" t="s">
        <v>0</v>
      </c>
      <c r="D21" s="2801" t="s">
        <v>0</v>
      </c>
      <c r="E21" s="2801" t="s">
        <v>0</v>
      </c>
      <c r="F21" s="2808"/>
      <c r="G21" s="2808"/>
      <c r="H21" s="3155"/>
      <c r="I21" s="2808"/>
      <c r="J21" s="2808"/>
      <c r="K21" s="2808"/>
    </row>
    <row r="22" spans="1:11">
      <c r="A22" s="2800">
        <v>45640</v>
      </c>
      <c r="B22" s="2801" t="s">
        <v>0</v>
      </c>
      <c r="C22" s="2801" t="s">
        <v>0</v>
      </c>
      <c r="D22" s="2801" t="s">
        <v>0</v>
      </c>
      <c r="E22" s="2801" t="s">
        <v>0</v>
      </c>
      <c r="F22" s="2808"/>
      <c r="G22" s="2808"/>
      <c r="H22" s="3155"/>
      <c r="I22" s="2808"/>
      <c r="J22" s="2808"/>
      <c r="K22" s="2808"/>
    </row>
    <row r="23" spans="1:11">
      <c r="A23" s="2800">
        <v>45639</v>
      </c>
      <c r="B23" s="2801">
        <v>50868.77</v>
      </c>
      <c r="C23" s="2801">
        <v>452.35</v>
      </c>
      <c r="D23" s="2801">
        <v>17853.77</v>
      </c>
      <c r="E23" s="2801">
        <v>2934.14</v>
      </c>
      <c r="F23" s="2808"/>
      <c r="G23" s="2808"/>
      <c r="H23" s="3155"/>
      <c r="I23" s="2808"/>
      <c r="J23" s="2808"/>
      <c r="K23" s="2808"/>
    </row>
    <row r="24" spans="1:11">
      <c r="A24" s="2800">
        <v>45638</v>
      </c>
      <c r="B24" s="2801">
        <v>50926.92</v>
      </c>
      <c r="C24" s="2801">
        <v>456.04</v>
      </c>
      <c r="D24" s="2801">
        <v>17893.18</v>
      </c>
      <c r="E24" s="2801">
        <v>2949.86</v>
      </c>
      <c r="F24" s="2808"/>
      <c r="G24" s="2808"/>
      <c r="H24" s="3155"/>
      <c r="I24" s="2808"/>
      <c r="J24" s="2808"/>
      <c r="K24" s="2808"/>
    </row>
    <row r="25" spans="1:11">
      <c r="A25" s="2800">
        <v>45637</v>
      </c>
      <c r="B25" s="2801">
        <v>50538.67</v>
      </c>
      <c r="C25" s="2801">
        <v>456.75</v>
      </c>
      <c r="D25" s="2801">
        <v>17969.330000000002</v>
      </c>
      <c r="E25" s="2801">
        <v>2935.78</v>
      </c>
      <c r="F25" s="2808"/>
      <c r="G25" s="2808"/>
      <c r="H25" s="3155"/>
      <c r="I25" s="2808"/>
      <c r="J25" s="2808"/>
      <c r="K25" s="2808"/>
    </row>
    <row r="26" spans="1:11">
      <c r="A26" s="2800">
        <v>45636</v>
      </c>
      <c r="B26" s="2801">
        <v>51027.33</v>
      </c>
      <c r="C26" s="2801">
        <v>457.52</v>
      </c>
      <c r="D26" s="2801">
        <v>17849.23</v>
      </c>
      <c r="E26" s="2801">
        <v>2944.37</v>
      </c>
      <c r="F26" s="2808"/>
      <c r="G26" s="2808"/>
      <c r="H26" s="3155"/>
      <c r="I26" s="2808"/>
      <c r="J26" s="2808"/>
      <c r="K26" s="2808"/>
    </row>
    <row r="27" spans="1:11">
      <c r="A27" s="2800">
        <v>45635</v>
      </c>
      <c r="B27" s="2801">
        <v>51350.59</v>
      </c>
      <c r="C27" s="2801">
        <v>461.49</v>
      </c>
      <c r="D27" s="2801">
        <v>17946.580000000002</v>
      </c>
      <c r="E27" s="2801">
        <v>2950.25</v>
      </c>
      <c r="F27" s="2808"/>
      <c r="G27" s="2808"/>
      <c r="H27" s="3155"/>
      <c r="I27" s="2808"/>
      <c r="J27" s="2808"/>
      <c r="K27" s="2808"/>
    </row>
    <row r="28" spans="1:11">
      <c r="A28" s="2800">
        <v>45634</v>
      </c>
      <c r="B28" s="2801" t="s">
        <v>0</v>
      </c>
      <c r="C28" s="2801" t="s">
        <v>0</v>
      </c>
      <c r="D28" s="2801" t="s">
        <v>0</v>
      </c>
      <c r="E28" s="2801" t="s">
        <v>0</v>
      </c>
      <c r="F28" s="2808"/>
      <c r="G28" s="2808"/>
      <c r="H28" s="3155"/>
      <c r="I28" s="2808"/>
      <c r="J28" s="2808"/>
      <c r="K28" s="2808"/>
    </row>
    <row r="29" spans="1:11">
      <c r="A29" s="2800">
        <v>45633</v>
      </c>
      <c r="B29" s="2801" t="s">
        <v>0</v>
      </c>
      <c r="C29" s="2801" t="s">
        <v>0</v>
      </c>
      <c r="D29" s="2801" t="s">
        <v>0</v>
      </c>
      <c r="E29" s="2801" t="s">
        <v>0</v>
      </c>
      <c r="F29" s="2808"/>
      <c r="G29" s="2808"/>
      <c r="H29" s="3155"/>
      <c r="I29" s="2808"/>
      <c r="J29" s="2808"/>
      <c r="K29" s="2808"/>
    </row>
    <row r="30" spans="1:11">
      <c r="A30" s="2800">
        <v>45632</v>
      </c>
      <c r="B30" s="2801">
        <v>51174.1</v>
      </c>
      <c r="C30" s="2801">
        <v>463.35</v>
      </c>
      <c r="D30" s="2801">
        <v>18026.04</v>
      </c>
      <c r="E30" s="2801">
        <v>2926.39</v>
      </c>
      <c r="F30" s="2808"/>
      <c r="G30" s="2808"/>
      <c r="H30" s="3155"/>
      <c r="I30" s="2808"/>
      <c r="J30" s="2808"/>
      <c r="K30" s="2808"/>
    </row>
    <row r="31" spans="1:11">
      <c r="A31" s="2800">
        <v>45631</v>
      </c>
      <c r="B31" s="2801">
        <v>51338.84</v>
      </c>
      <c r="C31" s="2801">
        <v>466.67</v>
      </c>
      <c r="D31" s="2801">
        <v>17993.63</v>
      </c>
      <c r="E31" s="2801">
        <v>2918.99</v>
      </c>
      <c r="F31" s="2808"/>
      <c r="G31" s="2808"/>
      <c r="H31" s="3155"/>
      <c r="I31" s="2808"/>
      <c r="J31" s="2808"/>
      <c r="K31" s="2808"/>
    </row>
    <row r="32" spans="1:11">
      <c r="A32" s="2800">
        <v>45630</v>
      </c>
      <c r="B32" s="2801">
        <v>51310.92</v>
      </c>
      <c r="C32" s="2801">
        <v>465.28</v>
      </c>
      <c r="D32" s="2801">
        <v>17998.560000000001</v>
      </c>
      <c r="E32" s="2801">
        <v>2914.18</v>
      </c>
      <c r="F32" s="2808"/>
      <c r="G32" s="2808"/>
      <c r="H32" s="3155"/>
      <c r="I32" s="2808"/>
      <c r="J32" s="2808"/>
      <c r="K32" s="2808"/>
    </row>
    <row r="33" spans="1:11">
      <c r="A33" s="2800">
        <v>45629</v>
      </c>
      <c r="B33" s="2801">
        <v>50808.14</v>
      </c>
      <c r="C33" s="2801">
        <v>459.1</v>
      </c>
      <c r="D33" s="2801">
        <v>17906.55</v>
      </c>
      <c r="E33" s="2801">
        <v>2906.2</v>
      </c>
      <c r="F33" s="2808"/>
      <c r="G33" s="2808"/>
      <c r="H33" s="3155"/>
      <c r="I33" s="2808"/>
      <c r="J33" s="2808"/>
      <c r="K33" s="2808"/>
    </row>
    <row r="34" spans="1:11">
      <c r="A34" s="2800">
        <v>45628</v>
      </c>
      <c r="B34" s="2801">
        <v>50167.12</v>
      </c>
      <c r="C34" s="2801">
        <v>456.84</v>
      </c>
      <c r="D34" s="2801">
        <v>17848.009999999998</v>
      </c>
      <c r="E34" s="2801">
        <v>2876.66</v>
      </c>
      <c r="F34" s="2808"/>
      <c r="G34" s="2808"/>
      <c r="H34" s="3155"/>
      <c r="I34" s="2808"/>
      <c r="J34" s="2808"/>
      <c r="K34" s="2808"/>
    </row>
    <row r="35" spans="1:11">
      <c r="A35" s="2800">
        <v>45627</v>
      </c>
      <c r="B35" s="2801" t="s">
        <v>0</v>
      </c>
      <c r="C35" s="2801" t="s">
        <v>0</v>
      </c>
      <c r="D35" s="2801" t="s">
        <v>0</v>
      </c>
      <c r="E35" s="2801" t="s">
        <v>0</v>
      </c>
      <c r="F35" s="2808"/>
      <c r="G35" s="2808"/>
      <c r="H35" s="3155"/>
      <c r="I35" s="2808"/>
      <c r="J35" s="2808"/>
      <c r="K35" s="2808"/>
    </row>
    <row r="36" spans="1:11">
      <c r="A36" s="2800">
        <v>45626</v>
      </c>
      <c r="B36" s="2801" t="s">
        <v>0</v>
      </c>
      <c r="C36" s="2801" t="s">
        <v>0</v>
      </c>
      <c r="D36" s="2801" t="s">
        <v>0</v>
      </c>
      <c r="E36" s="2801" t="s">
        <v>0</v>
      </c>
      <c r="F36" s="2808"/>
      <c r="G36" s="2808"/>
      <c r="H36" s="3155"/>
      <c r="I36" s="2808"/>
      <c r="J36" s="2808"/>
      <c r="K36" s="2808"/>
    </row>
    <row r="37" spans="1:11">
      <c r="A37" s="2800">
        <v>45625</v>
      </c>
      <c r="B37" s="2801">
        <v>49120.33</v>
      </c>
      <c r="C37" s="2801">
        <v>454.85</v>
      </c>
      <c r="D37" s="2801">
        <v>17810.64</v>
      </c>
      <c r="E37" s="2801">
        <v>2855.95</v>
      </c>
      <c r="F37" s="2808"/>
      <c r="G37" s="2808"/>
      <c r="H37" s="3155"/>
      <c r="I37" s="2808"/>
      <c r="J37" s="2808"/>
      <c r="K37" s="2808"/>
    </row>
    <row r="38" spans="1:11">
      <c r="A38" s="2800">
        <v>45624</v>
      </c>
      <c r="B38" s="2801">
        <v>49200.65</v>
      </c>
      <c r="C38" s="2801">
        <v>447.95</v>
      </c>
      <c r="D38" s="2801">
        <v>17711.63</v>
      </c>
      <c r="E38" s="2801">
        <v>2858.78</v>
      </c>
      <c r="F38" s="2808"/>
      <c r="G38" s="2808"/>
      <c r="H38" s="3155"/>
      <c r="I38" s="2808"/>
      <c r="J38" s="2808"/>
      <c r="K38" s="2808"/>
    </row>
    <row r="39" spans="1:11">
      <c r="A39" s="2800">
        <v>45623</v>
      </c>
      <c r="B39" s="2801">
        <v>49279.3</v>
      </c>
      <c r="C39" s="2801">
        <v>452.49</v>
      </c>
      <c r="D39" s="2801">
        <v>17696.11</v>
      </c>
      <c r="E39" s="2801">
        <v>2879.69</v>
      </c>
      <c r="F39" s="2808"/>
      <c r="G39" s="2808"/>
      <c r="H39" s="3155"/>
      <c r="I39" s="2808"/>
      <c r="J39" s="2808"/>
      <c r="K39" s="2808"/>
    </row>
    <row r="40" spans="1:11">
      <c r="A40" s="2800">
        <v>45622</v>
      </c>
      <c r="B40" s="2801">
        <v>50038.25</v>
      </c>
      <c r="C40" s="2801">
        <v>460.15</v>
      </c>
      <c r="D40" s="2801">
        <v>17715.080000000002</v>
      </c>
      <c r="E40" s="2801">
        <v>2877.89</v>
      </c>
      <c r="F40" s="2808"/>
      <c r="G40" s="2808"/>
      <c r="H40" s="3155"/>
      <c r="I40" s="2808"/>
      <c r="J40" s="2808"/>
      <c r="K40" s="2808"/>
    </row>
    <row r="41" spans="1:11">
      <c r="A41" s="2800">
        <v>45621</v>
      </c>
      <c r="B41" s="2801">
        <v>50633.11</v>
      </c>
      <c r="C41" s="2801">
        <v>463.82</v>
      </c>
      <c r="D41" s="2801">
        <v>17674.38</v>
      </c>
      <c r="E41" s="2801">
        <v>2891.75</v>
      </c>
      <c r="F41" s="2808"/>
      <c r="G41" s="2808"/>
      <c r="H41" s="3155"/>
      <c r="I41" s="2808"/>
      <c r="J41" s="2808"/>
      <c r="K41" s="2808"/>
    </row>
    <row r="42" spans="1:11">
      <c r="A42" s="2800">
        <v>45620</v>
      </c>
      <c r="B42" s="2801" t="s">
        <v>0</v>
      </c>
      <c r="C42" s="2801" t="s">
        <v>0</v>
      </c>
      <c r="D42" s="2801" t="s">
        <v>0</v>
      </c>
      <c r="E42" s="2801" t="s">
        <v>0</v>
      </c>
      <c r="F42" s="2808"/>
      <c r="G42" s="2808"/>
      <c r="H42" s="3155"/>
      <c r="I42" s="2808"/>
      <c r="J42" s="2808"/>
      <c r="K42" s="2808"/>
    </row>
    <row r="43" spans="1:11">
      <c r="A43" s="2800">
        <v>45619</v>
      </c>
      <c r="B43" s="2801" t="s">
        <v>0</v>
      </c>
      <c r="C43" s="2801" t="s">
        <v>0</v>
      </c>
      <c r="D43" s="2801" t="s">
        <v>0</v>
      </c>
      <c r="E43" s="2801" t="s">
        <v>0</v>
      </c>
      <c r="F43" s="2808"/>
      <c r="G43" s="2808"/>
      <c r="H43" s="3155"/>
      <c r="I43" s="2808"/>
      <c r="J43" s="2808"/>
      <c r="K43" s="2808"/>
    </row>
    <row r="44" spans="1:11">
      <c r="A44" s="2800">
        <v>45618</v>
      </c>
      <c r="B44" s="2801">
        <v>50535.64</v>
      </c>
      <c r="C44" s="2801">
        <v>459.9</v>
      </c>
      <c r="D44" s="2801">
        <v>17600.189999999999</v>
      </c>
      <c r="E44" s="2801">
        <v>2878.52</v>
      </c>
      <c r="F44" s="2808"/>
      <c r="G44" s="2808"/>
      <c r="H44" s="3155"/>
      <c r="I44" s="2808"/>
      <c r="J44" s="2808"/>
      <c r="K44" s="2808"/>
    </row>
    <row r="45" spans="1:11">
      <c r="A45" s="2800">
        <v>45617</v>
      </c>
      <c r="B45" s="2801">
        <v>49766.37</v>
      </c>
      <c r="C45" s="2801">
        <v>457.01</v>
      </c>
      <c r="D45" s="2801">
        <v>17541.32</v>
      </c>
      <c r="E45" s="2801">
        <v>2873.76</v>
      </c>
      <c r="F45" s="2808"/>
      <c r="G45" s="2808"/>
      <c r="H45" s="3155"/>
      <c r="I45" s="2808"/>
      <c r="J45" s="2808"/>
      <c r="K45" s="2808"/>
    </row>
    <row r="46" spans="1:11">
      <c r="A46" s="2800">
        <v>45616</v>
      </c>
      <c r="B46" s="2801">
        <v>50059.15</v>
      </c>
      <c r="C46" s="2801">
        <v>453.23</v>
      </c>
      <c r="D46" s="2801">
        <v>17442.099999999999</v>
      </c>
      <c r="E46" s="2801">
        <v>2895.8</v>
      </c>
      <c r="F46" s="2808"/>
      <c r="G46" s="2808"/>
      <c r="H46" s="3155"/>
      <c r="I46" s="2808"/>
      <c r="J46" s="2808"/>
      <c r="K46" s="2808"/>
    </row>
    <row r="47" spans="1:11">
      <c r="A47" s="2800">
        <v>45615</v>
      </c>
      <c r="B47" s="2801">
        <v>50413.13</v>
      </c>
      <c r="C47" s="2801">
        <v>454.07</v>
      </c>
      <c r="D47" s="2801">
        <v>17470.38</v>
      </c>
      <c r="E47" s="2801">
        <v>2898.69</v>
      </c>
      <c r="F47" s="2808"/>
      <c r="G47" s="2808"/>
      <c r="H47" s="3155"/>
      <c r="I47" s="2808"/>
      <c r="J47" s="2808"/>
      <c r="K47" s="2808"/>
    </row>
    <row r="48" spans="1:11">
      <c r="A48" s="2800">
        <v>45614</v>
      </c>
      <c r="B48" s="2801">
        <v>49746.25</v>
      </c>
      <c r="C48" s="2801">
        <v>446.08</v>
      </c>
      <c r="D48" s="2801">
        <v>17397.34</v>
      </c>
      <c r="E48" s="2801">
        <v>2884.72</v>
      </c>
      <c r="F48" s="2808"/>
      <c r="G48" s="2808"/>
      <c r="H48" s="3155"/>
      <c r="I48" s="2808"/>
      <c r="J48" s="2808"/>
      <c r="K48" s="2808"/>
    </row>
    <row r="49" spans="1:11">
      <c r="A49" s="2800">
        <v>45613</v>
      </c>
      <c r="B49" s="2801" t="s">
        <v>0</v>
      </c>
      <c r="C49" s="2801" t="s">
        <v>0</v>
      </c>
      <c r="D49" s="2801" t="s">
        <v>0</v>
      </c>
      <c r="E49" s="2801" t="s">
        <v>0</v>
      </c>
      <c r="F49" s="2808"/>
      <c r="G49" s="2808"/>
      <c r="H49" s="3155"/>
      <c r="I49" s="2808"/>
      <c r="J49" s="2808"/>
      <c r="K49" s="2808"/>
    </row>
    <row r="50" spans="1:11">
      <c r="A50" s="2800">
        <v>45612</v>
      </c>
      <c r="B50" s="2801" t="s">
        <v>0</v>
      </c>
      <c r="C50" s="2801" t="s">
        <v>0</v>
      </c>
      <c r="D50" s="2801" t="s">
        <v>0</v>
      </c>
      <c r="E50" s="2801" t="s">
        <v>0</v>
      </c>
      <c r="F50" s="2808"/>
      <c r="G50" s="2808"/>
      <c r="H50" s="3155"/>
      <c r="I50" s="2808"/>
      <c r="J50" s="2808"/>
      <c r="K50" s="2808"/>
    </row>
    <row r="51" spans="1:11">
      <c r="A51" s="2800">
        <v>45611</v>
      </c>
      <c r="B51" s="2801">
        <v>50179.21</v>
      </c>
      <c r="C51" s="2801">
        <v>454.36</v>
      </c>
      <c r="D51" s="2801">
        <v>17332.96</v>
      </c>
      <c r="E51" s="2801">
        <v>2871.97</v>
      </c>
      <c r="F51" s="2808"/>
      <c r="G51" s="2808"/>
      <c r="H51" s="3155"/>
      <c r="I51" s="2808"/>
      <c r="J51" s="2808"/>
      <c r="K51" s="2808"/>
    </row>
    <row r="52" spans="1:11">
      <c r="A52" s="2800">
        <v>45610</v>
      </c>
      <c r="B52" s="2801">
        <v>50118.77</v>
      </c>
      <c r="C52" s="2801">
        <v>453.86</v>
      </c>
      <c r="D52" s="2801">
        <v>17527.7</v>
      </c>
      <c r="E52" s="2801">
        <v>2870.43</v>
      </c>
      <c r="F52" s="2808"/>
      <c r="G52" s="2808"/>
      <c r="H52" s="3155"/>
      <c r="I52" s="2808"/>
      <c r="J52" s="2808"/>
      <c r="K52" s="2808"/>
    </row>
    <row r="53" spans="1:11">
      <c r="A53" s="2800">
        <v>45609</v>
      </c>
      <c r="B53" s="2801">
        <v>50438.36</v>
      </c>
      <c r="C53" s="2801">
        <v>460.69</v>
      </c>
      <c r="D53" s="2801">
        <v>17592.240000000002</v>
      </c>
      <c r="E53" s="2801">
        <v>2894.79</v>
      </c>
      <c r="F53" s="2808"/>
      <c r="G53" s="2808"/>
      <c r="H53" s="3155"/>
      <c r="I53" s="2808"/>
      <c r="J53" s="2808"/>
      <c r="K53" s="2808"/>
    </row>
    <row r="54" spans="1:11">
      <c r="A54" s="2800">
        <v>45608</v>
      </c>
      <c r="B54" s="2801">
        <v>50706.53</v>
      </c>
      <c r="C54" s="2801">
        <v>461.46</v>
      </c>
      <c r="D54" s="2801">
        <v>17620.12</v>
      </c>
      <c r="E54" s="2801">
        <v>2919.88</v>
      </c>
      <c r="F54" s="2808"/>
      <c r="G54" s="2808"/>
      <c r="H54" s="3155"/>
      <c r="I54" s="2808"/>
      <c r="J54" s="2808"/>
      <c r="K54" s="2808"/>
    </row>
    <row r="55" spans="1:11">
      <c r="A55" s="2800">
        <v>45607</v>
      </c>
      <c r="B55" s="2801">
        <v>51915.34</v>
      </c>
      <c r="C55" s="2801">
        <v>470.48</v>
      </c>
      <c r="D55" s="2801">
        <v>17721.900000000001</v>
      </c>
      <c r="E55" s="2801">
        <v>2979.89</v>
      </c>
      <c r="F55" s="2808"/>
      <c r="G55" s="2808"/>
      <c r="H55" s="3155"/>
      <c r="I55" s="2808"/>
      <c r="J55" s="2808"/>
      <c r="K55" s="2808"/>
    </row>
    <row r="56" spans="1:11">
      <c r="A56" s="2800">
        <v>45606</v>
      </c>
      <c r="B56" s="2801" t="s">
        <v>0</v>
      </c>
      <c r="C56" s="2801" t="s">
        <v>0</v>
      </c>
      <c r="D56" s="2801" t="s">
        <v>0</v>
      </c>
      <c r="E56" s="2801" t="s">
        <v>0</v>
      </c>
      <c r="F56" s="2808"/>
      <c r="G56" s="2808"/>
      <c r="H56" s="3155"/>
      <c r="I56" s="2808"/>
      <c r="J56" s="2808"/>
      <c r="K56" s="2808"/>
    </row>
    <row r="57" spans="1:11">
      <c r="A57" s="2800">
        <v>45605</v>
      </c>
      <c r="B57" s="2801" t="s">
        <v>0</v>
      </c>
      <c r="C57" s="2801" t="s">
        <v>0</v>
      </c>
      <c r="D57" s="2801" t="s">
        <v>0</v>
      </c>
      <c r="E57" s="2801" t="s">
        <v>0</v>
      </c>
      <c r="F57" s="2808"/>
      <c r="G57" s="2808"/>
      <c r="H57" s="3155"/>
      <c r="I57" s="2808"/>
      <c r="J57" s="2808"/>
      <c r="K57" s="2808"/>
    </row>
    <row r="58" spans="1:11">
      <c r="A58" s="2800">
        <v>45604</v>
      </c>
      <c r="B58" s="2801">
        <v>51968.85</v>
      </c>
      <c r="C58" s="2801">
        <v>472.22</v>
      </c>
      <c r="D58" s="2801">
        <v>17702.419999999998</v>
      </c>
      <c r="E58" s="2801">
        <v>3005.56</v>
      </c>
      <c r="F58" s="2808"/>
      <c r="G58" s="2808"/>
      <c r="H58" s="3155"/>
      <c r="I58" s="2808"/>
      <c r="J58" s="2808"/>
      <c r="K58" s="2808"/>
    </row>
    <row r="59" spans="1:11">
      <c r="A59" s="2800">
        <v>45603</v>
      </c>
      <c r="B59" s="2801">
        <v>51648.76</v>
      </c>
      <c r="C59" s="2801">
        <v>474.07</v>
      </c>
      <c r="D59" s="2801">
        <v>17681.21</v>
      </c>
      <c r="E59" s="2801">
        <v>3018.34</v>
      </c>
      <c r="F59" s="2808"/>
      <c r="G59" s="2808"/>
      <c r="H59" s="3155"/>
      <c r="I59" s="2808"/>
      <c r="J59" s="2808"/>
      <c r="K59" s="2808"/>
    </row>
    <row r="60" spans="1:11">
      <c r="A60" s="2800">
        <v>45602</v>
      </c>
      <c r="B60" s="2801">
        <v>51226.38</v>
      </c>
      <c r="C60" s="2801">
        <v>469.66</v>
      </c>
      <c r="D60" s="2801">
        <v>17515.349999999999</v>
      </c>
      <c r="E60" s="2801">
        <v>2995.24</v>
      </c>
      <c r="F60" s="2808"/>
      <c r="G60" s="2808"/>
      <c r="H60" s="3155"/>
      <c r="I60" s="2808"/>
      <c r="J60" s="2808"/>
      <c r="K60" s="2808"/>
    </row>
    <row r="61" spans="1:11">
      <c r="A61" s="2800">
        <v>45601</v>
      </c>
      <c r="B61" s="2801">
        <v>50982.36</v>
      </c>
      <c r="C61" s="2801">
        <v>467.26</v>
      </c>
      <c r="D61" s="2801">
        <v>17238.87</v>
      </c>
      <c r="E61" s="2801">
        <v>3014.27</v>
      </c>
      <c r="F61" s="2808"/>
      <c r="G61" s="2808"/>
      <c r="H61" s="3155"/>
      <c r="I61" s="2808"/>
      <c r="J61" s="2808"/>
      <c r="K61" s="2808"/>
    </row>
    <row r="62" spans="1:11">
      <c r="A62" s="2800">
        <v>45600</v>
      </c>
      <c r="B62" s="2801">
        <v>50670.37</v>
      </c>
      <c r="C62" s="2801">
        <v>467.6</v>
      </c>
      <c r="D62" s="2801">
        <v>17066.71</v>
      </c>
      <c r="E62" s="2801">
        <v>2989.47</v>
      </c>
      <c r="F62" s="2808"/>
      <c r="G62" s="2808"/>
      <c r="H62" s="3155"/>
      <c r="I62" s="2808"/>
      <c r="J62" s="2808"/>
      <c r="K62" s="2808"/>
    </row>
    <row r="63" spans="1:11">
      <c r="A63" s="2800">
        <v>45599</v>
      </c>
      <c r="B63" s="2801" t="s">
        <v>0</v>
      </c>
      <c r="C63" s="2801" t="s">
        <v>0</v>
      </c>
      <c r="D63" s="2801" t="s">
        <v>0</v>
      </c>
      <c r="E63" s="2801" t="s">
        <v>0</v>
      </c>
      <c r="F63" s="2808"/>
      <c r="G63" s="2808"/>
      <c r="H63" s="3155"/>
      <c r="I63" s="2808"/>
      <c r="J63" s="2808"/>
      <c r="K63" s="2808"/>
    </row>
    <row r="64" spans="1:11">
      <c r="A64" s="2800">
        <v>45598</v>
      </c>
      <c r="B64" s="2801" t="s">
        <v>0</v>
      </c>
      <c r="C64" s="2801" t="s">
        <v>0</v>
      </c>
      <c r="D64" s="2801" t="s">
        <v>0</v>
      </c>
      <c r="E64" s="2801" t="s">
        <v>0</v>
      </c>
      <c r="F64" s="2808"/>
      <c r="G64" s="2808"/>
      <c r="H64" s="3155"/>
      <c r="I64" s="2808"/>
      <c r="J64" s="2808"/>
      <c r="K64" s="2808"/>
    </row>
    <row r="65" spans="1:11">
      <c r="A65" s="2800">
        <v>45597</v>
      </c>
      <c r="B65" s="2801">
        <v>50261.53</v>
      </c>
      <c r="C65" s="2801">
        <v>469.36</v>
      </c>
      <c r="D65" s="2801">
        <v>17084.25</v>
      </c>
      <c r="E65" s="2801">
        <v>2969.43</v>
      </c>
      <c r="F65" s="2808"/>
      <c r="G65" s="2808"/>
      <c r="H65" s="3155"/>
      <c r="I65" s="2808"/>
      <c r="J65" s="2808"/>
      <c r="K65" s="2808"/>
    </row>
    <row r="66" spans="1:11">
      <c r="A66" s="2800">
        <v>45596</v>
      </c>
      <c r="B66" s="2801" t="s">
        <v>0</v>
      </c>
      <c r="C66" s="2801" t="s">
        <v>0</v>
      </c>
      <c r="D66" s="2801">
        <v>17023.45</v>
      </c>
      <c r="E66" s="2801">
        <v>2962.1</v>
      </c>
      <c r="F66" s="2808"/>
      <c r="G66" s="2808"/>
      <c r="H66" s="3155"/>
      <c r="I66" s="2808"/>
      <c r="J66" s="2808"/>
      <c r="K66" s="2808"/>
    </row>
    <row r="67" spans="1:11">
      <c r="A67" s="2800">
        <v>45595</v>
      </c>
      <c r="B67" s="2801">
        <v>50349.83</v>
      </c>
      <c r="C67" s="2801">
        <v>468.1</v>
      </c>
      <c r="D67" s="2801">
        <v>17298.259999999998</v>
      </c>
      <c r="E67" s="2801">
        <v>2980.32</v>
      </c>
      <c r="F67" s="2808"/>
      <c r="G67" s="2808"/>
      <c r="H67" s="3155"/>
      <c r="I67" s="2808"/>
      <c r="J67" s="2808"/>
      <c r="K67" s="2808"/>
    </row>
    <row r="68" spans="1:11">
      <c r="A68" s="2800">
        <v>45594</v>
      </c>
      <c r="B68" s="2801">
        <v>50584.04</v>
      </c>
      <c r="C68" s="2801">
        <v>468.36</v>
      </c>
      <c r="D68" s="2801">
        <v>17351.45</v>
      </c>
      <c r="E68" s="2801">
        <v>3006.62</v>
      </c>
      <c r="F68" s="2808"/>
      <c r="G68" s="2808"/>
      <c r="H68" s="3155"/>
      <c r="I68" s="2808"/>
      <c r="J68" s="2808"/>
      <c r="K68" s="2808"/>
    </row>
    <row r="69" spans="1:11">
      <c r="A69" s="2800">
        <v>45593</v>
      </c>
      <c r="B69" s="2801">
        <v>51183.03</v>
      </c>
      <c r="C69" s="2801">
        <v>473</v>
      </c>
      <c r="D69" s="2801">
        <v>17345.439999999999</v>
      </c>
      <c r="E69" s="2801">
        <v>3010.1</v>
      </c>
      <c r="F69" s="2808"/>
      <c r="G69" s="2808"/>
      <c r="H69" s="3155"/>
      <c r="I69" s="2808"/>
      <c r="J69" s="2808"/>
      <c r="K69" s="2808"/>
    </row>
    <row r="70" spans="1:11">
      <c r="A70" s="2800">
        <v>45592</v>
      </c>
      <c r="B70" s="2801" t="s">
        <v>0</v>
      </c>
      <c r="C70" s="2801" t="s">
        <v>0</v>
      </c>
      <c r="D70" s="2801" t="s">
        <v>0</v>
      </c>
      <c r="E70" s="2801" t="s">
        <v>0</v>
      </c>
      <c r="F70" s="2808"/>
      <c r="G70" s="2808"/>
      <c r="H70" s="3155"/>
      <c r="I70" s="2808"/>
      <c r="J70" s="2808"/>
      <c r="K70" s="2808"/>
    </row>
    <row r="71" spans="1:11">
      <c r="A71" s="2800">
        <v>45591</v>
      </c>
      <c r="B71" s="2801" t="s">
        <v>0</v>
      </c>
      <c r="C71" s="2801" t="s">
        <v>0</v>
      </c>
      <c r="D71" s="2801" t="s">
        <v>0</v>
      </c>
      <c r="E71" s="2801" t="s">
        <v>0</v>
      </c>
      <c r="F71" s="2808"/>
      <c r="G71" s="2808"/>
      <c r="H71" s="3155"/>
      <c r="I71" s="2808"/>
      <c r="J71" s="2808"/>
      <c r="K71" s="2808"/>
    </row>
    <row r="72" spans="1:11">
      <c r="A72" s="2800">
        <v>45590</v>
      </c>
      <c r="B72" s="2801">
        <v>51514.82</v>
      </c>
      <c r="C72" s="2801">
        <v>478.51</v>
      </c>
      <c r="D72" s="2801">
        <v>17294.86</v>
      </c>
      <c r="E72" s="2801">
        <v>3002.03</v>
      </c>
      <c r="F72" s="2808"/>
      <c r="G72" s="2808"/>
      <c r="H72" s="3155"/>
      <c r="I72" s="2808"/>
      <c r="J72" s="2808"/>
      <c r="K72" s="2808"/>
    </row>
    <row r="73" spans="1:11">
      <c r="A73" s="2800">
        <v>45589</v>
      </c>
      <c r="B73" s="2801">
        <v>51170.78</v>
      </c>
      <c r="C73" s="2801">
        <v>478.73</v>
      </c>
      <c r="D73" s="2801">
        <v>17301.11</v>
      </c>
      <c r="E73" s="2801">
        <v>3001.07</v>
      </c>
      <c r="F73" s="2808"/>
      <c r="G73" s="2808"/>
      <c r="H73" s="3155"/>
      <c r="I73" s="2808"/>
      <c r="J73" s="2808"/>
      <c r="K73" s="2808"/>
    </row>
    <row r="74" spans="1:11">
      <c r="A74" s="2800">
        <v>45588</v>
      </c>
      <c r="B74" s="2801">
        <v>51484.62</v>
      </c>
      <c r="C74" s="2801">
        <v>485.54</v>
      </c>
      <c r="D74" s="2801">
        <v>17255.849999999999</v>
      </c>
      <c r="E74" s="2801">
        <v>3020.35</v>
      </c>
      <c r="F74" s="2808"/>
      <c r="G74" s="2808"/>
      <c r="H74" s="3155"/>
      <c r="I74" s="2808"/>
      <c r="J74" s="2808"/>
      <c r="K74" s="2808"/>
    </row>
    <row r="75" spans="1:11">
      <c r="A75" s="2800">
        <v>45587</v>
      </c>
      <c r="B75" s="2801">
        <v>51927.27</v>
      </c>
      <c r="C75" s="2801">
        <v>484.61</v>
      </c>
      <c r="D75" s="2801">
        <v>17413.05</v>
      </c>
      <c r="E75" s="2801">
        <v>3021.34</v>
      </c>
      <c r="F75" s="2808"/>
      <c r="G75" s="2808"/>
      <c r="H75" s="3155"/>
      <c r="I75" s="2808"/>
      <c r="J75" s="2808"/>
      <c r="K75" s="2808"/>
    </row>
    <row r="76" spans="1:11">
      <c r="A76" s="2800">
        <v>45586</v>
      </c>
      <c r="B76" s="2801">
        <v>51942.879999999997</v>
      </c>
      <c r="C76" s="2801">
        <v>482.69</v>
      </c>
      <c r="D76" s="2801">
        <v>17454.650000000001</v>
      </c>
      <c r="E76" s="2801">
        <v>3037.79</v>
      </c>
      <c r="F76" s="2808"/>
      <c r="G76" s="2808"/>
      <c r="H76" s="3155"/>
      <c r="I76" s="2808"/>
      <c r="J76" s="2808"/>
      <c r="K76" s="2808"/>
    </row>
    <row r="77" spans="1:11">
      <c r="A77" s="2800">
        <v>45585</v>
      </c>
      <c r="B77" s="2801" t="s">
        <v>0</v>
      </c>
      <c r="C77" s="2801" t="s">
        <v>0</v>
      </c>
      <c r="D77" s="2801" t="s">
        <v>0</v>
      </c>
      <c r="E77" s="2801" t="s">
        <v>0</v>
      </c>
      <c r="F77" s="2808"/>
      <c r="G77" s="2808"/>
      <c r="H77" s="3155"/>
      <c r="I77" s="2808"/>
      <c r="J77" s="2808"/>
      <c r="K77" s="2808"/>
    </row>
    <row r="78" spans="1:11">
      <c r="A78" s="2800">
        <v>45584</v>
      </c>
      <c r="B78" s="2801" t="s">
        <v>0</v>
      </c>
      <c r="C78" s="2801" t="s">
        <v>0</v>
      </c>
      <c r="D78" s="2801" t="s">
        <v>0</v>
      </c>
      <c r="E78" s="2801" t="s">
        <v>0</v>
      </c>
      <c r="F78" s="2808"/>
      <c r="G78" s="2808"/>
      <c r="H78" s="3155"/>
      <c r="I78" s="2808"/>
      <c r="J78" s="2808"/>
      <c r="K78" s="2808"/>
    </row>
    <row r="79" spans="1:11">
      <c r="A79" s="2800">
        <v>45583</v>
      </c>
      <c r="B79" s="2801">
        <v>51820.95</v>
      </c>
      <c r="C79" s="2801">
        <v>476</v>
      </c>
      <c r="D79" s="2801">
        <v>17513.68</v>
      </c>
      <c r="E79" s="2801">
        <v>3055.53</v>
      </c>
      <c r="F79" s="2808"/>
      <c r="G79" s="2808"/>
      <c r="H79" s="3155"/>
      <c r="I79" s="2808"/>
      <c r="J79" s="2808"/>
      <c r="K79" s="2808"/>
    </row>
    <row r="80" spans="1:11">
      <c r="A80" s="2800">
        <v>45582</v>
      </c>
      <c r="B80" s="2801">
        <v>50864.37</v>
      </c>
      <c r="C80" s="2801">
        <v>481.48</v>
      </c>
      <c r="D80" s="2801">
        <v>17441.98</v>
      </c>
      <c r="E80" s="2801">
        <v>3002.56</v>
      </c>
      <c r="F80" s="2808"/>
      <c r="G80" s="2808"/>
      <c r="H80" s="3155"/>
      <c r="I80" s="2808"/>
      <c r="J80" s="2808"/>
      <c r="K80" s="2808"/>
    </row>
    <row r="81" spans="1:11">
      <c r="A81" s="2800">
        <v>45581</v>
      </c>
      <c r="B81" s="2801">
        <v>50769.8</v>
      </c>
      <c r="C81" s="2801">
        <v>478.99</v>
      </c>
      <c r="D81" s="2801">
        <v>17429.689999999999</v>
      </c>
      <c r="E81" s="2801">
        <v>3026.07</v>
      </c>
      <c r="F81" s="2808"/>
      <c r="G81" s="2808"/>
      <c r="H81" s="3155"/>
      <c r="I81" s="2808"/>
      <c r="J81" s="2808"/>
      <c r="K81" s="2808"/>
    </row>
    <row r="82" spans="1:11">
      <c r="A82" s="2800">
        <v>45580</v>
      </c>
      <c r="B82" s="2801">
        <v>51389.919999999998</v>
      </c>
      <c r="C82" s="2801">
        <v>479.74</v>
      </c>
      <c r="D82" s="2801">
        <v>17397.34</v>
      </c>
      <c r="E82" s="2801">
        <v>3040.88</v>
      </c>
      <c r="F82" s="2808"/>
      <c r="G82" s="2808"/>
      <c r="H82" s="3155"/>
      <c r="I82" s="2808"/>
      <c r="J82" s="2808"/>
      <c r="K82" s="2808"/>
    </row>
    <row r="83" spans="1:11">
      <c r="A83" s="2800">
        <v>45579</v>
      </c>
      <c r="B83" s="2801">
        <v>50691.06</v>
      </c>
      <c r="C83" s="2801">
        <v>478.79</v>
      </c>
      <c r="D83" s="2801">
        <v>17513.150000000001</v>
      </c>
      <c r="E83" s="2801">
        <v>3068.2</v>
      </c>
      <c r="F83" s="2808"/>
      <c r="G83" s="2808"/>
      <c r="H83" s="3155"/>
      <c r="I83" s="2808"/>
      <c r="J83" s="2808"/>
      <c r="K83" s="2808"/>
    </row>
    <row r="84" spans="1:11">
      <c r="A84" s="2800">
        <v>45578</v>
      </c>
      <c r="B84" s="2801" t="s">
        <v>0</v>
      </c>
      <c r="C84" s="2801" t="s">
        <v>0</v>
      </c>
      <c r="D84" s="2801" t="s">
        <v>0</v>
      </c>
      <c r="E84" s="2801" t="s">
        <v>0</v>
      </c>
      <c r="F84" s="2808"/>
      <c r="G84" s="2808"/>
      <c r="H84" s="3155"/>
      <c r="I84" s="2808"/>
      <c r="J84" s="2808"/>
      <c r="K84" s="2808"/>
    </row>
    <row r="85" spans="1:11">
      <c r="A85" s="2800">
        <v>45577</v>
      </c>
      <c r="B85" s="2801" t="s">
        <v>0</v>
      </c>
      <c r="C85" s="2801" t="s">
        <v>0</v>
      </c>
      <c r="D85" s="2801" t="s">
        <v>0</v>
      </c>
      <c r="E85" s="2801" t="s">
        <v>0</v>
      </c>
      <c r="F85" s="2808"/>
      <c r="G85" s="2808"/>
      <c r="H85" s="3155"/>
      <c r="I85" s="2808"/>
      <c r="J85" s="2808"/>
      <c r="K85" s="2808"/>
    </row>
    <row r="86" spans="1:11">
      <c r="A86" s="2800">
        <v>45576</v>
      </c>
      <c r="B86" s="2801">
        <v>50528.56</v>
      </c>
      <c r="C86" s="2801">
        <v>477.35</v>
      </c>
      <c r="D86" s="2801">
        <v>17412.48</v>
      </c>
      <c r="E86" s="2801">
        <v>3066.8</v>
      </c>
      <c r="F86" s="2808"/>
      <c r="G86" s="2808"/>
      <c r="H86" s="3155"/>
      <c r="I86" s="2808"/>
      <c r="J86" s="2808"/>
      <c r="K86" s="2808"/>
    </row>
    <row r="87" spans="1:11">
      <c r="A87" s="2800">
        <v>45575</v>
      </c>
      <c r="B87" s="2801" t="s">
        <v>0</v>
      </c>
      <c r="C87" s="2801" t="s">
        <v>0</v>
      </c>
      <c r="D87" s="2801">
        <v>17313.37</v>
      </c>
      <c r="E87" s="2801">
        <v>3059.92</v>
      </c>
      <c r="F87" s="2808"/>
      <c r="G87" s="2808"/>
      <c r="H87" s="3155"/>
      <c r="I87" s="2808"/>
      <c r="J87" s="2808"/>
      <c r="K87" s="2808"/>
    </row>
    <row r="88" spans="1:11">
      <c r="A88" s="2800">
        <v>45574</v>
      </c>
      <c r="B88" s="2801">
        <v>49993.41</v>
      </c>
      <c r="C88" s="2801">
        <v>474.7</v>
      </c>
      <c r="D88" s="2801">
        <v>17336.349999999999</v>
      </c>
      <c r="E88" s="2801">
        <v>3036.85</v>
      </c>
      <c r="F88" s="2808"/>
      <c r="G88" s="2808"/>
      <c r="H88" s="3155"/>
      <c r="I88" s="2808"/>
      <c r="J88" s="2808"/>
      <c r="K88" s="2808"/>
    </row>
    <row r="89" spans="1:11">
      <c r="A89" s="2800">
        <v>45573</v>
      </c>
      <c r="B89" s="2801">
        <v>49888.19</v>
      </c>
      <c r="C89" s="2801">
        <v>477.94</v>
      </c>
      <c r="D89" s="2801">
        <v>17233.97</v>
      </c>
      <c r="E89" s="2801">
        <v>3057.65</v>
      </c>
      <c r="F89" s="2808"/>
      <c r="G89" s="2808"/>
      <c r="H89" s="3155"/>
      <c r="I89" s="2808"/>
      <c r="J89" s="2808"/>
      <c r="K89" s="2808"/>
    </row>
    <row r="90" spans="1:11">
      <c r="A90" s="2800">
        <v>45572</v>
      </c>
      <c r="B90" s="2801">
        <v>50089.32</v>
      </c>
      <c r="C90" s="2801">
        <v>480.13</v>
      </c>
      <c r="D90" s="2801">
        <v>17160.900000000001</v>
      </c>
      <c r="E90" s="2801">
        <v>3130.38</v>
      </c>
      <c r="F90" s="2808"/>
      <c r="G90" s="2808"/>
      <c r="H90" s="3155"/>
      <c r="I90" s="2808"/>
      <c r="J90" s="2808"/>
      <c r="K90" s="2808"/>
    </row>
    <row r="91" spans="1:11">
      <c r="A91" s="2800">
        <v>45571</v>
      </c>
      <c r="B91" s="2801" t="s">
        <v>0</v>
      </c>
      <c r="C91" s="2801" t="s">
        <v>0</v>
      </c>
      <c r="D91" s="2801" t="s">
        <v>0</v>
      </c>
      <c r="E91" s="2801" t="s">
        <v>0</v>
      </c>
      <c r="F91" s="2808"/>
      <c r="G91" s="2808"/>
      <c r="H91" s="3155"/>
      <c r="I91" s="2808"/>
      <c r="J91" s="2808"/>
      <c r="K91" s="2808"/>
    </row>
    <row r="92" spans="1:11">
      <c r="A92" s="2800">
        <v>45570</v>
      </c>
      <c r="B92" s="2801" t="s">
        <v>0</v>
      </c>
      <c r="C92" s="2801" t="s">
        <v>0</v>
      </c>
      <c r="D92" s="2801" t="s">
        <v>0</v>
      </c>
      <c r="E92" s="2801" t="s">
        <v>0</v>
      </c>
      <c r="F92" s="2808"/>
      <c r="G92" s="2808"/>
      <c r="H92" s="3155"/>
      <c r="I92" s="2808"/>
      <c r="J92" s="2808"/>
      <c r="K92" s="2808"/>
    </row>
    <row r="93" spans="1:11">
      <c r="A93" s="2800">
        <v>45569</v>
      </c>
      <c r="B93" s="2801">
        <v>49207.14</v>
      </c>
      <c r="C93" s="2801">
        <v>474.25</v>
      </c>
      <c r="D93" s="2801">
        <v>17252.48</v>
      </c>
      <c r="E93" s="2801">
        <v>3118.63</v>
      </c>
      <c r="F93" s="2808"/>
      <c r="G93" s="2808"/>
      <c r="H93" s="3155"/>
      <c r="I93" s="2808"/>
      <c r="J93" s="2808"/>
      <c r="K93" s="2808"/>
    </row>
    <row r="94" spans="1:11">
      <c r="A94" s="2800">
        <v>45568</v>
      </c>
      <c r="B94" s="2801" t="s">
        <v>0</v>
      </c>
      <c r="C94" s="2801" t="s">
        <v>0</v>
      </c>
      <c r="D94" s="2801">
        <v>17145.900000000001</v>
      </c>
      <c r="E94" s="2801">
        <v>3101.9</v>
      </c>
      <c r="F94" s="2808"/>
      <c r="G94" s="2808"/>
      <c r="H94" s="3155"/>
      <c r="I94" s="2808"/>
      <c r="J94" s="2808"/>
      <c r="K94" s="2808"/>
    </row>
    <row r="95" spans="1:11">
      <c r="A95" s="2800">
        <v>45567</v>
      </c>
      <c r="B95" s="2801" t="s">
        <v>0</v>
      </c>
      <c r="C95" s="2801" t="s">
        <v>0</v>
      </c>
      <c r="D95" s="2801">
        <v>17192.53</v>
      </c>
      <c r="E95" s="2801">
        <v>3141.43</v>
      </c>
      <c r="F95" s="2808"/>
      <c r="G95" s="2808"/>
      <c r="H95" s="3155"/>
      <c r="I95" s="2808"/>
      <c r="J95" s="2808"/>
      <c r="K95" s="2808"/>
    </row>
    <row r="96" spans="1:11">
      <c r="A96" s="2800">
        <v>45566</v>
      </c>
      <c r="B96" s="2801">
        <v>49400.47</v>
      </c>
      <c r="C96" s="2801">
        <v>478.75</v>
      </c>
      <c r="D96" s="2801">
        <v>17226.82</v>
      </c>
      <c r="E96" s="2801">
        <v>3100.66</v>
      </c>
      <c r="F96" s="2808"/>
      <c r="G96" s="2808"/>
      <c r="H96" s="3155"/>
      <c r="I96" s="2808"/>
      <c r="J96" s="2808"/>
      <c r="K96" s="2808"/>
    </row>
    <row r="97" spans="1:11">
      <c r="A97" s="2800">
        <v>45565</v>
      </c>
      <c r="B97" s="2801">
        <v>49034.57</v>
      </c>
      <c r="C97" s="2801">
        <v>475.51</v>
      </c>
      <c r="D97" s="2801">
        <v>17364.009999999998</v>
      </c>
      <c r="E97" s="2801">
        <v>3095.95</v>
      </c>
      <c r="F97" s="2808"/>
      <c r="G97" s="2808"/>
      <c r="H97" s="3155"/>
      <c r="I97" s="2808"/>
      <c r="J97" s="2808"/>
      <c r="K97" s="2808"/>
    </row>
    <row r="98" spans="1:11">
      <c r="A98" s="2800">
        <v>45564</v>
      </c>
      <c r="B98" s="2801" t="s">
        <v>0</v>
      </c>
      <c r="C98" s="2801" t="s">
        <v>0</v>
      </c>
      <c r="D98" s="2801" t="s">
        <v>0</v>
      </c>
      <c r="E98" s="2801" t="s">
        <v>0</v>
      </c>
      <c r="F98" s="2808"/>
      <c r="G98" s="2808"/>
      <c r="H98" s="3155"/>
      <c r="I98" s="2808"/>
      <c r="J98" s="2808"/>
      <c r="K98" s="2808"/>
    </row>
    <row r="99" spans="1:11">
      <c r="A99" s="2800">
        <v>45563</v>
      </c>
      <c r="B99" s="2801" t="s">
        <v>0</v>
      </c>
      <c r="C99" s="2801" t="s">
        <v>0</v>
      </c>
      <c r="D99" s="2801" t="s">
        <v>0</v>
      </c>
      <c r="E99" s="2801" t="s">
        <v>0</v>
      </c>
      <c r="F99" s="2808"/>
      <c r="G99" s="2808"/>
      <c r="H99" s="3155"/>
      <c r="I99" s="2808"/>
      <c r="J99" s="2808"/>
      <c r="K99" s="2808"/>
    </row>
    <row r="100" spans="1:11">
      <c r="A100" s="2800">
        <v>45562</v>
      </c>
      <c r="B100" s="2801">
        <v>50354.5</v>
      </c>
      <c r="C100" s="2801">
        <v>478.86</v>
      </c>
      <c r="D100" s="2801">
        <v>17380.330000000002</v>
      </c>
      <c r="E100" s="2801">
        <v>3105.61</v>
      </c>
      <c r="F100" s="2808"/>
      <c r="G100" s="2808"/>
      <c r="H100" s="3155"/>
      <c r="I100" s="2808"/>
      <c r="J100" s="2808"/>
      <c r="K100" s="2808"/>
    </row>
    <row r="101" spans="1:11">
      <c r="A101" s="2800">
        <v>45561</v>
      </c>
      <c r="B101" s="2801">
        <v>50433.97</v>
      </c>
      <c r="C101" s="2801">
        <v>480</v>
      </c>
      <c r="D101" s="2801">
        <v>17340.62</v>
      </c>
      <c r="E101" s="2801">
        <v>3074.77</v>
      </c>
      <c r="F101" s="2808"/>
      <c r="G101" s="2808"/>
      <c r="H101" s="3155"/>
      <c r="I101" s="2808"/>
      <c r="J101" s="2808"/>
      <c r="K101" s="2808"/>
    </row>
    <row r="102" spans="1:11">
      <c r="A102" s="2800">
        <v>45560</v>
      </c>
      <c r="B102" s="2801">
        <v>50214.86</v>
      </c>
      <c r="C102" s="2801">
        <v>478.58</v>
      </c>
      <c r="D102" s="2801">
        <v>17224.669999999998</v>
      </c>
      <c r="E102" s="2801">
        <v>3004.44</v>
      </c>
      <c r="F102" s="2808"/>
      <c r="G102" s="2808"/>
      <c r="H102" s="3155"/>
      <c r="I102" s="2808"/>
      <c r="J102" s="2808"/>
      <c r="K102" s="2808"/>
    </row>
    <row r="103" spans="1:11">
      <c r="A103" s="2800">
        <v>45559</v>
      </c>
      <c r="B103" s="2801">
        <v>49486.36</v>
      </c>
      <c r="C103" s="2801">
        <v>471.89</v>
      </c>
      <c r="D103" s="2801">
        <v>17254.150000000001</v>
      </c>
      <c r="E103" s="2801">
        <v>2991.58</v>
      </c>
      <c r="F103" s="2808"/>
      <c r="G103" s="2808"/>
      <c r="H103" s="3155"/>
      <c r="I103" s="2808"/>
      <c r="J103" s="2808"/>
      <c r="K103" s="2808"/>
    </row>
    <row r="104" spans="1:11">
      <c r="A104" s="2800">
        <v>45558</v>
      </c>
      <c r="B104" s="2801">
        <v>49162.92</v>
      </c>
      <c r="C104" s="2801">
        <v>473.59</v>
      </c>
      <c r="D104" s="2801">
        <v>17188.82</v>
      </c>
      <c r="E104" s="2801">
        <v>2934.98</v>
      </c>
      <c r="F104" s="2808"/>
      <c r="G104" s="2808"/>
      <c r="H104" s="3155"/>
      <c r="I104" s="2808"/>
      <c r="J104" s="2808"/>
      <c r="K104" s="2808"/>
    </row>
    <row r="105" spans="1:11">
      <c r="A105" s="2800">
        <v>45557</v>
      </c>
      <c r="B105" s="2801" t="s">
        <v>0</v>
      </c>
      <c r="C105" s="2801" t="s">
        <v>0</v>
      </c>
      <c r="D105" s="2801" t="s">
        <v>0</v>
      </c>
      <c r="E105" s="2801" t="s">
        <v>0</v>
      </c>
      <c r="F105" s="2808"/>
      <c r="G105" s="2808"/>
      <c r="H105" s="3155"/>
      <c r="I105" s="2808"/>
      <c r="J105" s="2808"/>
      <c r="K105" s="2808"/>
    </row>
    <row r="106" spans="1:11">
      <c r="A106" s="2800">
        <v>45556</v>
      </c>
      <c r="B106" s="2801" t="s">
        <v>0</v>
      </c>
      <c r="C106" s="2801" t="s">
        <v>0</v>
      </c>
      <c r="D106" s="2801" t="s">
        <v>0</v>
      </c>
      <c r="E106" s="2801" t="s">
        <v>0</v>
      </c>
      <c r="F106" s="2808"/>
      <c r="G106" s="2808"/>
      <c r="H106" s="3155"/>
      <c r="I106" s="2808"/>
      <c r="J106" s="2808"/>
      <c r="K106" s="2808"/>
    </row>
    <row r="107" spans="1:11">
      <c r="A107" s="2800">
        <v>45555</v>
      </c>
      <c r="B107" s="2801">
        <v>48884.73</v>
      </c>
      <c r="C107" s="2801">
        <v>472.95</v>
      </c>
      <c r="D107" s="2801">
        <v>17134.900000000001</v>
      </c>
      <c r="E107" s="2801">
        <v>2923.66</v>
      </c>
      <c r="F107" s="2808"/>
      <c r="G107" s="2808"/>
      <c r="H107" s="3155"/>
      <c r="I107" s="2808"/>
      <c r="J107" s="2808"/>
      <c r="K107" s="2808"/>
    </row>
    <row r="108" spans="1:11">
      <c r="A108" s="2800">
        <v>45554</v>
      </c>
      <c r="B108" s="2801">
        <v>48627.23</v>
      </c>
      <c r="C108" s="2801">
        <v>474.27</v>
      </c>
      <c r="D108" s="2801">
        <v>17193.82</v>
      </c>
      <c r="E108" s="2801">
        <v>2906.89</v>
      </c>
      <c r="F108" s="2808"/>
      <c r="G108" s="2808"/>
      <c r="H108" s="3155"/>
      <c r="I108" s="2808"/>
      <c r="J108" s="2808"/>
      <c r="K108" s="2808"/>
    </row>
    <row r="109" spans="1:11">
      <c r="A109" s="2800">
        <v>45553</v>
      </c>
      <c r="B109" s="2801">
        <v>47824.160000000003</v>
      </c>
      <c r="C109" s="2801">
        <v>465.82</v>
      </c>
      <c r="D109" s="2801">
        <v>16913.84</v>
      </c>
      <c r="E109" s="2801">
        <v>2873.85</v>
      </c>
      <c r="F109" s="2808"/>
      <c r="G109" s="2808"/>
      <c r="H109" s="3155"/>
      <c r="I109" s="2808"/>
      <c r="J109" s="2808"/>
      <c r="K109" s="2808"/>
    </row>
    <row r="110" spans="1:11">
      <c r="A110" s="2800">
        <v>45552</v>
      </c>
      <c r="B110" s="2801" t="s">
        <v>0</v>
      </c>
      <c r="C110" s="2801" t="s">
        <v>0</v>
      </c>
      <c r="D110" s="2801">
        <v>16963.990000000002</v>
      </c>
      <c r="E110" s="2801">
        <v>2881.04</v>
      </c>
      <c r="F110" s="2808"/>
      <c r="G110" s="2808"/>
      <c r="H110" s="3155"/>
      <c r="I110" s="2808"/>
      <c r="J110" s="2808"/>
      <c r="K110" s="2808"/>
    </row>
    <row r="111" spans="1:11">
      <c r="A111" s="2800">
        <v>45551</v>
      </c>
      <c r="B111" s="2801">
        <v>48201.91</v>
      </c>
      <c r="C111" s="2801">
        <v>469.5</v>
      </c>
      <c r="D111" s="2801">
        <v>16964.77</v>
      </c>
      <c r="E111" s="2801">
        <v>2869.1</v>
      </c>
      <c r="F111" s="2808"/>
      <c r="G111" s="2808"/>
      <c r="H111" s="3155"/>
      <c r="I111" s="2808"/>
      <c r="J111" s="2808"/>
      <c r="K111" s="2808"/>
    </row>
    <row r="112" spans="1:11">
      <c r="A112" s="2800">
        <v>45550</v>
      </c>
      <c r="B112" s="2801" t="s">
        <v>0</v>
      </c>
      <c r="C112" s="2801" t="s">
        <v>0</v>
      </c>
      <c r="D112" s="2801" t="s">
        <v>0</v>
      </c>
      <c r="E112" s="2801" t="s">
        <v>0</v>
      </c>
      <c r="F112" s="2808"/>
      <c r="G112" s="2808"/>
      <c r="H112" s="3155"/>
      <c r="I112" s="2808"/>
      <c r="J112" s="2808"/>
      <c r="K112" s="2808"/>
    </row>
    <row r="113" spans="1:11">
      <c r="A113" s="2800">
        <v>45549</v>
      </c>
      <c r="B113" s="2801" t="s">
        <v>0</v>
      </c>
      <c r="C113" s="2801" t="s">
        <v>0</v>
      </c>
      <c r="D113" s="2801" t="s">
        <v>0</v>
      </c>
      <c r="E113" s="2801" t="s">
        <v>0</v>
      </c>
      <c r="F113" s="2808"/>
      <c r="G113" s="2808"/>
      <c r="H113" s="3155"/>
      <c r="I113" s="2808"/>
      <c r="J113" s="2808"/>
      <c r="K113" s="2808"/>
    </row>
    <row r="114" spans="1:11">
      <c r="A114" s="2800">
        <v>45548</v>
      </c>
      <c r="B114" s="2801">
        <v>48002.35</v>
      </c>
      <c r="C114" s="2801">
        <v>468.07</v>
      </c>
      <c r="D114" s="2801">
        <v>16934.830000000002</v>
      </c>
      <c r="E114" s="2801">
        <v>2858.87</v>
      </c>
      <c r="F114" s="2808"/>
      <c r="G114" s="2808"/>
      <c r="H114" s="3155"/>
      <c r="I114" s="2808"/>
      <c r="J114" s="2808"/>
      <c r="K114" s="2808"/>
    </row>
    <row r="115" spans="1:11">
      <c r="A115" s="2800">
        <v>45547</v>
      </c>
      <c r="B115" s="2801">
        <v>47767.18</v>
      </c>
      <c r="C115" s="2801">
        <v>464.19</v>
      </c>
      <c r="D115" s="2801">
        <v>16822.47</v>
      </c>
      <c r="E115" s="2801">
        <v>2841.03</v>
      </c>
      <c r="F115" s="2808"/>
      <c r="G115" s="2808"/>
      <c r="H115" s="3155"/>
      <c r="I115" s="2808"/>
      <c r="J115" s="2808"/>
      <c r="K115" s="2808"/>
    </row>
    <row r="116" spans="1:11">
      <c r="A116" s="2800">
        <v>45546</v>
      </c>
      <c r="B116" s="2801">
        <v>46319.12</v>
      </c>
      <c r="C116" s="2801">
        <v>455.15</v>
      </c>
      <c r="D116" s="2801">
        <v>16669.02</v>
      </c>
      <c r="E116" s="2801">
        <v>2795.08</v>
      </c>
      <c r="F116" s="2808"/>
      <c r="G116" s="2808"/>
      <c r="H116" s="3155"/>
      <c r="I116" s="2808"/>
      <c r="J116" s="2808"/>
      <c r="K116" s="2808"/>
    </row>
    <row r="117" spans="1:11">
      <c r="A117" s="2800">
        <v>45545</v>
      </c>
      <c r="B117" s="2801">
        <v>46391.97</v>
      </c>
      <c r="C117" s="2801">
        <v>453.36</v>
      </c>
      <c r="D117" s="2801">
        <v>16544.75</v>
      </c>
      <c r="E117" s="2801">
        <v>2805.3</v>
      </c>
      <c r="F117" s="2808"/>
      <c r="G117" s="2808"/>
      <c r="H117" s="3155"/>
      <c r="I117" s="2808"/>
      <c r="J117" s="2808"/>
      <c r="K117" s="2808"/>
    </row>
    <row r="118" spans="1:11">
      <c r="A118" s="2800">
        <v>45544</v>
      </c>
      <c r="B118" s="2801">
        <v>46568.93</v>
      </c>
      <c r="C118" s="2801">
        <v>461.48</v>
      </c>
      <c r="D118" s="2801">
        <v>16518.12</v>
      </c>
      <c r="E118" s="2801">
        <v>2806.37</v>
      </c>
      <c r="F118" s="2808"/>
      <c r="G118" s="2808"/>
      <c r="H118" s="3155"/>
      <c r="I118" s="2808"/>
      <c r="J118" s="2808"/>
      <c r="K118" s="2808"/>
    </row>
    <row r="119" spans="1:11">
      <c r="A119" s="2800">
        <v>45543</v>
      </c>
      <c r="B119" s="2801" t="s">
        <v>0</v>
      </c>
      <c r="C119" s="2801" t="s">
        <v>0</v>
      </c>
      <c r="D119" s="2801" t="s">
        <v>0</v>
      </c>
      <c r="E119" s="2801" t="s">
        <v>0</v>
      </c>
      <c r="F119" s="2808"/>
      <c r="G119" s="2808"/>
      <c r="H119" s="3155"/>
      <c r="I119" s="2808"/>
      <c r="J119" s="2808"/>
      <c r="K119" s="2808"/>
    </row>
    <row r="120" spans="1:11">
      <c r="A120" s="2800">
        <v>45542</v>
      </c>
      <c r="B120" s="2801" t="s">
        <v>0</v>
      </c>
      <c r="C120" s="2801" t="s">
        <v>0</v>
      </c>
      <c r="D120" s="2801" t="s">
        <v>0</v>
      </c>
      <c r="E120" s="2801" t="s">
        <v>0</v>
      </c>
      <c r="F120" s="2808"/>
      <c r="G120" s="2808"/>
      <c r="H120" s="3155"/>
      <c r="I120" s="2808"/>
      <c r="J120" s="2808"/>
      <c r="K120" s="2808"/>
    </row>
    <row r="121" spans="1:11">
      <c r="A121" s="2800">
        <v>45541</v>
      </c>
      <c r="B121" s="2801">
        <v>47208.33</v>
      </c>
      <c r="C121" s="2801">
        <v>463.58</v>
      </c>
      <c r="D121" s="2801">
        <v>16386.919999999998</v>
      </c>
      <c r="E121" s="2801">
        <v>2836.16</v>
      </c>
      <c r="F121" s="2808"/>
      <c r="G121" s="2808"/>
      <c r="H121" s="3155"/>
      <c r="I121" s="2808"/>
      <c r="J121" s="2808"/>
      <c r="K121" s="2808"/>
    </row>
    <row r="122" spans="1:11">
      <c r="A122" s="2800">
        <v>45540</v>
      </c>
      <c r="B122" s="2801">
        <v>46663.02</v>
      </c>
      <c r="C122" s="2801">
        <v>462.5</v>
      </c>
      <c r="D122" s="2801">
        <v>16613.189999999999</v>
      </c>
      <c r="E122" s="2801">
        <v>2839.32</v>
      </c>
      <c r="F122" s="2808"/>
      <c r="G122" s="2808"/>
      <c r="H122" s="3155"/>
      <c r="I122" s="2808"/>
      <c r="J122" s="2808"/>
      <c r="K122" s="2808"/>
    </row>
    <row r="123" spans="1:11">
      <c r="A123" s="2800">
        <v>45539</v>
      </c>
      <c r="B123" s="2801">
        <v>46447.839999999997</v>
      </c>
      <c r="C123" s="2801">
        <v>463.95</v>
      </c>
      <c r="D123" s="2801">
        <v>16670.599999999999</v>
      </c>
      <c r="E123" s="2801">
        <v>2832.31</v>
      </c>
      <c r="F123" s="2808"/>
      <c r="G123" s="2808"/>
      <c r="H123" s="3155"/>
      <c r="I123" s="2808"/>
      <c r="J123" s="2808"/>
      <c r="K123" s="2808"/>
    </row>
    <row r="124" spans="1:11">
      <c r="A124" s="2800">
        <v>45538</v>
      </c>
      <c r="B124" s="2801">
        <v>48647.56</v>
      </c>
      <c r="C124" s="2801">
        <v>479.47</v>
      </c>
      <c r="D124" s="2801">
        <v>16741.14</v>
      </c>
      <c r="E124" s="2801">
        <v>2875.38</v>
      </c>
      <c r="F124" s="2808"/>
      <c r="G124" s="2808"/>
      <c r="H124" s="3155"/>
      <c r="I124" s="2808"/>
      <c r="J124" s="2808"/>
      <c r="K124" s="2808"/>
    </row>
    <row r="125" spans="1:11">
      <c r="A125" s="2800">
        <v>45537</v>
      </c>
      <c r="B125" s="2801">
        <v>48960.74</v>
      </c>
      <c r="C125" s="2801">
        <v>482.48</v>
      </c>
      <c r="D125" s="2801">
        <v>17037.13</v>
      </c>
      <c r="E125" s="2801">
        <v>2891.59</v>
      </c>
      <c r="F125" s="2808"/>
      <c r="G125" s="2808"/>
      <c r="H125" s="3155"/>
      <c r="I125" s="2808"/>
      <c r="J125" s="2808"/>
      <c r="K125" s="2808"/>
    </row>
    <row r="126" spans="1:11">
      <c r="A126" s="2800">
        <v>45536</v>
      </c>
      <c r="B126" s="2801" t="s">
        <v>0</v>
      </c>
      <c r="C126" s="2801" t="s">
        <v>0</v>
      </c>
      <c r="D126" s="2801" t="s">
        <v>0</v>
      </c>
      <c r="E126" s="2801" t="s">
        <v>0</v>
      </c>
      <c r="F126" s="2808"/>
      <c r="G126" s="2808"/>
      <c r="H126" s="3155"/>
      <c r="I126" s="2808"/>
      <c r="J126" s="2808"/>
      <c r="K126" s="2808"/>
    </row>
    <row r="127" spans="1:11">
      <c r="A127" s="2800">
        <v>45535</v>
      </c>
      <c r="B127" s="2801" t="s">
        <v>0</v>
      </c>
      <c r="C127" s="2801" t="s">
        <v>0</v>
      </c>
      <c r="D127" s="2801" t="s">
        <v>0</v>
      </c>
      <c r="E127" s="2801" t="s">
        <v>0</v>
      </c>
      <c r="F127" s="2808"/>
      <c r="G127" s="2808"/>
      <c r="H127" s="3155"/>
      <c r="I127" s="2808"/>
      <c r="J127" s="2808"/>
      <c r="K127" s="2808"/>
    </row>
    <row r="128" spans="1:11">
      <c r="A128" s="2800">
        <v>45534</v>
      </c>
      <c r="B128" s="2801">
        <v>49032.31</v>
      </c>
      <c r="C128" s="2801">
        <v>486.04</v>
      </c>
      <c r="D128" s="2801">
        <v>17045.47</v>
      </c>
      <c r="E128" s="2801">
        <v>2901.01</v>
      </c>
      <c r="F128" s="2808"/>
      <c r="G128" s="2808"/>
      <c r="H128" s="3155"/>
      <c r="I128" s="2808"/>
      <c r="J128" s="2808"/>
      <c r="K128" s="2808"/>
    </row>
    <row r="129" spans="1:11">
      <c r="A129" s="2800">
        <v>45533</v>
      </c>
      <c r="B129" s="2801">
        <v>48885.27</v>
      </c>
      <c r="C129" s="2801">
        <v>483.76</v>
      </c>
      <c r="D129" s="2801">
        <v>16908.13</v>
      </c>
      <c r="E129" s="2801">
        <v>2887.86</v>
      </c>
      <c r="F129" s="2808"/>
      <c r="G129" s="2808"/>
      <c r="H129" s="3155"/>
      <c r="I129" s="2808"/>
      <c r="J129" s="2808"/>
      <c r="K129" s="2808"/>
    </row>
    <row r="130" spans="1:11">
      <c r="A130" s="2800">
        <v>45532</v>
      </c>
      <c r="B130" s="2801">
        <v>49252.17</v>
      </c>
      <c r="C130" s="2801">
        <v>482.34</v>
      </c>
      <c r="D130" s="2801">
        <v>16902.189999999999</v>
      </c>
      <c r="E130" s="2801">
        <v>2893.69</v>
      </c>
      <c r="F130" s="2808"/>
      <c r="G130" s="2808"/>
      <c r="H130" s="3155"/>
      <c r="I130" s="2808"/>
      <c r="J130" s="2808"/>
      <c r="K130" s="2808"/>
    </row>
    <row r="131" spans="1:11">
      <c r="A131" s="2800">
        <v>45531</v>
      </c>
      <c r="B131" s="2801">
        <v>48839.28</v>
      </c>
      <c r="C131" s="2801">
        <v>481.92</v>
      </c>
      <c r="D131" s="2801">
        <v>16976.759999999998</v>
      </c>
      <c r="E131" s="2801">
        <v>2900.25</v>
      </c>
      <c r="F131" s="2808"/>
      <c r="G131" s="2808"/>
      <c r="H131" s="3155"/>
      <c r="I131" s="2808"/>
      <c r="J131" s="2808"/>
      <c r="K131" s="2808"/>
    </row>
    <row r="132" spans="1:11">
      <c r="A132" s="2800">
        <v>45530</v>
      </c>
      <c r="B132" s="2801">
        <v>48951.57</v>
      </c>
      <c r="C132" s="2801">
        <v>477.05</v>
      </c>
      <c r="D132" s="2801">
        <v>16950.22</v>
      </c>
      <c r="E132" s="2801">
        <v>2912.05</v>
      </c>
      <c r="F132" s="2808"/>
      <c r="G132" s="2808"/>
      <c r="H132" s="3155"/>
      <c r="I132" s="2808"/>
      <c r="J132" s="2808"/>
      <c r="K132" s="2808"/>
    </row>
    <row r="133" spans="1:11">
      <c r="A133" s="2800">
        <v>45529</v>
      </c>
      <c r="B133" s="2801" t="s">
        <v>0</v>
      </c>
      <c r="C133" s="2801" t="s">
        <v>0</v>
      </c>
      <c r="D133" s="2801" t="s">
        <v>0</v>
      </c>
      <c r="E133" s="2801" t="s">
        <v>0</v>
      </c>
      <c r="F133" s="2808"/>
      <c r="G133" s="2808"/>
      <c r="H133" s="3155"/>
      <c r="I133" s="2808"/>
      <c r="J133" s="2808"/>
      <c r="K133" s="2808"/>
    </row>
    <row r="134" spans="1:11">
      <c r="A134" s="2800">
        <v>45528</v>
      </c>
      <c r="B134" s="2801" t="s">
        <v>0</v>
      </c>
      <c r="C134" s="2801" t="s">
        <v>0</v>
      </c>
      <c r="D134" s="2801" t="s">
        <v>0</v>
      </c>
      <c r="E134" s="2801" t="s">
        <v>0</v>
      </c>
      <c r="F134" s="2808"/>
      <c r="G134" s="2808"/>
      <c r="H134" s="3155"/>
      <c r="I134" s="2808"/>
      <c r="J134" s="2808"/>
      <c r="K134" s="2808"/>
    </row>
    <row r="135" spans="1:11">
      <c r="A135" s="2800">
        <v>45527</v>
      </c>
      <c r="B135" s="2801">
        <v>48766.18</v>
      </c>
      <c r="C135" s="2801">
        <v>480.51</v>
      </c>
      <c r="D135" s="2801">
        <v>16985.77</v>
      </c>
      <c r="E135" s="2801">
        <v>2902.41</v>
      </c>
      <c r="F135" s="2808"/>
      <c r="G135" s="2808"/>
      <c r="H135" s="3155"/>
      <c r="I135" s="2808"/>
      <c r="J135" s="2808"/>
      <c r="K135" s="2808"/>
    </row>
    <row r="136" spans="1:11">
      <c r="A136" s="2800">
        <v>45526</v>
      </c>
      <c r="B136" s="2801">
        <v>48743.9</v>
      </c>
      <c r="C136" s="2801">
        <v>477.06</v>
      </c>
      <c r="D136" s="2801">
        <v>16790.32</v>
      </c>
      <c r="E136" s="2801">
        <v>2903.06</v>
      </c>
      <c r="F136" s="2808"/>
      <c r="G136" s="2808"/>
      <c r="H136" s="3155"/>
      <c r="I136" s="2808"/>
      <c r="J136" s="2808"/>
      <c r="K136" s="2808"/>
    </row>
    <row r="137" spans="1:11">
      <c r="A137" s="2800">
        <v>45525</v>
      </c>
      <c r="B137" s="2801">
        <v>48929.24</v>
      </c>
      <c r="C137" s="2801">
        <v>474.55</v>
      </c>
      <c r="D137" s="2801">
        <v>16896.849999999999</v>
      </c>
      <c r="E137" s="2801">
        <v>2901.99</v>
      </c>
      <c r="F137" s="2808"/>
      <c r="G137" s="2808"/>
      <c r="H137" s="3155"/>
      <c r="I137" s="2808"/>
      <c r="J137" s="2808"/>
      <c r="K137" s="2808"/>
    </row>
    <row r="138" spans="1:11">
      <c r="A138" s="2800">
        <v>45524</v>
      </c>
      <c r="B138" s="2801">
        <v>49349.07</v>
      </c>
      <c r="C138" s="2801">
        <v>477.54</v>
      </c>
      <c r="D138" s="2801">
        <v>16826.099999999999</v>
      </c>
      <c r="E138" s="2801">
        <v>2911.1</v>
      </c>
      <c r="F138" s="2808"/>
      <c r="G138" s="2808"/>
      <c r="H138" s="3155"/>
      <c r="I138" s="2808"/>
      <c r="J138" s="2808"/>
      <c r="K138" s="2808"/>
    </row>
    <row r="139" spans="1:11">
      <c r="A139" s="2800">
        <v>45523</v>
      </c>
      <c r="B139" s="2801">
        <v>49305.49</v>
      </c>
      <c r="C139" s="2801">
        <v>475.38</v>
      </c>
      <c r="D139" s="2801">
        <v>16837.86</v>
      </c>
      <c r="E139" s="2801">
        <v>2908.54</v>
      </c>
      <c r="F139" s="2808"/>
      <c r="G139" s="2808"/>
      <c r="H139" s="3155"/>
      <c r="I139" s="2808"/>
      <c r="J139" s="2808"/>
      <c r="K139" s="2808"/>
    </row>
    <row r="140" spans="1:11">
      <c r="A140" s="2800">
        <v>45522</v>
      </c>
      <c r="B140" s="2801" t="s">
        <v>0</v>
      </c>
      <c r="C140" s="2801" t="s">
        <v>0</v>
      </c>
      <c r="D140" s="2801" t="s">
        <v>0</v>
      </c>
      <c r="E140" s="2801" t="s">
        <v>0</v>
      </c>
      <c r="F140" s="2808"/>
      <c r="G140" s="2808"/>
      <c r="H140" s="3155"/>
      <c r="I140" s="2808"/>
      <c r="J140" s="2808"/>
      <c r="K140" s="2808"/>
    </row>
    <row r="141" spans="1:11">
      <c r="A141" s="2800">
        <v>45521</v>
      </c>
      <c r="B141" s="2801" t="s">
        <v>0</v>
      </c>
      <c r="C141" s="2801" t="s">
        <v>0</v>
      </c>
      <c r="D141" s="2801" t="s">
        <v>0</v>
      </c>
      <c r="E141" s="2801" t="s">
        <v>0</v>
      </c>
      <c r="F141" s="2808"/>
      <c r="G141" s="2808"/>
      <c r="H141" s="3155"/>
      <c r="I141" s="2808"/>
      <c r="J141" s="2808"/>
      <c r="K141" s="2808"/>
    </row>
    <row r="142" spans="1:11">
      <c r="A142" s="2800">
        <v>45520</v>
      </c>
      <c r="B142" s="2801">
        <v>49168.480000000003</v>
      </c>
      <c r="C142" s="2801">
        <v>470.71</v>
      </c>
      <c r="D142" s="2801">
        <v>16677.259999999998</v>
      </c>
      <c r="E142" s="2801">
        <v>2882.01</v>
      </c>
      <c r="F142" s="2808"/>
      <c r="G142" s="2808"/>
      <c r="H142" s="3155"/>
      <c r="I142" s="2808"/>
      <c r="J142" s="2808"/>
      <c r="K142" s="2808"/>
    </row>
    <row r="143" spans="1:11">
      <c r="A143" s="2800">
        <v>45519</v>
      </c>
      <c r="B143" s="2801">
        <v>48167.040000000001</v>
      </c>
      <c r="C143" s="2801">
        <v>463.63</v>
      </c>
      <c r="D143" s="2801">
        <v>16600.439999999999</v>
      </c>
      <c r="E143" s="2801">
        <v>2835.33</v>
      </c>
      <c r="F143" s="2808"/>
      <c r="G143" s="2808"/>
      <c r="H143" s="3155"/>
      <c r="I143" s="2808"/>
      <c r="J143" s="2808"/>
      <c r="K143" s="2808"/>
    </row>
    <row r="144" spans="1:11">
      <c r="A144" s="2800">
        <v>45518</v>
      </c>
      <c r="B144" s="2801">
        <v>48445.96</v>
      </c>
      <c r="C144" s="2801">
        <v>459.99</v>
      </c>
      <c r="D144" s="2801">
        <v>16381.33</v>
      </c>
      <c r="E144" s="2801">
        <v>2836.68</v>
      </c>
      <c r="F144" s="2808"/>
      <c r="G144" s="2808"/>
      <c r="H144" s="3155"/>
      <c r="I144" s="2808"/>
      <c r="J144" s="2808"/>
      <c r="K144" s="2808"/>
    </row>
    <row r="145" spans="1:11">
      <c r="A145" s="2800">
        <v>45517</v>
      </c>
      <c r="B145" s="2801">
        <v>47931.29</v>
      </c>
      <c r="C145" s="2801">
        <v>454.23</v>
      </c>
      <c r="D145" s="2801">
        <v>16285.51</v>
      </c>
      <c r="E145" s="2801">
        <v>2821.85</v>
      </c>
      <c r="F145" s="2808"/>
      <c r="G145" s="2808"/>
      <c r="H145" s="3155"/>
      <c r="I145" s="2808"/>
      <c r="J145" s="2808"/>
      <c r="K145" s="2808"/>
    </row>
    <row r="146" spans="1:11">
      <c r="A146" s="2800">
        <v>45516</v>
      </c>
      <c r="B146" s="2801">
        <v>47867.63</v>
      </c>
      <c r="C146" s="2801">
        <v>451.61</v>
      </c>
      <c r="D146" s="2801">
        <v>16026.84</v>
      </c>
      <c r="E146" s="2801">
        <v>2816.32</v>
      </c>
      <c r="F146" s="2808"/>
      <c r="G146" s="2808"/>
      <c r="H146" s="3155"/>
      <c r="I146" s="2808"/>
      <c r="J146" s="2808"/>
      <c r="K146" s="2808"/>
    </row>
    <row r="147" spans="1:11">
      <c r="A147" s="2800">
        <v>45515</v>
      </c>
      <c r="B147" s="2801" t="s">
        <v>0</v>
      </c>
      <c r="C147" s="2801" t="s">
        <v>0</v>
      </c>
      <c r="D147" s="2801" t="s">
        <v>0</v>
      </c>
      <c r="E147" s="2801" t="s">
        <v>0</v>
      </c>
      <c r="F147" s="2808"/>
      <c r="G147" s="2808"/>
      <c r="H147" s="3155"/>
      <c r="I147" s="2808"/>
      <c r="J147" s="2808"/>
      <c r="K147" s="2808"/>
    </row>
    <row r="148" spans="1:11">
      <c r="A148" s="2800">
        <v>45514</v>
      </c>
      <c r="B148" s="2801" t="s">
        <v>0</v>
      </c>
      <c r="C148" s="2801" t="s">
        <v>0</v>
      </c>
      <c r="D148" s="2801" t="s">
        <v>0</v>
      </c>
      <c r="E148" s="2801" t="s">
        <v>0</v>
      </c>
      <c r="F148" s="2808"/>
      <c r="G148" s="2808"/>
      <c r="H148" s="3155"/>
      <c r="I148" s="2808"/>
      <c r="J148" s="2808"/>
      <c r="K148" s="2808"/>
    </row>
    <row r="149" spans="1:11">
      <c r="A149" s="2800">
        <v>45513</v>
      </c>
      <c r="B149" s="2801">
        <v>47197.17</v>
      </c>
      <c r="C149" s="2801">
        <v>445.87</v>
      </c>
      <c r="D149" s="2801">
        <v>16031.38</v>
      </c>
      <c r="E149" s="2801">
        <v>2800.49</v>
      </c>
      <c r="F149" s="2808"/>
      <c r="G149" s="2808"/>
      <c r="H149" s="3155"/>
      <c r="I149" s="2808"/>
      <c r="J149" s="2808"/>
      <c r="K149" s="2808"/>
    </row>
    <row r="150" spans="1:11">
      <c r="A150" s="2800">
        <v>45512</v>
      </c>
      <c r="B150" s="2801">
        <v>45880.56</v>
      </c>
      <c r="C150" s="2801">
        <v>436.01</v>
      </c>
      <c r="D150" s="2801">
        <v>15937</v>
      </c>
      <c r="E150" s="2801">
        <v>2755.06</v>
      </c>
      <c r="F150" s="2808"/>
      <c r="G150" s="2808"/>
      <c r="H150" s="3155"/>
      <c r="I150" s="2808"/>
      <c r="J150" s="2808"/>
      <c r="K150" s="2808"/>
    </row>
    <row r="151" spans="1:11">
      <c r="A151" s="2800">
        <v>45511</v>
      </c>
      <c r="B151" s="2801">
        <v>46789.33</v>
      </c>
      <c r="C151" s="2801">
        <v>437.92</v>
      </c>
      <c r="D151" s="2801">
        <v>15677.56</v>
      </c>
      <c r="E151" s="2801">
        <v>2765.09</v>
      </c>
      <c r="F151" s="2808"/>
      <c r="G151" s="2808"/>
      <c r="H151" s="3155"/>
      <c r="I151" s="2808"/>
      <c r="J151" s="2808"/>
      <c r="K151" s="2808"/>
    </row>
    <row r="152" spans="1:11">
      <c r="A152" s="2800">
        <v>45510</v>
      </c>
      <c r="B152" s="2801">
        <v>45043.44</v>
      </c>
      <c r="C152" s="2801">
        <v>416.12</v>
      </c>
      <c r="D152" s="2801">
        <v>15717.11</v>
      </c>
      <c r="E152" s="2801">
        <v>2713.49</v>
      </c>
      <c r="F152" s="2808"/>
      <c r="G152" s="2808"/>
      <c r="H152" s="3155"/>
      <c r="I152" s="2808"/>
      <c r="J152" s="2808"/>
      <c r="K152" s="2808"/>
    </row>
    <row r="153" spans="1:11">
      <c r="A153" s="2800">
        <v>45509</v>
      </c>
      <c r="B153" s="2801">
        <v>43565.81</v>
      </c>
      <c r="C153" s="2801">
        <v>419.64</v>
      </c>
      <c r="D153" s="2801">
        <v>15539.4</v>
      </c>
      <c r="E153" s="2801">
        <v>2675.54</v>
      </c>
      <c r="F153" s="2808"/>
      <c r="G153" s="2808"/>
      <c r="H153" s="3155"/>
      <c r="I153" s="2808"/>
      <c r="J153" s="2808"/>
      <c r="K153" s="2808"/>
    </row>
    <row r="154" spans="1:11">
      <c r="A154" s="2800">
        <v>45508</v>
      </c>
      <c r="B154" s="2801" t="s">
        <v>0</v>
      </c>
      <c r="C154" s="2801" t="s">
        <v>0</v>
      </c>
      <c r="D154" s="2801" t="s">
        <v>0</v>
      </c>
      <c r="E154" s="2801" t="s">
        <v>0</v>
      </c>
      <c r="F154" s="2808"/>
      <c r="G154" s="2808"/>
      <c r="H154" s="3155"/>
      <c r="I154" s="2808"/>
      <c r="J154" s="2808"/>
      <c r="K154" s="2808"/>
    </row>
    <row r="155" spans="1:11">
      <c r="A155" s="2800">
        <v>45507</v>
      </c>
      <c r="B155" s="2801" t="s">
        <v>0</v>
      </c>
      <c r="C155" s="2801" t="s">
        <v>0</v>
      </c>
      <c r="D155" s="2801" t="s">
        <v>0</v>
      </c>
      <c r="E155" s="2801" t="s">
        <v>0</v>
      </c>
      <c r="F155" s="2808"/>
      <c r="G155" s="2808"/>
      <c r="H155" s="3155"/>
      <c r="I155" s="2808"/>
      <c r="J155" s="2808"/>
      <c r="K155" s="2808"/>
    </row>
    <row r="156" spans="1:11">
      <c r="A156" s="2800">
        <v>45506</v>
      </c>
      <c r="B156" s="2801">
        <v>47524.87</v>
      </c>
      <c r="C156" s="2801">
        <v>455.42</v>
      </c>
      <c r="D156" s="2801">
        <v>16031.69</v>
      </c>
      <c r="E156" s="2801">
        <v>2792.57</v>
      </c>
      <c r="F156" s="2808"/>
      <c r="G156" s="2808"/>
      <c r="H156" s="3155"/>
      <c r="I156" s="2808"/>
      <c r="J156" s="2808"/>
      <c r="K156" s="2808"/>
    </row>
    <row r="157" spans="1:11">
      <c r="A157" s="2800">
        <v>45505</v>
      </c>
      <c r="B157" s="2801">
        <v>49729.5</v>
      </c>
      <c r="C157" s="2801">
        <v>471.46</v>
      </c>
      <c r="D157" s="2801">
        <v>16353.23</v>
      </c>
      <c r="E157" s="2801">
        <v>2862.29</v>
      </c>
      <c r="F157" s="2808"/>
      <c r="G157" s="2808"/>
      <c r="H157" s="3155"/>
      <c r="I157" s="2808"/>
      <c r="J157" s="2808"/>
      <c r="K157" s="2808"/>
    </row>
    <row r="158" spans="1:11">
      <c r="A158" s="2800">
        <v>45504</v>
      </c>
      <c r="B158" s="2801">
        <v>48730.19</v>
      </c>
      <c r="C158" s="2801">
        <v>462.91</v>
      </c>
      <c r="D158" s="2801">
        <v>16601.009999999998</v>
      </c>
      <c r="E158" s="2801">
        <v>2853.98</v>
      </c>
      <c r="F158" s="2808"/>
      <c r="G158" s="2808"/>
      <c r="H158" s="3155"/>
      <c r="I158" s="2808"/>
      <c r="J158" s="2808"/>
      <c r="K158" s="2808"/>
    </row>
    <row r="159" spans="1:11">
      <c r="A159" s="2800">
        <v>45503</v>
      </c>
      <c r="B159" s="2801">
        <v>48777.14</v>
      </c>
      <c r="C159" s="2801">
        <v>464.77</v>
      </c>
      <c r="D159" s="2801">
        <v>16334.13</v>
      </c>
      <c r="E159" s="2801">
        <v>2819.08</v>
      </c>
      <c r="F159" s="2808"/>
      <c r="G159" s="2808"/>
      <c r="H159" s="3155"/>
      <c r="I159" s="2808"/>
      <c r="J159" s="2808"/>
      <c r="K159" s="2808"/>
    </row>
    <row r="160" spans="1:11">
      <c r="A160" s="2800">
        <v>45502</v>
      </c>
      <c r="B160" s="2801">
        <v>48644.25</v>
      </c>
      <c r="C160" s="2801">
        <v>458.91</v>
      </c>
      <c r="D160" s="2801">
        <v>16390.29</v>
      </c>
      <c r="E160" s="2801">
        <v>2833.94</v>
      </c>
      <c r="F160" s="2808"/>
      <c r="G160" s="2808"/>
      <c r="H160" s="3155"/>
      <c r="I160" s="2808"/>
      <c r="J160" s="2808"/>
      <c r="K160" s="2808"/>
    </row>
    <row r="161" spans="1:11">
      <c r="A161" s="2800">
        <v>45501</v>
      </c>
      <c r="B161" s="2801" t="s">
        <v>0</v>
      </c>
      <c r="C161" s="2801" t="s">
        <v>0</v>
      </c>
      <c r="D161" s="2801" t="s">
        <v>0</v>
      </c>
      <c r="E161" s="2801" t="s">
        <v>0</v>
      </c>
      <c r="F161" s="2808"/>
      <c r="G161" s="2808"/>
      <c r="H161" s="3155"/>
      <c r="I161" s="2808"/>
      <c r="J161" s="2808"/>
      <c r="K161" s="2808"/>
    </row>
    <row r="162" spans="1:11">
      <c r="A162" s="2800">
        <v>45500</v>
      </c>
      <c r="B162" s="2801" t="s">
        <v>0</v>
      </c>
      <c r="C162" s="2801" t="s">
        <v>0</v>
      </c>
      <c r="D162" s="2801" t="s">
        <v>0</v>
      </c>
      <c r="E162" s="2801" t="s">
        <v>0</v>
      </c>
      <c r="F162" s="2808"/>
      <c r="G162" s="2808"/>
      <c r="H162" s="3155"/>
      <c r="I162" s="2808"/>
      <c r="J162" s="2808"/>
      <c r="K162" s="2808"/>
    </row>
    <row r="163" spans="1:11">
      <c r="A163" s="2800">
        <v>45499</v>
      </c>
      <c r="B163" s="2801">
        <v>48539.19</v>
      </c>
      <c r="C163" s="2801">
        <v>466.32</v>
      </c>
      <c r="D163" s="2801">
        <v>16378.67</v>
      </c>
      <c r="E163" s="2801">
        <v>2820.64</v>
      </c>
      <c r="F163" s="2808"/>
      <c r="G163" s="2808"/>
      <c r="H163" s="3155"/>
      <c r="I163" s="2808"/>
      <c r="J163" s="2808"/>
      <c r="K163" s="2808"/>
    </row>
    <row r="164" spans="1:11">
      <c r="A164" s="2800">
        <v>45498</v>
      </c>
      <c r="B164" s="2801" t="s">
        <v>0</v>
      </c>
      <c r="C164" s="2801" t="s">
        <v>0</v>
      </c>
      <c r="D164" s="2801">
        <v>16223.22</v>
      </c>
      <c r="E164" s="2801">
        <v>2824.61</v>
      </c>
      <c r="F164" s="2808"/>
      <c r="G164" s="2808"/>
      <c r="H164" s="3155"/>
      <c r="I164" s="2808"/>
      <c r="J164" s="2808"/>
      <c r="K164" s="2808"/>
    </row>
    <row r="165" spans="1:11">
      <c r="A165" s="2800">
        <v>45497</v>
      </c>
      <c r="B165" s="2801" t="s">
        <v>0</v>
      </c>
      <c r="C165" s="2801" t="s">
        <v>0</v>
      </c>
      <c r="D165" s="2801">
        <v>16339.51</v>
      </c>
      <c r="E165" s="2801">
        <v>2846.68</v>
      </c>
      <c r="F165" s="2808"/>
      <c r="G165" s="2808"/>
      <c r="H165" s="3155"/>
      <c r="I165" s="2808"/>
      <c r="J165" s="2808"/>
      <c r="K165" s="2808"/>
    </row>
    <row r="166" spans="1:11">
      <c r="A166" s="2800">
        <v>45496</v>
      </c>
      <c r="B166" s="2801">
        <v>50151.75</v>
      </c>
      <c r="C166" s="2801">
        <v>470.77</v>
      </c>
      <c r="D166" s="2801">
        <v>16640.93</v>
      </c>
      <c r="E166" s="2801">
        <v>2858.52</v>
      </c>
      <c r="F166" s="2808"/>
      <c r="G166" s="2808"/>
      <c r="H166" s="3155"/>
      <c r="I166" s="2808"/>
      <c r="J166" s="2808"/>
      <c r="K166" s="2808"/>
    </row>
    <row r="167" spans="1:11">
      <c r="A167" s="2800">
        <v>45495</v>
      </c>
      <c r="B167" s="2801">
        <v>48792.77</v>
      </c>
      <c r="C167" s="2801">
        <v>464.66</v>
      </c>
      <c r="D167" s="2801">
        <v>16658.55</v>
      </c>
      <c r="E167" s="2801">
        <v>2854.48</v>
      </c>
      <c r="F167" s="2808"/>
      <c r="G167" s="2808"/>
      <c r="H167" s="3155"/>
      <c r="I167" s="2808"/>
      <c r="J167" s="2808"/>
      <c r="K167" s="2808"/>
    </row>
    <row r="168" spans="1:11">
      <c r="A168" s="2800">
        <v>45494</v>
      </c>
      <c r="B168" s="2801" t="s">
        <v>0</v>
      </c>
      <c r="C168" s="2801" t="s">
        <v>0</v>
      </c>
      <c r="D168" s="2801" t="s">
        <v>0</v>
      </c>
      <c r="E168" s="2801" t="s">
        <v>0</v>
      </c>
      <c r="F168" s="2808"/>
      <c r="G168" s="2808"/>
      <c r="H168" s="3155"/>
      <c r="I168" s="2808"/>
      <c r="J168" s="2808"/>
      <c r="K168" s="2808"/>
    </row>
    <row r="169" spans="1:11">
      <c r="A169" s="2800">
        <v>45493</v>
      </c>
      <c r="B169" s="2801" t="s">
        <v>0</v>
      </c>
      <c r="C169" s="2801" t="s">
        <v>0</v>
      </c>
      <c r="D169" s="2801" t="s">
        <v>0</v>
      </c>
      <c r="E169" s="2801" t="s">
        <v>0</v>
      </c>
      <c r="F169" s="2808"/>
      <c r="G169" s="2808"/>
      <c r="H169" s="3155"/>
      <c r="I169" s="2808"/>
      <c r="J169" s="2808"/>
      <c r="K169" s="2808"/>
    </row>
    <row r="170" spans="1:11">
      <c r="A170" s="2800">
        <v>45492</v>
      </c>
      <c r="B170" s="2801">
        <v>50130.36</v>
      </c>
      <c r="C170" s="2801">
        <v>477.69</v>
      </c>
      <c r="D170" s="2801">
        <v>16513.759999999998</v>
      </c>
      <c r="E170" s="2801">
        <v>2865.31</v>
      </c>
      <c r="F170" s="2808"/>
      <c r="G170" s="2808"/>
      <c r="H170" s="3155"/>
      <c r="I170" s="2808"/>
      <c r="J170" s="2808"/>
      <c r="K170" s="2808"/>
    </row>
    <row r="171" spans="1:11">
      <c r="A171" s="2800">
        <v>45491</v>
      </c>
      <c r="B171" s="2801">
        <v>51266.41</v>
      </c>
      <c r="C171" s="2801">
        <v>486.96</v>
      </c>
      <c r="D171" s="2801">
        <v>16634.2</v>
      </c>
      <c r="E171" s="2801">
        <v>2907.79</v>
      </c>
      <c r="F171" s="2808"/>
      <c r="G171" s="2808"/>
      <c r="H171" s="3155"/>
      <c r="I171" s="2808"/>
      <c r="J171" s="2808"/>
      <c r="K171" s="2808"/>
    </row>
    <row r="172" spans="1:11">
      <c r="A172" s="2800">
        <v>45490</v>
      </c>
      <c r="B172" s="2801">
        <v>52045.59</v>
      </c>
      <c r="C172" s="2801">
        <v>493.9</v>
      </c>
      <c r="D172" s="2801">
        <v>16763.79</v>
      </c>
      <c r="E172" s="2801">
        <v>2921.7</v>
      </c>
      <c r="F172" s="2808"/>
      <c r="G172" s="2808"/>
      <c r="H172" s="3155"/>
      <c r="I172" s="2808"/>
      <c r="J172" s="2808"/>
      <c r="K172" s="2808"/>
    </row>
    <row r="173" spans="1:11">
      <c r="A173" s="2800">
        <v>45489</v>
      </c>
      <c r="B173" s="2801">
        <v>52529.47</v>
      </c>
      <c r="C173" s="2801">
        <v>491.45</v>
      </c>
      <c r="D173" s="2801">
        <v>16927.099999999999</v>
      </c>
      <c r="E173" s="2801">
        <v>2936.95</v>
      </c>
      <c r="F173" s="2808"/>
      <c r="G173" s="2808"/>
      <c r="H173" s="3155"/>
      <c r="I173" s="2808"/>
      <c r="J173" s="2808"/>
      <c r="K173" s="2808"/>
    </row>
    <row r="174" spans="1:11">
      <c r="A174" s="2800">
        <v>45488</v>
      </c>
      <c r="B174" s="2801">
        <v>52248.36</v>
      </c>
      <c r="C174" s="2801">
        <v>489.26</v>
      </c>
      <c r="D174" s="2801">
        <v>16864.93</v>
      </c>
      <c r="E174" s="2801">
        <v>2944.33</v>
      </c>
      <c r="F174" s="2808"/>
      <c r="G174" s="2808"/>
      <c r="H174" s="3155"/>
      <c r="I174" s="2808"/>
      <c r="J174" s="2808"/>
      <c r="K174" s="2808"/>
    </row>
    <row r="175" spans="1:11">
      <c r="A175" s="2800">
        <v>45487</v>
      </c>
      <c r="B175" s="2801" t="s">
        <v>0</v>
      </c>
      <c r="C175" s="2801" t="s">
        <v>0</v>
      </c>
      <c r="D175" s="2801" t="s">
        <v>0</v>
      </c>
      <c r="E175" s="2801" t="s">
        <v>0</v>
      </c>
      <c r="F175" s="2808"/>
      <c r="G175" s="2808"/>
      <c r="H175" s="3155"/>
      <c r="I175" s="2808"/>
      <c r="J175" s="2808"/>
      <c r="K175" s="2808"/>
    </row>
    <row r="176" spans="1:11">
      <c r="A176" s="2800">
        <v>45486</v>
      </c>
      <c r="B176" s="2801" t="s">
        <v>0</v>
      </c>
      <c r="C176" s="2801" t="s">
        <v>0</v>
      </c>
      <c r="D176" s="2801" t="s">
        <v>0</v>
      </c>
      <c r="E176" s="2801" t="s">
        <v>0</v>
      </c>
      <c r="F176" s="2808"/>
      <c r="G176" s="2808"/>
      <c r="H176" s="3155"/>
      <c r="I176" s="2808"/>
      <c r="J176" s="2808"/>
      <c r="K176" s="2808"/>
    </row>
    <row r="177" spans="1:11">
      <c r="A177" s="2800">
        <v>45485</v>
      </c>
      <c r="B177" s="2801">
        <v>52302.48</v>
      </c>
      <c r="C177" s="2801">
        <v>488.63</v>
      </c>
      <c r="D177" s="2801">
        <v>16854.12</v>
      </c>
      <c r="E177" s="2801">
        <v>2952.46</v>
      </c>
      <c r="F177" s="2808"/>
      <c r="G177" s="2808"/>
      <c r="H177" s="3155"/>
      <c r="I177" s="2808"/>
      <c r="J177" s="2808"/>
      <c r="K177" s="2808"/>
    </row>
    <row r="178" spans="1:11">
      <c r="A178" s="2800">
        <v>45484</v>
      </c>
      <c r="B178" s="2801">
        <v>53330.65</v>
      </c>
      <c r="C178" s="2801">
        <v>493.63</v>
      </c>
      <c r="D178" s="2801">
        <v>16754.79</v>
      </c>
      <c r="E178" s="2801">
        <v>2955.47</v>
      </c>
      <c r="F178" s="2808"/>
      <c r="G178" s="2808"/>
      <c r="H178" s="3155"/>
      <c r="I178" s="2808"/>
      <c r="J178" s="2808"/>
      <c r="K178" s="2808"/>
    </row>
    <row r="179" spans="1:11">
      <c r="A179" s="2800">
        <v>45483</v>
      </c>
      <c r="B179" s="2801">
        <v>52479.11</v>
      </c>
      <c r="C179" s="2801">
        <v>490.93</v>
      </c>
      <c r="D179" s="2801">
        <v>16789</v>
      </c>
      <c r="E179" s="2801">
        <v>2919.3</v>
      </c>
      <c r="F179" s="2808"/>
      <c r="G179" s="2808"/>
      <c r="H179" s="3155"/>
      <c r="I179" s="2808"/>
      <c r="J179" s="2808"/>
      <c r="K179" s="2808"/>
    </row>
    <row r="180" spans="1:11">
      <c r="A180" s="2800">
        <v>45482</v>
      </c>
      <c r="B180" s="2801">
        <v>52209.5</v>
      </c>
      <c r="C180" s="2801">
        <v>487.32</v>
      </c>
      <c r="D180" s="2801">
        <v>16628</v>
      </c>
      <c r="E180" s="2801">
        <v>2919.98</v>
      </c>
      <c r="F180" s="2808"/>
      <c r="G180" s="2808"/>
      <c r="H180" s="3155"/>
      <c r="I180" s="2808"/>
      <c r="J180" s="2808"/>
      <c r="K180" s="2808"/>
    </row>
    <row r="181" spans="1:11">
      <c r="A181" s="2800">
        <v>45481</v>
      </c>
      <c r="B181" s="2801">
        <v>52135.78</v>
      </c>
      <c r="C181" s="2801">
        <v>488.12</v>
      </c>
      <c r="D181" s="2801">
        <v>16643.32</v>
      </c>
      <c r="E181" s="2801">
        <v>2908.15</v>
      </c>
      <c r="F181" s="2808"/>
      <c r="G181" s="2808"/>
      <c r="H181" s="3155"/>
      <c r="I181" s="2808"/>
      <c r="J181" s="2808"/>
      <c r="K181" s="2808"/>
    </row>
    <row r="182" spans="1:11">
      <c r="A182" s="2800">
        <v>45480</v>
      </c>
      <c r="B182" s="2801" t="s">
        <v>0</v>
      </c>
      <c r="C182" s="2801" t="s">
        <v>0</v>
      </c>
      <c r="D182" s="2801" t="s">
        <v>0</v>
      </c>
      <c r="E182" s="2801" t="s">
        <v>0</v>
      </c>
      <c r="F182" s="2808"/>
      <c r="G182" s="2808"/>
      <c r="H182" s="3155"/>
      <c r="I182" s="2808"/>
      <c r="J182" s="2808"/>
      <c r="K182" s="2808"/>
    </row>
    <row r="183" spans="1:11">
      <c r="A183" s="2800">
        <v>45479</v>
      </c>
      <c r="B183" s="2801" t="s">
        <v>0</v>
      </c>
      <c r="C183" s="2801" t="s">
        <v>0</v>
      </c>
      <c r="D183" s="2801" t="s">
        <v>0</v>
      </c>
      <c r="E183" s="2801" t="s">
        <v>0</v>
      </c>
      <c r="F183" s="2808"/>
      <c r="G183" s="2808"/>
      <c r="H183" s="3155"/>
      <c r="I183" s="2808"/>
      <c r="J183" s="2808"/>
      <c r="K183" s="2808"/>
    </row>
    <row r="184" spans="1:11">
      <c r="A184" s="2800">
        <v>45478</v>
      </c>
      <c r="B184" s="2801">
        <v>51415.47</v>
      </c>
      <c r="C184" s="2801">
        <v>491.36</v>
      </c>
      <c r="D184" s="2801">
        <v>16634.61</v>
      </c>
      <c r="E184" s="2801">
        <v>2899.17</v>
      </c>
      <c r="F184" s="2808"/>
      <c r="G184" s="2808"/>
      <c r="H184" s="3155"/>
      <c r="I184" s="2808"/>
      <c r="J184" s="2808"/>
      <c r="K184" s="2808"/>
    </row>
    <row r="185" spans="1:11">
      <c r="A185" s="2800">
        <v>45477</v>
      </c>
      <c r="B185" s="2801">
        <v>51339</v>
      </c>
      <c r="C185" s="2801">
        <v>485.49</v>
      </c>
      <c r="D185" s="2801">
        <v>16579.150000000001</v>
      </c>
      <c r="E185" s="2801">
        <v>2896.92</v>
      </c>
      <c r="F185" s="2808"/>
      <c r="G185" s="2808"/>
      <c r="H185" s="3155"/>
      <c r="I185" s="2808"/>
      <c r="J185" s="2808"/>
      <c r="K185" s="2808"/>
    </row>
    <row r="186" spans="1:11">
      <c r="A186" s="2800">
        <v>45476</v>
      </c>
      <c r="B186" s="2801">
        <v>50501.99</v>
      </c>
      <c r="C186" s="2801">
        <v>483.14</v>
      </c>
      <c r="D186" s="2801">
        <v>16545.8</v>
      </c>
      <c r="E186" s="2801">
        <v>2862.79</v>
      </c>
      <c r="F186" s="2808"/>
      <c r="G186" s="2808"/>
      <c r="H186" s="2808"/>
      <c r="I186" s="2808"/>
      <c r="J186" s="2808"/>
      <c r="K186" s="2808"/>
    </row>
    <row r="187" spans="1:11">
      <c r="A187" s="2800">
        <v>45475</v>
      </c>
      <c r="B187" s="2801">
        <v>49852.62</v>
      </c>
      <c r="C187" s="2801">
        <v>482.23</v>
      </c>
      <c r="D187" s="2801">
        <v>16430.39</v>
      </c>
      <c r="E187" s="2801">
        <v>2828.82</v>
      </c>
      <c r="F187" s="2808"/>
      <c r="G187" s="2808"/>
      <c r="H187" s="2808"/>
      <c r="I187" s="2808"/>
      <c r="J187" s="2808"/>
      <c r="K187" s="2808"/>
    </row>
    <row r="188" spans="1:11">
      <c r="A188" s="2800">
        <v>45474</v>
      </c>
      <c r="B188" s="2801">
        <v>50159.02</v>
      </c>
      <c r="C188" s="2801">
        <v>481.13</v>
      </c>
      <c r="D188" s="2801">
        <v>16348.88</v>
      </c>
      <c r="E188" s="2801">
        <v>2847.29</v>
      </c>
      <c r="F188" s="2808"/>
      <c r="G188" s="2808"/>
      <c r="H188" s="2808"/>
      <c r="I188" s="2808"/>
      <c r="J188" s="2808"/>
      <c r="K188" s="2808"/>
    </row>
    <row r="189" spans="1:11">
      <c r="A189" s="2800">
        <v>45473</v>
      </c>
      <c r="B189" s="2801" t="s">
        <v>0</v>
      </c>
      <c r="C189" s="2801" t="s">
        <v>0</v>
      </c>
      <c r="D189" s="2801" t="s">
        <v>0</v>
      </c>
      <c r="E189" s="2801" t="s">
        <v>0</v>
      </c>
      <c r="F189" s="2808"/>
      <c r="G189" s="2808"/>
      <c r="H189" s="2808"/>
      <c r="I189" s="2808"/>
      <c r="J189" s="2808"/>
      <c r="K189" s="2808"/>
    </row>
    <row r="190" spans="1:11">
      <c r="A190" s="2800">
        <v>45472</v>
      </c>
      <c r="B190" s="2801" t="s">
        <v>0</v>
      </c>
      <c r="C190" s="2801" t="s">
        <v>0</v>
      </c>
      <c r="D190" s="2801" t="s">
        <v>0</v>
      </c>
      <c r="E190" s="2801" t="s">
        <v>0</v>
      </c>
      <c r="F190" s="2808"/>
      <c r="G190" s="2808"/>
      <c r="H190" s="2808"/>
      <c r="I190" s="2808"/>
      <c r="J190" s="2808"/>
      <c r="K190" s="2808"/>
    </row>
    <row r="191" spans="1:11">
      <c r="A191" s="2800">
        <v>45471</v>
      </c>
      <c r="B191" s="2801">
        <v>50048.9</v>
      </c>
      <c r="C191" s="2801">
        <v>477.12</v>
      </c>
      <c r="D191" s="2801">
        <v>16309.89</v>
      </c>
      <c r="E191" s="2801">
        <v>2843.53</v>
      </c>
      <c r="F191" s="2808"/>
      <c r="G191" s="2808"/>
      <c r="H191" s="2808"/>
      <c r="I191" s="2808"/>
      <c r="J191" s="2808"/>
      <c r="K191" s="2808"/>
    </row>
    <row r="192" spans="1:11">
      <c r="A192" s="2800">
        <v>45470</v>
      </c>
      <c r="B192" s="2801">
        <v>49769.18</v>
      </c>
      <c r="C192" s="2801">
        <v>470.09</v>
      </c>
      <c r="D192" s="2801">
        <v>16354.72</v>
      </c>
      <c r="E192" s="2801">
        <v>2831.74</v>
      </c>
      <c r="F192" s="2808"/>
      <c r="G192" s="2808"/>
      <c r="H192" s="2808"/>
      <c r="I192" s="2808"/>
      <c r="J192" s="2808"/>
      <c r="K192" s="2808"/>
    </row>
    <row r="193" spans="1:11">
      <c r="A193" s="2800">
        <v>45469</v>
      </c>
      <c r="B193" s="2801">
        <v>49896.81</v>
      </c>
      <c r="C193" s="2801">
        <v>472.75</v>
      </c>
      <c r="D193" s="2801">
        <v>16344.64</v>
      </c>
      <c r="E193" s="2801">
        <v>2840.14</v>
      </c>
      <c r="F193" s="2808"/>
      <c r="G193" s="2808"/>
      <c r="H193" s="2808"/>
      <c r="I193" s="2808"/>
      <c r="J193" s="2808"/>
      <c r="K193" s="2808"/>
    </row>
    <row r="194" spans="1:11">
      <c r="A194" s="2800">
        <v>45468</v>
      </c>
      <c r="B194" s="2801">
        <v>49650.53</v>
      </c>
      <c r="C194" s="2801">
        <v>467.53</v>
      </c>
      <c r="D194" s="2801">
        <v>16347.02</v>
      </c>
      <c r="E194" s="2801">
        <v>2837.37</v>
      </c>
      <c r="F194" s="2808"/>
      <c r="G194" s="2808"/>
      <c r="H194" s="2808"/>
      <c r="I194" s="2808"/>
      <c r="J194" s="2808"/>
      <c r="K194" s="2808"/>
    </row>
    <row r="195" spans="1:11">
      <c r="A195" s="2800">
        <v>45467</v>
      </c>
      <c r="B195" s="2801">
        <v>49505.93</v>
      </c>
      <c r="C195" s="2801">
        <v>466.19</v>
      </c>
      <c r="D195" s="2801">
        <v>16292.3</v>
      </c>
      <c r="E195" s="2801">
        <v>2834.46</v>
      </c>
      <c r="F195" s="2808"/>
      <c r="G195" s="2808"/>
      <c r="H195" s="2808"/>
      <c r="I195" s="2808"/>
      <c r="J195" s="2808"/>
      <c r="K195" s="2808"/>
    </row>
    <row r="196" spans="1:11">
      <c r="A196" s="2800">
        <v>45466</v>
      </c>
      <c r="B196" s="2801" t="s">
        <v>0</v>
      </c>
      <c r="C196" s="2801" t="s">
        <v>0</v>
      </c>
      <c r="D196" s="2801" t="s">
        <v>0</v>
      </c>
      <c r="E196" s="2801" t="s">
        <v>0</v>
      </c>
      <c r="F196" s="2808"/>
      <c r="G196" s="2808"/>
      <c r="H196" s="2808"/>
      <c r="I196" s="2808"/>
      <c r="J196" s="2808"/>
      <c r="K196" s="2808"/>
    </row>
    <row r="197" spans="1:11">
      <c r="A197" s="2800">
        <v>45465</v>
      </c>
      <c r="B197" s="2801" t="s">
        <v>0</v>
      </c>
      <c r="C197" s="2801" t="s">
        <v>0</v>
      </c>
      <c r="D197" s="2801" t="s">
        <v>0</v>
      </c>
      <c r="E197" s="2801" t="s">
        <v>0</v>
      </c>
      <c r="F197" s="2808"/>
      <c r="G197" s="2808"/>
      <c r="H197" s="2808"/>
      <c r="I197" s="2808"/>
      <c r="J197" s="2808"/>
      <c r="K197" s="2808"/>
    </row>
    <row r="198" spans="1:11">
      <c r="A198" s="2800">
        <v>45464</v>
      </c>
      <c r="B198" s="2801">
        <v>50445.25</v>
      </c>
      <c r="C198" s="2801">
        <v>471.65</v>
      </c>
      <c r="D198" s="2801">
        <v>16285.92</v>
      </c>
      <c r="E198" s="2801">
        <v>2841.14</v>
      </c>
      <c r="F198" s="2808"/>
      <c r="G198" s="2808"/>
      <c r="H198" s="2808"/>
      <c r="I198" s="2808"/>
      <c r="J198" s="2808"/>
      <c r="K198" s="2808"/>
    </row>
    <row r="199" spans="1:11">
      <c r="A199" s="2800">
        <v>45463</v>
      </c>
      <c r="B199" s="2801">
        <v>50772.22</v>
      </c>
      <c r="C199" s="2801">
        <v>473.13</v>
      </c>
      <c r="D199" s="2801">
        <v>16340.42</v>
      </c>
      <c r="E199" s="2801">
        <v>2863.8</v>
      </c>
      <c r="F199" s="2808"/>
      <c r="G199" s="2808"/>
      <c r="H199" s="2808"/>
      <c r="I199" s="2808"/>
      <c r="J199" s="2808"/>
      <c r="K199" s="2808"/>
    </row>
    <row r="200" spans="1:11">
      <c r="A200" s="2800">
        <v>45462</v>
      </c>
      <c r="B200" s="2801">
        <v>50321.38</v>
      </c>
      <c r="C200" s="2801">
        <v>467.65</v>
      </c>
      <c r="D200" s="2801">
        <v>16358.52</v>
      </c>
      <c r="E200" s="2801">
        <v>2862.16</v>
      </c>
      <c r="F200" s="2808"/>
      <c r="G200" s="2808"/>
      <c r="H200" s="2808"/>
      <c r="I200" s="2808"/>
      <c r="J200" s="2808"/>
      <c r="K200" s="2808"/>
    </row>
    <row r="201" spans="1:11">
      <c r="A201" s="2800">
        <v>45461</v>
      </c>
      <c r="B201" s="2801">
        <v>49339.22</v>
      </c>
      <c r="C201" s="2801">
        <v>468.3</v>
      </c>
      <c r="D201" s="2801">
        <v>16353.51</v>
      </c>
      <c r="E201" s="2801">
        <v>2826.69</v>
      </c>
      <c r="F201" s="2808"/>
      <c r="G201" s="2808"/>
      <c r="H201" s="2808"/>
      <c r="I201" s="2808"/>
      <c r="J201" s="2808"/>
      <c r="K201" s="2808"/>
    </row>
    <row r="202" spans="1:11">
      <c r="A202" s="2800">
        <v>45460</v>
      </c>
      <c r="B202" s="2801">
        <v>48750.2</v>
      </c>
      <c r="C202" s="2801">
        <v>465.8</v>
      </c>
      <c r="D202" s="2801">
        <v>16285.96</v>
      </c>
      <c r="E202" s="2801">
        <v>2806.19</v>
      </c>
      <c r="F202" s="2808"/>
      <c r="G202" s="2808"/>
      <c r="H202" s="2808"/>
      <c r="I202" s="2808"/>
      <c r="J202" s="2808"/>
      <c r="K202" s="2808"/>
    </row>
    <row r="203" spans="1:11">
      <c r="A203" s="2800">
        <v>45459</v>
      </c>
      <c r="B203" s="2801" t="s">
        <v>0</v>
      </c>
      <c r="C203" s="2801" t="s">
        <v>0</v>
      </c>
      <c r="D203" s="2801" t="s">
        <v>0</v>
      </c>
      <c r="E203" s="2801" t="s">
        <v>0</v>
      </c>
      <c r="F203" s="2808"/>
      <c r="G203" s="2808"/>
      <c r="H203" s="2808"/>
      <c r="I203" s="2808"/>
      <c r="J203" s="2808"/>
      <c r="K203" s="2808"/>
    </row>
    <row r="204" spans="1:11">
      <c r="A204" s="2800">
        <v>45458</v>
      </c>
      <c r="B204" s="2801" t="s">
        <v>0</v>
      </c>
      <c r="C204" s="2801" t="s">
        <v>0</v>
      </c>
      <c r="D204" s="2801" t="s">
        <v>0</v>
      </c>
      <c r="E204" s="2801" t="s">
        <v>0</v>
      </c>
      <c r="F204" s="2808"/>
      <c r="G204" s="2808"/>
      <c r="H204" s="2808"/>
      <c r="I204" s="2808"/>
      <c r="J204" s="2808"/>
      <c r="K204" s="2808"/>
    </row>
    <row r="205" spans="1:11">
      <c r="A205" s="2800">
        <v>45457</v>
      </c>
      <c r="B205" s="2801">
        <v>48767.02</v>
      </c>
      <c r="C205" s="2801">
        <v>464.44</v>
      </c>
      <c r="D205" s="2801">
        <v>16209.11</v>
      </c>
      <c r="E205" s="2801">
        <v>2813.05</v>
      </c>
      <c r="F205" s="2808"/>
      <c r="G205" s="2808"/>
      <c r="H205" s="2808"/>
      <c r="I205" s="2808"/>
      <c r="J205" s="2808"/>
      <c r="K205" s="2808"/>
    </row>
    <row r="206" spans="1:11">
      <c r="A206" s="2800">
        <v>45456</v>
      </c>
      <c r="B206" s="2801">
        <v>48348.58</v>
      </c>
      <c r="C206" s="2801">
        <v>463.09</v>
      </c>
      <c r="D206" s="2801">
        <v>16263.59</v>
      </c>
      <c r="E206" s="2801">
        <v>2809.12</v>
      </c>
      <c r="F206" s="2808"/>
      <c r="G206" s="2808"/>
      <c r="H206" s="2808"/>
      <c r="I206" s="2808"/>
      <c r="J206" s="2808"/>
      <c r="K206" s="2808"/>
    </row>
    <row r="207" spans="1:11">
      <c r="A207" s="2800">
        <v>45455</v>
      </c>
      <c r="B207" s="2801">
        <v>47711.37</v>
      </c>
      <c r="C207" s="2801">
        <v>459.43</v>
      </c>
      <c r="D207" s="2801">
        <v>16318.09</v>
      </c>
      <c r="E207" s="2801">
        <v>2789.71</v>
      </c>
      <c r="F207" s="2808"/>
      <c r="G207" s="2808"/>
      <c r="H207" s="2808"/>
      <c r="I207" s="2808"/>
      <c r="J207" s="2808"/>
      <c r="K207" s="2808"/>
    </row>
    <row r="208" spans="1:11">
      <c r="A208" s="2800">
        <v>45454</v>
      </c>
      <c r="B208" s="2801">
        <v>47151.88</v>
      </c>
      <c r="C208" s="2801">
        <v>454.58</v>
      </c>
      <c r="D208" s="2801">
        <v>16148.96</v>
      </c>
      <c r="E208" s="2801">
        <v>2779.88</v>
      </c>
      <c r="F208" s="2808"/>
      <c r="G208" s="2808"/>
      <c r="H208" s="2808"/>
      <c r="I208" s="2808"/>
      <c r="J208" s="2808"/>
      <c r="K208" s="2808"/>
    </row>
    <row r="209" spans="1:11">
      <c r="A209" s="2800">
        <v>45453</v>
      </c>
      <c r="B209" s="2801" t="s">
        <v>0</v>
      </c>
      <c r="C209" s="2801" t="s">
        <v>0</v>
      </c>
      <c r="D209" s="2801">
        <v>16159.44</v>
      </c>
      <c r="E209" s="2801">
        <v>2791.46</v>
      </c>
      <c r="F209" s="2808"/>
      <c r="G209" s="2808"/>
      <c r="H209" s="2808"/>
      <c r="I209" s="2808"/>
      <c r="J209" s="2808"/>
      <c r="K209" s="2808"/>
    </row>
    <row r="210" spans="1:11">
      <c r="A210" s="2800">
        <v>45452</v>
      </c>
      <c r="B210" s="2801" t="s">
        <v>0</v>
      </c>
      <c r="C210" s="2801" t="s">
        <v>0</v>
      </c>
      <c r="D210" s="2801" t="s">
        <v>0</v>
      </c>
      <c r="E210" s="2801" t="s">
        <v>0</v>
      </c>
      <c r="F210" s="2808"/>
      <c r="G210" s="2808"/>
      <c r="H210" s="2808"/>
      <c r="I210" s="2808"/>
      <c r="J210" s="2808"/>
      <c r="K210" s="2808"/>
    </row>
    <row r="211" spans="1:11">
      <c r="A211" s="2800">
        <v>45451</v>
      </c>
      <c r="B211" s="2801" t="s">
        <v>0</v>
      </c>
      <c r="C211" s="2801" t="s">
        <v>0</v>
      </c>
      <c r="D211" s="2801" t="s">
        <v>0</v>
      </c>
      <c r="E211" s="2801" t="s">
        <v>0</v>
      </c>
      <c r="F211" s="2808"/>
      <c r="G211" s="2808"/>
      <c r="H211" s="2808"/>
      <c r="I211" s="2808"/>
      <c r="J211" s="2808"/>
      <c r="K211" s="2808"/>
    </row>
    <row r="212" spans="1:11">
      <c r="A212" s="2800">
        <v>45450</v>
      </c>
      <c r="B212" s="2801">
        <v>47289.2</v>
      </c>
      <c r="C212" s="2801">
        <v>454.6</v>
      </c>
      <c r="D212" s="2801">
        <v>16141.58</v>
      </c>
      <c r="E212" s="2801">
        <v>2798.76</v>
      </c>
      <c r="F212" s="2808"/>
      <c r="G212" s="2808"/>
      <c r="H212" s="2808"/>
      <c r="I212" s="2808"/>
      <c r="J212" s="2808"/>
      <c r="K212" s="2808"/>
    </row>
    <row r="213" spans="1:11">
      <c r="A213" s="2800">
        <v>45449</v>
      </c>
      <c r="B213" s="2801">
        <v>47384.11</v>
      </c>
      <c r="C213" s="2801">
        <v>451.09</v>
      </c>
      <c r="D213" s="2801">
        <v>16191.27</v>
      </c>
      <c r="E213" s="2801">
        <v>2798.23</v>
      </c>
      <c r="F213" s="2808"/>
      <c r="G213" s="2808"/>
      <c r="H213" s="2808"/>
      <c r="I213" s="2808"/>
      <c r="J213" s="2808"/>
      <c r="K213" s="2808"/>
    </row>
    <row r="214" spans="1:11">
      <c r="A214" s="2800">
        <v>45448</v>
      </c>
      <c r="B214" s="2801">
        <v>46477.919999999998</v>
      </c>
      <c r="C214" s="2801">
        <v>451.08</v>
      </c>
      <c r="D214" s="2801">
        <v>16159.82</v>
      </c>
      <c r="E214" s="2801">
        <v>2770.81</v>
      </c>
      <c r="F214" s="2808"/>
      <c r="G214" s="2808"/>
      <c r="H214" s="2808"/>
      <c r="I214" s="2808"/>
      <c r="J214" s="2808"/>
      <c r="K214" s="2808"/>
    </row>
    <row r="215" spans="1:11">
      <c r="A215" s="2800">
        <v>45447</v>
      </c>
      <c r="B215" s="2801">
        <v>46196.03</v>
      </c>
      <c r="C215" s="2801">
        <v>450.63</v>
      </c>
      <c r="D215" s="2801">
        <v>16021.47</v>
      </c>
      <c r="E215" s="2801">
        <v>2742.22</v>
      </c>
      <c r="F215" s="2808"/>
      <c r="G215" s="2808"/>
      <c r="H215" s="2808"/>
      <c r="I215" s="2808"/>
      <c r="J215" s="2808"/>
      <c r="K215" s="2808"/>
    </row>
    <row r="216" spans="1:11">
      <c r="A216" s="2800">
        <v>45446</v>
      </c>
      <c r="B216" s="2801">
        <v>46583.96</v>
      </c>
      <c r="C216" s="2801">
        <v>452.8</v>
      </c>
      <c r="D216" s="2801">
        <v>16019.3</v>
      </c>
      <c r="E216" s="2801">
        <v>2787.22</v>
      </c>
      <c r="F216" s="2808"/>
      <c r="G216" s="2808"/>
      <c r="H216" s="2808"/>
      <c r="I216" s="2808"/>
      <c r="J216" s="2808"/>
      <c r="K216" s="2808"/>
    </row>
    <row r="217" spans="1:11">
      <c r="A217" s="2800">
        <v>45445</v>
      </c>
      <c r="B217" s="2801" t="s">
        <v>0</v>
      </c>
      <c r="C217" s="2801" t="s">
        <v>0</v>
      </c>
      <c r="D217" s="2801" t="s">
        <v>0</v>
      </c>
      <c r="E217" s="2801" t="s">
        <v>0</v>
      </c>
      <c r="F217" s="2808"/>
      <c r="G217" s="2808"/>
      <c r="H217" s="2808"/>
      <c r="I217" s="2808"/>
      <c r="J217" s="2808"/>
      <c r="K217" s="2808"/>
    </row>
    <row r="218" spans="1:11">
      <c r="A218" s="2800">
        <v>45444</v>
      </c>
      <c r="B218" s="2801" t="s">
        <v>0</v>
      </c>
      <c r="C218" s="2801" t="s">
        <v>0</v>
      </c>
      <c r="D218" s="2801" t="s">
        <v>0</v>
      </c>
      <c r="E218" s="2801" t="s">
        <v>0</v>
      </c>
      <c r="F218" s="2808"/>
      <c r="G218" s="2808"/>
      <c r="H218" s="2808"/>
      <c r="I218" s="2808"/>
      <c r="J218" s="2808"/>
      <c r="K218" s="2808"/>
    </row>
    <row r="219" spans="1:11">
      <c r="A219" s="2800">
        <v>45443</v>
      </c>
      <c r="B219" s="2801">
        <v>45797.29</v>
      </c>
      <c r="C219" s="2801">
        <v>448.25</v>
      </c>
      <c r="D219" s="2801">
        <v>15979.46</v>
      </c>
      <c r="E219" s="2801">
        <v>2733.96</v>
      </c>
      <c r="F219" s="2808"/>
      <c r="G219" s="2808"/>
      <c r="H219" s="2808"/>
      <c r="I219" s="2808"/>
      <c r="J219" s="2808"/>
      <c r="K219" s="2808"/>
    </row>
    <row r="220" spans="1:11">
      <c r="A220" s="2800">
        <v>45442</v>
      </c>
      <c r="B220" s="2801">
        <v>46207.63</v>
      </c>
      <c r="C220" s="2801">
        <v>448.38</v>
      </c>
      <c r="D220" s="2801">
        <v>15862.73</v>
      </c>
      <c r="E220" s="2801">
        <v>2757.01</v>
      </c>
      <c r="F220" s="2808"/>
      <c r="G220" s="2808"/>
      <c r="H220" s="2808"/>
      <c r="I220" s="2808"/>
      <c r="J220" s="2808"/>
      <c r="K220" s="2808"/>
    </row>
    <row r="221" spans="1:11">
      <c r="A221" s="2800">
        <v>45441</v>
      </c>
      <c r="B221" s="2801">
        <v>46850.42</v>
      </c>
      <c r="C221" s="2801">
        <v>451.57</v>
      </c>
      <c r="D221" s="2801">
        <v>15905.55</v>
      </c>
      <c r="E221" s="2801">
        <v>2793.17</v>
      </c>
      <c r="F221" s="2808"/>
      <c r="G221" s="2808"/>
      <c r="H221" s="2808"/>
      <c r="I221" s="2808"/>
      <c r="J221" s="2808"/>
      <c r="K221" s="2808"/>
    </row>
    <row r="222" spans="1:11">
      <c r="A222" s="2800">
        <v>45440</v>
      </c>
      <c r="B222" s="2801">
        <v>47273.9</v>
      </c>
      <c r="C222" s="2801">
        <v>450.85</v>
      </c>
      <c r="D222" s="2801">
        <v>16064.73</v>
      </c>
      <c r="E222" s="2801">
        <v>2834.5</v>
      </c>
      <c r="F222" s="2808"/>
      <c r="G222" s="2808"/>
      <c r="H222" s="2808"/>
      <c r="I222" s="2808"/>
      <c r="J222" s="2808"/>
      <c r="K222" s="2808"/>
    </row>
    <row r="223" spans="1:11">
      <c r="A223" s="2800">
        <v>45439</v>
      </c>
      <c r="B223" s="2801">
        <v>47155.74</v>
      </c>
      <c r="C223" s="2801">
        <v>446.47</v>
      </c>
      <c r="D223" s="2801">
        <v>16079.66</v>
      </c>
      <c r="E223" s="2801">
        <v>2840.27</v>
      </c>
      <c r="F223" s="2808"/>
      <c r="G223" s="2808"/>
      <c r="H223" s="2808"/>
      <c r="I223" s="2808"/>
      <c r="J223" s="2808"/>
      <c r="K223" s="2808"/>
    </row>
    <row r="224" spans="1:11">
      <c r="A224" s="2800">
        <v>45438</v>
      </c>
      <c r="B224" s="2801" t="s">
        <v>0</v>
      </c>
      <c r="C224" s="2801" t="s">
        <v>0</v>
      </c>
      <c r="D224" s="2801" t="s">
        <v>0</v>
      </c>
      <c r="E224" s="2801" t="s">
        <v>0</v>
      </c>
      <c r="F224" s="2808"/>
      <c r="G224" s="2808"/>
      <c r="H224" s="2808"/>
      <c r="I224" s="2808"/>
      <c r="J224" s="2808"/>
      <c r="K224" s="2808"/>
    </row>
    <row r="225" spans="1:11">
      <c r="A225" s="2800">
        <v>45437</v>
      </c>
      <c r="B225" s="2801" t="s">
        <v>0</v>
      </c>
      <c r="C225" s="2801" t="s">
        <v>0</v>
      </c>
      <c r="D225" s="2801" t="s">
        <v>0</v>
      </c>
      <c r="E225" s="2801" t="s">
        <v>0</v>
      </c>
      <c r="F225" s="2808"/>
      <c r="G225" s="2808"/>
      <c r="H225" s="2808"/>
      <c r="I225" s="2808"/>
      <c r="J225" s="2808"/>
      <c r="K225" s="2808"/>
    </row>
    <row r="226" spans="1:11">
      <c r="A226" s="2800">
        <v>45436</v>
      </c>
      <c r="B226" s="2801">
        <v>46639.97</v>
      </c>
      <c r="C226" s="2801">
        <v>442.59</v>
      </c>
      <c r="D226" s="2801">
        <v>16051.22</v>
      </c>
      <c r="E226" s="2801">
        <v>2821.1</v>
      </c>
      <c r="F226" s="2808"/>
      <c r="G226" s="2808"/>
      <c r="H226" s="2808"/>
      <c r="I226" s="2808"/>
      <c r="J226" s="2808"/>
      <c r="K226" s="2808"/>
    </row>
    <row r="227" spans="1:11">
      <c r="A227" s="2800">
        <v>45435</v>
      </c>
      <c r="B227" s="2801">
        <v>46731.01</v>
      </c>
      <c r="C227" s="2801">
        <v>437.97</v>
      </c>
      <c r="D227" s="2801">
        <v>15977.72</v>
      </c>
      <c r="E227" s="2801">
        <v>2842.49</v>
      </c>
      <c r="F227" s="2808"/>
      <c r="G227" s="2808"/>
      <c r="H227" s="2808"/>
      <c r="I227" s="2808"/>
      <c r="J227" s="2808"/>
      <c r="K227" s="2808"/>
    </row>
    <row r="228" spans="1:11">
      <c r="A228" s="2800">
        <v>45434</v>
      </c>
      <c r="B228" s="2801">
        <v>46610.76</v>
      </c>
      <c r="C228" s="2801">
        <v>441.1</v>
      </c>
      <c r="D228" s="2801">
        <v>16065.66</v>
      </c>
      <c r="E228" s="2801">
        <v>2852.41</v>
      </c>
      <c r="F228" s="2808"/>
      <c r="G228" s="2808"/>
      <c r="H228" s="2808"/>
      <c r="I228" s="2808"/>
      <c r="J228" s="2808"/>
      <c r="K228" s="2808"/>
    </row>
    <row r="229" spans="1:11">
      <c r="A229" s="2800">
        <v>45433</v>
      </c>
      <c r="B229" s="2801">
        <v>45929.33</v>
      </c>
      <c r="C229" s="2801">
        <v>436.57</v>
      </c>
      <c r="D229" s="2801">
        <v>16131.4</v>
      </c>
      <c r="E229" s="2801">
        <v>2847.02</v>
      </c>
      <c r="F229" s="2808"/>
      <c r="G229" s="2808"/>
      <c r="H229" s="2808"/>
      <c r="I229" s="2808"/>
      <c r="J229" s="2808"/>
      <c r="K229" s="2808"/>
    </row>
    <row r="230" spans="1:11">
      <c r="A230" s="2800">
        <v>45432</v>
      </c>
      <c r="B230" s="2801">
        <v>46004.77</v>
      </c>
      <c r="C230" s="2801">
        <v>436.34</v>
      </c>
      <c r="D230" s="2801">
        <v>16116.69</v>
      </c>
      <c r="E230" s="2801">
        <v>2869.02</v>
      </c>
      <c r="F230" s="2808"/>
      <c r="G230" s="2808"/>
      <c r="H230" s="2808"/>
      <c r="I230" s="2808"/>
      <c r="J230" s="2808"/>
      <c r="K230" s="2808"/>
    </row>
    <row r="231" spans="1:11">
      <c r="A231" s="2800">
        <v>45431</v>
      </c>
      <c r="B231" s="2801" t="s">
        <v>0</v>
      </c>
      <c r="C231" s="2801" t="s">
        <v>0</v>
      </c>
      <c r="D231" s="2801" t="s">
        <v>0</v>
      </c>
      <c r="E231" s="2801" t="s">
        <v>0</v>
      </c>
      <c r="F231" s="2808"/>
      <c r="G231" s="2808"/>
      <c r="H231" s="2808"/>
      <c r="I231" s="2808"/>
      <c r="J231" s="2808"/>
      <c r="K231" s="2808"/>
    </row>
    <row r="232" spans="1:11">
      <c r="A232" s="2800">
        <v>45430</v>
      </c>
      <c r="B232" s="2801" t="s">
        <v>0</v>
      </c>
      <c r="C232" s="2801" t="s">
        <v>0</v>
      </c>
      <c r="D232" s="2801" t="s">
        <v>0</v>
      </c>
      <c r="E232" s="2801" t="s">
        <v>0</v>
      </c>
      <c r="F232" s="2808"/>
      <c r="G232" s="2808"/>
      <c r="H232" s="2808"/>
      <c r="I232" s="2808"/>
      <c r="J232" s="2808"/>
      <c r="K232" s="2808"/>
    </row>
    <row r="233" spans="1:11">
      <c r="A233" s="2800">
        <v>45429</v>
      </c>
      <c r="B233" s="2801">
        <v>45976.31</v>
      </c>
      <c r="C233" s="2801">
        <v>436.65</v>
      </c>
      <c r="D233" s="2801">
        <v>16092.58</v>
      </c>
      <c r="E233" s="2801">
        <v>2863.4</v>
      </c>
      <c r="F233" s="2808"/>
      <c r="G233" s="2808"/>
      <c r="H233" s="2808"/>
      <c r="I233" s="2808"/>
      <c r="J233" s="2808"/>
      <c r="K233" s="2808"/>
    </row>
    <row r="234" spans="1:11">
      <c r="A234" s="2800">
        <v>45428</v>
      </c>
      <c r="B234" s="2801">
        <v>46075.24</v>
      </c>
      <c r="C234" s="2801">
        <v>434.99</v>
      </c>
      <c r="D234" s="2801">
        <v>16073.31</v>
      </c>
      <c r="E234" s="2801">
        <v>2858.88</v>
      </c>
      <c r="F234" s="2808"/>
      <c r="G234" s="2808"/>
      <c r="H234" s="2808"/>
      <c r="I234" s="2808"/>
      <c r="J234" s="2808"/>
      <c r="K234" s="2808"/>
    </row>
    <row r="235" spans="1:11">
      <c r="A235" s="2800">
        <v>45427</v>
      </c>
      <c r="B235" s="2801">
        <v>45735.57</v>
      </c>
      <c r="C235" s="2801">
        <v>431.49</v>
      </c>
      <c r="D235" s="2801">
        <v>16083.9</v>
      </c>
      <c r="E235" s="2801">
        <v>2822.21</v>
      </c>
      <c r="F235" s="2808"/>
      <c r="G235" s="2808"/>
      <c r="H235" s="2808"/>
      <c r="I235" s="2808"/>
      <c r="J235" s="2808"/>
      <c r="K235" s="2808"/>
    </row>
    <row r="236" spans="1:11">
      <c r="A236" s="2800">
        <v>45426</v>
      </c>
      <c r="B236" s="2801">
        <v>45386.61</v>
      </c>
      <c r="C236" s="2801">
        <v>430.78</v>
      </c>
      <c r="D236" s="2801">
        <v>15909.41</v>
      </c>
      <c r="E236" s="2801">
        <v>2812.18</v>
      </c>
      <c r="F236" s="2808"/>
      <c r="G236" s="2808"/>
      <c r="H236" s="2808"/>
      <c r="I236" s="2808"/>
      <c r="J236" s="2808"/>
      <c r="K236" s="2808"/>
    </row>
    <row r="237" spans="1:11">
      <c r="A237" s="2800">
        <v>45425</v>
      </c>
      <c r="B237" s="2801">
        <v>45109.46</v>
      </c>
      <c r="C237" s="2801">
        <v>429.33</v>
      </c>
      <c r="D237" s="2801">
        <v>15842.1</v>
      </c>
      <c r="E237" s="2801">
        <v>2806.11</v>
      </c>
      <c r="F237" s="2808"/>
      <c r="G237" s="2808"/>
      <c r="H237" s="2808"/>
      <c r="I237" s="2808"/>
      <c r="J237" s="2808"/>
      <c r="K237" s="2808"/>
    </row>
    <row r="238" spans="1:11">
      <c r="A238" s="2800">
        <v>45424</v>
      </c>
      <c r="B238" s="2801" t="s">
        <v>0</v>
      </c>
      <c r="C238" s="2801" t="s">
        <v>0</v>
      </c>
      <c r="D238" s="2801" t="s">
        <v>0</v>
      </c>
      <c r="E238" s="2801" t="s">
        <v>0</v>
      </c>
      <c r="F238" s="2808"/>
      <c r="G238" s="2808"/>
      <c r="H238" s="2808"/>
      <c r="I238" s="2808"/>
      <c r="J238" s="2808"/>
      <c r="K238" s="2808"/>
    </row>
    <row r="239" spans="1:11">
      <c r="A239" s="2800">
        <v>45423</v>
      </c>
      <c r="B239" s="2801" t="s">
        <v>0</v>
      </c>
      <c r="C239" s="2801" t="s">
        <v>0</v>
      </c>
      <c r="D239" s="2801" t="s">
        <v>0</v>
      </c>
      <c r="E239" s="2801" t="s">
        <v>0</v>
      </c>
      <c r="F239" s="2808"/>
      <c r="G239" s="2808"/>
      <c r="H239" s="2808"/>
      <c r="I239" s="2808"/>
      <c r="J239" s="2808"/>
      <c r="K239" s="2808"/>
    </row>
    <row r="240" spans="1:11">
      <c r="A240" s="2800">
        <v>45422</v>
      </c>
      <c r="B240" s="2801">
        <v>44787.5</v>
      </c>
      <c r="C240" s="2801">
        <v>430.25</v>
      </c>
      <c r="D240" s="2801">
        <v>15833.8</v>
      </c>
      <c r="E240" s="2801">
        <v>2787.59</v>
      </c>
      <c r="F240" s="2808"/>
      <c r="G240" s="2808"/>
      <c r="H240" s="2808"/>
      <c r="I240" s="2808"/>
      <c r="J240" s="2808"/>
      <c r="K240" s="2808"/>
    </row>
    <row r="241" spans="1:11">
      <c r="A241" s="2800">
        <v>45421</v>
      </c>
      <c r="B241" s="2801">
        <v>44467.27</v>
      </c>
      <c r="C241" s="2801">
        <v>429.89</v>
      </c>
      <c r="D241" s="2801">
        <v>15790.68</v>
      </c>
      <c r="E241" s="2801">
        <v>2766.15</v>
      </c>
      <c r="F241" s="2808"/>
      <c r="G241" s="2808"/>
      <c r="H241" s="2808"/>
      <c r="I241" s="2808"/>
      <c r="J241" s="2808"/>
      <c r="K241" s="2808"/>
    </row>
    <row r="242" spans="1:11">
      <c r="A242" s="2800">
        <v>45420</v>
      </c>
      <c r="B242" s="2801">
        <v>44769.5</v>
      </c>
      <c r="C242" s="2801">
        <v>435.37</v>
      </c>
      <c r="D242" s="2801">
        <v>15711.53</v>
      </c>
      <c r="E242" s="2801">
        <v>2774.2</v>
      </c>
      <c r="F242" s="2808"/>
      <c r="G242" s="2808"/>
      <c r="H242" s="2808"/>
      <c r="I242" s="2808"/>
      <c r="J242" s="2808"/>
      <c r="K242" s="2808"/>
    </row>
    <row r="243" spans="1:11">
      <c r="A243" s="2800">
        <v>45419</v>
      </c>
      <c r="B243" s="2801">
        <v>44667.87</v>
      </c>
      <c r="C243" s="2801">
        <v>435.5</v>
      </c>
      <c r="D243" s="2801">
        <v>15738.94</v>
      </c>
      <c r="E243" s="2801">
        <v>2778.33</v>
      </c>
      <c r="F243" s="2808"/>
      <c r="G243" s="2808"/>
      <c r="H243" s="2808"/>
      <c r="I243" s="2808"/>
      <c r="J243" s="2808"/>
      <c r="K243" s="2808"/>
    </row>
    <row r="244" spans="1:11">
      <c r="A244" s="2800">
        <v>45418</v>
      </c>
      <c r="B244" s="2801">
        <v>44386.239999999998</v>
      </c>
      <c r="C244" s="2801">
        <v>435.7</v>
      </c>
      <c r="D244" s="2801">
        <v>15688.42</v>
      </c>
      <c r="E244" s="2801">
        <v>2774.13</v>
      </c>
      <c r="F244" s="2808"/>
      <c r="G244" s="2808"/>
      <c r="H244" s="2808"/>
      <c r="I244" s="2808"/>
      <c r="J244" s="2808"/>
      <c r="K244" s="2808"/>
    </row>
    <row r="245" spans="1:11">
      <c r="A245" s="2800">
        <v>45417</v>
      </c>
      <c r="B245" s="2801" t="s">
        <v>0</v>
      </c>
      <c r="C245" s="2801" t="s">
        <v>0</v>
      </c>
      <c r="D245" s="2801" t="s">
        <v>0</v>
      </c>
      <c r="E245" s="2801" t="s">
        <v>0</v>
      </c>
      <c r="F245" s="2808"/>
      <c r="G245" s="2808"/>
      <c r="H245" s="2808"/>
      <c r="I245" s="2808"/>
      <c r="J245" s="2808"/>
      <c r="K245" s="2808"/>
    </row>
    <row r="246" spans="1:11">
      <c r="A246" s="2800">
        <v>45416</v>
      </c>
      <c r="B246" s="2801" t="s">
        <v>0</v>
      </c>
      <c r="C246" s="2801" t="s">
        <v>0</v>
      </c>
      <c r="D246" s="2801" t="s">
        <v>0</v>
      </c>
      <c r="E246" s="2801" t="s">
        <v>0</v>
      </c>
      <c r="F246" s="2808"/>
      <c r="G246" s="2808"/>
      <c r="H246" s="2808"/>
      <c r="I246" s="2808"/>
      <c r="J246" s="2808"/>
      <c r="K246" s="2808"/>
    </row>
    <row r="247" spans="1:11">
      <c r="A247" s="2800">
        <v>45415</v>
      </c>
      <c r="B247" s="2801">
        <v>43968.87</v>
      </c>
      <c r="C247" s="2801">
        <v>434.33</v>
      </c>
      <c r="D247" s="2801">
        <v>15549.48</v>
      </c>
      <c r="E247" s="2801">
        <v>2760.31</v>
      </c>
      <c r="F247" s="2808"/>
      <c r="G247" s="2808"/>
      <c r="H247" s="2808"/>
      <c r="I247" s="2808"/>
      <c r="J247" s="2808"/>
      <c r="K247" s="2808"/>
    </row>
    <row r="248" spans="1:11">
      <c r="A248" s="2800">
        <v>45414</v>
      </c>
      <c r="B248" s="2801">
        <v>43735.55</v>
      </c>
      <c r="C248" s="2801">
        <v>434.68</v>
      </c>
      <c r="D248" s="2801">
        <v>15364.97</v>
      </c>
      <c r="E248" s="2801">
        <v>2736.63</v>
      </c>
      <c r="F248" s="2808"/>
      <c r="G248" s="2808"/>
      <c r="H248" s="2808"/>
      <c r="I248" s="2808"/>
      <c r="J248" s="2808"/>
      <c r="K248" s="2808"/>
    </row>
    <row r="249" spans="1:11">
      <c r="A249" s="2800">
        <v>45413</v>
      </c>
      <c r="B249" s="2801" t="s">
        <v>0</v>
      </c>
      <c r="C249" s="2801" t="s">
        <v>0</v>
      </c>
      <c r="D249" s="2801">
        <v>15234.49</v>
      </c>
      <c r="E249" s="2801">
        <v>2717.04</v>
      </c>
      <c r="F249" s="2808"/>
      <c r="G249" s="2808"/>
      <c r="H249" s="2808"/>
      <c r="I249" s="2808"/>
      <c r="J249" s="2808"/>
      <c r="K249" s="2808"/>
    </row>
    <row r="250" spans="1:11">
      <c r="A250" s="2800">
        <v>45412</v>
      </c>
      <c r="B250" s="2801">
        <v>44112.21</v>
      </c>
      <c r="C250" s="2801">
        <v>431.77</v>
      </c>
      <c r="D250" s="2801">
        <v>15286.59</v>
      </c>
      <c r="E250" s="2801">
        <v>2717.81</v>
      </c>
      <c r="F250" s="2808"/>
      <c r="G250" s="2808"/>
      <c r="H250" s="2808"/>
      <c r="I250" s="2808"/>
      <c r="J250" s="2808"/>
      <c r="K250" s="2808"/>
    </row>
    <row r="251" spans="1:11">
      <c r="A251" s="2800">
        <v>45411</v>
      </c>
      <c r="B251" s="2801">
        <v>44326.15</v>
      </c>
      <c r="C251" s="2801">
        <v>432.11</v>
      </c>
      <c r="D251" s="2801">
        <v>15476.82</v>
      </c>
      <c r="E251" s="2801">
        <v>2731.54</v>
      </c>
      <c r="F251" s="2808"/>
      <c r="G251" s="2808"/>
      <c r="H251" s="2808"/>
      <c r="I251" s="2808"/>
      <c r="J251" s="2808"/>
      <c r="K251" s="2808"/>
    </row>
    <row r="252" spans="1:11">
      <c r="A252" s="2800">
        <v>45410</v>
      </c>
      <c r="B252" s="2801" t="s">
        <v>0</v>
      </c>
      <c r="C252" s="2801" t="s">
        <v>0</v>
      </c>
      <c r="D252" s="2801" t="s">
        <v>0</v>
      </c>
      <c r="E252" s="2801" t="s">
        <v>0</v>
      </c>
      <c r="F252" s="2808"/>
      <c r="G252" s="2808"/>
      <c r="H252" s="2808"/>
      <c r="I252" s="2808"/>
      <c r="J252" s="2808"/>
      <c r="K252" s="2808"/>
    </row>
    <row r="253" spans="1:11">
      <c r="A253" s="2800">
        <v>45409</v>
      </c>
      <c r="B253" s="2801" t="s">
        <v>0</v>
      </c>
      <c r="C253" s="2801" t="s">
        <v>0</v>
      </c>
      <c r="D253" s="2801" t="s">
        <v>0</v>
      </c>
      <c r="E253" s="2801" t="s">
        <v>0</v>
      </c>
      <c r="F253" s="2808"/>
      <c r="G253" s="2808"/>
      <c r="H253" s="2808"/>
      <c r="I253" s="2808"/>
      <c r="J253" s="2808"/>
      <c r="K253" s="2808"/>
    </row>
    <row r="254" spans="1:11">
      <c r="A254" s="2800">
        <v>45408</v>
      </c>
      <c r="B254" s="2801">
        <v>43515.12</v>
      </c>
      <c r="C254" s="2801">
        <v>426.27</v>
      </c>
      <c r="D254" s="2801">
        <v>15419.63</v>
      </c>
      <c r="E254" s="2801">
        <v>2705.33</v>
      </c>
      <c r="F254" s="2808"/>
      <c r="G254" s="2808"/>
      <c r="H254" s="2808"/>
      <c r="I254" s="2808"/>
      <c r="J254" s="2808"/>
      <c r="K254" s="2808"/>
    </row>
    <row r="255" spans="1:11">
      <c r="A255" s="2800">
        <v>45407</v>
      </c>
      <c r="B255" s="2801">
        <v>42946.11</v>
      </c>
      <c r="C255" s="2801">
        <v>421.57</v>
      </c>
      <c r="D255" s="2801">
        <v>15285.55</v>
      </c>
      <c r="E255" s="2801">
        <v>2670.99</v>
      </c>
      <c r="F255" s="2808"/>
      <c r="G255" s="2808"/>
      <c r="H255" s="2808"/>
      <c r="I255" s="2808"/>
      <c r="J255" s="2808"/>
      <c r="K255" s="2808"/>
    </row>
    <row r="256" spans="1:11">
      <c r="A256" s="2800">
        <v>45406</v>
      </c>
      <c r="B256" s="2801">
        <v>43537.96</v>
      </c>
      <c r="C256" s="2801">
        <v>425.51</v>
      </c>
      <c r="D256" s="2801">
        <v>15361.31</v>
      </c>
      <c r="E256" s="2801">
        <v>2686.74</v>
      </c>
      <c r="F256" s="2808"/>
      <c r="G256" s="2808"/>
      <c r="H256" s="2808"/>
      <c r="I256" s="2808"/>
      <c r="J256" s="2808"/>
      <c r="K256" s="2808"/>
    </row>
    <row r="257" spans="1:11">
      <c r="A257" s="2800">
        <v>45405</v>
      </c>
      <c r="B257" s="2801">
        <v>42386.44</v>
      </c>
      <c r="C257" s="2801">
        <v>415.66</v>
      </c>
      <c r="D257" s="2801">
        <v>15356.7</v>
      </c>
      <c r="E257" s="2801">
        <v>2646.79</v>
      </c>
      <c r="F257" s="2808"/>
      <c r="G257" s="2808"/>
      <c r="H257" s="2808"/>
      <c r="I257" s="2808"/>
      <c r="J257" s="2808"/>
      <c r="K257" s="2808"/>
    </row>
    <row r="258" spans="1:11">
      <c r="A258" s="2800">
        <v>45404</v>
      </c>
      <c r="B258" s="2801">
        <v>41979.74</v>
      </c>
      <c r="C258" s="2801">
        <v>411.26</v>
      </c>
      <c r="D258" s="2801">
        <v>15168.4</v>
      </c>
      <c r="E258" s="2801">
        <v>2627</v>
      </c>
      <c r="F258" s="2808"/>
      <c r="G258" s="2808"/>
      <c r="H258" s="2808"/>
      <c r="I258" s="2808"/>
      <c r="J258" s="2808"/>
      <c r="K258" s="2808"/>
    </row>
    <row r="259" spans="1:11">
      <c r="A259" s="2800">
        <v>45403</v>
      </c>
      <c r="B259" s="2801" t="s">
        <v>0</v>
      </c>
      <c r="C259" s="2801" t="s">
        <v>0</v>
      </c>
      <c r="D259" s="2801" t="s">
        <v>0</v>
      </c>
      <c r="E259" s="2801" t="s">
        <v>0</v>
      </c>
      <c r="F259" s="2808"/>
      <c r="G259" s="2808"/>
      <c r="H259" s="2808"/>
      <c r="I259" s="2808"/>
      <c r="J259" s="2808"/>
      <c r="K259" s="2808"/>
    </row>
    <row r="260" spans="1:11">
      <c r="A260" s="2800">
        <v>45402</v>
      </c>
      <c r="B260" s="2801" t="s">
        <v>0</v>
      </c>
      <c r="C260" s="2801" t="s">
        <v>0</v>
      </c>
      <c r="D260" s="2801" t="s">
        <v>0</v>
      </c>
      <c r="E260" s="2801" t="s">
        <v>0</v>
      </c>
      <c r="F260" s="2808"/>
      <c r="G260" s="2808"/>
      <c r="H260" s="2808"/>
      <c r="I260" s="2808"/>
      <c r="J260" s="2808"/>
      <c r="K260" s="2808"/>
    </row>
    <row r="261" spans="1:11">
      <c r="A261" s="2800">
        <v>45401</v>
      </c>
      <c r="B261" s="2801">
        <v>42230.39</v>
      </c>
      <c r="C261" s="2801">
        <v>421.15</v>
      </c>
      <c r="D261" s="2801">
        <v>15041.86</v>
      </c>
      <c r="E261" s="2801">
        <v>2606.9499999999998</v>
      </c>
      <c r="F261" s="2808"/>
      <c r="G261" s="2808"/>
      <c r="H261" s="2808"/>
      <c r="I261" s="2808"/>
      <c r="J261" s="2808"/>
      <c r="K261" s="2808"/>
    </row>
    <row r="262" spans="1:11">
      <c r="A262" s="2800">
        <v>45400</v>
      </c>
      <c r="B262" s="2801">
        <v>43903.96</v>
      </c>
      <c r="C262" s="2801">
        <v>435.46</v>
      </c>
      <c r="D262" s="2801">
        <v>15154.03</v>
      </c>
      <c r="E262" s="2801">
        <v>2644.25</v>
      </c>
      <c r="F262" s="2808"/>
      <c r="G262" s="2808"/>
      <c r="H262" s="2808"/>
      <c r="I262" s="2808"/>
      <c r="J262" s="2808"/>
      <c r="K262" s="2808"/>
    </row>
    <row r="263" spans="1:11">
      <c r="A263" s="2800">
        <v>45399</v>
      </c>
      <c r="B263" s="2801">
        <v>43712.639999999999</v>
      </c>
      <c r="C263" s="2801">
        <v>434.65</v>
      </c>
      <c r="D263" s="2801">
        <v>15157.68</v>
      </c>
      <c r="E263" s="2801">
        <v>2628.29</v>
      </c>
      <c r="F263" s="2808"/>
      <c r="G263" s="2808"/>
      <c r="H263" s="2808"/>
      <c r="I263" s="2808"/>
      <c r="J263" s="2808"/>
      <c r="K263" s="2808"/>
    </row>
    <row r="264" spans="1:11">
      <c r="A264" s="2800">
        <v>45398</v>
      </c>
      <c r="B264" s="2801">
        <v>43039.29</v>
      </c>
      <c r="C264" s="2801">
        <v>426.28</v>
      </c>
      <c r="D264" s="2801">
        <v>15231.67</v>
      </c>
      <c r="E264" s="2801">
        <v>2621.08</v>
      </c>
      <c r="F264" s="2808"/>
      <c r="G264" s="2808"/>
      <c r="H264" s="2808"/>
      <c r="I264" s="2808"/>
      <c r="J264" s="2808"/>
      <c r="K264" s="2808"/>
    </row>
    <row r="265" spans="1:11">
      <c r="A265" s="2800">
        <v>45397</v>
      </c>
      <c r="B265" s="2801">
        <v>44223.94</v>
      </c>
      <c r="C265" s="2801">
        <v>438.38</v>
      </c>
      <c r="D265" s="2801">
        <v>15325.49</v>
      </c>
      <c r="E265" s="2801">
        <v>2675.22</v>
      </c>
      <c r="F265" s="2808"/>
      <c r="G265" s="2808"/>
      <c r="H265" s="2808"/>
      <c r="I265" s="2808"/>
      <c r="J265" s="2808"/>
      <c r="K265" s="2808"/>
    </row>
    <row r="266" spans="1:11">
      <c r="A266" s="2800">
        <v>45396</v>
      </c>
      <c r="B266" s="2801" t="s">
        <v>0</v>
      </c>
      <c r="C266" s="2801" t="s">
        <v>0</v>
      </c>
      <c r="D266" s="2801" t="s">
        <v>0</v>
      </c>
      <c r="E266" s="2801" t="s">
        <v>0</v>
      </c>
      <c r="F266" s="2808"/>
      <c r="G266" s="2808"/>
      <c r="H266" s="2808"/>
      <c r="I266" s="2808"/>
      <c r="J266" s="2808"/>
      <c r="K266" s="2808"/>
    </row>
    <row r="267" spans="1:11">
      <c r="A267" s="2800">
        <v>45395</v>
      </c>
      <c r="B267" s="2801" t="s">
        <v>0</v>
      </c>
      <c r="C267" s="2801" t="s">
        <v>0</v>
      </c>
      <c r="D267" s="2801" t="s">
        <v>0</v>
      </c>
      <c r="E267" s="2801" t="s">
        <v>0</v>
      </c>
      <c r="F267" s="2808"/>
      <c r="G267" s="2808"/>
      <c r="H267" s="2808"/>
      <c r="I267" s="2808"/>
      <c r="J267" s="2808"/>
      <c r="K267" s="2808"/>
    </row>
    <row r="268" spans="1:11">
      <c r="A268" s="2800">
        <v>45394</v>
      </c>
      <c r="B268" s="2801">
        <v>44844.18</v>
      </c>
      <c r="C268" s="2801">
        <v>445.21</v>
      </c>
      <c r="D268" s="2801">
        <v>15479.14</v>
      </c>
      <c r="E268" s="2801">
        <v>2703.65</v>
      </c>
      <c r="F268" s="2808"/>
      <c r="G268" s="2808"/>
      <c r="H268" s="2808"/>
      <c r="I268" s="2808"/>
      <c r="J268" s="2808"/>
      <c r="K268" s="2808"/>
    </row>
    <row r="269" spans="1:11">
      <c r="A269" s="2800">
        <v>45393</v>
      </c>
      <c r="B269" s="2801">
        <v>44856.39</v>
      </c>
      <c r="C269" s="2801">
        <v>442.14</v>
      </c>
      <c r="D269" s="2801">
        <v>15661.36</v>
      </c>
      <c r="E269" s="2801">
        <v>2738.05</v>
      </c>
      <c r="F269" s="2808"/>
      <c r="G269" s="2808"/>
      <c r="H269" s="2808"/>
      <c r="I269" s="2808"/>
      <c r="J269" s="2808"/>
      <c r="K269" s="2808"/>
    </row>
    <row r="270" spans="1:11">
      <c r="A270" s="2800">
        <v>45392</v>
      </c>
      <c r="B270" s="2801">
        <v>44872.99</v>
      </c>
      <c r="C270" s="2801">
        <v>444.23</v>
      </c>
      <c r="D270" s="2801">
        <v>15607.27</v>
      </c>
      <c r="E270" s="2801">
        <v>2745.29</v>
      </c>
      <c r="F270" s="2808"/>
      <c r="G270" s="2808"/>
      <c r="H270" s="2808"/>
      <c r="I270" s="2808"/>
      <c r="J270" s="2808"/>
      <c r="K270" s="2808"/>
    </row>
    <row r="271" spans="1:11">
      <c r="A271" s="2800">
        <v>45391</v>
      </c>
      <c r="B271" s="2801">
        <v>44943.61</v>
      </c>
      <c r="C271" s="2801">
        <v>442.47</v>
      </c>
      <c r="D271" s="2801">
        <v>15756.49</v>
      </c>
      <c r="E271" s="2801">
        <v>2738.41</v>
      </c>
      <c r="F271" s="2808"/>
      <c r="G271" s="2808"/>
      <c r="H271" s="2808"/>
      <c r="I271" s="2808"/>
      <c r="J271" s="2808"/>
      <c r="K271" s="2808"/>
    </row>
    <row r="272" spans="1:11">
      <c r="A272" s="2800">
        <v>45390</v>
      </c>
      <c r="B272" s="2801">
        <v>44125.599999999999</v>
      </c>
      <c r="C272" s="2801">
        <v>444.2</v>
      </c>
      <c r="D272" s="2801">
        <v>15738.65</v>
      </c>
      <c r="E272" s="2801">
        <v>2722.14</v>
      </c>
      <c r="F272" s="2808"/>
      <c r="G272" s="2808"/>
      <c r="H272" s="2808"/>
      <c r="I272" s="2808"/>
      <c r="J272" s="2808"/>
      <c r="K272" s="2808"/>
    </row>
    <row r="273" spans="1:11">
      <c r="A273" s="2800">
        <v>45389</v>
      </c>
      <c r="B273" s="2801" t="s">
        <v>0</v>
      </c>
      <c r="C273" s="2801" t="s">
        <v>0</v>
      </c>
      <c r="D273" s="2801" t="s">
        <v>0</v>
      </c>
      <c r="E273" s="2801" t="s">
        <v>0</v>
      </c>
      <c r="F273" s="2808"/>
      <c r="G273" s="2808"/>
      <c r="H273" s="2808"/>
      <c r="I273" s="2808"/>
      <c r="J273" s="2808"/>
      <c r="K273" s="2808"/>
    </row>
    <row r="274" spans="1:11">
      <c r="A274" s="2800">
        <v>45388</v>
      </c>
      <c r="B274" s="2801" t="s">
        <v>0</v>
      </c>
      <c r="C274" s="2801" t="s">
        <v>0</v>
      </c>
      <c r="D274" s="2801" t="s">
        <v>0</v>
      </c>
      <c r="E274" s="2801" t="s">
        <v>0</v>
      </c>
      <c r="F274" s="2808"/>
      <c r="G274" s="2808"/>
      <c r="H274" s="2808"/>
      <c r="I274" s="2808"/>
      <c r="J274" s="2808"/>
      <c r="K274" s="2808"/>
    </row>
    <row r="275" spans="1:11">
      <c r="A275" s="2800">
        <v>45387</v>
      </c>
      <c r="B275" s="2801" t="s">
        <v>0</v>
      </c>
      <c r="C275" s="2801" t="s">
        <v>0</v>
      </c>
      <c r="D275" s="2801">
        <v>15708.87</v>
      </c>
      <c r="E275" s="2801">
        <v>2712.8</v>
      </c>
      <c r="F275" s="2808"/>
      <c r="G275" s="2808"/>
      <c r="H275" s="2808"/>
      <c r="I275" s="2808"/>
      <c r="J275" s="2808"/>
      <c r="K275" s="2808"/>
    </row>
    <row r="276" spans="1:11">
      <c r="A276" s="2800">
        <v>45386</v>
      </c>
      <c r="B276" s="2801" t="s">
        <v>0</v>
      </c>
      <c r="C276" s="2801" t="s">
        <v>0</v>
      </c>
      <c r="D276" s="2801">
        <v>15634.41</v>
      </c>
      <c r="E276" s="2801">
        <v>2720.67</v>
      </c>
      <c r="F276" s="2808"/>
      <c r="G276" s="2808"/>
      <c r="H276" s="2808"/>
      <c r="I276" s="2808"/>
      <c r="J276" s="2808"/>
      <c r="K276" s="2808"/>
    </row>
    <row r="277" spans="1:11">
      <c r="A277" s="2800">
        <v>45385</v>
      </c>
      <c r="B277" s="2801">
        <v>43952.45</v>
      </c>
      <c r="C277" s="2801">
        <v>442.46</v>
      </c>
      <c r="D277" s="2801">
        <v>15740.45</v>
      </c>
      <c r="E277" s="2801">
        <v>2706.15</v>
      </c>
      <c r="F277" s="2808"/>
      <c r="G277" s="2808"/>
      <c r="H277" s="2808"/>
      <c r="I277" s="2808"/>
      <c r="J277" s="2808"/>
      <c r="K277" s="2808"/>
    </row>
    <row r="278" spans="1:11">
      <c r="A278" s="2800">
        <v>45384</v>
      </c>
      <c r="B278" s="2801">
        <v>44230.9</v>
      </c>
      <c r="C278" s="2801">
        <v>442.16</v>
      </c>
      <c r="D278" s="2801">
        <v>15711.23</v>
      </c>
      <c r="E278" s="2801">
        <v>2722.83</v>
      </c>
      <c r="F278" s="2808"/>
      <c r="G278" s="2808"/>
      <c r="H278" s="2808"/>
      <c r="I278" s="2808"/>
      <c r="J278" s="2808"/>
      <c r="K278" s="2808"/>
    </row>
    <row r="279" spans="1:11">
      <c r="A279" s="2800">
        <v>45383</v>
      </c>
      <c r="B279" s="2801">
        <v>43702.62</v>
      </c>
      <c r="C279" s="2801">
        <v>440.79</v>
      </c>
      <c r="D279" s="2801">
        <v>15809.02</v>
      </c>
      <c r="E279" s="2801">
        <v>2702.27</v>
      </c>
      <c r="F279" s="2808"/>
      <c r="G279" s="2808"/>
      <c r="H279" s="2808"/>
      <c r="I279" s="2808"/>
      <c r="J279" s="2808"/>
      <c r="K279" s="2808"/>
    </row>
    <row r="280" spans="1:11">
      <c r="A280" s="2800">
        <v>45382</v>
      </c>
      <c r="B280" s="2801" t="s">
        <v>0</v>
      </c>
      <c r="C280" s="2801" t="s">
        <v>0</v>
      </c>
      <c r="D280" s="2801" t="s">
        <v>0</v>
      </c>
      <c r="E280" s="2801" t="s">
        <v>0</v>
      </c>
      <c r="F280" s="2808"/>
      <c r="G280" s="2808"/>
      <c r="H280" s="2808"/>
      <c r="I280" s="2808"/>
      <c r="J280" s="2808"/>
      <c r="K280" s="2808"/>
    </row>
    <row r="281" spans="1:11">
      <c r="A281" s="2800">
        <v>45381</v>
      </c>
      <c r="B281" s="2801" t="s">
        <v>0</v>
      </c>
      <c r="C281" s="2801" t="s">
        <v>0</v>
      </c>
      <c r="D281" s="2801" t="s">
        <v>0</v>
      </c>
      <c r="E281" s="2801" t="s">
        <v>0</v>
      </c>
      <c r="F281" s="2808"/>
      <c r="G281" s="2808"/>
      <c r="H281" s="2808"/>
      <c r="I281" s="2808"/>
      <c r="J281" s="2808"/>
      <c r="K281" s="2808"/>
    </row>
    <row r="282" spans="1:11">
      <c r="A282" s="2800">
        <v>45380</v>
      </c>
      <c r="B282" s="2801">
        <v>43858.44</v>
      </c>
      <c r="C282" s="2801">
        <v>437.45</v>
      </c>
      <c r="D282" s="2801">
        <v>15868.89</v>
      </c>
      <c r="E282" s="2801">
        <v>2705.13</v>
      </c>
      <c r="F282" s="2808"/>
      <c r="G282" s="2808"/>
      <c r="H282" s="2808"/>
      <c r="I282" s="2808"/>
      <c r="J282" s="2808"/>
      <c r="K282" s="2808"/>
    </row>
    <row r="283" spans="1:11">
      <c r="A283" s="2800">
        <v>45379</v>
      </c>
      <c r="B283" s="2801">
        <v>43534.18</v>
      </c>
      <c r="C283" s="2801">
        <v>434.71</v>
      </c>
      <c r="D283" s="2801">
        <v>15864.37</v>
      </c>
      <c r="E283" s="2801">
        <v>2697.76</v>
      </c>
      <c r="F283" s="2808"/>
      <c r="G283" s="2808"/>
      <c r="H283" s="2808"/>
      <c r="I283" s="2808"/>
      <c r="J283" s="2808"/>
      <c r="K283" s="2808"/>
    </row>
    <row r="284" spans="1:11">
      <c r="A284" s="2800">
        <v>45378</v>
      </c>
      <c r="B284" s="2801">
        <v>43641.03</v>
      </c>
      <c r="C284" s="2801">
        <v>435.09</v>
      </c>
      <c r="D284" s="2801">
        <v>15854.81</v>
      </c>
      <c r="E284" s="2801">
        <v>2687.31</v>
      </c>
      <c r="F284" s="2808"/>
      <c r="G284" s="2808"/>
      <c r="H284" s="2808"/>
      <c r="I284" s="2808"/>
      <c r="J284" s="2808"/>
      <c r="K284" s="2808"/>
    </row>
    <row r="285" spans="1:11">
      <c r="A285" s="2800">
        <v>45377</v>
      </c>
      <c r="B285" s="2801">
        <v>43477.8</v>
      </c>
      <c r="C285" s="2801">
        <v>430.81</v>
      </c>
      <c r="D285" s="2801">
        <v>15747.67</v>
      </c>
      <c r="E285" s="2801">
        <v>2695.75</v>
      </c>
      <c r="F285" s="2808"/>
      <c r="G285" s="2808"/>
      <c r="H285" s="2808"/>
      <c r="I285" s="2808"/>
      <c r="J285" s="2808"/>
      <c r="K285" s="2808"/>
    </row>
    <row r="286" spans="1:11">
      <c r="A286" s="2800">
        <v>45376</v>
      </c>
      <c r="B286" s="2801">
        <v>43619.26</v>
      </c>
      <c r="C286" s="2801">
        <v>437.35</v>
      </c>
      <c r="D286" s="2801">
        <v>15774.68</v>
      </c>
      <c r="E286" s="2801">
        <v>2684.96</v>
      </c>
      <c r="F286" s="2808"/>
      <c r="G286" s="2808"/>
      <c r="H286" s="2808"/>
      <c r="I286" s="2808"/>
      <c r="J286" s="2808"/>
      <c r="K286" s="2808"/>
    </row>
    <row r="287" spans="1:11">
      <c r="A287" s="2800">
        <v>45375</v>
      </c>
      <c r="B287" s="2801" t="s">
        <v>0</v>
      </c>
      <c r="C287" s="2801" t="s">
        <v>0</v>
      </c>
      <c r="D287" s="2801" t="s">
        <v>0</v>
      </c>
      <c r="E287" s="2801" t="s">
        <v>0</v>
      </c>
      <c r="F287" s="2808"/>
      <c r="G287" s="2808"/>
      <c r="H287" s="2808"/>
      <c r="I287" s="2808"/>
      <c r="J287" s="2808"/>
      <c r="K287" s="2808"/>
    </row>
    <row r="288" spans="1:11">
      <c r="A288" s="2800">
        <v>45374</v>
      </c>
      <c r="B288" s="2801" t="s">
        <v>0</v>
      </c>
      <c r="C288" s="2801" t="s">
        <v>0</v>
      </c>
      <c r="D288" s="2801" t="s">
        <v>0</v>
      </c>
      <c r="E288" s="2801" t="s">
        <v>0</v>
      </c>
      <c r="F288" s="2808"/>
      <c r="G288" s="2808"/>
      <c r="H288" s="2808"/>
      <c r="I288" s="2808"/>
      <c r="J288" s="2808"/>
      <c r="K288" s="2808"/>
    </row>
    <row r="289" spans="1:11">
      <c r="A289" s="2800">
        <v>45373</v>
      </c>
      <c r="B289" s="2801">
        <v>43697.33</v>
      </c>
      <c r="C289" s="2801">
        <v>435.45</v>
      </c>
      <c r="D289" s="2801">
        <v>15810.74</v>
      </c>
      <c r="E289" s="2801">
        <v>2692.43</v>
      </c>
      <c r="F289" s="2808"/>
      <c r="G289" s="2808"/>
      <c r="H289" s="2808"/>
      <c r="I289" s="2808"/>
      <c r="J289" s="2808"/>
      <c r="K289" s="2808"/>
    </row>
    <row r="290" spans="1:11">
      <c r="A290" s="2800">
        <v>45372</v>
      </c>
      <c r="B290" s="2801">
        <v>43630.49</v>
      </c>
      <c r="C290" s="2801">
        <v>437.13</v>
      </c>
      <c r="D290" s="2801">
        <v>15838.53</v>
      </c>
      <c r="E290" s="2801">
        <v>2715.57</v>
      </c>
      <c r="F290" s="2808"/>
      <c r="G290" s="2808"/>
      <c r="H290" s="2808"/>
      <c r="I290" s="2808"/>
      <c r="J290" s="2808"/>
      <c r="K290" s="2808"/>
    </row>
    <row r="291" spans="1:11">
      <c r="A291" s="2800">
        <v>45371</v>
      </c>
      <c r="B291" s="2801">
        <v>42729.97</v>
      </c>
      <c r="C291" s="2801">
        <v>434.25</v>
      </c>
      <c r="D291" s="2801">
        <v>15745.82</v>
      </c>
      <c r="E291" s="2801">
        <v>2673.47</v>
      </c>
      <c r="F291" s="2808"/>
      <c r="G291" s="2808"/>
      <c r="H291" s="2808"/>
      <c r="I291" s="2808"/>
      <c r="J291" s="2808"/>
      <c r="K291" s="2808"/>
    </row>
    <row r="292" spans="1:11">
      <c r="A292" s="2800">
        <v>45370</v>
      </c>
      <c r="B292" s="2801">
        <v>42887.08</v>
      </c>
      <c r="C292" s="2801">
        <v>435.02</v>
      </c>
      <c r="D292" s="2801">
        <v>15644.33</v>
      </c>
      <c r="E292" s="2801">
        <v>2661.78</v>
      </c>
      <c r="F292" s="2808"/>
      <c r="G292" s="2808"/>
      <c r="H292" s="2808"/>
      <c r="I292" s="2808"/>
      <c r="J292" s="2808"/>
      <c r="K292" s="2808"/>
    </row>
    <row r="293" spans="1:11">
      <c r="A293" s="2800">
        <v>45369</v>
      </c>
      <c r="B293" s="2801">
        <v>42935.74</v>
      </c>
      <c r="C293" s="2801">
        <v>432.63</v>
      </c>
      <c r="D293" s="2801">
        <v>15585.71</v>
      </c>
      <c r="E293" s="2801">
        <v>2687.87</v>
      </c>
      <c r="F293" s="2808"/>
      <c r="G293" s="2808"/>
      <c r="H293" s="2808"/>
      <c r="I293" s="2808"/>
      <c r="J293" s="2808"/>
      <c r="K293" s="2808"/>
    </row>
    <row r="294" spans="1:11">
      <c r="A294" s="2800">
        <v>45368</v>
      </c>
      <c r="B294" s="2801" t="s">
        <v>0</v>
      </c>
      <c r="C294" s="2801" t="s">
        <v>0</v>
      </c>
      <c r="D294" s="2801" t="s">
        <v>0</v>
      </c>
      <c r="E294" s="2801" t="s">
        <v>0</v>
      </c>
      <c r="F294" s="2808"/>
      <c r="G294" s="2808"/>
      <c r="H294" s="2808"/>
      <c r="I294" s="2808"/>
      <c r="J294" s="2808"/>
      <c r="K294" s="2808"/>
    </row>
    <row r="295" spans="1:11">
      <c r="A295" s="2800">
        <v>45367</v>
      </c>
      <c r="B295" s="2801" t="s">
        <v>0</v>
      </c>
      <c r="C295" s="2801" t="s">
        <v>0</v>
      </c>
      <c r="D295" s="2801" t="s">
        <v>0</v>
      </c>
      <c r="E295" s="2801" t="s">
        <v>0</v>
      </c>
      <c r="F295" s="2808"/>
      <c r="G295" s="2808"/>
      <c r="H295" s="2808"/>
      <c r="I295" s="2808"/>
      <c r="J295" s="2808"/>
      <c r="K295" s="2808"/>
    </row>
    <row r="296" spans="1:11">
      <c r="A296" s="2800">
        <v>45366</v>
      </c>
      <c r="B296" s="2801">
        <v>42447.199999999997</v>
      </c>
      <c r="C296" s="2801">
        <v>426.98</v>
      </c>
      <c r="D296" s="2801">
        <v>15504.08</v>
      </c>
      <c r="E296" s="2801">
        <v>2678.21</v>
      </c>
      <c r="F296" s="2808"/>
      <c r="G296" s="2808"/>
      <c r="H296" s="2808"/>
      <c r="I296" s="2808"/>
      <c r="J296" s="2808"/>
      <c r="K296" s="2808"/>
    </row>
    <row r="297" spans="1:11">
      <c r="A297" s="2800">
        <v>45365</v>
      </c>
      <c r="B297" s="2801">
        <v>42998.03</v>
      </c>
      <c r="C297" s="2801">
        <v>429.73</v>
      </c>
      <c r="D297" s="2801">
        <v>15593.13</v>
      </c>
      <c r="E297" s="2801">
        <v>2713.91</v>
      </c>
      <c r="F297" s="2808"/>
      <c r="G297" s="2808"/>
      <c r="H297" s="2808"/>
      <c r="I297" s="2808"/>
      <c r="J297" s="2808"/>
      <c r="K297" s="2808"/>
    </row>
    <row r="298" spans="1:11">
      <c r="A298" s="2800">
        <v>45364</v>
      </c>
      <c r="B298" s="2801">
        <v>42976.87</v>
      </c>
      <c r="C298" s="2801">
        <v>431.88</v>
      </c>
      <c r="D298" s="2801">
        <v>15650.45</v>
      </c>
      <c r="E298" s="2801">
        <v>2707.23</v>
      </c>
      <c r="F298" s="2808"/>
      <c r="G298" s="2808"/>
      <c r="H298" s="2808"/>
      <c r="I298" s="2808"/>
      <c r="J298" s="2808"/>
      <c r="K298" s="2808"/>
    </row>
    <row r="299" spans="1:11">
      <c r="A299" s="2800">
        <v>45363</v>
      </c>
      <c r="B299" s="2801">
        <v>42946.76</v>
      </c>
      <c r="C299" s="2801">
        <v>436.86</v>
      </c>
      <c r="D299" s="2801">
        <v>15654.67</v>
      </c>
      <c r="E299" s="2801">
        <v>2713.18</v>
      </c>
      <c r="F299" s="2808"/>
      <c r="G299" s="2808"/>
      <c r="H299" s="2808"/>
      <c r="I299" s="2808"/>
      <c r="J299" s="2808"/>
      <c r="K299" s="2808"/>
    </row>
    <row r="300" spans="1:11">
      <c r="A300" s="2800">
        <v>45362</v>
      </c>
      <c r="B300" s="2801">
        <v>42540.32</v>
      </c>
      <c r="C300" s="2801">
        <v>430.87</v>
      </c>
      <c r="D300" s="2801">
        <v>15515.11</v>
      </c>
      <c r="E300" s="2801">
        <v>2686.52</v>
      </c>
      <c r="F300" s="2808"/>
      <c r="G300" s="2808"/>
      <c r="H300" s="2808"/>
      <c r="I300" s="2808"/>
      <c r="J300" s="2808"/>
      <c r="K300" s="2808"/>
    </row>
    <row r="301" spans="1:11">
      <c r="A301" s="2800">
        <v>45361</v>
      </c>
      <c r="B301" s="2801" t="s">
        <v>0</v>
      </c>
      <c r="C301" s="2801" t="s">
        <v>0</v>
      </c>
      <c r="D301" s="2801" t="s">
        <v>0</v>
      </c>
      <c r="E301" s="2801" t="s">
        <v>0</v>
      </c>
      <c r="F301" s="2808"/>
      <c r="G301" s="2808"/>
      <c r="H301" s="2808"/>
      <c r="I301" s="2808"/>
      <c r="J301" s="2808"/>
      <c r="K301" s="2808"/>
    </row>
    <row r="302" spans="1:11">
      <c r="A302" s="2800">
        <v>45360</v>
      </c>
      <c r="B302" s="2801" t="s">
        <v>0</v>
      </c>
      <c r="C302" s="2801" t="s">
        <v>0</v>
      </c>
      <c r="D302" s="2801" t="s">
        <v>0</v>
      </c>
      <c r="E302" s="2801" t="s">
        <v>0</v>
      </c>
      <c r="F302" s="2808"/>
      <c r="G302" s="2808"/>
      <c r="H302" s="2808"/>
      <c r="I302" s="2808"/>
      <c r="J302" s="2808"/>
      <c r="K302" s="2808"/>
    </row>
    <row r="303" spans="1:11">
      <c r="A303" s="2800">
        <v>45359</v>
      </c>
      <c r="B303" s="2801">
        <v>42668.07</v>
      </c>
      <c r="C303" s="2801">
        <v>428.79</v>
      </c>
      <c r="D303" s="2801">
        <v>15575.09</v>
      </c>
      <c r="E303" s="2801">
        <v>2681.35</v>
      </c>
      <c r="F303" s="2808"/>
      <c r="G303" s="2808"/>
      <c r="H303" s="2808"/>
      <c r="I303" s="2808"/>
      <c r="J303" s="2808"/>
      <c r="K303" s="2808"/>
    </row>
    <row r="304" spans="1:11">
      <c r="A304" s="2800">
        <v>45358</v>
      </c>
      <c r="B304" s="2801">
        <v>42470.1</v>
      </c>
      <c r="C304" s="2801">
        <v>438.26</v>
      </c>
      <c r="D304" s="2801">
        <v>15625.42</v>
      </c>
      <c r="E304" s="2801">
        <v>2663.55</v>
      </c>
      <c r="F304" s="2808"/>
      <c r="G304" s="2808"/>
      <c r="H304" s="2808"/>
      <c r="I304" s="2808"/>
      <c r="J304" s="2808"/>
      <c r="K304" s="2808"/>
    </row>
    <row r="305" spans="1:11">
      <c r="A305" s="2800">
        <v>45357</v>
      </c>
      <c r="B305" s="2801">
        <v>42051.58</v>
      </c>
      <c r="C305" s="2801">
        <v>439.95</v>
      </c>
      <c r="D305" s="2801">
        <v>15460.72</v>
      </c>
      <c r="E305" s="2801">
        <v>2657.19</v>
      </c>
      <c r="F305" s="2808"/>
      <c r="G305" s="2808"/>
      <c r="H305" s="2808"/>
      <c r="I305" s="2808"/>
      <c r="J305" s="2808"/>
      <c r="K305" s="2808"/>
    </row>
    <row r="306" spans="1:11">
      <c r="A306" s="2800">
        <v>45356</v>
      </c>
      <c r="B306" s="2801">
        <v>41808.910000000003</v>
      </c>
      <c r="C306" s="2801">
        <v>438.58</v>
      </c>
      <c r="D306" s="2801">
        <v>15368.32</v>
      </c>
      <c r="E306" s="2801">
        <v>2640.98</v>
      </c>
      <c r="F306" s="2808"/>
      <c r="G306" s="2808"/>
      <c r="H306" s="2808"/>
      <c r="I306" s="2808"/>
      <c r="J306" s="2808"/>
      <c r="K306" s="2808"/>
    </row>
    <row r="307" spans="1:11">
      <c r="A307" s="2800">
        <v>45355</v>
      </c>
      <c r="B307" s="2801">
        <v>41632.9</v>
      </c>
      <c r="C307" s="2801">
        <v>437.95</v>
      </c>
      <c r="D307" s="2801">
        <v>15483.31</v>
      </c>
      <c r="E307" s="2801">
        <v>2663.35</v>
      </c>
      <c r="F307" s="2808"/>
      <c r="G307" s="2808"/>
      <c r="H307" s="2808"/>
      <c r="I307" s="2808"/>
      <c r="J307" s="2808"/>
      <c r="K307" s="2808"/>
    </row>
    <row r="308" spans="1:11">
      <c r="A308" s="2800">
        <v>45354</v>
      </c>
      <c r="B308" s="2801" t="s">
        <v>0</v>
      </c>
      <c r="C308" s="2801" t="s">
        <v>0</v>
      </c>
      <c r="D308" s="2801" t="s">
        <v>0</v>
      </c>
      <c r="E308" s="2801" t="s">
        <v>0</v>
      </c>
      <c r="F308" s="2808"/>
      <c r="G308" s="2808"/>
      <c r="H308" s="2808"/>
      <c r="I308" s="2808"/>
      <c r="J308" s="2808"/>
      <c r="K308" s="2808"/>
    </row>
    <row r="309" spans="1:11">
      <c r="A309" s="2800">
        <v>45353</v>
      </c>
      <c r="B309" s="2801" t="s">
        <v>0</v>
      </c>
      <c r="C309" s="2801" t="s">
        <v>0</v>
      </c>
      <c r="D309" s="2801" t="s">
        <v>0</v>
      </c>
      <c r="E309" s="2801" t="s">
        <v>0</v>
      </c>
      <c r="F309" s="2808"/>
      <c r="G309" s="2808"/>
      <c r="H309" s="2808"/>
      <c r="I309" s="2808"/>
      <c r="J309" s="2808"/>
      <c r="K309" s="2808"/>
    </row>
    <row r="310" spans="1:11">
      <c r="A310" s="2800">
        <v>45352</v>
      </c>
      <c r="B310" s="2801">
        <v>40836.31</v>
      </c>
      <c r="C310" s="2801">
        <v>435.58</v>
      </c>
      <c r="D310" s="2801">
        <v>15491.03</v>
      </c>
      <c r="E310" s="2801">
        <v>2648.51</v>
      </c>
      <c r="F310" s="2808"/>
      <c r="G310" s="2808"/>
      <c r="H310" s="2808"/>
      <c r="I310" s="2808"/>
      <c r="J310" s="2808"/>
      <c r="K310" s="2808"/>
    </row>
    <row r="311" spans="1:11">
      <c r="A311" s="2800">
        <v>45351</v>
      </c>
      <c r="B311" s="2801">
        <v>40902.82</v>
      </c>
      <c r="C311" s="2801">
        <v>432.26</v>
      </c>
      <c r="D311" s="2801">
        <v>15366.38</v>
      </c>
      <c r="E311" s="2801">
        <v>2638.61</v>
      </c>
      <c r="F311" s="2808"/>
      <c r="G311" s="2808"/>
      <c r="H311" s="2808"/>
      <c r="I311" s="2808"/>
      <c r="J311" s="2808"/>
      <c r="K311" s="2808"/>
    </row>
    <row r="312" spans="1:11">
      <c r="A312" s="2800">
        <v>45350</v>
      </c>
      <c r="B312" s="2801" t="s">
        <v>0</v>
      </c>
      <c r="C312" s="2801" t="s">
        <v>0</v>
      </c>
      <c r="D312" s="2801">
        <v>15296.42</v>
      </c>
      <c r="E312" s="2801">
        <v>2632.72</v>
      </c>
      <c r="F312" s="2808"/>
      <c r="G312" s="2808"/>
      <c r="H312" s="2808"/>
      <c r="I312" s="2808"/>
      <c r="J312" s="2808"/>
      <c r="K312" s="2808"/>
    </row>
    <row r="313" spans="1:11">
      <c r="A313" s="2800">
        <v>45349</v>
      </c>
      <c r="B313" s="2801">
        <v>40660.519999999997</v>
      </c>
      <c r="C313" s="2801">
        <v>427.4</v>
      </c>
      <c r="D313" s="2801">
        <v>15337.12</v>
      </c>
      <c r="E313" s="2801">
        <v>2655.17</v>
      </c>
      <c r="F313" s="2808"/>
      <c r="G313" s="2808"/>
      <c r="H313" s="2808"/>
      <c r="I313" s="2808"/>
      <c r="J313" s="2808"/>
      <c r="K313" s="2808"/>
    </row>
    <row r="314" spans="1:11">
      <c r="A314" s="2800">
        <v>45348</v>
      </c>
      <c r="B314" s="2801">
        <v>40862.449999999997</v>
      </c>
      <c r="C314" s="2801">
        <v>429.68</v>
      </c>
      <c r="D314" s="2801">
        <v>15308.67</v>
      </c>
      <c r="E314" s="2801">
        <v>2645.55</v>
      </c>
      <c r="F314" s="2808"/>
      <c r="G314" s="2808"/>
      <c r="H314" s="2808"/>
      <c r="I314" s="2808"/>
      <c r="J314" s="2808"/>
      <c r="K314" s="2808"/>
    </row>
    <row r="315" spans="1:11">
      <c r="A315" s="2800">
        <v>45347</v>
      </c>
      <c r="B315" s="2801" t="s">
        <v>0</v>
      </c>
      <c r="C315" s="2801" t="s">
        <v>0</v>
      </c>
      <c r="D315" s="2801" t="s">
        <v>0</v>
      </c>
      <c r="E315" s="2801" t="s">
        <v>0</v>
      </c>
      <c r="F315" s="2808"/>
      <c r="G315" s="2808"/>
      <c r="H315" s="2808"/>
      <c r="I315" s="2808"/>
      <c r="J315" s="2808"/>
      <c r="K315" s="2808"/>
    </row>
    <row r="316" spans="1:11">
      <c r="A316" s="2800">
        <v>45346</v>
      </c>
      <c r="B316" s="2801" t="s">
        <v>0</v>
      </c>
      <c r="C316" s="2801" t="s">
        <v>0</v>
      </c>
      <c r="D316" s="2801" t="s">
        <v>0</v>
      </c>
      <c r="E316" s="2801" t="s">
        <v>0</v>
      </c>
      <c r="F316" s="2808"/>
      <c r="G316" s="2808"/>
      <c r="H316" s="2808"/>
      <c r="I316" s="2808"/>
      <c r="J316" s="2808"/>
      <c r="K316" s="2808"/>
    </row>
    <row r="317" spans="1:11">
      <c r="A317" s="2800">
        <v>45345</v>
      </c>
      <c r="B317" s="2801">
        <v>40735.519999999997</v>
      </c>
      <c r="C317" s="2801">
        <v>427.28</v>
      </c>
      <c r="D317" s="2801">
        <v>15346</v>
      </c>
      <c r="E317" s="2801">
        <v>2656.23</v>
      </c>
      <c r="F317" s="2808"/>
      <c r="G317" s="2808"/>
      <c r="H317" s="2808"/>
      <c r="I317" s="2808"/>
      <c r="J317" s="2808"/>
      <c r="K317" s="2808"/>
    </row>
    <row r="318" spans="1:11">
      <c r="A318" s="2800">
        <v>45344</v>
      </c>
      <c r="B318" s="2801">
        <v>40657</v>
      </c>
      <c r="C318" s="2801">
        <v>428.08</v>
      </c>
      <c r="D318" s="2801">
        <v>15326.46</v>
      </c>
      <c r="E318" s="2801">
        <v>2659.01</v>
      </c>
      <c r="F318" s="2808"/>
      <c r="G318" s="2808"/>
      <c r="H318" s="2808"/>
      <c r="I318" s="2808"/>
      <c r="J318" s="2808"/>
      <c r="K318" s="2808"/>
    </row>
    <row r="319" spans="1:11">
      <c r="A319" s="2800">
        <v>45343</v>
      </c>
      <c r="B319" s="2801">
        <v>40276.449999999997</v>
      </c>
      <c r="C319" s="2801">
        <v>425.3</v>
      </c>
      <c r="D319" s="2801">
        <v>15059.2</v>
      </c>
      <c r="E319" s="2801">
        <v>2635.57</v>
      </c>
      <c r="F319" s="2808"/>
      <c r="G319" s="2808"/>
      <c r="H319" s="2808"/>
      <c r="I319" s="2808"/>
      <c r="J319" s="2808"/>
      <c r="K319" s="2808"/>
    </row>
    <row r="320" spans="1:11">
      <c r="A320" s="2800">
        <v>45342</v>
      </c>
      <c r="B320" s="2801">
        <v>40442.160000000003</v>
      </c>
      <c r="C320" s="2801">
        <v>425.34</v>
      </c>
      <c r="D320" s="2801">
        <v>15068</v>
      </c>
      <c r="E320" s="2801">
        <v>2631.31</v>
      </c>
      <c r="F320" s="2808"/>
      <c r="G320" s="2808"/>
      <c r="H320" s="2808"/>
      <c r="I320" s="2808"/>
      <c r="J320" s="2808"/>
      <c r="K320" s="2808"/>
    </row>
    <row r="321" spans="1:11">
      <c r="A321" s="2800">
        <v>45341</v>
      </c>
      <c r="B321" s="2801">
        <v>40189.07</v>
      </c>
      <c r="C321" s="2801">
        <v>424.71</v>
      </c>
      <c r="D321" s="2801">
        <v>15125.05</v>
      </c>
      <c r="E321" s="2801">
        <v>2624.46</v>
      </c>
      <c r="F321" s="2808"/>
      <c r="G321" s="2808"/>
      <c r="H321" s="2808"/>
      <c r="I321" s="2808"/>
      <c r="J321" s="2808"/>
      <c r="K321" s="2808"/>
    </row>
    <row r="322" spans="1:11">
      <c r="A322" s="2800">
        <v>45340</v>
      </c>
      <c r="B322" s="2801" t="s">
        <v>0</v>
      </c>
      <c r="C322" s="2801" t="s">
        <v>0</v>
      </c>
      <c r="D322" s="2801" t="s">
        <v>0</v>
      </c>
      <c r="E322" s="2801" t="s">
        <v>0</v>
      </c>
      <c r="F322" s="2808"/>
      <c r="G322" s="2808"/>
      <c r="H322" s="2808"/>
      <c r="I322" s="2808"/>
      <c r="J322" s="2808"/>
      <c r="K322" s="2808"/>
    </row>
    <row r="323" spans="1:11">
      <c r="A323" s="2800">
        <v>45339</v>
      </c>
      <c r="B323" s="2801" t="s">
        <v>0</v>
      </c>
      <c r="C323" s="2801" t="s">
        <v>0</v>
      </c>
      <c r="D323" s="2801" t="s">
        <v>0</v>
      </c>
      <c r="E323" s="2801" t="s">
        <v>0</v>
      </c>
      <c r="F323" s="2808"/>
      <c r="G323" s="2808"/>
      <c r="H323" s="2808"/>
      <c r="I323" s="2808"/>
      <c r="J323" s="2808"/>
      <c r="K323" s="2808"/>
    </row>
    <row r="324" spans="1:11">
      <c r="A324" s="2800">
        <v>45338</v>
      </c>
      <c r="B324" s="2801">
        <v>40127.51</v>
      </c>
      <c r="C324" s="2801">
        <v>422.98</v>
      </c>
      <c r="D324" s="2801">
        <v>15117.03</v>
      </c>
      <c r="E324" s="2801">
        <v>2623.89</v>
      </c>
      <c r="F324" s="2808"/>
      <c r="G324" s="2808"/>
      <c r="H324" s="2808"/>
      <c r="I324" s="2808"/>
      <c r="J324" s="2808"/>
      <c r="K324" s="2808"/>
    </row>
    <row r="325" spans="1:11">
      <c r="A325" s="2800">
        <v>45337</v>
      </c>
      <c r="B325" s="2801">
        <v>40207.99</v>
      </c>
      <c r="C325" s="2801">
        <v>420.22</v>
      </c>
      <c r="D325" s="2801">
        <v>15136.62</v>
      </c>
      <c r="E325" s="2801">
        <v>2601.81</v>
      </c>
      <c r="F325" s="2808"/>
      <c r="G325" s="2808"/>
      <c r="H325" s="2808"/>
      <c r="I325" s="2808"/>
      <c r="J325" s="2808"/>
      <c r="K325" s="2808"/>
    </row>
    <row r="326" spans="1:11">
      <c r="A326" s="2800">
        <v>45336</v>
      </c>
      <c r="B326" s="2801" t="s">
        <v>0</v>
      </c>
      <c r="C326" s="2801" t="s">
        <v>0</v>
      </c>
      <c r="D326" s="2801">
        <v>15022.34</v>
      </c>
      <c r="E326" s="2801">
        <v>2578.87</v>
      </c>
      <c r="F326" s="2808"/>
      <c r="G326" s="2808"/>
      <c r="H326" s="2808"/>
      <c r="I326" s="2808"/>
      <c r="J326" s="2808"/>
      <c r="K326" s="2808"/>
    </row>
    <row r="327" spans="1:11">
      <c r="A327" s="2800">
        <v>45335</v>
      </c>
      <c r="B327" s="2801" t="s">
        <v>0</v>
      </c>
      <c r="C327" s="2801" t="s">
        <v>0</v>
      </c>
      <c r="D327" s="2801">
        <v>14903.07</v>
      </c>
      <c r="E327" s="2801">
        <v>2573.5100000000002</v>
      </c>
      <c r="F327" s="2808"/>
      <c r="G327" s="2808"/>
      <c r="H327" s="2808"/>
      <c r="I327" s="2808"/>
      <c r="J327" s="2808"/>
      <c r="K327" s="2808"/>
    </row>
    <row r="328" spans="1:11">
      <c r="A328" s="2800">
        <v>45334</v>
      </c>
      <c r="B328" s="2801" t="s">
        <v>0</v>
      </c>
      <c r="C328" s="2801" t="s">
        <v>0</v>
      </c>
      <c r="D328" s="2801">
        <v>15089.12</v>
      </c>
      <c r="E328" s="2801">
        <v>2571.44</v>
      </c>
      <c r="F328" s="2808"/>
      <c r="G328" s="2808"/>
      <c r="H328" s="2808"/>
      <c r="I328" s="2808"/>
      <c r="J328" s="2808"/>
      <c r="K328" s="2808"/>
    </row>
    <row r="329" spans="1:11">
      <c r="A329" s="2800">
        <v>45333</v>
      </c>
      <c r="B329" s="2801" t="s">
        <v>0</v>
      </c>
      <c r="C329" s="2801" t="s">
        <v>0</v>
      </c>
      <c r="D329" s="2801" t="s">
        <v>0</v>
      </c>
      <c r="E329" s="2801" t="s">
        <v>0</v>
      </c>
      <c r="F329" s="2808"/>
      <c r="G329" s="2808"/>
      <c r="H329" s="2808"/>
      <c r="I329" s="2808"/>
      <c r="J329" s="2808"/>
      <c r="K329" s="2808"/>
    </row>
    <row r="330" spans="1:11">
      <c r="A330" s="2800">
        <v>45332</v>
      </c>
      <c r="B330" s="2801" t="s">
        <v>0</v>
      </c>
      <c r="C330" s="2801" t="s">
        <v>0</v>
      </c>
      <c r="D330" s="2801" t="s">
        <v>0</v>
      </c>
      <c r="E330" s="2801" t="s">
        <v>0</v>
      </c>
      <c r="F330" s="2808"/>
      <c r="G330" s="2808"/>
      <c r="H330" s="2808"/>
      <c r="I330" s="2808"/>
      <c r="J330" s="2808"/>
      <c r="K330" s="2808"/>
    </row>
    <row r="331" spans="1:11">
      <c r="A331" s="2800">
        <v>45331</v>
      </c>
      <c r="B331" s="2801" t="s">
        <v>0</v>
      </c>
      <c r="C331" s="2801" t="s">
        <v>0</v>
      </c>
      <c r="D331" s="2801">
        <v>15090.9</v>
      </c>
      <c r="E331" s="2801">
        <v>2569.67</v>
      </c>
      <c r="F331" s="2808"/>
      <c r="G331" s="2808"/>
      <c r="H331" s="2808"/>
      <c r="I331" s="2808"/>
      <c r="J331" s="2808"/>
      <c r="K331" s="2808"/>
    </row>
    <row r="332" spans="1:11">
      <c r="A332" s="2800">
        <v>45330</v>
      </c>
      <c r="B332" s="2801" t="s">
        <v>0</v>
      </c>
      <c r="C332" s="2801" t="s">
        <v>0</v>
      </c>
      <c r="D332" s="2801">
        <v>15018.64</v>
      </c>
      <c r="E332" s="2801">
        <v>2574.7600000000002</v>
      </c>
      <c r="F332" s="2808"/>
      <c r="G332" s="2808"/>
      <c r="H332" s="2808"/>
      <c r="I332" s="2808"/>
      <c r="J332" s="2808"/>
      <c r="K332" s="2808"/>
    </row>
    <row r="333" spans="1:11">
      <c r="A333" s="2800">
        <v>45329</v>
      </c>
      <c r="B333" s="2801" t="s">
        <v>0</v>
      </c>
      <c r="C333" s="2801" t="s">
        <v>0</v>
      </c>
      <c r="D333" s="2801">
        <v>15012.33</v>
      </c>
      <c r="E333" s="2801">
        <v>2587.5300000000002</v>
      </c>
      <c r="F333" s="2808"/>
      <c r="G333" s="2808"/>
      <c r="H333" s="2808"/>
      <c r="I333" s="2808"/>
      <c r="J333" s="2808"/>
      <c r="K333" s="2808"/>
    </row>
    <row r="334" spans="1:11">
      <c r="A334" s="2800">
        <v>45328</v>
      </c>
      <c r="B334" s="2801" t="s">
        <v>0</v>
      </c>
      <c r="C334" s="2801" t="s">
        <v>0</v>
      </c>
      <c r="D334" s="2801">
        <v>14917.68</v>
      </c>
      <c r="E334" s="2801">
        <v>2580.5100000000002</v>
      </c>
      <c r="F334" s="2808"/>
      <c r="G334" s="2808"/>
      <c r="H334" s="2808"/>
      <c r="I334" s="2808"/>
      <c r="J334" s="2808"/>
      <c r="K334" s="2808"/>
    </row>
    <row r="335" spans="1:11">
      <c r="A335" s="2800">
        <v>45327</v>
      </c>
      <c r="B335" s="2801">
        <v>39025.11</v>
      </c>
      <c r="C335" s="2801">
        <v>413.55</v>
      </c>
      <c r="D335" s="2801">
        <v>14866.92</v>
      </c>
      <c r="E335" s="2801">
        <v>2537.71</v>
      </c>
      <c r="F335" s="2808"/>
      <c r="G335" s="2808"/>
      <c r="H335" s="2808"/>
      <c r="I335" s="2808"/>
      <c r="J335" s="2808"/>
      <c r="K335" s="2808"/>
    </row>
    <row r="336" spans="1:11">
      <c r="A336" s="2800">
        <v>45326</v>
      </c>
      <c r="B336" s="2801" t="s">
        <v>0</v>
      </c>
      <c r="C336" s="2801" t="s">
        <v>0</v>
      </c>
      <c r="D336" s="2801" t="s">
        <v>0</v>
      </c>
      <c r="E336" s="2801" t="s">
        <v>0</v>
      </c>
      <c r="F336" s="2808"/>
      <c r="G336" s="2808"/>
      <c r="H336" s="2808"/>
      <c r="I336" s="2808"/>
      <c r="J336" s="2808"/>
      <c r="K336" s="2808"/>
    </row>
    <row r="337" spans="1:11">
      <c r="A337" s="2800">
        <v>45325</v>
      </c>
      <c r="B337" s="2801" t="s">
        <v>0</v>
      </c>
      <c r="C337" s="2801" t="s">
        <v>0</v>
      </c>
      <c r="D337" s="2801" t="s">
        <v>0</v>
      </c>
      <c r="E337" s="2801" t="s">
        <v>0</v>
      </c>
      <c r="F337" s="2808"/>
      <c r="G337" s="2808"/>
      <c r="H337" s="2808"/>
      <c r="I337" s="2808"/>
      <c r="J337" s="2808"/>
      <c r="K337" s="2808"/>
    </row>
    <row r="338" spans="1:11">
      <c r="A338" s="2800">
        <v>45324</v>
      </c>
      <c r="B338" s="2801">
        <v>38947.18</v>
      </c>
      <c r="C338" s="2801">
        <v>414.34</v>
      </c>
      <c r="D338" s="2801">
        <v>14931.49</v>
      </c>
      <c r="E338" s="2801">
        <v>2550.39</v>
      </c>
      <c r="F338" s="2808"/>
      <c r="G338" s="2808"/>
      <c r="H338" s="2808"/>
      <c r="I338" s="2808"/>
      <c r="J338" s="2808"/>
      <c r="K338" s="2808"/>
    </row>
    <row r="339" spans="1:11">
      <c r="A339" s="2800">
        <v>45323</v>
      </c>
      <c r="B339" s="2801">
        <v>38749.160000000003</v>
      </c>
      <c r="C339" s="2801">
        <v>411.28</v>
      </c>
      <c r="D339" s="2801">
        <v>14835.15</v>
      </c>
      <c r="E339" s="2801">
        <v>2534.69</v>
      </c>
      <c r="F339" s="2808"/>
      <c r="G339" s="2808"/>
      <c r="H339" s="2808"/>
      <c r="I339" s="2808"/>
      <c r="J339" s="2808"/>
      <c r="K339" s="2808"/>
    </row>
    <row r="340" spans="1:11">
      <c r="A340" s="2800">
        <v>45322</v>
      </c>
      <c r="B340" s="2801">
        <v>38579.769999999997</v>
      </c>
      <c r="C340" s="2801">
        <v>410.8</v>
      </c>
      <c r="D340" s="2801">
        <v>14735.89</v>
      </c>
      <c r="E340" s="2801">
        <v>2518.36</v>
      </c>
      <c r="F340" s="2808"/>
      <c r="G340" s="2808"/>
      <c r="H340" s="2808"/>
      <c r="I340" s="2808"/>
      <c r="J340" s="2808"/>
      <c r="K340" s="2808"/>
    </row>
    <row r="341" spans="1:11">
      <c r="A341" s="2800">
        <v>45321</v>
      </c>
      <c r="B341" s="2801">
        <v>38892.620000000003</v>
      </c>
      <c r="C341" s="2801">
        <v>409.98</v>
      </c>
      <c r="D341" s="2801">
        <v>14880.07</v>
      </c>
      <c r="E341" s="2801">
        <v>2530.7199999999998</v>
      </c>
      <c r="F341" s="2808"/>
      <c r="G341" s="2808"/>
      <c r="H341" s="2808"/>
      <c r="I341" s="2808"/>
      <c r="J341" s="2808"/>
      <c r="K341" s="2808"/>
    </row>
    <row r="342" spans="1:11">
      <c r="A342" s="2800">
        <v>45320</v>
      </c>
      <c r="B342" s="2801">
        <v>39075.93</v>
      </c>
      <c r="C342" s="2801">
        <v>409.11</v>
      </c>
      <c r="D342" s="2801">
        <v>14877.17</v>
      </c>
      <c r="E342" s="2801">
        <v>2555.4299999999998</v>
      </c>
      <c r="F342" s="2808"/>
      <c r="G342" s="2808"/>
      <c r="H342" s="2808"/>
      <c r="I342" s="2808"/>
      <c r="J342" s="2808"/>
      <c r="K342" s="2808"/>
    </row>
    <row r="343" spans="1:11">
      <c r="A343" s="2800">
        <v>45319</v>
      </c>
      <c r="B343" s="2801" t="s">
        <v>0</v>
      </c>
      <c r="C343" s="2801" t="s">
        <v>0</v>
      </c>
      <c r="D343" s="2801" t="s">
        <v>0</v>
      </c>
      <c r="E343" s="2801" t="s">
        <v>0</v>
      </c>
      <c r="F343" s="2808"/>
      <c r="G343" s="2808"/>
      <c r="H343" s="2808"/>
      <c r="I343" s="2808"/>
      <c r="J343" s="2808"/>
      <c r="K343" s="2808"/>
    </row>
    <row r="344" spans="1:11">
      <c r="A344" s="2800">
        <v>45318</v>
      </c>
      <c r="B344" s="2801" t="s">
        <v>0</v>
      </c>
      <c r="C344" s="2801" t="s">
        <v>0</v>
      </c>
      <c r="D344" s="2801" t="s">
        <v>0</v>
      </c>
      <c r="E344" s="2801" t="s">
        <v>0</v>
      </c>
      <c r="F344" s="2808"/>
      <c r="G344" s="2808"/>
      <c r="H344" s="2808"/>
      <c r="I344" s="2808"/>
      <c r="J344" s="2808"/>
      <c r="K344" s="2808"/>
    </row>
    <row r="345" spans="1:11">
      <c r="A345" s="2800">
        <v>45317</v>
      </c>
      <c r="B345" s="2801">
        <v>38807.22</v>
      </c>
      <c r="C345" s="2801">
        <v>405.87</v>
      </c>
      <c r="D345" s="2801">
        <v>14784.41</v>
      </c>
      <c r="E345" s="2801">
        <v>2542.31</v>
      </c>
      <c r="F345" s="2808"/>
      <c r="G345" s="2808"/>
      <c r="H345" s="2808"/>
      <c r="I345" s="2808"/>
      <c r="J345" s="2808"/>
      <c r="K345" s="2808"/>
    </row>
    <row r="346" spans="1:11">
      <c r="A346" s="2800">
        <v>45316</v>
      </c>
      <c r="B346" s="2801">
        <v>38823.589999999997</v>
      </c>
      <c r="C346" s="2801">
        <v>405.99</v>
      </c>
      <c r="D346" s="2801">
        <v>14766.41</v>
      </c>
      <c r="E346" s="2801">
        <v>2550.59</v>
      </c>
      <c r="F346" s="2808"/>
      <c r="G346" s="2808"/>
      <c r="H346" s="2808"/>
      <c r="I346" s="2808"/>
      <c r="J346" s="2808"/>
      <c r="K346" s="2808"/>
    </row>
    <row r="347" spans="1:11">
      <c r="A347" s="2800">
        <v>45315</v>
      </c>
      <c r="B347" s="2801">
        <v>38550.160000000003</v>
      </c>
      <c r="C347" s="2801">
        <v>407.16</v>
      </c>
      <c r="D347" s="2801">
        <v>14725.51</v>
      </c>
      <c r="E347" s="2801">
        <v>2535.19</v>
      </c>
      <c r="F347" s="2808"/>
      <c r="G347" s="2808"/>
      <c r="H347" s="2808"/>
      <c r="I347" s="2808"/>
      <c r="J347" s="2808"/>
      <c r="K347" s="2808"/>
    </row>
    <row r="348" spans="1:11">
      <c r="A348" s="2800">
        <v>45314</v>
      </c>
      <c r="B348" s="2801">
        <v>38547.480000000003</v>
      </c>
      <c r="C348" s="2801">
        <v>406.35</v>
      </c>
      <c r="D348" s="2801">
        <v>14666.94</v>
      </c>
      <c r="E348" s="2801">
        <v>2503.14</v>
      </c>
      <c r="F348" s="2808"/>
      <c r="G348" s="2808"/>
      <c r="H348" s="2808"/>
      <c r="I348" s="2808"/>
      <c r="J348" s="2808"/>
      <c r="K348" s="2808"/>
    </row>
    <row r="349" spans="1:11">
      <c r="A349" s="2800">
        <v>45313</v>
      </c>
      <c r="B349" s="2801">
        <v>38419.19</v>
      </c>
      <c r="C349" s="2801">
        <v>403.5</v>
      </c>
      <c r="D349" s="2801">
        <v>14658.41</v>
      </c>
      <c r="E349" s="2801">
        <v>2488.12</v>
      </c>
      <c r="F349" s="2808"/>
      <c r="G349" s="2808"/>
      <c r="H349" s="2808"/>
      <c r="I349" s="2808"/>
      <c r="J349" s="2808"/>
      <c r="K349" s="2808"/>
    </row>
    <row r="350" spans="1:11">
      <c r="A350" s="2800">
        <v>45312</v>
      </c>
      <c r="B350" s="2801" t="s">
        <v>0</v>
      </c>
      <c r="C350" s="2801" t="s">
        <v>0</v>
      </c>
      <c r="D350" s="2801" t="s">
        <v>0</v>
      </c>
      <c r="E350" s="2801" t="s">
        <v>0</v>
      </c>
      <c r="F350" s="2808"/>
      <c r="G350" s="2808"/>
      <c r="H350" s="2808"/>
      <c r="I350" s="2808"/>
      <c r="J350" s="2808"/>
      <c r="K350" s="2808"/>
    </row>
    <row r="351" spans="1:11">
      <c r="A351" s="2800">
        <v>45311</v>
      </c>
      <c r="B351" s="2801" t="s">
        <v>0</v>
      </c>
      <c r="C351" s="2801" t="s">
        <v>0</v>
      </c>
      <c r="D351" s="2801" t="s">
        <v>0</v>
      </c>
      <c r="E351" s="2801" t="s">
        <v>0</v>
      </c>
      <c r="F351" s="2808"/>
      <c r="G351" s="2808"/>
      <c r="H351" s="2808"/>
      <c r="I351" s="2808"/>
      <c r="J351" s="2808"/>
      <c r="K351" s="2808"/>
    </row>
    <row r="352" spans="1:11">
      <c r="A352" s="2800">
        <v>45310</v>
      </c>
      <c r="B352" s="2801">
        <v>38131.129999999997</v>
      </c>
      <c r="C352" s="2801">
        <v>398.71</v>
      </c>
      <c r="D352" s="2801">
        <v>14594.73</v>
      </c>
      <c r="E352" s="2801">
        <v>2505.54</v>
      </c>
      <c r="F352" s="2808"/>
      <c r="G352" s="2808"/>
      <c r="H352" s="2808"/>
      <c r="I352" s="2808"/>
      <c r="J352" s="2808"/>
      <c r="K352" s="2808"/>
    </row>
    <row r="353" spans="1:11">
      <c r="A353" s="2800">
        <v>45309</v>
      </c>
      <c r="B353" s="2801">
        <v>37152.629999999997</v>
      </c>
      <c r="C353" s="2801">
        <v>394.95</v>
      </c>
      <c r="D353" s="2801">
        <v>14446.35</v>
      </c>
      <c r="E353" s="2801">
        <v>2480.67</v>
      </c>
      <c r="F353" s="2808"/>
      <c r="G353" s="2808"/>
      <c r="H353" s="2808"/>
      <c r="I353" s="2808"/>
      <c r="J353" s="2808"/>
      <c r="K353" s="2808"/>
    </row>
    <row r="354" spans="1:11">
      <c r="A354" s="2800">
        <v>45308</v>
      </c>
      <c r="B354" s="2801">
        <v>37010.29</v>
      </c>
      <c r="C354" s="2801">
        <v>395.66</v>
      </c>
      <c r="D354" s="2801">
        <v>14340.77</v>
      </c>
      <c r="E354" s="2801">
        <v>2473.0500000000002</v>
      </c>
      <c r="F354" s="2808"/>
      <c r="G354" s="2808"/>
      <c r="H354" s="2808"/>
      <c r="I354" s="2808"/>
      <c r="J354" s="2808"/>
      <c r="K354" s="2808"/>
    </row>
    <row r="355" spans="1:11">
      <c r="A355" s="2800">
        <v>45307</v>
      </c>
      <c r="B355" s="2801">
        <v>37409.42</v>
      </c>
      <c r="C355" s="2801">
        <v>401.92</v>
      </c>
      <c r="D355" s="2801">
        <v>14458.19</v>
      </c>
      <c r="E355" s="2801">
        <v>2528.0700000000002</v>
      </c>
      <c r="F355" s="2808"/>
      <c r="G355" s="2808"/>
      <c r="H355" s="2808"/>
      <c r="I355" s="2808"/>
      <c r="J355" s="2808"/>
      <c r="K355" s="2808"/>
    </row>
    <row r="356" spans="1:11">
      <c r="A356" s="2800">
        <v>45306</v>
      </c>
      <c r="B356" s="2801">
        <v>37840.639999999999</v>
      </c>
      <c r="C356" s="2801">
        <v>403.36</v>
      </c>
      <c r="D356" s="2801">
        <v>14545.73</v>
      </c>
      <c r="E356" s="2801">
        <v>2567.91</v>
      </c>
      <c r="F356" s="2808"/>
      <c r="G356" s="2808"/>
      <c r="H356" s="2808"/>
      <c r="I356" s="2808"/>
      <c r="J356" s="2808"/>
      <c r="K356" s="2808"/>
    </row>
    <row r="357" spans="1:11">
      <c r="A357" s="2800">
        <v>45305</v>
      </c>
      <c r="B357" s="2801" t="s">
        <v>0</v>
      </c>
      <c r="C357" s="2801" t="s">
        <v>0</v>
      </c>
      <c r="D357" s="2801" t="s">
        <v>0</v>
      </c>
      <c r="E357" s="2801" t="s">
        <v>0</v>
      </c>
      <c r="F357" s="2808"/>
      <c r="G357" s="2808"/>
      <c r="H357" s="2808"/>
      <c r="I357" s="2808"/>
      <c r="J357" s="2808"/>
      <c r="K357" s="2808"/>
    </row>
    <row r="358" spans="1:11">
      <c r="A358" s="2800">
        <v>45304</v>
      </c>
      <c r="B358" s="2801" t="s">
        <v>0</v>
      </c>
      <c r="C358" s="2801" t="s">
        <v>0</v>
      </c>
      <c r="D358" s="2801" t="s">
        <v>0</v>
      </c>
      <c r="E358" s="2801" t="s">
        <v>0</v>
      </c>
      <c r="F358" s="2808"/>
      <c r="G358" s="2808"/>
      <c r="H358" s="2808"/>
      <c r="I358" s="2808"/>
      <c r="J358" s="2808"/>
      <c r="K358" s="2808"/>
    </row>
    <row r="359" spans="1:11">
      <c r="A359" s="2800">
        <v>45303</v>
      </c>
      <c r="B359" s="2801">
        <v>37767.32</v>
      </c>
      <c r="C359" s="2801">
        <v>398.92</v>
      </c>
      <c r="D359" s="2801">
        <v>14560.19</v>
      </c>
      <c r="E359" s="2801">
        <v>2570.86</v>
      </c>
      <c r="F359" s="2808"/>
      <c r="G359" s="2808"/>
      <c r="H359" s="2808"/>
      <c r="I359" s="2808"/>
      <c r="J359" s="2808"/>
      <c r="K359" s="2808"/>
    </row>
    <row r="360" spans="1:11">
      <c r="A360" s="2800">
        <v>45302</v>
      </c>
      <c r="B360" s="2801">
        <v>37837.4</v>
      </c>
      <c r="C360" s="2801">
        <v>401.05</v>
      </c>
      <c r="D360" s="2801">
        <v>14508.88</v>
      </c>
      <c r="E360" s="2801">
        <v>2566.85</v>
      </c>
      <c r="F360" s="2808"/>
      <c r="G360" s="2808"/>
      <c r="H360" s="2808"/>
      <c r="I360" s="2808"/>
      <c r="J360" s="2808"/>
      <c r="K360" s="2808"/>
    </row>
    <row r="361" spans="1:11">
      <c r="A361" s="2800">
        <v>45301</v>
      </c>
      <c r="B361" s="2801">
        <v>37665.54</v>
      </c>
      <c r="C361" s="2801">
        <v>397.06</v>
      </c>
      <c r="D361" s="2801">
        <v>14527.59</v>
      </c>
      <c r="E361" s="2801">
        <v>2551.94</v>
      </c>
      <c r="F361" s="2808"/>
      <c r="G361" s="2808"/>
      <c r="H361" s="2808"/>
      <c r="I361" s="2808"/>
      <c r="J361" s="2808"/>
      <c r="K361" s="2808"/>
    </row>
    <row r="362" spans="1:11">
      <c r="A362" s="2800">
        <v>45300</v>
      </c>
      <c r="B362" s="2801">
        <v>37816.199999999997</v>
      </c>
      <c r="C362" s="2801">
        <v>397.19</v>
      </c>
      <c r="D362" s="2801">
        <v>14460.67</v>
      </c>
      <c r="E362" s="2801">
        <v>2562.3200000000002</v>
      </c>
      <c r="F362" s="2808"/>
      <c r="G362" s="2808"/>
      <c r="H362" s="2808"/>
      <c r="I362" s="2808"/>
      <c r="J362" s="2808"/>
      <c r="K362" s="2808"/>
    </row>
    <row r="363" spans="1:11">
      <c r="A363" s="2800">
        <v>45299</v>
      </c>
      <c r="B363" s="2801">
        <v>37896.36</v>
      </c>
      <c r="C363" s="2801">
        <v>399.06</v>
      </c>
      <c r="D363" s="2801">
        <v>14489.37</v>
      </c>
      <c r="E363" s="2801">
        <v>2571.91</v>
      </c>
      <c r="F363" s="2808"/>
      <c r="G363" s="2808"/>
      <c r="H363" s="2808"/>
      <c r="I363" s="2808"/>
      <c r="J363" s="2808"/>
      <c r="K363" s="2808"/>
    </row>
    <row r="364" spans="1:11">
      <c r="A364" s="2800">
        <v>45298</v>
      </c>
      <c r="B364" s="2801" t="s">
        <v>0</v>
      </c>
      <c r="C364" s="2801" t="s">
        <v>0</v>
      </c>
      <c r="D364" s="2801" t="s">
        <v>0</v>
      </c>
      <c r="E364" s="2801" t="s">
        <v>0</v>
      </c>
      <c r="F364" s="2808"/>
      <c r="G364" s="2808"/>
      <c r="H364" s="2808"/>
      <c r="I364" s="2808"/>
      <c r="J364" s="2808"/>
      <c r="K364" s="2808"/>
    </row>
    <row r="365" spans="1:11">
      <c r="A365" s="2800">
        <v>45297</v>
      </c>
      <c r="B365" s="2801" t="s">
        <v>0</v>
      </c>
      <c r="C365" s="2801" t="s">
        <v>0</v>
      </c>
      <c r="D365" s="2801" t="s">
        <v>0</v>
      </c>
      <c r="E365" s="2801" t="s">
        <v>0</v>
      </c>
      <c r="F365" s="2808"/>
      <c r="G365" s="2808"/>
      <c r="H365" s="2808"/>
      <c r="I365" s="2808"/>
      <c r="J365" s="2808"/>
      <c r="K365" s="2808"/>
    </row>
    <row r="366" spans="1:11">
      <c r="A366" s="2800">
        <v>45296</v>
      </c>
      <c r="B366" s="2801">
        <v>37780.93</v>
      </c>
      <c r="C366" s="2801">
        <v>399.14</v>
      </c>
      <c r="D366" s="2801">
        <v>14337.23</v>
      </c>
      <c r="E366" s="2801">
        <v>2585.64</v>
      </c>
      <c r="F366" s="2808"/>
      <c r="G366" s="2808"/>
      <c r="H366" s="2808"/>
      <c r="I366" s="2808"/>
      <c r="J366" s="2808"/>
      <c r="K366" s="2808"/>
    </row>
    <row r="367" spans="1:11">
      <c r="A367" s="2800">
        <v>45295</v>
      </c>
      <c r="B367" s="2801">
        <v>37846.730000000003</v>
      </c>
      <c r="C367" s="2801">
        <v>397.1</v>
      </c>
      <c r="D367" s="2801">
        <v>14307.67</v>
      </c>
      <c r="E367" s="2801">
        <v>2591.2600000000002</v>
      </c>
      <c r="F367" s="2808"/>
      <c r="G367" s="2808"/>
      <c r="H367" s="2808"/>
      <c r="I367" s="2808"/>
      <c r="J367" s="2808"/>
      <c r="K367" s="2808"/>
    </row>
    <row r="368" spans="1:11">
      <c r="A368" s="2800">
        <v>45294</v>
      </c>
      <c r="B368" s="2801">
        <v>37840.620000000003</v>
      </c>
      <c r="C368" s="2801">
        <v>399.9</v>
      </c>
      <c r="D368" s="2801">
        <v>14313.5</v>
      </c>
      <c r="E368" s="2801">
        <v>2587.79</v>
      </c>
      <c r="F368" s="2808"/>
      <c r="G368" s="2808"/>
      <c r="H368" s="2808"/>
      <c r="I368" s="2808"/>
      <c r="J368" s="2808"/>
      <c r="K368" s="2808"/>
    </row>
    <row r="369" spans="1:11">
      <c r="A369" s="2800">
        <v>45293</v>
      </c>
      <c r="B369" s="2801">
        <v>38475.17</v>
      </c>
      <c r="C369" s="2801">
        <v>403.66</v>
      </c>
      <c r="D369" s="2801">
        <v>14449.67</v>
      </c>
      <c r="E369" s="2801">
        <v>2621.94</v>
      </c>
      <c r="F369" s="2808"/>
      <c r="G369" s="2808"/>
      <c r="H369" s="2808"/>
      <c r="I369" s="2808"/>
      <c r="J369" s="2808"/>
      <c r="K369" s="2808"/>
    </row>
    <row r="370" spans="1:11">
      <c r="A370" s="2800">
        <v>45292</v>
      </c>
      <c r="B370" s="2801" t="s">
        <v>0</v>
      </c>
      <c r="C370" s="2801" t="s">
        <v>0</v>
      </c>
      <c r="D370" s="2801">
        <v>14558.16</v>
      </c>
      <c r="E370" s="2801">
        <v>2643.13</v>
      </c>
      <c r="F370" s="2808"/>
      <c r="G370" s="2808"/>
      <c r="H370" s="2808"/>
      <c r="I370" s="2808"/>
      <c r="J370" s="2808"/>
      <c r="K370" s="2808"/>
    </row>
    <row r="371" spans="1:11">
      <c r="A371" s="2800">
        <v>45291</v>
      </c>
      <c r="B371" s="2801" t="s">
        <v>0</v>
      </c>
      <c r="C371" s="2801" t="s">
        <v>0</v>
      </c>
      <c r="D371" s="2801" t="s">
        <v>0</v>
      </c>
      <c r="E371" s="2801" t="s">
        <v>0</v>
      </c>
      <c r="F371" s="2808"/>
      <c r="G371" s="2808"/>
      <c r="H371" s="2808"/>
      <c r="I371" s="2808"/>
      <c r="J371" s="2808"/>
      <c r="K371" s="2808"/>
    </row>
    <row r="372" spans="1:11">
      <c r="A372" s="2800">
        <v>45290</v>
      </c>
      <c r="B372" s="2801" t="s">
        <v>0</v>
      </c>
      <c r="C372" s="2801" t="s">
        <v>0</v>
      </c>
      <c r="D372" s="2801" t="s">
        <v>0</v>
      </c>
      <c r="E372" s="2801" t="s">
        <v>0</v>
      </c>
      <c r="F372" s="2808"/>
      <c r="G372" s="2808"/>
      <c r="H372" s="2808"/>
      <c r="I372" s="2808"/>
      <c r="J372" s="2808"/>
      <c r="K372" s="2808"/>
    </row>
    <row r="373" spans="1:11">
      <c r="A373" s="2800">
        <v>45289</v>
      </c>
      <c r="B373" s="2801">
        <v>38641.199999999997</v>
      </c>
      <c r="C373" s="2801">
        <v>405.01</v>
      </c>
      <c r="D373" s="2801">
        <v>14557.83</v>
      </c>
      <c r="E373" s="2801">
        <v>2640.74</v>
      </c>
      <c r="F373" s="2808"/>
      <c r="G373" s="2808"/>
      <c r="H373" s="2808"/>
      <c r="I373" s="2808"/>
      <c r="J373" s="2808"/>
      <c r="K373" s="2808"/>
    </row>
    <row r="374" spans="1:11">
      <c r="A374" s="2800">
        <v>45288</v>
      </c>
      <c r="B374" s="2801">
        <v>38597.160000000003</v>
      </c>
      <c r="C374" s="2801">
        <v>404.83</v>
      </c>
      <c r="D374" s="2801">
        <v>14598.1</v>
      </c>
      <c r="E374" s="2801">
        <v>2638.52</v>
      </c>
      <c r="F374" s="2808"/>
      <c r="G374" s="2808"/>
      <c r="H374" s="2808"/>
      <c r="I374" s="2808"/>
      <c r="J374" s="2808"/>
      <c r="K374" s="2808"/>
    </row>
    <row r="375" spans="1:11">
      <c r="A375" s="2800">
        <v>45287</v>
      </c>
      <c r="B375" s="2801">
        <v>38556.5</v>
      </c>
      <c r="C375" s="2801">
        <v>406.26</v>
      </c>
      <c r="D375" s="2801">
        <v>14583.76</v>
      </c>
      <c r="E375" s="2801">
        <v>2604.81</v>
      </c>
      <c r="F375" s="2808"/>
      <c r="G375" s="2808"/>
      <c r="H375" s="2808"/>
      <c r="I375" s="2808"/>
      <c r="J375" s="2808"/>
      <c r="K375" s="2808"/>
    </row>
    <row r="376" spans="1:11">
      <c r="A376" s="2800">
        <v>45286</v>
      </c>
      <c r="B376" s="2801">
        <v>38255.279999999999</v>
      </c>
      <c r="C376" s="2801">
        <v>404.8</v>
      </c>
      <c r="D376" s="2801">
        <v>14521.5</v>
      </c>
      <c r="E376" s="2801">
        <v>2573.6999999999998</v>
      </c>
      <c r="F376" s="2808"/>
      <c r="G376" s="2808"/>
      <c r="H376" s="2808"/>
      <c r="I376" s="2808"/>
      <c r="J376" s="2808"/>
      <c r="K376" s="2808"/>
    </row>
    <row r="377" spans="1:11">
      <c r="A377" s="2800">
        <v>45285</v>
      </c>
      <c r="B377" s="2801">
        <v>37938.58</v>
      </c>
      <c r="C377" s="2801">
        <v>401.62</v>
      </c>
      <c r="D377" s="2801">
        <v>14474.8</v>
      </c>
      <c r="E377" s="2801">
        <v>2560.04</v>
      </c>
      <c r="F377" s="2808"/>
      <c r="G377" s="2808"/>
      <c r="H377" s="2808"/>
      <c r="I377" s="2808"/>
      <c r="J377" s="2808"/>
      <c r="K377" s="2808"/>
    </row>
    <row r="378" spans="1:11">
      <c r="A378" s="2800">
        <v>45284</v>
      </c>
      <c r="B378" s="2801" t="s">
        <v>0</v>
      </c>
      <c r="C378" s="2801" t="s">
        <v>0</v>
      </c>
      <c r="D378" s="2801" t="s">
        <v>0</v>
      </c>
      <c r="E378" s="2801" t="s">
        <v>0</v>
      </c>
      <c r="F378" s="2808"/>
      <c r="G378" s="2808"/>
      <c r="H378" s="2808"/>
      <c r="I378" s="2808"/>
      <c r="J378" s="2808"/>
      <c r="K378" s="2808"/>
    </row>
    <row r="379" spans="1:11">
      <c r="A379" s="2800">
        <v>45283</v>
      </c>
      <c r="B379" s="2801" t="s">
        <v>0</v>
      </c>
      <c r="C379" s="2801" t="s">
        <v>0</v>
      </c>
      <c r="D379" s="2801" t="s">
        <v>0</v>
      </c>
      <c r="E379" s="2801" t="s">
        <v>0</v>
      </c>
      <c r="F379" s="2808"/>
      <c r="G379" s="2808"/>
      <c r="H379" s="2808"/>
      <c r="I379" s="2808"/>
      <c r="J379" s="2808"/>
      <c r="K379" s="2808"/>
    </row>
    <row r="380" spans="1:11">
      <c r="A380" s="2800">
        <v>45282</v>
      </c>
      <c r="B380" s="2801">
        <v>37920.89</v>
      </c>
      <c r="C380" s="2801">
        <v>402.99</v>
      </c>
      <c r="D380" s="2801">
        <v>14473.72</v>
      </c>
      <c r="E380" s="2801">
        <v>2557.5500000000002</v>
      </c>
      <c r="F380" s="2808"/>
      <c r="G380" s="2808"/>
      <c r="H380" s="2808"/>
      <c r="I380" s="2808"/>
      <c r="J380" s="2808"/>
      <c r="K380" s="2808"/>
    </row>
    <row r="381" spans="1:11">
      <c r="A381" s="2800">
        <v>45281</v>
      </c>
      <c r="B381" s="2801">
        <v>37806.92</v>
      </c>
      <c r="C381" s="2801">
        <v>400.88</v>
      </c>
      <c r="D381" s="2801">
        <v>14440.78</v>
      </c>
      <c r="E381" s="2801">
        <v>2572.58</v>
      </c>
      <c r="F381" s="2808"/>
      <c r="G381" s="2808"/>
      <c r="H381" s="2808"/>
      <c r="I381" s="2808"/>
      <c r="J381" s="2808"/>
      <c r="K381" s="2808"/>
    </row>
    <row r="382" spans="1:11">
      <c r="A382" s="2800">
        <v>45280</v>
      </c>
      <c r="B382" s="2801">
        <v>38003.67</v>
      </c>
      <c r="C382" s="2801">
        <v>401.81</v>
      </c>
      <c r="D382" s="2801">
        <v>14333.28</v>
      </c>
      <c r="E382" s="2801">
        <v>2570.2600000000002</v>
      </c>
      <c r="F382" s="2808"/>
      <c r="G382" s="2808"/>
      <c r="H382" s="2808"/>
      <c r="I382" s="2808"/>
      <c r="J382" s="2808"/>
      <c r="K382" s="2808"/>
    </row>
    <row r="383" spans="1:11">
      <c r="A383" s="2800">
        <v>45279</v>
      </c>
      <c r="B383" s="2801">
        <v>37877.269999999997</v>
      </c>
      <c r="C383" s="2801">
        <v>399.69</v>
      </c>
      <c r="D383" s="2801">
        <v>14476.9</v>
      </c>
      <c r="E383" s="2801">
        <v>2571.9899999999998</v>
      </c>
      <c r="F383" s="2808"/>
      <c r="G383" s="2808"/>
      <c r="H383" s="2808"/>
      <c r="I383" s="2808"/>
      <c r="J383" s="2808"/>
      <c r="K383" s="2808"/>
    </row>
    <row r="384" spans="1:11">
      <c r="A384" s="2800">
        <v>45278</v>
      </c>
      <c r="B384" s="2801">
        <v>38039.93</v>
      </c>
      <c r="C384" s="2801">
        <v>403.72</v>
      </c>
      <c r="D384" s="2801">
        <v>14375.12</v>
      </c>
      <c r="E384" s="2801">
        <v>2570.15</v>
      </c>
      <c r="F384" s="2808"/>
      <c r="G384" s="2808"/>
      <c r="H384" s="2808"/>
      <c r="I384" s="2808"/>
      <c r="J384" s="2808"/>
      <c r="K384" s="2808"/>
    </row>
    <row r="385" spans="1:11">
      <c r="A385" s="2800">
        <v>45277</v>
      </c>
      <c r="B385" s="2801" t="s">
        <v>0</v>
      </c>
      <c r="C385" s="2801" t="s">
        <v>0</v>
      </c>
      <c r="D385" s="2801" t="s">
        <v>0</v>
      </c>
      <c r="E385" s="2801" t="s">
        <v>0</v>
      </c>
      <c r="F385" s="2808"/>
      <c r="G385" s="2808"/>
      <c r="H385" s="2808"/>
      <c r="I385" s="2808"/>
      <c r="J385" s="2808"/>
      <c r="K385" s="2808"/>
    </row>
    <row r="386" spans="1:11">
      <c r="A386" s="2800">
        <v>45276</v>
      </c>
      <c r="B386" s="2801" t="s">
        <v>0</v>
      </c>
      <c r="C386" s="2801" t="s">
        <v>0</v>
      </c>
      <c r="D386" s="2801" t="s">
        <v>0</v>
      </c>
      <c r="E386" s="2801" t="s">
        <v>0</v>
      </c>
      <c r="F386" s="2808"/>
      <c r="G386" s="2808"/>
      <c r="H386" s="2808"/>
      <c r="I386" s="2808"/>
      <c r="J386" s="2808"/>
      <c r="K386" s="2808"/>
    </row>
    <row r="387" spans="1:11">
      <c r="A387" s="2800">
        <v>45275</v>
      </c>
      <c r="B387" s="2801">
        <v>38086.910000000003</v>
      </c>
      <c r="C387" s="2801">
        <v>406.13</v>
      </c>
      <c r="D387" s="2801">
        <v>14351.08</v>
      </c>
      <c r="E387" s="2801">
        <v>2577.7800000000002</v>
      </c>
      <c r="F387" s="2808"/>
      <c r="G387" s="2808"/>
      <c r="H387" s="2808"/>
      <c r="I387" s="2808"/>
      <c r="J387" s="2808"/>
      <c r="K387" s="2808"/>
    </row>
    <row r="388" spans="1:11">
      <c r="A388" s="2800">
        <v>45274</v>
      </c>
      <c r="B388" s="2801">
        <v>38042.17</v>
      </c>
      <c r="C388" s="2801">
        <v>406.18</v>
      </c>
      <c r="D388" s="2801">
        <v>14363.19</v>
      </c>
      <c r="E388" s="2801">
        <v>2556.19</v>
      </c>
      <c r="F388" s="2808"/>
      <c r="G388" s="2808"/>
      <c r="H388" s="2808"/>
      <c r="I388" s="2808"/>
      <c r="J388" s="2808"/>
      <c r="K388" s="2808"/>
    </row>
    <row r="389" spans="1:11">
      <c r="A389" s="2800">
        <v>45273</v>
      </c>
      <c r="B389" s="2801">
        <v>37591.78</v>
      </c>
      <c r="C389" s="2801">
        <v>404.44</v>
      </c>
      <c r="D389" s="2801">
        <v>14233.5</v>
      </c>
      <c r="E389" s="2801">
        <v>2506.25</v>
      </c>
      <c r="F389" s="2808"/>
      <c r="G389" s="2808"/>
      <c r="H389" s="2808"/>
      <c r="I389" s="2808"/>
      <c r="J389" s="2808"/>
      <c r="K389" s="2808"/>
    </row>
    <row r="390" spans="1:11">
      <c r="A390" s="2800">
        <v>45272</v>
      </c>
      <c r="B390" s="2801">
        <v>37552.400000000001</v>
      </c>
      <c r="C390" s="2801">
        <v>403.62</v>
      </c>
      <c r="D390" s="2801">
        <v>14078.94</v>
      </c>
      <c r="E390" s="2801">
        <v>2514.2600000000002</v>
      </c>
      <c r="F390" s="2808"/>
      <c r="G390" s="2808"/>
      <c r="H390" s="2808"/>
      <c r="I390" s="2808"/>
      <c r="J390" s="2808"/>
      <c r="K390" s="2808"/>
    </row>
    <row r="391" spans="1:11">
      <c r="A391" s="2800">
        <v>45271</v>
      </c>
      <c r="B391" s="2801">
        <v>37482.9</v>
      </c>
      <c r="C391" s="2801">
        <v>402.42</v>
      </c>
      <c r="D391" s="2801">
        <v>14026.96</v>
      </c>
      <c r="E391" s="2801">
        <v>2505.4499999999998</v>
      </c>
      <c r="F391" s="2808"/>
      <c r="G391" s="2808"/>
      <c r="H391" s="2808"/>
      <c r="I391" s="2808"/>
      <c r="J391" s="2808"/>
      <c r="K391" s="2808"/>
    </row>
    <row r="392" spans="1:11">
      <c r="A392" s="2800">
        <v>45270</v>
      </c>
      <c r="B392" s="2801" t="s">
        <v>0</v>
      </c>
      <c r="C392" s="2801" t="s">
        <v>0</v>
      </c>
      <c r="D392" s="2801" t="s">
        <v>0</v>
      </c>
      <c r="E392" s="2801" t="s">
        <v>0</v>
      </c>
      <c r="F392" s="2808"/>
      <c r="G392" s="2808"/>
      <c r="H392" s="2808"/>
      <c r="I392" s="2808"/>
      <c r="J392" s="2808"/>
      <c r="K392" s="2808"/>
    </row>
    <row r="393" spans="1:11">
      <c r="A393" s="2800">
        <v>45269</v>
      </c>
      <c r="B393" s="2801" t="s">
        <v>0</v>
      </c>
      <c r="C393" s="2801" t="s">
        <v>0</v>
      </c>
      <c r="D393" s="2801" t="s">
        <v>0</v>
      </c>
      <c r="E393" s="2801" t="s">
        <v>0</v>
      </c>
      <c r="F393" s="2808"/>
      <c r="G393" s="2808"/>
      <c r="H393" s="2808"/>
      <c r="I393" s="2808"/>
      <c r="J393" s="2808"/>
      <c r="K393" s="2808"/>
    </row>
    <row r="394" spans="1:11">
      <c r="A394" s="2800">
        <v>45268</v>
      </c>
      <c r="B394" s="2801">
        <v>37408.99</v>
      </c>
      <c r="C394" s="2801">
        <v>401.42</v>
      </c>
      <c r="D394" s="2801">
        <v>13984.65</v>
      </c>
      <c r="E394" s="2801">
        <v>2509.96</v>
      </c>
      <c r="F394" s="2808"/>
      <c r="G394" s="2808"/>
      <c r="H394" s="2808"/>
      <c r="I394" s="2808"/>
      <c r="J394" s="2808"/>
      <c r="K394" s="2808"/>
    </row>
    <row r="395" spans="1:11">
      <c r="A395" s="2800">
        <v>45267</v>
      </c>
      <c r="B395" s="2801">
        <v>37182.51</v>
      </c>
      <c r="C395" s="2801">
        <v>399.22</v>
      </c>
      <c r="D395" s="2801">
        <v>13939.52</v>
      </c>
      <c r="E395" s="2801">
        <v>2497.2800000000002</v>
      </c>
      <c r="F395" s="2808"/>
      <c r="G395" s="2808"/>
      <c r="H395" s="2808"/>
      <c r="I395" s="2808"/>
      <c r="J395" s="2808"/>
      <c r="K395" s="2808"/>
    </row>
    <row r="396" spans="1:11">
      <c r="A396" s="2800">
        <v>45266</v>
      </c>
      <c r="B396" s="2801">
        <v>37356.410000000003</v>
      </c>
      <c r="C396" s="2801">
        <v>401.42</v>
      </c>
      <c r="D396" s="2801">
        <v>13862.15</v>
      </c>
      <c r="E396" s="2801">
        <v>2509.63</v>
      </c>
      <c r="F396" s="2808"/>
      <c r="G396" s="2808"/>
      <c r="H396" s="2808"/>
      <c r="I396" s="2808"/>
      <c r="J396" s="2808"/>
      <c r="K396" s="2808"/>
    </row>
    <row r="397" spans="1:11">
      <c r="A397" s="2800">
        <v>45265</v>
      </c>
      <c r="B397" s="2801">
        <v>37285.879999999997</v>
      </c>
      <c r="C397" s="2801">
        <v>400.12</v>
      </c>
      <c r="D397" s="2801">
        <v>13872</v>
      </c>
      <c r="E397" s="2801">
        <v>2502.0100000000002</v>
      </c>
      <c r="F397" s="2808"/>
      <c r="G397" s="2808"/>
      <c r="H397" s="2808"/>
      <c r="I397" s="2808"/>
      <c r="J397" s="2808"/>
      <c r="K397" s="2808"/>
    </row>
    <row r="398" spans="1:11">
      <c r="A398" s="2800">
        <v>45264</v>
      </c>
      <c r="B398" s="2801">
        <v>37487.01</v>
      </c>
      <c r="C398" s="2801">
        <v>402.99</v>
      </c>
      <c r="D398" s="2801">
        <v>13886.92</v>
      </c>
      <c r="E398" s="2801">
        <v>2523.08</v>
      </c>
      <c r="F398" s="2808"/>
      <c r="G398" s="2808"/>
      <c r="H398" s="2808"/>
      <c r="I398" s="2808"/>
      <c r="J398" s="2808"/>
      <c r="K398" s="2808"/>
    </row>
    <row r="399" spans="1:11">
      <c r="A399" s="2800">
        <v>45263</v>
      </c>
      <c r="B399" s="2801" t="s">
        <v>0</v>
      </c>
      <c r="C399" s="2801" t="s">
        <v>0</v>
      </c>
      <c r="D399" s="2801" t="s">
        <v>0</v>
      </c>
      <c r="E399" s="2801" t="s">
        <v>0</v>
      </c>
      <c r="F399" s="2808"/>
      <c r="G399" s="2808"/>
      <c r="H399" s="2808"/>
      <c r="I399" s="2808"/>
      <c r="J399" s="2808"/>
      <c r="K399" s="2808"/>
    </row>
    <row r="400" spans="1:11">
      <c r="A400" s="2800">
        <v>45262</v>
      </c>
      <c r="B400" s="2801" t="s">
        <v>0</v>
      </c>
      <c r="C400" s="2801" t="s">
        <v>0</v>
      </c>
      <c r="D400" s="2801" t="s">
        <v>0</v>
      </c>
      <c r="E400" s="2801" t="s">
        <v>0</v>
      </c>
      <c r="F400" s="2808"/>
      <c r="G400" s="2808"/>
      <c r="H400" s="2808"/>
      <c r="I400" s="2808"/>
      <c r="J400" s="2808"/>
      <c r="K400" s="2808"/>
    </row>
    <row r="401" spans="1:11">
      <c r="A401" s="2800">
        <v>45261</v>
      </c>
      <c r="B401" s="2801">
        <v>37523.31</v>
      </c>
      <c r="C401" s="2801">
        <v>401.44</v>
      </c>
      <c r="D401" s="2801">
        <v>13951.04</v>
      </c>
      <c r="E401" s="2801">
        <v>2527.7600000000002</v>
      </c>
      <c r="F401" s="2808"/>
      <c r="G401" s="2808"/>
      <c r="H401" s="2808"/>
      <c r="I401" s="2808"/>
      <c r="J401" s="2808"/>
      <c r="K401" s="2808"/>
    </row>
    <row r="402" spans="1:11">
      <c r="A402" s="2800">
        <v>45260</v>
      </c>
      <c r="B402" s="2801">
        <v>37513.620000000003</v>
      </c>
      <c r="C402" s="2801">
        <v>400.79</v>
      </c>
      <c r="D402" s="2801">
        <v>13871.96</v>
      </c>
      <c r="E402" s="2801">
        <v>2540.4899999999998</v>
      </c>
      <c r="F402" s="2808"/>
      <c r="G402" s="2808"/>
      <c r="H402" s="2808"/>
      <c r="I402" s="2808"/>
      <c r="J402" s="2808"/>
      <c r="K402" s="2808"/>
    </row>
    <row r="403" spans="1:11">
      <c r="A403" s="2800">
        <v>45259</v>
      </c>
      <c r="B403" s="2801">
        <v>37377.440000000002</v>
      </c>
      <c r="C403" s="2801">
        <v>399.29</v>
      </c>
      <c r="D403" s="2801">
        <v>13824.22</v>
      </c>
      <c r="E403" s="2801">
        <v>2529.96</v>
      </c>
      <c r="F403" s="2808"/>
      <c r="G403" s="2808"/>
      <c r="H403" s="2808"/>
      <c r="I403" s="2808"/>
      <c r="J403" s="2808"/>
      <c r="K403" s="2808"/>
    </row>
    <row r="404" spans="1:11">
      <c r="A404" s="2800">
        <v>45258</v>
      </c>
      <c r="B404" s="2801">
        <v>37314.339999999997</v>
      </c>
      <c r="C404" s="2801">
        <v>395.9</v>
      </c>
      <c r="D404" s="2801">
        <v>13816.18</v>
      </c>
      <c r="E404" s="2801">
        <v>2536.1</v>
      </c>
      <c r="F404" s="2808"/>
      <c r="G404" s="2808"/>
      <c r="H404" s="2808"/>
      <c r="I404" s="2808"/>
      <c r="J404" s="2808"/>
      <c r="K404" s="2808"/>
    </row>
    <row r="405" spans="1:11">
      <c r="A405" s="2800">
        <v>45257</v>
      </c>
      <c r="B405" s="2801">
        <v>36875.5</v>
      </c>
      <c r="C405" s="2801">
        <v>388.65</v>
      </c>
      <c r="D405" s="2801">
        <v>13795.08</v>
      </c>
      <c r="E405" s="2801">
        <v>2515.67</v>
      </c>
      <c r="F405" s="2808"/>
      <c r="G405" s="2808"/>
      <c r="H405" s="2808"/>
      <c r="I405" s="2808"/>
      <c r="J405" s="2808"/>
      <c r="K405" s="2808"/>
    </row>
    <row r="406" spans="1:11">
      <c r="A406" s="2800">
        <v>45256</v>
      </c>
      <c r="B406" s="2801" t="s">
        <v>0</v>
      </c>
      <c r="C406" s="2801" t="s">
        <v>0</v>
      </c>
      <c r="D406" s="2801" t="s">
        <v>0</v>
      </c>
      <c r="E406" s="2801" t="s">
        <v>0</v>
      </c>
      <c r="F406" s="2808"/>
      <c r="G406" s="2808"/>
      <c r="H406" s="2808"/>
      <c r="I406" s="2808"/>
      <c r="J406" s="2808"/>
      <c r="K406" s="2808"/>
    </row>
    <row r="407" spans="1:11">
      <c r="A407" s="2800">
        <v>45255</v>
      </c>
      <c r="B407" s="2801" t="s">
        <v>0</v>
      </c>
      <c r="C407" s="2801" t="s">
        <v>0</v>
      </c>
      <c r="D407" s="2801" t="s">
        <v>0</v>
      </c>
      <c r="E407" s="2801" t="s">
        <v>0</v>
      </c>
      <c r="F407" s="2808"/>
      <c r="G407" s="2808"/>
      <c r="H407" s="2808"/>
      <c r="I407" s="2808"/>
      <c r="J407" s="2808"/>
      <c r="K407" s="2808"/>
    </row>
    <row r="408" spans="1:11">
      <c r="A408" s="2800">
        <v>45254</v>
      </c>
      <c r="B408" s="2801">
        <v>37198.239999999998</v>
      </c>
      <c r="C408" s="2801">
        <v>391.95</v>
      </c>
      <c r="D408" s="2801">
        <v>13827.89</v>
      </c>
      <c r="E408" s="2801">
        <v>2522.66</v>
      </c>
      <c r="F408" s="2808"/>
      <c r="G408" s="2808"/>
      <c r="H408" s="2808"/>
      <c r="I408" s="2808"/>
      <c r="J408" s="2808"/>
      <c r="K408" s="2808"/>
    </row>
    <row r="409" spans="1:11">
      <c r="A409" s="2800">
        <v>45253</v>
      </c>
      <c r="B409" s="2801">
        <v>37213.599999999999</v>
      </c>
      <c r="C409" s="2801">
        <v>391.42</v>
      </c>
      <c r="D409" s="2801">
        <v>13797.95</v>
      </c>
      <c r="E409" s="2801">
        <v>2542.56</v>
      </c>
      <c r="F409" s="2808"/>
      <c r="G409" s="2808"/>
      <c r="H409" s="2808"/>
      <c r="I409" s="2808"/>
      <c r="J409" s="2808"/>
      <c r="K409" s="2808"/>
    </row>
    <row r="410" spans="1:11">
      <c r="A410" s="2800">
        <v>45252</v>
      </c>
      <c r="B410" s="2801">
        <v>37247.089999999997</v>
      </c>
      <c r="C410" s="2801">
        <v>390.88</v>
      </c>
      <c r="D410" s="2801">
        <v>13778.99</v>
      </c>
      <c r="E410" s="2801">
        <v>2530.92</v>
      </c>
      <c r="F410" s="2808"/>
      <c r="G410" s="2808"/>
      <c r="H410" s="2808"/>
      <c r="I410" s="2808"/>
      <c r="J410" s="2808"/>
      <c r="K410" s="2808"/>
    </row>
    <row r="411" spans="1:11">
      <c r="A411" s="2800">
        <v>45251</v>
      </c>
      <c r="B411" s="2801">
        <v>37476.120000000003</v>
      </c>
      <c r="C411" s="2801">
        <v>387.8</v>
      </c>
      <c r="D411" s="2801">
        <v>13756.09</v>
      </c>
      <c r="E411" s="2801">
        <v>2541.88</v>
      </c>
      <c r="F411" s="2808"/>
      <c r="G411" s="2808"/>
      <c r="H411" s="2808"/>
      <c r="I411" s="2808"/>
      <c r="J411" s="2808"/>
      <c r="K411" s="2808"/>
    </row>
    <row r="412" spans="1:11">
      <c r="A412" s="2800">
        <v>45250</v>
      </c>
      <c r="B412" s="2801">
        <v>37032.36</v>
      </c>
      <c r="C412" s="2801">
        <v>386.43</v>
      </c>
      <c r="D412" s="2801">
        <v>13778.71</v>
      </c>
      <c r="E412" s="2801">
        <v>2533.7800000000002</v>
      </c>
      <c r="F412" s="2808"/>
      <c r="G412" s="2808"/>
      <c r="H412" s="2808"/>
      <c r="I412" s="2808"/>
      <c r="J412" s="2808"/>
      <c r="K412" s="2808"/>
    </row>
    <row r="413" spans="1:11">
      <c r="A413" s="2800">
        <v>45249</v>
      </c>
      <c r="B413" s="2801" t="s">
        <v>0</v>
      </c>
      <c r="C413" s="2801" t="s">
        <v>0</v>
      </c>
      <c r="D413" s="2801" t="s">
        <v>0</v>
      </c>
      <c r="E413" s="2801" t="s">
        <v>0</v>
      </c>
      <c r="F413" s="2808"/>
      <c r="G413" s="2808"/>
      <c r="H413" s="2808"/>
      <c r="I413" s="2808"/>
      <c r="J413" s="2808"/>
      <c r="K413" s="2808"/>
    </row>
    <row r="414" spans="1:11">
      <c r="A414" s="2800">
        <v>45248</v>
      </c>
      <c r="B414" s="2801" t="s">
        <v>0</v>
      </c>
      <c r="C414" s="2801" t="s">
        <v>0</v>
      </c>
      <c r="D414" s="2801" t="s">
        <v>0</v>
      </c>
      <c r="E414" s="2801" t="s">
        <v>0</v>
      </c>
      <c r="F414" s="2808"/>
      <c r="G414" s="2808"/>
      <c r="H414" s="2808"/>
      <c r="I414" s="2808"/>
      <c r="J414" s="2808"/>
      <c r="K414" s="2808"/>
    </row>
    <row r="415" spans="1:11">
      <c r="A415" s="2800">
        <v>45247</v>
      </c>
      <c r="B415" s="2801">
        <v>37029.06</v>
      </c>
      <c r="C415" s="2801">
        <v>385.23</v>
      </c>
      <c r="D415" s="2801">
        <v>13686.4</v>
      </c>
      <c r="E415" s="2801">
        <v>2510.79</v>
      </c>
      <c r="F415" s="2808"/>
      <c r="G415" s="2808"/>
      <c r="H415" s="2808"/>
      <c r="I415" s="2808"/>
      <c r="J415" s="2808"/>
      <c r="K415" s="2808"/>
    </row>
    <row r="416" spans="1:11">
      <c r="A416" s="2800">
        <v>45246</v>
      </c>
      <c r="B416" s="2801">
        <v>36947.74</v>
      </c>
      <c r="C416" s="2801">
        <v>383.15</v>
      </c>
      <c r="D416" s="2801">
        <v>13629.88</v>
      </c>
      <c r="E416" s="2801">
        <v>2525.48</v>
      </c>
      <c r="F416" s="2808"/>
      <c r="G416" s="2808"/>
      <c r="H416" s="2808"/>
      <c r="I416" s="2808"/>
      <c r="J416" s="2808"/>
      <c r="K416" s="2808"/>
    </row>
    <row r="417" spans="1:11">
      <c r="A417" s="2800">
        <v>45245</v>
      </c>
      <c r="B417" s="2801">
        <v>36856.51</v>
      </c>
      <c r="C417" s="2801">
        <v>381.33</v>
      </c>
      <c r="D417" s="2801">
        <v>13635.96</v>
      </c>
      <c r="E417" s="2801">
        <v>2528.58</v>
      </c>
      <c r="F417" s="2808"/>
      <c r="G417" s="2808"/>
      <c r="H417" s="2808"/>
      <c r="I417" s="2808"/>
      <c r="J417" s="2808"/>
      <c r="K417" s="2808"/>
    </row>
    <row r="418" spans="1:11">
      <c r="A418" s="2800">
        <v>45244</v>
      </c>
      <c r="B418" s="2801">
        <v>36398.050000000003</v>
      </c>
      <c r="C418" s="2801">
        <v>378.88</v>
      </c>
      <c r="D418" s="2801">
        <v>13580.03</v>
      </c>
      <c r="E418" s="2801">
        <v>2465.7600000000002</v>
      </c>
      <c r="F418" s="2808"/>
      <c r="G418" s="2808"/>
      <c r="H418" s="2808"/>
      <c r="I418" s="2808"/>
      <c r="J418" s="2808"/>
      <c r="K418" s="2808"/>
    </row>
    <row r="419" spans="1:11">
      <c r="A419" s="2800">
        <v>45243</v>
      </c>
      <c r="B419" s="2801">
        <v>36233.61</v>
      </c>
      <c r="C419" s="2801">
        <v>377.6</v>
      </c>
      <c r="D419" s="2801">
        <v>13307.86</v>
      </c>
      <c r="E419" s="2801">
        <v>2448.13</v>
      </c>
      <c r="F419" s="2808"/>
      <c r="G419" s="2808"/>
      <c r="H419" s="2808"/>
      <c r="I419" s="2808"/>
      <c r="J419" s="2808"/>
      <c r="K419" s="2808"/>
    </row>
    <row r="420" spans="1:11">
      <c r="A420" s="2800">
        <v>45242</v>
      </c>
      <c r="B420" s="2801" t="s">
        <v>0</v>
      </c>
      <c r="C420" s="2801" t="s">
        <v>0</v>
      </c>
      <c r="D420" s="2801" t="s">
        <v>0</v>
      </c>
      <c r="E420" s="2801" t="s">
        <v>0</v>
      </c>
      <c r="F420" s="2808"/>
      <c r="G420" s="2808"/>
      <c r="H420" s="2808"/>
      <c r="I420" s="2808"/>
      <c r="J420" s="2808"/>
      <c r="K420" s="2808"/>
    </row>
    <row r="421" spans="1:11">
      <c r="A421" s="2800">
        <v>45241</v>
      </c>
      <c r="B421" s="2801" t="s">
        <v>0</v>
      </c>
      <c r="C421" s="2801" t="s">
        <v>0</v>
      </c>
      <c r="D421" s="2801" t="s">
        <v>0</v>
      </c>
      <c r="E421" s="2801" t="s">
        <v>0</v>
      </c>
      <c r="F421" s="2808"/>
      <c r="G421" s="2808"/>
      <c r="H421" s="2808"/>
      <c r="I421" s="2808"/>
      <c r="J421" s="2808"/>
      <c r="K421" s="2808"/>
    </row>
    <row r="422" spans="1:11">
      <c r="A422" s="2800">
        <v>45240</v>
      </c>
      <c r="B422" s="2801">
        <v>35896.6</v>
      </c>
      <c r="C422" s="2801">
        <v>376.76</v>
      </c>
      <c r="D422" s="2801">
        <v>13289.27</v>
      </c>
      <c r="E422" s="2801">
        <v>2437.96</v>
      </c>
      <c r="F422" s="2808"/>
      <c r="G422" s="2808"/>
      <c r="H422" s="2808"/>
      <c r="I422" s="2808"/>
      <c r="J422" s="2808"/>
      <c r="K422" s="2808"/>
    </row>
    <row r="423" spans="1:11">
      <c r="A423" s="2800">
        <v>45239</v>
      </c>
      <c r="B423" s="2801">
        <v>36032.129999999997</v>
      </c>
      <c r="C423" s="2801">
        <v>379.75</v>
      </c>
      <c r="D423" s="2801">
        <v>13187.88</v>
      </c>
      <c r="E423" s="2801">
        <v>2458.2399999999998</v>
      </c>
      <c r="F423" s="2808"/>
      <c r="G423" s="2808"/>
      <c r="H423" s="2808"/>
      <c r="I423" s="2808"/>
      <c r="J423" s="2808"/>
      <c r="K423" s="2808"/>
    </row>
    <row r="424" spans="1:11">
      <c r="A424" s="2800">
        <v>45238</v>
      </c>
      <c r="B424" s="2801">
        <v>36021.75</v>
      </c>
      <c r="C424" s="2801">
        <v>380.13</v>
      </c>
      <c r="D424" s="2801">
        <v>13228.08</v>
      </c>
      <c r="E424" s="2801">
        <v>2462.39</v>
      </c>
      <c r="F424" s="2808"/>
      <c r="G424" s="2808"/>
      <c r="H424" s="2808"/>
      <c r="I424" s="2808"/>
      <c r="J424" s="2808"/>
      <c r="K424" s="2808"/>
    </row>
    <row r="425" spans="1:11">
      <c r="A425" s="2800">
        <v>45237</v>
      </c>
      <c r="B425" s="2801">
        <v>35901.51</v>
      </c>
      <c r="C425" s="2801">
        <v>379.57</v>
      </c>
      <c r="D425" s="2801">
        <v>13222.98</v>
      </c>
      <c r="E425" s="2801">
        <v>2469.4299999999998</v>
      </c>
      <c r="F425" s="2808"/>
      <c r="G425" s="2808"/>
      <c r="H425" s="2808"/>
      <c r="I425" s="2808"/>
      <c r="J425" s="2808"/>
      <c r="K425" s="2808"/>
    </row>
    <row r="426" spans="1:11">
      <c r="A426" s="2800">
        <v>45236</v>
      </c>
      <c r="B426" s="2801">
        <v>35824.94</v>
      </c>
      <c r="C426" s="2801">
        <v>378.08</v>
      </c>
      <c r="D426" s="2801">
        <v>13232.15</v>
      </c>
      <c r="E426" s="2801">
        <v>2490.5300000000002</v>
      </c>
      <c r="F426" s="2808"/>
      <c r="G426" s="2808"/>
      <c r="H426" s="2808"/>
      <c r="I426" s="2808"/>
      <c r="J426" s="2808"/>
      <c r="K426" s="2808"/>
    </row>
    <row r="427" spans="1:11">
      <c r="A427" s="2800">
        <v>45235</v>
      </c>
      <c r="B427" s="2801" t="s">
        <v>0</v>
      </c>
      <c r="C427" s="2801" t="s">
        <v>0</v>
      </c>
      <c r="D427" s="2801" t="s">
        <v>0</v>
      </c>
      <c r="E427" s="2801" t="s">
        <v>0</v>
      </c>
      <c r="F427" s="2808"/>
      <c r="G427" s="2808"/>
      <c r="H427" s="2808"/>
      <c r="I427" s="2808"/>
      <c r="J427" s="2808"/>
      <c r="K427" s="2808"/>
    </row>
    <row r="428" spans="1:11">
      <c r="A428" s="2800">
        <v>45234</v>
      </c>
      <c r="B428" s="2801" t="s">
        <v>0</v>
      </c>
      <c r="C428" s="2801" t="s">
        <v>0</v>
      </c>
      <c r="D428" s="2801" t="s">
        <v>0</v>
      </c>
      <c r="E428" s="2801" t="s">
        <v>0</v>
      </c>
      <c r="F428" s="2808"/>
      <c r="G428" s="2808"/>
      <c r="H428" s="2808"/>
      <c r="I428" s="2808"/>
      <c r="J428" s="2808"/>
      <c r="K428" s="2808"/>
    </row>
    <row r="429" spans="1:11">
      <c r="A429" s="2800">
        <v>45233</v>
      </c>
      <c r="B429" s="2801">
        <v>35520</v>
      </c>
      <c r="C429" s="2801">
        <v>372.06</v>
      </c>
      <c r="D429" s="2801">
        <v>13205.79</v>
      </c>
      <c r="E429" s="2801">
        <v>2437.3000000000002</v>
      </c>
      <c r="F429" s="2808"/>
      <c r="G429" s="2808"/>
      <c r="H429" s="2808"/>
      <c r="I429" s="2808"/>
      <c r="J429" s="2808"/>
      <c r="K429" s="2808"/>
    </row>
    <row r="430" spans="1:11">
      <c r="A430" s="2800">
        <v>45232</v>
      </c>
      <c r="B430" s="2801">
        <v>35281.800000000003</v>
      </c>
      <c r="C430" s="2801">
        <v>370.97</v>
      </c>
      <c r="D430" s="2801">
        <v>13062.23</v>
      </c>
      <c r="E430" s="2801">
        <v>2391.81</v>
      </c>
      <c r="F430" s="2808"/>
      <c r="G430" s="2808"/>
      <c r="H430" s="2808"/>
      <c r="I430" s="2808"/>
      <c r="J430" s="2808"/>
      <c r="K430" s="2808"/>
    </row>
    <row r="431" spans="1:11">
      <c r="A431" s="2800">
        <v>45231</v>
      </c>
      <c r="B431" s="2801">
        <v>34510.660000000003</v>
      </c>
      <c r="C431" s="2801">
        <v>366.32</v>
      </c>
      <c r="D431" s="2801">
        <v>12809.41</v>
      </c>
      <c r="E431" s="2801">
        <v>2353.9899999999998</v>
      </c>
      <c r="F431" s="2808"/>
      <c r="G431" s="2808"/>
      <c r="H431" s="2808"/>
      <c r="I431" s="2808"/>
      <c r="J431" s="2808"/>
      <c r="K431" s="2808"/>
    </row>
    <row r="432" spans="1:11">
      <c r="A432" s="2800">
        <v>45230</v>
      </c>
      <c r="B432" s="2801">
        <v>34430.120000000003</v>
      </c>
      <c r="C432" s="2801">
        <v>362.55</v>
      </c>
      <c r="D432" s="2801">
        <v>12676.97</v>
      </c>
      <c r="E432" s="2801">
        <v>2351.87</v>
      </c>
      <c r="F432" s="2808"/>
      <c r="G432" s="2808"/>
      <c r="H432" s="2808"/>
      <c r="I432" s="2808"/>
      <c r="J432" s="2808"/>
      <c r="K432" s="2808"/>
    </row>
    <row r="433" spans="1:11">
      <c r="A433" s="2800">
        <v>45229</v>
      </c>
      <c r="B433" s="2801">
        <v>34748.92</v>
      </c>
      <c r="C433" s="2801">
        <v>368.63</v>
      </c>
      <c r="D433" s="2801">
        <v>12625.33</v>
      </c>
      <c r="E433" s="2801">
        <v>2368.92</v>
      </c>
      <c r="F433" s="2808"/>
      <c r="G433" s="2808"/>
      <c r="H433" s="2808"/>
      <c r="I433" s="2808"/>
      <c r="J433" s="2808"/>
      <c r="K433" s="2808"/>
    </row>
    <row r="434" spans="1:11">
      <c r="A434" s="2800">
        <v>45228</v>
      </c>
      <c r="B434" s="2801" t="s">
        <v>0</v>
      </c>
      <c r="C434" s="2801" t="s">
        <v>0</v>
      </c>
      <c r="D434" s="2801" t="s">
        <v>0</v>
      </c>
      <c r="E434" s="2801" t="s">
        <v>0</v>
      </c>
      <c r="F434" s="2808"/>
      <c r="G434" s="2808"/>
      <c r="H434" s="2808"/>
      <c r="I434" s="2808"/>
      <c r="J434" s="2808"/>
      <c r="K434" s="2808"/>
    </row>
    <row r="435" spans="1:11">
      <c r="A435" s="2800">
        <v>45227</v>
      </c>
      <c r="B435" s="2801" t="s">
        <v>0</v>
      </c>
      <c r="C435" s="2801" t="s">
        <v>0</v>
      </c>
      <c r="D435" s="2801" t="s">
        <v>0</v>
      </c>
      <c r="E435" s="2801" t="s">
        <v>0</v>
      </c>
      <c r="F435" s="2808"/>
      <c r="G435" s="2808"/>
      <c r="H435" s="2808"/>
      <c r="I435" s="2808"/>
      <c r="J435" s="2808"/>
      <c r="K435" s="2808"/>
    </row>
    <row r="436" spans="1:11">
      <c r="A436" s="2800">
        <v>45226</v>
      </c>
      <c r="B436" s="2801">
        <v>34716.5</v>
      </c>
      <c r="C436" s="2801">
        <v>366.4</v>
      </c>
      <c r="D436" s="2801">
        <v>12507.29</v>
      </c>
      <c r="E436" s="2801">
        <v>2363.4299999999998</v>
      </c>
      <c r="F436" s="2808"/>
      <c r="G436" s="2808"/>
      <c r="H436" s="2808"/>
      <c r="I436" s="2808"/>
      <c r="J436" s="2808"/>
      <c r="K436" s="2808"/>
    </row>
    <row r="437" spans="1:11">
      <c r="A437" s="2800">
        <v>45225</v>
      </c>
      <c r="B437" s="2801">
        <v>34585.519999999997</v>
      </c>
      <c r="C437" s="2801">
        <v>363.55</v>
      </c>
      <c r="D437" s="2801">
        <v>12547.96</v>
      </c>
      <c r="E437" s="2801">
        <v>2340.6</v>
      </c>
      <c r="F437" s="2808"/>
      <c r="G437" s="2808"/>
      <c r="H437" s="2808"/>
      <c r="I437" s="2808"/>
      <c r="J437" s="2808"/>
      <c r="K437" s="2808"/>
    </row>
    <row r="438" spans="1:11">
      <c r="A438" s="2800">
        <v>45224</v>
      </c>
      <c r="B438" s="2801">
        <v>35198.980000000003</v>
      </c>
      <c r="C438" s="2801">
        <v>371.33</v>
      </c>
      <c r="D438" s="2801">
        <v>12690.37</v>
      </c>
      <c r="E438" s="2801">
        <v>2365.96</v>
      </c>
      <c r="F438" s="2808"/>
      <c r="G438" s="2808"/>
      <c r="H438" s="2808"/>
      <c r="I438" s="2808"/>
      <c r="J438" s="2808"/>
      <c r="K438" s="2808"/>
    </row>
    <row r="439" spans="1:11">
      <c r="A439" s="2800">
        <v>45223</v>
      </c>
      <c r="B439" s="2801">
        <v>35093.269999999997</v>
      </c>
      <c r="C439" s="2801">
        <v>367.99</v>
      </c>
      <c r="D439" s="2801">
        <v>12826.42</v>
      </c>
      <c r="E439" s="2801">
        <v>2365.11</v>
      </c>
      <c r="F439" s="2808"/>
      <c r="G439" s="2808"/>
      <c r="H439" s="2808"/>
      <c r="I439" s="2808"/>
      <c r="J439" s="2808"/>
      <c r="K439" s="2808"/>
    </row>
    <row r="440" spans="1:11">
      <c r="A440" s="2800">
        <v>45222</v>
      </c>
      <c r="B440" s="2801">
        <v>34967.589999999997</v>
      </c>
      <c r="C440" s="2801">
        <v>364.51</v>
      </c>
      <c r="D440" s="2801">
        <v>12756.58</v>
      </c>
      <c r="E440" s="2801">
        <v>2357.65</v>
      </c>
      <c r="F440" s="2808"/>
      <c r="G440" s="2808"/>
      <c r="H440" s="2808"/>
      <c r="I440" s="2808"/>
      <c r="J440" s="2808"/>
      <c r="K440" s="2808"/>
    </row>
    <row r="441" spans="1:11">
      <c r="A441" s="2800">
        <v>45221</v>
      </c>
      <c r="B441" s="2801" t="s">
        <v>0</v>
      </c>
      <c r="C441" s="2801" t="s">
        <v>0</v>
      </c>
      <c r="D441" s="2801" t="s">
        <v>0</v>
      </c>
      <c r="E441" s="2801" t="s">
        <v>0</v>
      </c>
      <c r="F441" s="2808"/>
      <c r="G441" s="2808"/>
      <c r="H441" s="2808"/>
      <c r="I441" s="2808"/>
      <c r="J441" s="2808"/>
      <c r="K441" s="2808"/>
    </row>
    <row r="442" spans="1:11">
      <c r="A442" s="2800">
        <v>45220</v>
      </c>
      <c r="B442" s="2801" t="s">
        <v>0</v>
      </c>
      <c r="C442" s="2801" t="s">
        <v>0</v>
      </c>
      <c r="D442" s="2801" t="s">
        <v>0</v>
      </c>
      <c r="E442" s="2801" t="s">
        <v>0</v>
      </c>
      <c r="F442" s="2808"/>
      <c r="G442" s="2808"/>
      <c r="H442" s="2808"/>
      <c r="I442" s="2808"/>
      <c r="J442" s="2808"/>
      <c r="K442" s="2808"/>
    </row>
    <row r="443" spans="1:11">
      <c r="A443" s="2800">
        <v>45219</v>
      </c>
      <c r="B443" s="2801">
        <v>35375.040000000001</v>
      </c>
      <c r="C443" s="2801">
        <v>366.29</v>
      </c>
      <c r="D443" s="2801">
        <v>12776.98</v>
      </c>
      <c r="E443" s="2801">
        <v>2377.9299999999998</v>
      </c>
      <c r="F443" s="2808"/>
      <c r="G443" s="2808"/>
      <c r="H443" s="2808"/>
      <c r="I443" s="2808"/>
      <c r="J443" s="2808"/>
      <c r="K443" s="2808"/>
    </row>
    <row r="444" spans="1:11">
      <c r="A444" s="2800">
        <v>45218</v>
      </c>
      <c r="B444" s="2801">
        <v>35400.879999999997</v>
      </c>
      <c r="C444" s="2801">
        <v>368.85</v>
      </c>
      <c r="D444" s="2801">
        <v>12928.72</v>
      </c>
      <c r="E444" s="2801">
        <v>2391.2600000000002</v>
      </c>
      <c r="F444" s="2808"/>
      <c r="G444" s="2808"/>
      <c r="H444" s="2808"/>
      <c r="I444" s="2808"/>
      <c r="J444" s="2808"/>
      <c r="K444" s="2808"/>
    </row>
    <row r="445" spans="1:11">
      <c r="A445" s="2800">
        <v>45217</v>
      </c>
      <c r="B445" s="2801">
        <v>35375.35</v>
      </c>
      <c r="C445" s="2801">
        <v>365.68</v>
      </c>
      <c r="D445" s="2801">
        <v>13053.22</v>
      </c>
      <c r="E445" s="2801">
        <v>2422.87</v>
      </c>
      <c r="F445" s="2808"/>
      <c r="G445" s="2808"/>
      <c r="H445" s="2808"/>
      <c r="I445" s="2808"/>
      <c r="J445" s="2808"/>
      <c r="K445" s="2808"/>
    </row>
    <row r="446" spans="1:11">
      <c r="A446" s="2800">
        <v>45216</v>
      </c>
      <c r="B446" s="2801">
        <v>35809.14</v>
      </c>
      <c r="C446" s="2801">
        <v>370.41</v>
      </c>
      <c r="D446" s="2801">
        <v>13221.32</v>
      </c>
      <c r="E446" s="2801">
        <v>2443.5300000000002</v>
      </c>
      <c r="F446" s="2808"/>
      <c r="G446" s="2808"/>
      <c r="H446" s="2808"/>
      <c r="I446" s="2808"/>
      <c r="J446" s="2808"/>
      <c r="K446" s="2808"/>
    </row>
    <row r="447" spans="1:11">
      <c r="A447" s="2800">
        <v>45215</v>
      </c>
      <c r="B447" s="2801">
        <v>35830</v>
      </c>
      <c r="C447" s="2801">
        <v>371.1</v>
      </c>
      <c r="D447" s="2801">
        <v>13206.34</v>
      </c>
      <c r="E447" s="2801">
        <v>2430.6799999999998</v>
      </c>
      <c r="F447" s="2808"/>
      <c r="G447" s="2808"/>
      <c r="H447" s="2808"/>
      <c r="I447" s="2808"/>
      <c r="J447" s="2808"/>
      <c r="K447" s="2808"/>
    </row>
    <row r="448" spans="1:11">
      <c r="A448" s="2800">
        <v>45214</v>
      </c>
      <c r="B448" s="2801" t="s">
        <v>0</v>
      </c>
      <c r="C448" s="2801" t="s">
        <v>0</v>
      </c>
      <c r="D448" s="2801" t="s">
        <v>0</v>
      </c>
      <c r="E448" s="2801" t="s">
        <v>0</v>
      </c>
      <c r="F448" s="2808"/>
      <c r="G448" s="2808"/>
      <c r="H448" s="2808"/>
      <c r="I448" s="2808"/>
      <c r="J448" s="2808"/>
      <c r="K448" s="2808"/>
    </row>
    <row r="449" spans="1:11">
      <c r="A449" s="2800">
        <v>45213</v>
      </c>
      <c r="B449" s="2801" t="s">
        <v>0</v>
      </c>
      <c r="C449" s="2801" t="s">
        <v>0</v>
      </c>
      <c r="D449" s="2801" t="s">
        <v>0</v>
      </c>
      <c r="E449" s="2801" t="s">
        <v>0</v>
      </c>
      <c r="F449" s="2808"/>
      <c r="G449" s="2808"/>
      <c r="H449" s="2808"/>
      <c r="I449" s="2808"/>
      <c r="J449" s="2808"/>
      <c r="K449" s="2808"/>
    </row>
    <row r="450" spans="1:11">
      <c r="A450" s="2800">
        <v>45212</v>
      </c>
      <c r="B450" s="2801">
        <v>36110.42</v>
      </c>
      <c r="C450" s="2801">
        <v>373.92</v>
      </c>
      <c r="D450" s="2801">
        <v>13099.83</v>
      </c>
      <c r="E450" s="2801">
        <v>2443.77</v>
      </c>
      <c r="F450" s="2808"/>
      <c r="G450" s="2808"/>
      <c r="H450" s="2808"/>
      <c r="I450" s="2808"/>
      <c r="J450" s="2808"/>
      <c r="K450" s="2808"/>
    </row>
    <row r="451" spans="1:11">
      <c r="A451" s="2800">
        <v>45211</v>
      </c>
      <c r="B451" s="2801">
        <v>36203.68</v>
      </c>
      <c r="C451" s="2801">
        <v>374.59</v>
      </c>
      <c r="D451" s="2801">
        <v>13200.03</v>
      </c>
      <c r="E451" s="2801">
        <v>2472.9899999999998</v>
      </c>
      <c r="F451" s="2808"/>
      <c r="G451" s="2808"/>
      <c r="H451" s="2808"/>
      <c r="I451" s="2808"/>
      <c r="J451" s="2808"/>
      <c r="K451" s="2808"/>
    </row>
    <row r="452" spans="1:11">
      <c r="A452" s="2800">
        <v>45210</v>
      </c>
      <c r="B452" s="2801">
        <v>35872.53</v>
      </c>
      <c r="C452" s="2801">
        <v>370.05</v>
      </c>
      <c r="D452" s="2801">
        <v>13269.5</v>
      </c>
      <c r="E452" s="2801">
        <v>2457.64</v>
      </c>
      <c r="F452" s="2808"/>
      <c r="G452" s="2808"/>
      <c r="H452" s="2808"/>
      <c r="I452" s="2808"/>
      <c r="J452" s="2808"/>
      <c r="K452" s="2808"/>
    </row>
    <row r="453" spans="1:11">
      <c r="A453" s="2800">
        <v>45209</v>
      </c>
      <c r="B453" s="2801" t="s">
        <v>0</v>
      </c>
      <c r="C453" s="2801" t="s">
        <v>0</v>
      </c>
      <c r="D453" s="2801">
        <v>13215.95</v>
      </c>
      <c r="E453" s="2801">
        <v>2425.81</v>
      </c>
      <c r="F453" s="2808"/>
      <c r="G453" s="2808"/>
      <c r="H453" s="2808"/>
      <c r="I453" s="2808"/>
      <c r="J453" s="2808"/>
      <c r="K453" s="2808"/>
    </row>
    <row r="454" spans="1:11">
      <c r="A454" s="2800">
        <v>45208</v>
      </c>
      <c r="B454" s="2801" t="s">
        <v>0</v>
      </c>
      <c r="C454" s="2801" t="s">
        <v>0</v>
      </c>
      <c r="D454" s="2801">
        <v>13082.18</v>
      </c>
      <c r="E454" s="2801">
        <v>2402.35</v>
      </c>
      <c r="F454" s="2808"/>
      <c r="G454" s="2808"/>
      <c r="H454" s="2808"/>
      <c r="I454" s="2808"/>
      <c r="J454" s="2808"/>
      <c r="K454" s="2808"/>
    </row>
    <row r="455" spans="1:11">
      <c r="A455" s="2800">
        <v>45207</v>
      </c>
      <c r="B455" s="2801" t="s">
        <v>0</v>
      </c>
      <c r="C455" s="2801" t="s">
        <v>0</v>
      </c>
      <c r="D455" s="2801" t="s">
        <v>0</v>
      </c>
      <c r="E455" s="2801" t="s">
        <v>0</v>
      </c>
      <c r="F455" s="2808"/>
      <c r="G455" s="2808"/>
      <c r="H455" s="2808"/>
      <c r="I455" s="2808"/>
      <c r="J455" s="2808"/>
      <c r="K455" s="2808"/>
    </row>
    <row r="456" spans="1:11">
      <c r="A456" s="2800">
        <v>45206</v>
      </c>
      <c r="B456" s="2801" t="s">
        <v>0</v>
      </c>
      <c r="C456" s="2801" t="s">
        <v>0</v>
      </c>
      <c r="D456" s="2801" t="s">
        <v>0</v>
      </c>
      <c r="E456" s="2801" t="s">
        <v>0</v>
      </c>
      <c r="F456" s="2808"/>
      <c r="G456" s="2808"/>
      <c r="H456" s="2808"/>
      <c r="I456" s="2808"/>
      <c r="J456" s="2808"/>
      <c r="K456" s="2808"/>
    </row>
    <row r="457" spans="1:11">
      <c r="A457" s="2800">
        <v>45205</v>
      </c>
      <c r="B457" s="2801">
        <v>35546.639999999999</v>
      </c>
      <c r="C457" s="2801">
        <v>373.43</v>
      </c>
      <c r="D457" s="2801">
        <v>13020.23</v>
      </c>
      <c r="E457" s="2801">
        <v>2407.2600000000002</v>
      </c>
      <c r="F457" s="2808"/>
      <c r="G457" s="2808"/>
      <c r="H457" s="2808"/>
      <c r="I457" s="2808"/>
      <c r="J457" s="2808"/>
      <c r="K457" s="2808"/>
    </row>
    <row r="458" spans="1:11">
      <c r="A458" s="2800">
        <v>45204</v>
      </c>
      <c r="B458" s="2801">
        <v>35401.949999999997</v>
      </c>
      <c r="C458" s="2801">
        <v>373.54</v>
      </c>
      <c r="D458" s="2801">
        <v>12887.07</v>
      </c>
      <c r="E458" s="2801">
        <v>2388.98</v>
      </c>
      <c r="F458" s="2808"/>
      <c r="G458" s="2808"/>
      <c r="H458" s="2808"/>
      <c r="I458" s="2808"/>
      <c r="J458" s="2808"/>
      <c r="K458" s="2808"/>
    </row>
    <row r="459" spans="1:11">
      <c r="A459" s="2800">
        <v>45203</v>
      </c>
      <c r="B459" s="2801">
        <v>35014.29</v>
      </c>
      <c r="C459" s="2801">
        <v>369.68</v>
      </c>
      <c r="D459" s="2801">
        <v>12859.58</v>
      </c>
      <c r="E459" s="2801">
        <v>2382.88</v>
      </c>
      <c r="F459" s="2808"/>
      <c r="G459" s="2808"/>
      <c r="H459" s="2808"/>
      <c r="I459" s="2808"/>
      <c r="J459" s="2808"/>
      <c r="K459" s="2808"/>
    </row>
    <row r="460" spans="1:11">
      <c r="A460" s="2800">
        <v>45202</v>
      </c>
      <c r="B460" s="2801">
        <v>35403.550000000003</v>
      </c>
      <c r="C460" s="2801">
        <v>371.36</v>
      </c>
      <c r="D460" s="2801">
        <v>12808.13</v>
      </c>
      <c r="E460" s="2801">
        <v>2411.75</v>
      </c>
      <c r="F460" s="2808"/>
      <c r="G460" s="2808"/>
      <c r="H460" s="2808"/>
      <c r="I460" s="2808"/>
      <c r="J460" s="2808"/>
      <c r="K460" s="2808"/>
    </row>
    <row r="461" spans="1:11">
      <c r="A461" s="2800">
        <v>45201</v>
      </c>
      <c r="B461" s="2801">
        <v>35624.870000000003</v>
      </c>
      <c r="C461" s="2801">
        <v>373.27</v>
      </c>
      <c r="D461" s="2801">
        <v>12986.5</v>
      </c>
      <c r="E461" s="2801">
        <v>2443.38</v>
      </c>
      <c r="F461" s="2808"/>
      <c r="G461" s="2808"/>
      <c r="H461" s="2808"/>
      <c r="I461" s="2808"/>
      <c r="J461" s="2808"/>
      <c r="K461" s="2808"/>
    </row>
    <row r="462" spans="1:11">
      <c r="A462" s="2800">
        <v>45200</v>
      </c>
      <c r="B462" s="2801" t="s">
        <v>0</v>
      </c>
      <c r="C462" s="2801" t="s">
        <v>0</v>
      </c>
      <c r="D462" s="2801" t="s">
        <v>0</v>
      </c>
      <c r="E462" s="2801" t="s">
        <v>0</v>
      </c>
      <c r="F462" s="2808"/>
      <c r="G462" s="2808"/>
      <c r="H462" s="2808"/>
      <c r="I462" s="2808"/>
      <c r="J462" s="2808"/>
      <c r="K462" s="2808"/>
    </row>
    <row r="463" spans="1:11">
      <c r="A463" s="2800">
        <v>45199</v>
      </c>
      <c r="B463" s="2801" t="s">
        <v>0</v>
      </c>
      <c r="C463" s="2801" t="s">
        <v>0</v>
      </c>
      <c r="D463" s="2801" t="s">
        <v>0</v>
      </c>
      <c r="E463" s="2801" t="s">
        <v>0</v>
      </c>
      <c r="F463" s="2808"/>
      <c r="G463" s="2808"/>
      <c r="H463" s="2808"/>
      <c r="I463" s="2808"/>
      <c r="J463" s="2808"/>
      <c r="K463" s="2808"/>
    </row>
    <row r="464" spans="1:11">
      <c r="A464" s="2800">
        <v>45198</v>
      </c>
      <c r="B464" s="2801" t="s">
        <v>0</v>
      </c>
      <c r="C464" s="2801" t="s">
        <v>0</v>
      </c>
      <c r="D464" s="2801">
        <v>13052.6</v>
      </c>
      <c r="E464" s="2801">
        <v>2446.67</v>
      </c>
      <c r="F464" s="2808"/>
      <c r="G464" s="2808"/>
      <c r="H464" s="2808"/>
      <c r="I464" s="2808"/>
      <c r="J464" s="2808"/>
      <c r="K464" s="2808"/>
    </row>
    <row r="465" spans="1:11">
      <c r="A465" s="2800">
        <v>45197</v>
      </c>
      <c r="B465" s="2801">
        <v>35186.86</v>
      </c>
      <c r="C465" s="2801">
        <v>368.5</v>
      </c>
      <c r="D465" s="2801">
        <v>13064.13</v>
      </c>
      <c r="E465" s="2801">
        <v>2424.1999999999998</v>
      </c>
      <c r="F465" s="2808"/>
      <c r="G465" s="2808"/>
      <c r="H465" s="2808"/>
      <c r="I465" s="2808"/>
      <c r="J465" s="2808"/>
      <c r="K465" s="2808"/>
    </row>
    <row r="466" spans="1:11">
      <c r="A466" s="2800">
        <v>45196</v>
      </c>
      <c r="B466" s="2801">
        <v>35093.53</v>
      </c>
      <c r="C466" s="2801">
        <v>367.51</v>
      </c>
      <c r="D466" s="2801">
        <v>12985.68</v>
      </c>
      <c r="E466" s="2801">
        <v>2434.86</v>
      </c>
      <c r="F466" s="2808"/>
      <c r="G466" s="2808"/>
      <c r="H466" s="2808"/>
      <c r="I466" s="2808"/>
      <c r="J466" s="2808"/>
      <c r="K466" s="2808"/>
    </row>
    <row r="467" spans="1:11">
      <c r="A467" s="2800">
        <v>45195</v>
      </c>
      <c r="B467" s="2801">
        <v>35019.699999999997</v>
      </c>
      <c r="C467" s="2801">
        <v>366.83</v>
      </c>
      <c r="D467" s="2801">
        <v>13003.7</v>
      </c>
      <c r="E467" s="2801">
        <v>2431.85</v>
      </c>
      <c r="F467" s="2808"/>
      <c r="G467" s="2808"/>
      <c r="H467" s="2808"/>
      <c r="I467" s="2808"/>
      <c r="J467" s="2808"/>
      <c r="K467" s="2808"/>
    </row>
    <row r="468" spans="1:11">
      <c r="A468" s="2800">
        <v>45194</v>
      </c>
      <c r="B468" s="2801">
        <v>35395.68</v>
      </c>
      <c r="C468" s="2801">
        <v>371.41</v>
      </c>
      <c r="D468" s="2801">
        <v>13162.89</v>
      </c>
      <c r="E468" s="2801">
        <v>2457.1799999999998</v>
      </c>
      <c r="F468" s="2808"/>
      <c r="G468" s="2808"/>
      <c r="H468" s="2808"/>
      <c r="I468" s="2808"/>
      <c r="J468" s="2808"/>
      <c r="K468" s="2808"/>
    </row>
    <row r="469" spans="1:11">
      <c r="A469" s="2800">
        <v>45193</v>
      </c>
      <c r="B469" s="2801" t="s">
        <v>0</v>
      </c>
      <c r="C469" s="2801" t="s">
        <v>0</v>
      </c>
      <c r="D469" s="2801" t="s">
        <v>0</v>
      </c>
      <c r="E469" s="2801" t="s">
        <v>0</v>
      </c>
      <c r="F469" s="2808"/>
      <c r="G469" s="2808"/>
      <c r="H469" s="2808"/>
      <c r="I469" s="2808"/>
      <c r="J469" s="2808"/>
      <c r="K469" s="2808"/>
    </row>
    <row r="470" spans="1:11">
      <c r="A470" s="2800">
        <v>45192</v>
      </c>
      <c r="B470" s="2801" t="s">
        <v>0</v>
      </c>
      <c r="C470" s="2801" t="s">
        <v>0</v>
      </c>
      <c r="D470" s="2801" t="s">
        <v>0</v>
      </c>
      <c r="E470" s="2801" t="s">
        <v>0</v>
      </c>
      <c r="F470" s="2808"/>
      <c r="G470" s="2808"/>
      <c r="H470" s="2808"/>
      <c r="I470" s="2808"/>
      <c r="J470" s="2808"/>
      <c r="K470" s="2808"/>
    </row>
    <row r="471" spans="1:11">
      <c r="A471" s="2800">
        <v>45191</v>
      </c>
      <c r="B471" s="2801">
        <v>35163.86</v>
      </c>
      <c r="C471" s="2801">
        <v>368.67</v>
      </c>
      <c r="D471" s="2801">
        <v>13163.01</v>
      </c>
      <c r="E471" s="2801">
        <v>2474.65</v>
      </c>
      <c r="F471" s="2808"/>
      <c r="G471" s="2808"/>
      <c r="H471" s="2808"/>
      <c r="I471" s="2808"/>
      <c r="J471" s="2808"/>
      <c r="K471" s="2808"/>
    </row>
    <row r="472" spans="1:11">
      <c r="A472" s="2800">
        <v>45190</v>
      </c>
      <c r="B472" s="2801">
        <v>35104.04</v>
      </c>
      <c r="C472" s="2801">
        <v>365.09</v>
      </c>
      <c r="D472" s="2801">
        <v>13191.21</v>
      </c>
      <c r="E472" s="2801">
        <v>2453.94</v>
      </c>
      <c r="F472" s="2808"/>
      <c r="G472" s="2808"/>
      <c r="H472" s="2808"/>
      <c r="I472" s="2808"/>
      <c r="J472" s="2808"/>
      <c r="K472" s="2808"/>
    </row>
    <row r="473" spans="1:11">
      <c r="A473" s="2800">
        <v>45189</v>
      </c>
      <c r="B473" s="2801">
        <v>35573.230000000003</v>
      </c>
      <c r="C473" s="2801">
        <v>370.12</v>
      </c>
      <c r="D473" s="2801">
        <v>13420.77</v>
      </c>
      <c r="E473" s="2801">
        <v>2491.4299999999998</v>
      </c>
      <c r="F473" s="2808"/>
      <c r="G473" s="2808"/>
      <c r="H473" s="2808"/>
      <c r="I473" s="2808"/>
      <c r="J473" s="2808"/>
      <c r="K473" s="2808"/>
    </row>
    <row r="474" spans="1:11">
      <c r="A474" s="2800">
        <v>45188</v>
      </c>
      <c r="B474" s="2801">
        <v>35788.879999999997</v>
      </c>
      <c r="C474" s="2801">
        <v>373.9</v>
      </c>
      <c r="D474" s="2801">
        <v>13486.96</v>
      </c>
      <c r="E474" s="2801">
        <v>2500.4899999999998</v>
      </c>
      <c r="F474" s="2808"/>
      <c r="G474" s="2808"/>
      <c r="H474" s="2808"/>
      <c r="I474" s="2808"/>
      <c r="J474" s="2808"/>
      <c r="K474" s="2808"/>
    </row>
    <row r="475" spans="1:11">
      <c r="A475" s="2800">
        <v>45187</v>
      </c>
      <c r="B475" s="2801">
        <v>35921.89</v>
      </c>
      <c r="C475" s="2801">
        <v>376.86</v>
      </c>
      <c r="D475" s="2801">
        <v>13509.57</v>
      </c>
      <c r="E475" s="2801">
        <v>2504.67</v>
      </c>
      <c r="F475" s="2808"/>
      <c r="G475" s="2808"/>
      <c r="H475" s="2808"/>
      <c r="I475" s="2808"/>
      <c r="J475" s="2808"/>
      <c r="K475" s="2808"/>
    </row>
    <row r="476" spans="1:11">
      <c r="A476" s="2800">
        <v>45186</v>
      </c>
      <c r="B476" s="2801" t="s">
        <v>0</v>
      </c>
      <c r="C476" s="2801" t="s">
        <v>0</v>
      </c>
      <c r="D476" s="2801" t="s">
        <v>0</v>
      </c>
      <c r="E476" s="2801" t="s">
        <v>0</v>
      </c>
      <c r="F476" s="2808"/>
      <c r="G476" s="2808"/>
      <c r="H476" s="2808"/>
      <c r="I476" s="2808"/>
      <c r="J476" s="2808"/>
      <c r="K476" s="2808"/>
    </row>
    <row r="477" spans="1:11">
      <c r="A477" s="2800">
        <v>45185</v>
      </c>
      <c r="B477" s="2801" t="s">
        <v>0</v>
      </c>
      <c r="C477" s="2801" t="s">
        <v>0</v>
      </c>
      <c r="D477" s="2801" t="s">
        <v>0</v>
      </c>
      <c r="E477" s="2801" t="s">
        <v>0</v>
      </c>
      <c r="F477" s="2808"/>
      <c r="G477" s="2808"/>
      <c r="H477" s="2808"/>
      <c r="I477" s="2808"/>
      <c r="J477" s="2808"/>
      <c r="K477" s="2808"/>
    </row>
    <row r="478" spans="1:11">
      <c r="A478" s="2800">
        <v>45184</v>
      </c>
      <c r="B478" s="2801">
        <v>36400.92</v>
      </c>
      <c r="C478" s="2801">
        <v>378.61</v>
      </c>
      <c r="D478" s="2801">
        <v>13531.37</v>
      </c>
      <c r="E478" s="2801">
        <v>2527.2199999999998</v>
      </c>
      <c r="F478" s="2808"/>
      <c r="G478" s="2808"/>
      <c r="H478" s="2808"/>
      <c r="I478" s="2808"/>
      <c r="J478" s="2808"/>
      <c r="K478" s="2808"/>
    </row>
    <row r="479" spans="1:11">
      <c r="A479" s="2800">
        <v>45183</v>
      </c>
      <c r="B479" s="2801">
        <v>36157.07</v>
      </c>
      <c r="C479" s="2801">
        <v>378.08</v>
      </c>
      <c r="D479" s="2801">
        <v>13630.21</v>
      </c>
      <c r="E479" s="2801">
        <v>2519.79</v>
      </c>
      <c r="F479" s="2808"/>
      <c r="G479" s="2808"/>
      <c r="H479" s="2808"/>
      <c r="I479" s="2808"/>
      <c r="J479" s="2808"/>
      <c r="K479" s="2808"/>
    </row>
    <row r="480" spans="1:11">
      <c r="A480" s="2800">
        <v>45182</v>
      </c>
      <c r="B480" s="2801">
        <v>35615.46</v>
      </c>
      <c r="C480" s="2801">
        <v>371.82</v>
      </c>
      <c r="D480" s="2801">
        <v>13508.85</v>
      </c>
      <c r="E480" s="2801">
        <v>2499.35</v>
      </c>
      <c r="F480" s="2808"/>
      <c r="G480" s="2808"/>
      <c r="H480" s="2808"/>
      <c r="I480" s="2808"/>
      <c r="J480" s="2808"/>
      <c r="K480" s="2808"/>
    </row>
    <row r="481" spans="1:11">
      <c r="A481" s="2800">
        <v>45181</v>
      </c>
      <c r="B481" s="2801">
        <v>35595.96</v>
      </c>
      <c r="C481" s="2801">
        <v>368.28</v>
      </c>
      <c r="D481" s="2801">
        <v>13504.14</v>
      </c>
      <c r="E481" s="2801">
        <v>2501.5100000000002</v>
      </c>
      <c r="F481" s="2808"/>
      <c r="G481" s="2808"/>
      <c r="H481" s="2808"/>
      <c r="I481" s="2808"/>
      <c r="J481" s="2808"/>
      <c r="K481" s="2808"/>
    </row>
    <row r="482" spans="1:11">
      <c r="A482" s="2800">
        <v>45180</v>
      </c>
      <c r="B482" s="2801">
        <v>35295.47</v>
      </c>
      <c r="C482" s="2801">
        <v>366.72</v>
      </c>
      <c r="D482" s="2801">
        <v>13565.77</v>
      </c>
      <c r="E482" s="2801">
        <v>2505.6999999999998</v>
      </c>
      <c r="F482" s="2808"/>
      <c r="G482" s="2808"/>
      <c r="H482" s="2808"/>
      <c r="I482" s="2808"/>
      <c r="J482" s="2808"/>
      <c r="K482" s="2808"/>
    </row>
    <row r="483" spans="1:11">
      <c r="A483" s="2800">
        <v>45179</v>
      </c>
      <c r="B483" s="2801" t="s">
        <v>0</v>
      </c>
      <c r="C483" s="2801" t="s">
        <v>0</v>
      </c>
      <c r="D483" s="2801" t="s">
        <v>0</v>
      </c>
      <c r="E483" s="2801" t="s">
        <v>0</v>
      </c>
      <c r="F483" s="2808"/>
      <c r="G483" s="2808"/>
      <c r="H483" s="2808"/>
      <c r="I483" s="2808"/>
      <c r="J483" s="2808"/>
      <c r="K483" s="2808"/>
    </row>
    <row r="484" spans="1:11">
      <c r="A484" s="2800">
        <v>45178</v>
      </c>
      <c r="B484" s="2801" t="s">
        <v>0</v>
      </c>
      <c r="C484" s="2801" t="s">
        <v>0</v>
      </c>
      <c r="D484" s="2801" t="s">
        <v>0</v>
      </c>
      <c r="E484" s="2801" t="s">
        <v>0</v>
      </c>
      <c r="F484" s="2808"/>
      <c r="G484" s="2808"/>
      <c r="H484" s="2808"/>
      <c r="I484" s="2808"/>
      <c r="J484" s="2808"/>
      <c r="K484" s="2808"/>
    </row>
    <row r="485" spans="1:11">
      <c r="A485" s="2800">
        <v>45177</v>
      </c>
      <c r="B485" s="2801">
        <v>35593.17</v>
      </c>
      <c r="C485" s="2801">
        <v>370.46</v>
      </c>
      <c r="D485" s="2801">
        <v>13471.14</v>
      </c>
      <c r="E485" s="2801">
        <v>2495.62</v>
      </c>
      <c r="F485" s="2808"/>
      <c r="G485" s="2808"/>
      <c r="H485" s="2808"/>
      <c r="I485" s="2808"/>
      <c r="J485" s="2808"/>
      <c r="K485" s="2808"/>
    </row>
    <row r="486" spans="1:11">
      <c r="A486" s="2800">
        <v>45176</v>
      </c>
      <c r="B486" s="2801">
        <v>35685.61</v>
      </c>
      <c r="C486" s="2801">
        <v>372.92</v>
      </c>
      <c r="D486" s="2801">
        <v>13462.74</v>
      </c>
      <c r="E486" s="2801">
        <v>2494.91</v>
      </c>
      <c r="F486" s="2808"/>
      <c r="G486" s="2808"/>
      <c r="H486" s="2808"/>
      <c r="I486" s="2808"/>
      <c r="J486" s="2808"/>
      <c r="K486" s="2808"/>
    </row>
    <row r="487" spans="1:11">
      <c r="A487" s="2800">
        <v>45175</v>
      </c>
      <c r="B487" s="2801">
        <v>35940.089999999997</v>
      </c>
      <c r="C487" s="2801">
        <v>374.09</v>
      </c>
      <c r="D487" s="2801">
        <v>13500.09</v>
      </c>
      <c r="E487" s="2801">
        <v>2514.6</v>
      </c>
      <c r="F487" s="2808"/>
      <c r="G487" s="2808"/>
      <c r="H487" s="2808"/>
      <c r="I487" s="2808"/>
      <c r="J487" s="2808"/>
      <c r="K487" s="2808"/>
    </row>
    <row r="488" spans="1:11">
      <c r="A488" s="2800">
        <v>45174</v>
      </c>
      <c r="B488" s="2801">
        <v>36054.19</v>
      </c>
      <c r="C488" s="2801">
        <v>373.57</v>
      </c>
      <c r="D488" s="2801">
        <v>13580.28</v>
      </c>
      <c r="E488" s="2801">
        <v>2525.6</v>
      </c>
      <c r="F488" s="2808"/>
      <c r="G488" s="2808"/>
      <c r="H488" s="2808"/>
      <c r="I488" s="2808"/>
      <c r="J488" s="2808"/>
      <c r="K488" s="2808"/>
    </row>
    <row r="489" spans="1:11">
      <c r="A489" s="2800">
        <v>45173</v>
      </c>
      <c r="B489" s="2801">
        <v>36049.5</v>
      </c>
      <c r="C489" s="2801">
        <v>371.48</v>
      </c>
      <c r="D489" s="2801">
        <v>13656.04</v>
      </c>
      <c r="E489" s="2801">
        <v>2550.29</v>
      </c>
      <c r="F489" s="2808"/>
      <c r="G489" s="2808"/>
      <c r="H489" s="2808"/>
      <c r="I489" s="2808"/>
      <c r="J489" s="2808"/>
      <c r="K489" s="2808"/>
    </row>
    <row r="490" spans="1:11">
      <c r="A490" s="2800">
        <v>45172</v>
      </c>
      <c r="B490" s="2801" t="s">
        <v>0</v>
      </c>
      <c r="C490" s="2801" t="s">
        <v>0</v>
      </c>
      <c r="D490" s="2801" t="s">
        <v>0</v>
      </c>
      <c r="E490" s="2801" t="s">
        <v>0</v>
      </c>
      <c r="F490" s="2808"/>
      <c r="G490" s="2808"/>
      <c r="H490" s="2808"/>
      <c r="I490" s="2808"/>
      <c r="J490" s="2808"/>
      <c r="K490" s="2808"/>
    </row>
    <row r="491" spans="1:11">
      <c r="A491" s="2800">
        <v>45171</v>
      </c>
      <c r="B491" s="2801" t="s">
        <v>0</v>
      </c>
      <c r="C491" s="2801" t="s">
        <v>0</v>
      </c>
      <c r="D491" s="2801" t="s">
        <v>0</v>
      </c>
      <c r="E491" s="2801" t="s">
        <v>0</v>
      </c>
      <c r="F491" s="2808"/>
      <c r="G491" s="2808"/>
      <c r="H491" s="2808"/>
      <c r="I491" s="2808"/>
      <c r="J491" s="2808"/>
      <c r="K491" s="2808"/>
    </row>
    <row r="492" spans="1:11">
      <c r="A492" s="2800">
        <v>45170</v>
      </c>
      <c r="B492" s="2801">
        <v>35737.71</v>
      </c>
      <c r="C492" s="2801">
        <v>369.06</v>
      </c>
      <c r="D492" s="2801">
        <v>13652.58</v>
      </c>
      <c r="E492" s="2801">
        <v>2525.0700000000002</v>
      </c>
      <c r="F492" s="2808"/>
      <c r="G492" s="2808"/>
      <c r="H492" s="2808"/>
      <c r="I492" s="2808"/>
      <c r="J492" s="2808"/>
      <c r="K492" s="2808"/>
    </row>
    <row r="493" spans="1:11">
      <c r="A493" s="2800">
        <v>45169</v>
      </c>
      <c r="B493" s="2801">
        <v>35715.18</v>
      </c>
      <c r="C493" s="2801">
        <v>368.36</v>
      </c>
      <c r="D493" s="2801">
        <v>13636.08</v>
      </c>
      <c r="E493" s="2801">
        <v>2511.33</v>
      </c>
      <c r="F493" s="2808"/>
      <c r="G493" s="2808"/>
      <c r="H493" s="2808"/>
      <c r="I493" s="2808"/>
      <c r="J493" s="2808"/>
      <c r="K493" s="2808"/>
    </row>
    <row r="494" spans="1:11">
      <c r="A494" s="2800">
        <v>45168</v>
      </c>
      <c r="B494" s="2801">
        <v>35893.629999999997</v>
      </c>
      <c r="C494" s="2801">
        <v>365.94</v>
      </c>
      <c r="D494" s="2801">
        <v>13657.42</v>
      </c>
      <c r="E494" s="2801">
        <v>2531.6999999999998</v>
      </c>
      <c r="F494" s="2808"/>
      <c r="G494" s="2808"/>
      <c r="H494" s="2808"/>
      <c r="I494" s="2808"/>
      <c r="J494" s="2808"/>
      <c r="K494" s="2808"/>
    </row>
    <row r="495" spans="1:11">
      <c r="A495" s="2800">
        <v>45167</v>
      </c>
      <c r="B495" s="2801">
        <v>35686.65</v>
      </c>
      <c r="C495" s="2801">
        <v>361.13</v>
      </c>
      <c r="D495" s="2801">
        <v>13582.12</v>
      </c>
      <c r="E495" s="2801">
        <v>2529.83</v>
      </c>
      <c r="F495" s="2808"/>
      <c r="G495" s="2808"/>
      <c r="H495" s="2808"/>
      <c r="I495" s="2808"/>
      <c r="J495" s="2808"/>
      <c r="K495" s="2808"/>
    </row>
    <row r="496" spans="1:11">
      <c r="A496" s="2800">
        <v>45166</v>
      </c>
      <c r="B496" s="2801">
        <v>35435.949999999997</v>
      </c>
      <c r="C496" s="2801">
        <v>357.82</v>
      </c>
      <c r="D496" s="2801">
        <v>13399.76</v>
      </c>
      <c r="E496" s="2801">
        <v>2505.4899999999998</v>
      </c>
      <c r="F496" s="2808"/>
      <c r="G496" s="2808"/>
      <c r="H496" s="2808"/>
      <c r="I496" s="2808"/>
      <c r="J496" s="2808"/>
      <c r="K496" s="2808"/>
    </row>
    <row r="497" spans="1:11">
      <c r="A497" s="2800">
        <v>45165</v>
      </c>
      <c r="B497" s="2801" t="s">
        <v>0</v>
      </c>
      <c r="C497" s="2801" t="s">
        <v>0</v>
      </c>
      <c r="D497" s="2801" t="s">
        <v>0</v>
      </c>
      <c r="E497" s="2801" t="s">
        <v>0</v>
      </c>
      <c r="F497" s="2808"/>
      <c r="G497" s="2808"/>
      <c r="H497" s="2808"/>
      <c r="I497" s="2808"/>
      <c r="J497" s="2808"/>
      <c r="K497" s="2808"/>
    </row>
    <row r="498" spans="1:11">
      <c r="A498" s="2800">
        <v>45164</v>
      </c>
      <c r="B498" s="2801" t="s">
        <v>0</v>
      </c>
      <c r="C498" s="2801" t="s">
        <v>0</v>
      </c>
      <c r="D498" s="2801" t="s">
        <v>0</v>
      </c>
      <c r="E498" s="2801" t="s">
        <v>0</v>
      </c>
      <c r="F498" s="2808"/>
      <c r="G498" s="2808"/>
      <c r="H498" s="2808"/>
      <c r="I498" s="2808"/>
      <c r="J498" s="2808"/>
      <c r="K498" s="2808"/>
    </row>
    <row r="499" spans="1:11">
      <c r="A499" s="2800">
        <v>45163</v>
      </c>
      <c r="B499" s="2801">
        <v>35370.65</v>
      </c>
      <c r="C499" s="2801">
        <v>358.82</v>
      </c>
      <c r="D499" s="2801">
        <v>13291.16</v>
      </c>
      <c r="E499" s="2801">
        <v>2487.35</v>
      </c>
      <c r="F499" s="2808"/>
      <c r="G499" s="2808"/>
      <c r="H499" s="2808"/>
      <c r="I499" s="2808"/>
      <c r="J499" s="2808"/>
      <c r="K499" s="2808"/>
    </row>
    <row r="500" spans="1:11">
      <c r="A500" s="2800">
        <v>45162</v>
      </c>
      <c r="B500" s="2801">
        <v>35984.99</v>
      </c>
      <c r="C500" s="2801">
        <v>360.45</v>
      </c>
      <c r="D500" s="2801">
        <v>13263.89</v>
      </c>
      <c r="E500" s="2801">
        <v>2516.0500000000002</v>
      </c>
      <c r="F500" s="2808"/>
      <c r="G500" s="2808"/>
      <c r="H500" s="2808"/>
      <c r="I500" s="2808"/>
      <c r="J500" s="2808"/>
      <c r="K500" s="2808"/>
    </row>
    <row r="501" spans="1:11">
      <c r="A501" s="2800">
        <v>45161</v>
      </c>
      <c r="B501" s="2801">
        <v>35563.32</v>
      </c>
      <c r="C501" s="2801">
        <v>358.95</v>
      </c>
      <c r="D501" s="2801">
        <v>13406.42</v>
      </c>
      <c r="E501" s="2801">
        <v>2484.87</v>
      </c>
      <c r="F501" s="2808"/>
      <c r="G501" s="2808"/>
      <c r="H501" s="2808"/>
      <c r="I501" s="2808"/>
      <c r="J501" s="2808"/>
      <c r="K501" s="2808"/>
    </row>
    <row r="502" spans="1:11">
      <c r="A502" s="2800">
        <v>45160</v>
      </c>
      <c r="B502" s="2801">
        <v>35262.22</v>
      </c>
      <c r="C502" s="2801">
        <v>357.79</v>
      </c>
      <c r="D502" s="2801">
        <v>13276.01</v>
      </c>
      <c r="E502" s="2801">
        <v>2475.7600000000002</v>
      </c>
      <c r="F502" s="2808"/>
      <c r="G502" s="2808"/>
      <c r="H502" s="2808"/>
      <c r="I502" s="2808"/>
      <c r="J502" s="2808"/>
      <c r="K502" s="2808"/>
    </row>
    <row r="503" spans="1:11">
      <c r="A503" s="2800">
        <v>45159</v>
      </c>
      <c r="B503" s="2801">
        <v>35141.56</v>
      </c>
      <c r="C503" s="2801">
        <v>359.01</v>
      </c>
      <c r="D503" s="2801">
        <v>13281.79</v>
      </c>
      <c r="E503" s="2801">
        <v>2457.2800000000002</v>
      </c>
      <c r="F503" s="2808"/>
      <c r="G503" s="2808"/>
      <c r="H503" s="2808"/>
      <c r="I503" s="2808"/>
      <c r="J503" s="2808"/>
      <c r="K503" s="2808"/>
    </row>
    <row r="504" spans="1:11">
      <c r="A504" s="2800">
        <v>45158</v>
      </c>
      <c r="B504" s="2801" t="s">
        <v>0</v>
      </c>
      <c r="C504" s="2801" t="s">
        <v>0</v>
      </c>
      <c r="D504" s="2801" t="s">
        <v>0</v>
      </c>
      <c r="E504" s="2801" t="s">
        <v>0</v>
      </c>
      <c r="F504" s="2808"/>
      <c r="G504" s="2808"/>
      <c r="H504" s="2808"/>
      <c r="I504" s="2808"/>
      <c r="J504" s="2808"/>
      <c r="K504" s="2808"/>
    </row>
    <row r="505" spans="1:11">
      <c r="A505" s="2800">
        <v>45157</v>
      </c>
      <c r="B505" s="2801" t="s">
        <v>0</v>
      </c>
      <c r="C505" s="2801" t="s">
        <v>0</v>
      </c>
      <c r="D505" s="2801" t="s">
        <v>0</v>
      </c>
      <c r="E505" s="2801" t="s">
        <v>0</v>
      </c>
      <c r="F505" s="2808"/>
      <c r="G505" s="2808"/>
      <c r="H505" s="2808"/>
      <c r="I505" s="2808"/>
      <c r="J505" s="2808"/>
      <c r="K505" s="2808"/>
    </row>
    <row r="506" spans="1:11">
      <c r="A506" s="2800">
        <v>45156</v>
      </c>
      <c r="B506" s="2801">
        <v>35141</v>
      </c>
      <c r="C506" s="2801">
        <v>358.71</v>
      </c>
      <c r="D506" s="2801">
        <v>13222.14</v>
      </c>
      <c r="E506" s="2801">
        <v>2469.02</v>
      </c>
      <c r="F506" s="2808"/>
      <c r="G506" s="2808"/>
      <c r="H506" s="2808"/>
      <c r="I506" s="2808"/>
      <c r="J506" s="2808"/>
      <c r="K506" s="2808"/>
    </row>
    <row r="507" spans="1:11">
      <c r="A507" s="2800">
        <v>45155</v>
      </c>
      <c r="B507" s="2801">
        <v>35428.050000000003</v>
      </c>
      <c r="C507" s="2801">
        <v>362.5</v>
      </c>
      <c r="D507" s="2801">
        <v>13240.86</v>
      </c>
      <c r="E507" s="2801">
        <v>2492.9899999999998</v>
      </c>
      <c r="F507" s="2808"/>
      <c r="G507" s="2808"/>
      <c r="H507" s="2808"/>
      <c r="I507" s="2808"/>
      <c r="J507" s="2808"/>
      <c r="K507" s="2808"/>
    </row>
    <row r="508" spans="1:11">
      <c r="A508" s="2800">
        <v>45154</v>
      </c>
      <c r="B508" s="2801">
        <v>35269.75</v>
      </c>
      <c r="C508" s="2801">
        <v>357.61</v>
      </c>
      <c r="D508" s="2801">
        <v>13346.89</v>
      </c>
      <c r="E508" s="2801">
        <v>2497.67</v>
      </c>
      <c r="F508" s="2808"/>
      <c r="G508" s="2808"/>
      <c r="H508" s="2808"/>
      <c r="I508" s="2808"/>
      <c r="J508" s="2808"/>
      <c r="K508" s="2808"/>
    </row>
    <row r="509" spans="1:11">
      <c r="A509" s="2800">
        <v>45153</v>
      </c>
      <c r="B509" s="2801">
        <v>35282.85</v>
      </c>
      <c r="C509" s="2801">
        <v>356.98</v>
      </c>
      <c r="D509" s="2801">
        <v>13447.83</v>
      </c>
      <c r="E509" s="2801">
        <v>2513</v>
      </c>
      <c r="F509" s="2808"/>
      <c r="G509" s="2808"/>
      <c r="H509" s="2808"/>
      <c r="I509" s="2808"/>
      <c r="J509" s="2808"/>
      <c r="K509" s="2808"/>
    </row>
    <row r="510" spans="1:11">
      <c r="A510" s="2800">
        <v>45152</v>
      </c>
      <c r="B510" s="2801">
        <v>35151.089999999997</v>
      </c>
      <c r="C510" s="2801">
        <v>353.79</v>
      </c>
      <c r="D510" s="2801">
        <v>13577</v>
      </c>
      <c r="E510" s="2801">
        <v>2524.42</v>
      </c>
      <c r="F510" s="2808"/>
      <c r="G510" s="2808"/>
      <c r="H510" s="2808"/>
      <c r="I510" s="2808"/>
      <c r="J510" s="2808"/>
      <c r="K510" s="2808"/>
    </row>
    <row r="511" spans="1:11">
      <c r="A511" s="2800">
        <v>45151</v>
      </c>
      <c r="B511" s="2801" t="s">
        <v>0</v>
      </c>
      <c r="C511" s="2801" t="s">
        <v>0</v>
      </c>
      <c r="D511" s="2801" t="s">
        <v>0</v>
      </c>
      <c r="E511" s="2801" t="s">
        <v>0</v>
      </c>
      <c r="F511" s="2808"/>
      <c r="G511" s="2808"/>
      <c r="H511" s="2808"/>
      <c r="I511" s="2808"/>
      <c r="J511" s="2808"/>
      <c r="K511" s="2808"/>
    </row>
    <row r="512" spans="1:11">
      <c r="A512" s="2800">
        <v>45150</v>
      </c>
      <c r="B512" s="2801" t="s">
        <v>0</v>
      </c>
      <c r="C512" s="2801" t="s">
        <v>0</v>
      </c>
      <c r="D512" s="2801" t="s">
        <v>0</v>
      </c>
      <c r="E512" s="2801" t="s">
        <v>0</v>
      </c>
      <c r="F512" s="2808"/>
      <c r="G512" s="2808"/>
      <c r="H512" s="2808"/>
      <c r="I512" s="2808"/>
      <c r="J512" s="2808"/>
      <c r="K512" s="2808"/>
    </row>
    <row r="513" spans="1:11">
      <c r="A513" s="2800">
        <v>45149</v>
      </c>
      <c r="B513" s="2801">
        <v>35596.18</v>
      </c>
      <c r="C513" s="2801">
        <v>362.05</v>
      </c>
      <c r="D513" s="2801">
        <v>13556.72</v>
      </c>
      <c r="E513" s="2801">
        <v>2552.8000000000002</v>
      </c>
      <c r="F513" s="2808"/>
      <c r="G513" s="2808"/>
      <c r="H513" s="2808"/>
      <c r="I513" s="2808"/>
      <c r="J513" s="2808"/>
      <c r="K513" s="2808"/>
    </row>
    <row r="514" spans="1:11">
      <c r="A514" s="2800">
        <v>45148</v>
      </c>
      <c r="B514" s="2801">
        <v>35659.69</v>
      </c>
      <c r="C514" s="2801">
        <v>362.48</v>
      </c>
      <c r="D514" s="2801">
        <v>13610.11</v>
      </c>
      <c r="E514" s="2801">
        <v>2579.66</v>
      </c>
      <c r="F514" s="2808"/>
      <c r="G514" s="2808"/>
      <c r="H514" s="2808"/>
      <c r="I514" s="2808"/>
      <c r="J514" s="2808"/>
      <c r="K514" s="2808"/>
    </row>
    <row r="515" spans="1:11">
      <c r="A515" s="2800">
        <v>45147</v>
      </c>
      <c r="B515" s="2801">
        <v>36142.32</v>
      </c>
      <c r="C515" s="2801">
        <v>370.14</v>
      </c>
      <c r="D515" s="2801">
        <v>13567.42</v>
      </c>
      <c r="E515" s="2801">
        <v>2579.44</v>
      </c>
      <c r="F515" s="2808"/>
      <c r="G515" s="2808"/>
      <c r="H515" s="2808"/>
      <c r="I515" s="2808"/>
      <c r="J515" s="2808"/>
      <c r="K515" s="2808"/>
    </row>
    <row r="516" spans="1:11">
      <c r="A516" s="2800">
        <v>45146</v>
      </c>
      <c r="B516" s="2801">
        <v>36145.480000000003</v>
      </c>
      <c r="C516" s="2801">
        <v>371.81</v>
      </c>
      <c r="D516" s="2801">
        <v>13620.36</v>
      </c>
      <c r="E516" s="2801">
        <v>2566.71</v>
      </c>
      <c r="F516" s="2808"/>
      <c r="G516" s="2808"/>
      <c r="H516" s="2808"/>
      <c r="I516" s="2808"/>
      <c r="J516" s="2808"/>
      <c r="K516" s="2808"/>
    </row>
    <row r="517" spans="1:11">
      <c r="A517" s="2800">
        <v>45145</v>
      </c>
      <c r="B517" s="2801">
        <v>36399.79</v>
      </c>
      <c r="C517" s="2801">
        <v>375.39</v>
      </c>
      <c r="D517" s="2801">
        <v>13691.63</v>
      </c>
      <c r="E517" s="2801">
        <v>2598.77</v>
      </c>
      <c r="F517" s="2808"/>
      <c r="G517" s="2808"/>
      <c r="H517" s="2808"/>
      <c r="I517" s="2808"/>
      <c r="J517" s="2808"/>
      <c r="K517" s="2808"/>
    </row>
    <row r="518" spans="1:11">
      <c r="A518" s="2800">
        <v>45144</v>
      </c>
      <c r="B518" s="2801" t="s">
        <v>0</v>
      </c>
      <c r="C518" s="2801" t="s">
        <v>0</v>
      </c>
      <c r="D518" s="2801" t="s">
        <v>0</v>
      </c>
      <c r="E518" s="2801" t="s">
        <v>0</v>
      </c>
      <c r="F518" s="2808"/>
      <c r="G518" s="2808"/>
      <c r="H518" s="2808"/>
      <c r="I518" s="2808"/>
      <c r="J518" s="2808"/>
      <c r="K518" s="2808"/>
    </row>
    <row r="519" spans="1:11">
      <c r="A519" s="2800">
        <v>45143</v>
      </c>
      <c r="B519" s="2801" t="s">
        <v>0</v>
      </c>
      <c r="C519" s="2801" t="s">
        <v>0</v>
      </c>
      <c r="D519" s="2801" t="s">
        <v>0</v>
      </c>
      <c r="E519" s="2801" t="s">
        <v>0</v>
      </c>
      <c r="F519" s="2808"/>
      <c r="G519" s="2808"/>
      <c r="H519" s="2808"/>
      <c r="I519" s="2808"/>
      <c r="J519" s="2808"/>
      <c r="K519" s="2808"/>
    </row>
    <row r="520" spans="1:11">
      <c r="A520" s="2800">
        <v>45142</v>
      </c>
      <c r="B520" s="2801">
        <v>36072.730000000003</v>
      </c>
      <c r="C520" s="2801">
        <v>373.25</v>
      </c>
      <c r="D520" s="2801">
        <v>13612.5</v>
      </c>
      <c r="E520" s="2801">
        <v>2602.86</v>
      </c>
      <c r="F520" s="2808"/>
      <c r="G520" s="2808"/>
      <c r="H520" s="2808"/>
      <c r="I520" s="2808"/>
      <c r="J520" s="2808"/>
      <c r="K520" s="2808"/>
    </row>
    <row r="521" spans="1:11">
      <c r="A521" s="2800">
        <v>45141</v>
      </c>
      <c r="B521" s="2801" t="s">
        <v>0</v>
      </c>
      <c r="C521" s="2801" t="s">
        <v>0</v>
      </c>
      <c r="D521" s="2801">
        <v>13628</v>
      </c>
      <c r="E521" s="2801">
        <v>2596.6799999999998</v>
      </c>
      <c r="F521" s="2808"/>
      <c r="G521" s="2808"/>
      <c r="H521" s="2808"/>
      <c r="I521" s="2808"/>
      <c r="J521" s="2808"/>
      <c r="K521" s="2808"/>
    </row>
    <row r="522" spans="1:11">
      <c r="A522" s="2800">
        <v>45140</v>
      </c>
      <c r="B522" s="2801">
        <v>36133.379999999997</v>
      </c>
      <c r="C522" s="2801">
        <v>370.68</v>
      </c>
      <c r="D522" s="2801">
        <v>13674.08</v>
      </c>
      <c r="E522" s="2801">
        <v>2607.3000000000002</v>
      </c>
      <c r="F522" s="2808"/>
      <c r="G522" s="2808"/>
      <c r="H522" s="2808"/>
      <c r="I522" s="2808"/>
      <c r="J522" s="2808"/>
      <c r="K522" s="2808"/>
    </row>
    <row r="523" spans="1:11">
      <c r="A523" s="2800">
        <v>45139</v>
      </c>
      <c r="B523" s="2801">
        <v>36810.67</v>
      </c>
      <c r="C523" s="2801">
        <v>379</v>
      </c>
      <c r="D523" s="2801">
        <v>13892.82</v>
      </c>
      <c r="E523" s="2801">
        <v>2665.93</v>
      </c>
      <c r="F523" s="2808"/>
      <c r="G523" s="2808"/>
      <c r="H523" s="2808"/>
      <c r="I523" s="2808"/>
      <c r="J523" s="2808"/>
      <c r="K523" s="2808"/>
    </row>
    <row r="524" spans="1:11">
      <c r="A524" s="2800">
        <v>45138</v>
      </c>
      <c r="B524" s="2801">
        <v>36654.26</v>
      </c>
      <c r="C524" s="2801">
        <v>381.39</v>
      </c>
      <c r="D524" s="2801">
        <v>13963.89</v>
      </c>
      <c r="E524" s="2801">
        <v>2675.36</v>
      </c>
      <c r="F524" s="2808"/>
      <c r="G524" s="2808"/>
      <c r="H524" s="2808"/>
      <c r="I524" s="2808"/>
      <c r="J524" s="2808"/>
      <c r="K524" s="2808"/>
    </row>
    <row r="525" spans="1:11">
      <c r="A525" s="2800">
        <v>45137</v>
      </c>
      <c r="B525" s="2801" t="s">
        <v>0</v>
      </c>
      <c r="C525" s="2801" t="s">
        <v>0</v>
      </c>
      <c r="D525" s="2801" t="s">
        <v>0</v>
      </c>
      <c r="E525" s="2801" t="s">
        <v>0</v>
      </c>
      <c r="F525" s="2808"/>
      <c r="G525" s="2808"/>
      <c r="H525" s="2808"/>
      <c r="I525" s="2808"/>
      <c r="J525" s="2808"/>
      <c r="K525" s="2808"/>
    </row>
    <row r="526" spans="1:11">
      <c r="A526" s="2800">
        <v>45136</v>
      </c>
      <c r="B526" s="2801" t="s">
        <v>0</v>
      </c>
      <c r="C526" s="2801" t="s">
        <v>0</v>
      </c>
      <c r="D526" s="2801" t="s">
        <v>0</v>
      </c>
      <c r="E526" s="2801" t="s">
        <v>0</v>
      </c>
      <c r="F526" s="2808"/>
      <c r="G526" s="2808"/>
      <c r="H526" s="2808"/>
      <c r="I526" s="2808"/>
      <c r="J526" s="2808"/>
      <c r="K526" s="2808"/>
    </row>
    <row r="527" spans="1:11">
      <c r="A527" s="2800">
        <v>45135</v>
      </c>
      <c r="B527" s="2801">
        <v>36966.99</v>
      </c>
      <c r="C527" s="2801">
        <v>384.92</v>
      </c>
      <c r="D527" s="2801">
        <v>13934.14</v>
      </c>
      <c r="E527" s="2801">
        <v>2665.73</v>
      </c>
      <c r="F527" s="2808"/>
      <c r="G527" s="2808"/>
      <c r="H527" s="2808"/>
      <c r="I527" s="2808"/>
      <c r="J527" s="2808"/>
      <c r="K527" s="2808"/>
    </row>
    <row r="528" spans="1:11">
      <c r="A528" s="2800">
        <v>45134</v>
      </c>
      <c r="B528" s="2801">
        <v>36852.39</v>
      </c>
      <c r="C528" s="2801">
        <v>381.44</v>
      </c>
      <c r="D528" s="2801">
        <v>13826.3</v>
      </c>
      <c r="E528" s="2801">
        <v>2644.95</v>
      </c>
      <c r="F528" s="2808"/>
      <c r="G528" s="2808"/>
      <c r="H528" s="2808"/>
      <c r="I528" s="2808"/>
      <c r="J528" s="2808"/>
      <c r="K528" s="2808"/>
    </row>
    <row r="529" spans="1:11">
      <c r="A529" s="2800">
        <v>45133</v>
      </c>
      <c r="B529" s="2801">
        <v>36671.300000000003</v>
      </c>
      <c r="C529" s="2801">
        <v>377.2</v>
      </c>
      <c r="D529" s="2801">
        <v>13872.12</v>
      </c>
      <c r="E529" s="2801">
        <v>2636.51</v>
      </c>
      <c r="F529" s="2808"/>
      <c r="G529" s="2808"/>
      <c r="H529" s="2808"/>
      <c r="I529" s="2808"/>
      <c r="J529" s="2808"/>
      <c r="K529" s="2808"/>
    </row>
    <row r="530" spans="1:11">
      <c r="A530" s="2800">
        <v>45132</v>
      </c>
      <c r="B530" s="2801">
        <v>36728.74</v>
      </c>
      <c r="C530" s="2801">
        <v>382.84</v>
      </c>
      <c r="D530" s="2801">
        <v>13875.07</v>
      </c>
      <c r="E530" s="2801">
        <v>2637.12</v>
      </c>
      <c r="F530" s="2808"/>
      <c r="G530" s="2808"/>
      <c r="H530" s="2808"/>
      <c r="I530" s="2808"/>
      <c r="J530" s="2808"/>
      <c r="K530" s="2808"/>
    </row>
    <row r="531" spans="1:11">
      <c r="A531" s="2800">
        <v>45131</v>
      </c>
      <c r="B531" s="2801">
        <v>36365.21</v>
      </c>
      <c r="C531" s="2801">
        <v>380.15</v>
      </c>
      <c r="D531" s="2801">
        <v>13838.33</v>
      </c>
      <c r="E531" s="2801">
        <v>2588.96</v>
      </c>
      <c r="F531" s="2808"/>
      <c r="G531" s="2808"/>
      <c r="H531" s="2808"/>
      <c r="I531" s="2808"/>
      <c r="J531" s="2808"/>
      <c r="K531" s="2808"/>
    </row>
    <row r="532" spans="1:11">
      <c r="A532" s="2800">
        <v>45130</v>
      </c>
      <c r="B532" s="2801" t="s">
        <v>0</v>
      </c>
      <c r="C532" s="2801" t="s">
        <v>0</v>
      </c>
      <c r="D532" s="2801" t="s">
        <v>0</v>
      </c>
      <c r="E532" s="2801" t="s">
        <v>0</v>
      </c>
      <c r="F532" s="2808"/>
      <c r="G532" s="2808"/>
      <c r="H532" s="2808"/>
      <c r="I532" s="2808"/>
      <c r="J532" s="2808"/>
      <c r="K532" s="2808"/>
    </row>
    <row r="533" spans="1:11">
      <c r="A533" s="2800">
        <v>45129</v>
      </c>
      <c r="B533" s="2801" t="s">
        <v>0</v>
      </c>
      <c r="C533" s="2801" t="s">
        <v>0</v>
      </c>
      <c r="D533" s="2801" t="s">
        <v>0</v>
      </c>
      <c r="E533" s="2801" t="s">
        <v>0</v>
      </c>
      <c r="F533" s="2808"/>
      <c r="G533" s="2808"/>
      <c r="H533" s="2808"/>
      <c r="I533" s="2808"/>
      <c r="J533" s="2808"/>
      <c r="K533" s="2808"/>
    </row>
    <row r="534" spans="1:11">
      <c r="A534" s="2800">
        <v>45128</v>
      </c>
      <c r="B534" s="2801">
        <v>36358.14</v>
      </c>
      <c r="C534" s="2801">
        <v>382.41</v>
      </c>
      <c r="D534" s="2801">
        <v>13797.77</v>
      </c>
      <c r="E534" s="2801">
        <v>2591.73</v>
      </c>
      <c r="F534" s="2808"/>
      <c r="G534" s="2808"/>
      <c r="H534" s="2808"/>
      <c r="I534" s="2808"/>
      <c r="J534" s="2808"/>
      <c r="K534" s="2808"/>
    </row>
    <row r="535" spans="1:11">
      <c r="A535" s="2800">
        <v>45127</v>
      </c>
      <c r="B535" s="2801">
        <v>36641.17</v>
      </c>
      <c r="C535" s="2801">
        <v>384.56</v>
      </c>
      <c r="D535" s="2801">
        <v>13802.26</v>
      </c>
      <c r="E535" s="2801">
        <v>2600.36</v>
      </c>
      <c r="F535" s="2808"/>
      <c r="G535" s="2808"/>
      <c r="H535" s="2808"/>
      <c r="I535" s="2808"/>
      <c r="J535" s="2808"/>
      <c r="K535" s="2808"/>
    </row>
    <row r="536" spans="1:11">
      <c r="A536" s="2800">
        <v>45126</v>
      </c>
      <c r="B536" s="2801">
        <v>36511.33</v>
      </c>
      <c r="C536" s="2801">
        <v>381.6</v>
      </c>
      <c r="D536" s="2801">
        <v>13884.7</v>
      </c>
      <c r="E536" s="2801">
        <v>2603.92</v>
      </c>
      <c r="F536" s="2808"/>
      <c r="G536" s="2808"/>
      <c r="H536" s="2808"/>
      <c r="I536" s="2808"/>
      <c r="J536" s="2808"/>
      <c r="K536" s="2808"/>
    </row>
    <row r="537" spans="1:11">
      <c r="A537" s="2800">
        <v>45125</v>
      </c>
      <c r="B537" s="2801">
        <v>36741.47</v>
      </c>
      <c r="C537" s="2801">
        <v>381.64</v>
      </c>
      <c r="D537" s="2801">
        <v>13859.68</v>
      </c>
      <c r="E537" s="2801">
        <v>2610.19</v>
      </c>
      <c r="F537" s="2808"/>
      <c r="G537" s="2808"/>
      <c r="H537" s="2808"/>
      <c r="I537" s="2808"/>
      <c r="J537" s="2808"/>
      <c r="K537" s="2808"/>
    </row>
    <row r="538" spans="1:11">
      <c r="A538" s="2800">
        <v>45124</v>
      </c>
      <c r="B538" s="2801">
        <v>36958.910000000003</v>
      </c>
      <c r="C538" s="2801">
        <v>384.67</v>
      </c>
      <c r="D538" s="2801">
        <v>13765.97</v>
      </c>
      <c r="E538" s="2801">
        <v>2624.49</v>
      </c>
      <c r="F538" s="2808"/>
      <c r="G538" s="2808"/>
      <c r="H538" s="2808"/>
      <c r="I538" s="2808"/>
      <c r="J538" s="2808"/>
      <c r="K538" s="2808"/>
    </row>
    <row r="539" spans="1:11">
      <c r="A539" s="2800">
        <v>45123</v>
      </c>
      <c r="B539" s="2801" t="s">
        <v>0</v>
      </c>
      <c r="C539" s="2801" t="s">
        <v>0</v>
      </c>
      <c r="D539" s="2801" t="s">
        <v>0</v>
      </c>
      <c r="E539" s="2801" t="s">
        <v>0</v>
      </c>
      <c r="F539" s="2808"/>
      <c r="G539" s="2808"/>
      <c r="H539" s="2808"/>
      <c r="I539" s="2808"/>
      <c r="J539" s="2808"/>
      <c r="K539" s="2808"/>
    </row>
    <row r="540" spans="1:11">
      <c r="A540" s="2800">
        <v>45122</v>
      </c>
      <c r="B540" s="2801" t="s">
        <v>0</v>
      </c>
      <c r="C540" s="2801" t="s">
        <v>0</v>
      </c>
      <c r="D540" s="2801" t="s">
        <v>0</v>
      </c>
      <c r="E540" s="2801" t="s">
        <v>0</v>
      </c>
      <c r="F540" s="2808"/>
      <c r="G540" s="2808"/>
      <c r="H540" s="2808"/>
      <c r="I540" s="2808"/>
      <c r="J540" s="2808"/>
      <c r="K540" s="2808"/>
    </row>
    <row r="541" spans="1:11">
      <c r="A541" s="2800">
        <v>45121</v>
      </c>
      <c r="B541" s="2801">
        <v>36840.81</v>
      </c>
      <c r="C541" s="2801">
        <v>382.85</v>
      </c>
      <c r="D541" s="2801">
        <v>13747.58</v>
      </c>
      <c r="E541" s="2801">
        <v>2626.03</v>
      </c>
      <c r="F541" s="2808"/>
      <c r="G541" s="2808"/>
      <c r="H541" s="2808"/>
      <c r="I541" s="2808"/>
      <c r="J541" s="2808"/>
      <c r="K541" s="2808"/>
    </row>
    <row r="542" spans="1:11">
      <c r="A542" s="2800">
        <v>45120</v>
      </c>
      <c r="B542" s="2801">
        <v>36359.21</v>
      </c>
      <c r="C542" s="2801">
        <v>376.53</v>
      </c>
      <c r="D542" s="2801">
        <v>13755.33</v>
      </c>
      <c r="E542" s="2801">
        <v>2605.44</v>
      </c>
      <c r="F542" s="2808"/>
      <c r="G542" s="2808"/>
      <c r="H542" s="2808"/>
      <c r="I542" s="2808"/>
      <c r="J542" s="2808"/>
      <c r="K542" s="2808"/>
    </row>
    <row r="543" spans="1:11">
      <c r="A543" s="2800">
        <v>45119</v>
      </c>
      <c r="B543" s="2801">
        <v>36113.949999999997</v>
      </c>
      <c r="C543" s="2801">
        <v>376.93</v>
      </c>
      <c r="D543" s="2801">
        <v>13605.82</v>
      </c>
      <c r="E543" s="2801">
        <v>2566.6799999999998</v>
      </c>
      <c r="F543" s="2808"/>
      <c r="G543" s="2808"/>
      <c r="H543" s="2808"/>
      <c r="I543" s="2808"/>
      <c r="J543" s="2808"/>
      <c r="K543" s="2808"/>
    </row>
    <row r="544" spans="1:11">
      <c r="A544" s="2800">
        <v>45118</v>
      </c>
      <c r="B544" s="2801">
        <v>35967.64</v>
      </c>
      <c r="C544" s="2801">
        <v>378.1</v>
      </c>
      <c r="D544" s="2801">
        <v>13450.43</v>
      </c>
      <c r="E544" s="2801">
        <v>2539.17</v>
      </c>
      <c r="F544" s="2808"/>
      <c r="G544" s="2808"/>
      <c r="H544" s="2808"/>
      <c r="I544" s="2808"/>
      <c r="J544" s="2808"/>
      <c r="K544" s="2808"/>
    </row>
    <row r="545" spans="1:11">
      <c r="A545" s="2800">
        <v>45117</v>
      </c>
      <c r="B545" s="2801">
        <v>35416.050000000003</v>
      </c>
      <c r="C545" s="2801">
        <v>376.24</v>
      </c>
      <c r="D545" s="2801">
        <v>13349.64</v>
      </c>
      <c r="E545" s="2801">
        <v>2505.5100000000002</v>
      </c>
      <c r="F545" s="2808"/>
      <c r="G545" s="2808"/>
      <c r="H545" s="2808"/>
      <c r="I545" s="2808"/>
      <c r="J545" s="2808"/>
      <c r="K545" s="2808"/>
    </row>
    <row r="546" spans="1:11">
      <c r="A546" s="2800">
        <v>45116</v>
      </c>
      <c r="B546" s="2801" t="s">
        <v>0</v>
      </c>
      <c r="C546" s="2801" t="s">
        <v>0</v>
      </c>
      <c r="D546" s="2801" t="s">
        <v>0</v>
      </c>
      <c r="E546" s="2801" t="s">
        <v>0</v>
      </c>
      <c r="F546" s="2808"/>
      <c r="G546" s="2808"/>
      <c r="H546" s="2808"/>
      <c r="I546" s="2808"/>
      <c r="J546" s="2808"/>
      <c r="K546" s="2808"/>
    </row>
    <row r="547" spans="1:11">
      <c r="A547" s="2800">
        <v>45115</v>
      </c>
      <c r="B547" s="2801" t="s">
        <v>0</v>
      </c>
      <c r="C547" s="2801" t="s">
        <v>0</v>
      </c>
      <c r="D547" s="2801" t="s">
        <v>0</v>
      </c>
      <c r="E547" s="2801" t="s">
        <v>0</v>
      </c>
      <c r="F547" s="2808"/>
      <c r="G547" s="2808"/>
      <c r="H547" s="2808"/>
      <c r="I547" s="2808"/>
      <c r="J547" s="2808"/>
      <c r="K547" s="2808"/>
    </row>
    <row r="548" spans="1:11">
      <c r="A548" s="2800">
        <v>45114</v>
      </c>
      <c r="B548" s="2801">
        <v>35432.949999999997</v>
      </c>
      <c r="C548" s="2801">
        <v>377.75</v>
      </c>
      <c r="D548" s="2801">
        <v>13318.34</v>
      </c>
      <c r="E548" s="2801">
        <v>2501.9499999999998</v>
      </c>
      <c r="F548" s="2808"/>
      <c r="G548" s="2808"/>
      <c r="H548" s="2808"/>
      <c r="I548" s="2808"/>
      <c r="J548" s="2808"/>
      <c r="K548" s="2808"/>
    </row>
    <row r="549" spans="1:11">
      <c r="A549" s="2800">
        <v>45113</v>
      </c>
      <c r="B549" s="2801">
        <v>35636.71</v>
      </c>
      <c r="C549" s="2801">
        <v>382.32</v>
      </c>
      <c r="D549" s="2801">
        <v>13318.22</v>
      </c>
      <c r="E549" s="2801">
        <v>2512.0100000000002</v>
      </c>
      <c r="F549" s="2808"/>
      <c r="G549" s="2808"/>
      <c r="H549" s="2808"/>
      <c r="I549" s="2808"/>
      <c r="J549" s="2808"/>
      <c r="K549" s="2808"/>
    </row>
    <row r="550" spans="1:11">
      <c r="A550" s="2800">
        <v>45112</v>
      </c>
      <c r="B550" s="2801">
        <v>36239.97</v>
      </c>
      <c r="C550" s="2801">
        <v>384.59</v>
      </c>
      <c r="D550" s="2801">
        <v>13482.3</v>
      </c>
      <c r="E550" s="2801">
        <v>2549.9</v>
      </c>
      <c r="F550" s="2808"/>
      <c r="G550" s="2808"/>
      <c r="H550" s="2808"/>
      <c r="I550" s="2808"/>
      <c r="J550" s="2808"/>
      <c r="K550" s="2808"/>
    </row>
    <row r="551" spans="1:11">
      <c r="A551" s="2800">
        <v>45111</v>
      </c>
      <c r="B551" s="2801">
        <v>36401.019999999997</v>
      </c>
      <c r="C551" s="2801">
        <v>383.6</v>
      </c>
      <c r="D551" s="2801">
        <v>13530.86</v>
      </c>
      <c r="E551" s="2801">
        <v>2566.29</v>
      </c>
      <c r="F551" s="2808"/>
      <c r="G551" s="2808"/>
      <c r="H551" s="2808"/>
      <c r="I551" s="2808"/>
      <c r="J551" s="2808"/>
      <c r="K551" s="2808"/>
    </row>
    <row r="552" spans="1:11">
      <c r="A552" s="2800">
        <v>45110</v>
      </c>
      <c r="B552" s="2801">
        <v>36153.24</v>
      </c>
      <c r="C552" s="2801">
        <v>382.4</v>
      </c>
      <c r="D552" s="2801">
        <v>13531.83</v>
      </c>
      <c r="E552" s="2801">
        <v>2557.0700000000002</v>
      </c>
      <c r="F552" s="2808"/>
      <c r="G552" s="2808"/>
      <c r="H552" s="2808"/>
      <c r="I552" s="2808"/>
      <c r="J552" s="2808"/>
      <c r="K552" s="2808"/>
    </row>
    <row r="553" spans="1:11">
      <c r="A553" s="2800">
        <v>45109</v>
      </c>
      <c r="B553" s="2801" t="s">
        <v>0</v>
      </c>
      <c r="C553" s="2801" t="s">
        <v>0</v>
      </c>
      <c r="D553" s="2801" t="s">
        <v>0</v>
      </c>
      <c r="E553" s="2801" t="s">
        <v>0</v>
      </c>
      <c r="F553" s="2808"/>
      <c r="G553" s="2808"/>
      <c r="H553" s="2808"/>
      <c r="I553" s="2808"/>
      <c r="J553" s="2808"/>
      <c r="K553" s="2808"/>
    </row>
    <row r="554" spans="1:11">
      <c r="A554" s="2800">
        <v>45108</v>
      </c>
      <c r="B554" s="2801" t="s">
        <v>0</v>
      </c>
      <c r="C554" s="2801" t="s">
        <v>0</v>
      </c>
      <c r="D554" s="2801" t="s">
        <v>0</v>
      </c>
      <c r="E554" s="2801" t="s">
        <v>0</v>
      </c>
      <c r="F554" s="2808"/>
      <c r="G554" s="2808"/>
      <c r="H554" s="2808"/>
      <c r="I554" s="2808"/>
      <c r="J554" s="2808"/>
      <c r="K554" s="2808"/>
    </row>
    <row r="555" spans="1:11">
      <c r="A555" s="2800">
        <v>45107</v>
      </c>
      <c r="B555" s="2801">
        <v>35784.54</v>
      </c>
      <c r="C555" s="2801">
        <v>379.13</v>
      </c>
      <c r="D555" s="2801">
        <v>13506.74</v>
      </c>
      <c r="E555" s="2801">
        <v>2516.96</v>
      </c>
      <c r="F555" s="2808"/>
      <c r="G555" s="2808"/>
      <c r="H555" s="2808"/>
      <c r="I555" s="2808"/>
      <c r="J555" s="2808"/>
      <c r="K555" s="2808"/>
    </row>
    <row r="556" spans="1:11">
      <c r="A556" s="2800">
        <v>45106</v>
      </c>
      <c r="B556" s="2801">
        <v>35686.11</v>
      </c>
      <c r="C556" s="2801">
        <v>376.78</v>
      </c>
      <c r="D556" s="2801">
        <v>13356.82</v>
      </c>
      <c r="E556" s="2801">
        <v>2508.92</v>
      </c>
      <c r="F556" s="2808"/>
      <c r="G556" s="2808"/>
      <c r="H556" s="2808"/>
      <c r="I556" s="2808"/>
      <c r="J556" s="2808"/>
      <c r="K556" s="2808"/>
    </row>
    <row r="557" spans="1:11">
      <c r="A557" s="2800">
        <v>45105</v>
      </c>
      <c r="B557" s="2801">
        <v>35608.78</v>
      </c>
      <c r="C557" s="2801">
        <v>373.21</v>
      </c>
      <c r="D557" s="2801">
        <v>13312.78</v>
      </c>
      <c r="E557" s="2801">
        <v>2519.33</v>
      </c>
      <c r="F557" s="2808"/>
      <c r="G557" s="2808"/>
      <c r="H557" s="2808"/>
      <c r="I557" s="2808"/>
      <c r="J557" s="2808"/>
      <c r="K557" s="2808"/>
    </row>
    <row r="558" spans="1:11">
      <c r="A558" s="2800">
        <v>45104</v>
      </c>
      <c r="B558" s="2801">
        <v>35493.22</v>
      </c>
      <c r="C558" s="2801">
        <v>371.64</v>
      </c>
      <c r="D558" s="2801">
        <v>13295.81</v>
      </c>
      <c r="E558" s="2801">
        <v>2526.5100000000002</v>
      </c>
      <c r="F558" s="2808"/>
      <c r="G558" s="2808"/>
      <c r="H558" s="2808"/>
      <c r="I558" s="2808"/>
      <c r="J558" s="2808"/>
      <c r="K558" s="2808"/>
    </row>
    <row r="559" spans="1:11">
      <c r="A559" s="2800">
        <v>45103</v>
      </c>
      <c r="B559" s="2801">
        <v>35797.919999999998</v>
      </c>
      <c r="C559" s="2801">
        <v>373.15</v>
      </c>
      <c r="D559" s="2801">
        <v>13176.15</v>
      </c>
      <c r="E559" s="2801">
        <v>2510.91</v>
      </c>
      <c r="F559" s="2808"/>
      <c r="G559" s="2808"/>
      <c r="H559" s="2808"/>
      <c r="I559" s="2808"/>
      <c r="J559" s="2808"/>
      <c r="K559" s="2808"/>
    </row>
    <row r="560" spans="1:11">
      <c r="A560" s="2800">
        <v>45102</v>
      </c>
      <c r="B560" s="2801" t="s">
        <v>0</v>
      </c>
      <c r="C560" s="2801" t="s">
        <v>0</v>
      </c>
      <c r="D560" s="2801" t="s">
        <v>0</v>
      </c>
      <c r="E560" s="2801" t="s">
        <v>0</v>
      </c>
      <c r="F560" s="2808"/>
      <c r="G560" s="2808"/>
      <c r="H560" s="2808"/>
      <c r="I560" s="2808"/>
      <c r="J560" s="2808"/>
      <c r="K560" s="2808"/>
    </row>
    <row r="561" spans="1:11">
      <c r="A561" s="2800">
        <v>45101</v>
      </c>
      <c r="B561" s="2801" t="s">
        <v>0</v>
      </c>
      <c r="C561" s="2801" t="s">
        <v>0</v>
      </c>
      <c r="D561" s="2801" t="s">
        <v>0</v>
      </c>
      <c r="E561" s="2801" t="s">
        <v>0</v>
      </c>
      <c r="F561" s="2808"/>
      <c r="G561" s="2808"/>
      <c r="H561" s="2808"/>
      <c r="I561" s="2808"/>
      <c r="J561" s="2808"/>
      <c r="K561" s="2808"/>
    </row>
    <row r="562" spans="1:11">
      <c r="A562" s="2800">
        <v>45100</v>
      </c>
      <c r="B562" s="2801" t="s">
        <v>0</v>
      </c>
      <c r="C562" s="2801" t="s">
        <v>0</v>
      </c>
      <c r="D562" s="2801">
        <v>13209.62</v>
      </c>
      <c r="E562" s="2801">
        <v>2516.87</v>
      </c>
      <c r="F562" s="2808"/>
      <c r="G562" s="2808"/>
      <c r="H562" s="2808"/>
      <c r="I562" s="2808"/>
      <c r="J562" s="2808"/>
      <c r="K562" s="2808"/>
    </row>
    <row r="563" spans="1:11">
      <c r="A563" s="2800">
        <v>45099</v>
      </c>
      <c r="B563" s="2801" t="s">
        <v>0</v>
      </c>
      <c r="C563" s="2801" t="s">
        <v>0</v>
      </c>
      <c r="D563" s="2801">
        <v>13337.04</v>
      </c>
      <c r="E563" s="2801">
        <v>2540.0500000000002</v>
      </c>
      <c r="F563" s="2808"/>
      <c r="G563" s="2808"/>
      <c r="H563" s="2808"/>
      <c r="I563" s="2808"/>
      <c r="J563" s="2808"/>
      <c r="K563" s="2808"/>
    </row>
    <row r="564" spans="1:11">
      <c r="A564" s="2800">
        <v>45098</v>
      </c>
      <c r="B564" s="2801">
        <v>36095.11</v>
      </c>
      <c r="C564" s="2801">
        <v>376.43</v>
      </c>
      <c r="D564" s="2801">
        <v>13323.79</v>
      </c>
      <c r="E564" s="2801">
        <v>2547.88</v>
      </c>
      <c r="F564" s="2808"/>
      <c r="G564" s="2808"/>
      <c r="H564" s="2808"/>
      <c r="I564" s="2808"/>
      <c r="J564" s="2808"/>
      <c r="K564" s="2808"/>
    </row>
    <row r="565" spans="1:11">
      <c r="A565" s="2800">
        <v>45097</v>
      </c>
      <c r="B565" s="2801">
        <v>36055.440000000002</v>
      </c>
      <c r="C565" s="2801">
        <v>377.7</v>
      </c>
      <c r="D565" s="2801">
        <v>13376.52</v>
      </c>
      <c r="E565" s="2801">
        <v>2569.94</v>
      </c>
      <c r="F565" s="2808"/>
      <c r="G565" s="2808"/>
      <c r="H565" s="2808"/>
      <c r="I565" s="2808"/>
      <c r="J565" s="2808"/>
      <c r="K565" s="2808"/>
    </row>
    <row r="566" spans="1:11">
      <c r="A566" s="2800">
        <v>45096</v>
      </c>
      <c r="B566" s="2801">
        <v>36149.019999999997</v>
      </c>
      <c r="C566" s="2801">
        <v>378.27</v>
      </c>
      <c r="D566" s="2801">
        <v>13447.32</v>
      </c>
      <c r="E566" s="2801">
        <v>2593.8200000000002</v>
      </c>
      <c r="F566" s="2808"/>
      <c r="G566" s="2808"/>
      <c r="H566" s="2808"/>
      <c r="I566" s="2808"/>
      <c r="J566" s="2808"/>
      <c r="K566" s="2808"/>
    </row>
    <row r="567" spans="1:11">
      <c r="A567" s="2800">
        <v>45095</v>
      </c>
      <c r="B567" s="2801" t="s">
        <v>0</v>
      </c>
      <c r="C567" s="2801" t="s">
        <v>0</v>
      </c>
      <c r="D567" s="2801" t="s">
        <v>0</v>
      </c>
      <c r="E567" s="2801" t="s">
        <v>0</v>
      </c>
      <c r="F567" s="2808"/>
      <c r="G567" s="2808"/>
      <c r="H567" s="2808"/>
      <c r="I567" s="2808"/>
      <c r="J567" s="2808"/>
      <c r="K567" s="2808"/>
    </row>
    <row r="568" spans="1:11">
      <c r="A568" s="2800">
        <v>45094</v>
      </c>
      <c r="B568" s="2801" t="s">
        <v>0</v>
      </c>
      <c r="C568" s="2801" t="s">
        <v>0</v>
      </c>
      <c r="D568" s="2801" t="s">
        <v>0</v>
      </c>
      <c r="E568" s="2801" t="s">
        <v>0</v>
      </c>
      <c r="F568" s="2808"/>
      <c r="G568" s="2808"/>
      <c r="H568" s="2808"/>
      <c r="I568" s="2808"/>
      <c r="J568" s="2808"/>
      <c r="K568" s="2808"/>
    </row>
    <row r="569" spans="1:11">
      <c r="A569" s="2800">
        <v>45093</v>
      </c>
      <c r="B569" s="2801">
        <v>36178.33</v>
      </c>
      <c r="C569" s="2801">
        <v>377.94</v>
      </c>
      <c r="D569" s="2801">
        <v>13479.92</v>
      </c>
      <c r="E569" s="2801">
        <v>2610.3000000000002</v>
      </c>
      <c r="F569" s="2808"/>
      <c r="G569" s="2808"/>
      <c r="H569" s="2808"/>
      <c r="I569" s="2808"/>
      <c r="J569" s="2808"/>
      <c r="K569" s="2808"/>
    </row>
    <row r="570" spans="1:11">
      <c r="A570" s="2800">
        <v>45092</v>
      </c>
      <c r="B570" s="2801">
        <v>36269.21</v>
      </c>
      <c r="C570" s="2801">
        <v>378.16</v>
      </c>
      <c r="D570" s="2801">
        <v>13498.33</v>
      </c>
      <c r="E570" s="2801">
        <v>2593.81</v>
      </c>
      <c r="F570" s="2808"/>
      <c r="G570" s="2808"/>
      <c r="H570" s="2808"/>
      <c r="I570" s="2808"/>
      <c r="J570" s="2808"/>
      <c r="K570" s="2808"/>
    </row>
    <row r="571" spans="1:11">
      <c r="A571" s="2800">
        <v>45091</v>
      </c>
      <c r="B571" s="2801">
        <v>36000.39</v>
      </c>
      <c r="C571" s="2801">
        <v>376.69</v>
      </c>
      <c r="D571" s="2801">
        <v>13374.14</v>
      </c>
      <c r="E571" s="2801">
        <v>2570.73</v>
      </c>
      <c r="F571" s="2808"/>
      <c r="G571" s="2808"/>
      <c r="H571" s="2808"/>
      <c r="I571" s="2808"/>
      <c r="J571" s="2808"/>
      <c r="K571" s="2808"/>
    </row>
    <row r="572" spans="1:11">
      <c r="A572" s="2800">
        <v>45090</v>
      </c>
      <c r="B572" s="2801">
        <v>35944.730000000003</v>
      </c>
      <c r="C572" s="2801">
        <v>377.81</v>
      </c>
      <c r="D572" s="2801">
        <v>13326.69</v>
      </c>
      <c r="E572" s="2801">
        <v>2565.71</v>
      </c>
      <c r="F572" s="2808"/>
      <c r="G572" s="2808"/>
      <c r="H572" s="2808"/>
      <c r="I572" s="2808"/>
      <c r="J572" s="2808"/>
      <c r="K572" s="2808"/>
    </row>
    <row r="573" spans="1:11">
      <c r="A573" s="2800">
        <v>45089</v>
      </c>
      <c r="B573" s="2801">
        <v>35391.81</v>
      </c>
      <c r="C573" s="2801">
        <v>372.83</v>
      </c>
      <c r="D573" s="2801">
        <v>13218.26</v>
      </c>
      <c r="E573" s="2801">
        <v>2538.6</v>
      </c>
      <c r="F573" s="2808"/>
      <c r="G573" s="2808"/>
      <c r="H573" s="2808"/>
      <c r="I573" s="2808"/>
      <c r="J573" s="2808"/>
      <c r="K573" s="2808"/>
    </row>
    <row r="574" spans="1:11">
      <c r="A574" s="2800">
        <v>45088</v>
      </c>
      <c r="B574" s="2801" t="s">
        <v>0</v>
      </c>
      <c r="C574" s="2801" t="s">
        <v>0</v>
      </c>
      <c r="D574" s="2801" t="s">
        <v>0</v>
      </c>
      <c r="E574" s="2801" t="s">
        <v>0</v>
      </c>
      <c r="F574" s="2808"/>
      <c r="G574" s="2808"/>
      <c r="H574" s="2808"/>
      <c r="I574" s="2808"/>
      <c r="J574" s="2808"/>
      <c r="K574" s="2808"/>
    </row>
    <row r="575" spans="1:11">
      <c r="A575" s="2800">
        <v>45087</v>
      </c>
      <c r="B575" s="2801" t="s">
        <v>0</v>
      </c>
      <c r="C575" s="2801" t="s">
        <v>0</v>
      </c>
      <c r="D575" s="2801" t="s">
        <v>0</v>
      </c>
      <c r="E575" s="2801" t="s">
        <v>0</v>
      </c>
      <c r="F575" s="2808"/>
      <c r="G575" s="2808"/>
      <c r="H575" s="2808"/>
      <c r="I575" s="2808"/>
      <c r="J575" s="2808"/>
      <c r="K575" s="2808"/>
    </row>
    <row r="576" spans="1:11">
      <c r="A576" s="2800">
        <v>45086</v>
      </c>
      <c r="B576" s="2801">
        <v>35246.92</v>
      </c>
      <c r="C576" s="2801">
        <v>374.82</v>
      </c>
      <c r="D576" s="2801">
        <v>13125.29</v>
      </c>
      <c r="E576" s="2801">
        <v>2535.96</v>
      </c>
      <c r="F576" s="2808"/>
      <c r="G576" s="2808"/>
      <c r="H576" s="2808"/>
      <c r="I576" s="2808"/>
      <c r="J576" s="2808"/>
      <c r="K576" s="2808"/>
    </row>
    <row r="577" spans="1:11">
      <c r="A577" s="2800">
        <v>45085</v>
      </c>
      <c r="B577" s="2801">
        <v>34928.14</v>
      </c>
      <c r="C577" s="2801">
        <v>370.41</v>
      </c>
      <c r="D577" s="2801">
        <v>13108.95</v>
      </c>
      <c r="E577" s="2801">
        <v>2514.71</v>
      </c>
      <c r="F577" s="2808"/>
      <c r="G577" s="2808"/>
      <c r="H577" s="2808"/>
      <c r="I577" s="2808"/>
      <c r="J577" s="2808"/>
      <c r="K577" s="2808"/>
    </row>
    <row r="578" spans="1:11">
      <c r="A578" s="2800">
        <v>45084</v>
      </c>
      <c r="B578" s="2801">
        <v>35320.33</v>
      </c>
      <c r="C578" s="2801">
        <v>374.31</v>
      </c>
      <c r="D578" s="2801">
        <v>13036.6</v>
      </c>
      <c r="E578" s="2801">
        <v>2517.4299999999998</v>
      </c>
      <c r="F578" s="2808"/>
      <c r="G578" s="2808"/>
      <c r="H578" s="2808"/>
      <c r="I578" s="2808"/>
      <c r="J578" s="2808"/>
      <c r="K578" s="2808"/>
    </row>
    <row r="579" spans="1:11">
      <c r="A579" s="2800">
        <v>45083</v>
      </c>
      <c r="B579" s="2801">
        <v>34979.1</v>
      </c>
      <c r="C579" s="2801">
        <v>369.49</v>
      </c>
      <c r="D579" s="2801">
        <v>13087.96</v>
      </c>
      <c r="E579" s="2801">
        <v>2499.66</v>
      </c>
      <c r="F579" s="2808"/>
      <c r="G579" s="2808"/>
      <c r="H579" s="2808"/>
      <c r="I579" s="2808"/>
      <c r="J579" s="2808"/>
      <c r="K579" s="2808"/>
    </row>
    <row r="580" spans="1:11">
      <c r="A580" s="2800">
        <v>45082</v>
      </c>
      <c r="B580" s="2801">
        <v>34875.440000000002</v>
      </c>
      <c r="C580" s="2801">
        <v>370.84</v>
      </c>
      <c r="D580" s="2801">
        <v>13052.38</v>
      </c>
      <c r="E580" s="2801">
        <v>2494.91</v>
      </c>
      <c r="F580" s="2808"/>
      <c r="G580" s="2808"/>
      <c r="H580" s="2808"/>
      <c r="I580" s="2808"/>
      <c r="J580" s="2808"/>
      <c r="K580" s="2808"/>
    </row>
    <row r="581" spans="1:11">
      <c r="A581" s="2800">
        <v>45081</v>
      </c>
      <c r="B581" s="2801" t="s">
        <v>0</v>
      </c>
      <c r="C581" s="2801" t="s">
        <v>0</v>
      </c>
      <c r="D581" s="2801" t="s">
        <v>0</v>
      </c>
      <c r="E581" s="2801" t="s">
        <v>0</v>
      </c>
      <c r="F581" s="2808"/>
      <c r="G581" s="2808"/>
      <c r="H581" s="2808"/>
      <c r="I581" s="2808"/>
      <c r="J581" s="2808"/>
      <c r="K581" s="2808"/>
    </row>
    <row r="582" spans="1:11">
      <c r="A582" s="2800">
        <v>45080</v>
      </c>
      <c r="B582" s="2801" t="s">
        <v>0</v>
      </c>
      <c r="C582" s="2801" t="s">
        <v>0</v>
      </c>
      <c r="D582" s="2801" t="s">
        <v>0</v>
      </c>
      <c r="E582" s="2801" t="s">
        <v>0</v>
      </c>
      <c r="F582" s="2808"/>
      <c r="G582" s="2808"/>
      <c r="H582" s="2808"/>
      <c r="I582" s="2808"/>
      <c r="J582" s="2808"/>
      <c r="K582" s="2808"/>
    </row>
    <row r="583" spans="1:11">
      <c r="A583" s="2800">
        <v>45079</v>
      </c>
      <c r="B583" s="2801">
        <v>34853.760000000002</v>
      </c>
      <c r="C583" s="2801">
        <v>367.58</v>
      </c>
      <c r="D583" s="2801">
        <v>13066.1</v>
      </c>
      <c r="E583" s="2801">
        <v>2488.71</v>
      </c>
      <c r="F583" s="2808"/>
      <c r="G583" s="2808"/>
      <c r="H583" s="2808"/>
      <c r="I583" s="2808"/>
      <c r="J583" s="2808"/>
      <c r="K583" s="2808"/>
    </row>
    <row r="584" spans="1:11">
      <c r="A584" s="2800">
        <v>45078</v>
      </c>
      <c r="B584" s="2801">
        <v>34447.18</v>
      </c>
      <c r="C584" s="2801">
        <v>365.16</v>
      </c>
      <c r="D584" s="2801">
        <v>12875.56</v>
      </c>
      <c r="E584" s="2801">
        <v>2431.08</v>
      </c>
      <c r="F584" s="2808"/>
      <c r="G584" s="2808"/>
      <c r="H584" s="2808"/>
      <c r="I584" s="2808"/>
      <c r="J584" s="2808"/>
      <c r="K584" s="2808"/>
    </row>
    <row r="585" spans="1:11">
      <c r="A585" s="2800">
        <v>45077</v>
      </c>
      <c r="B585" s="2801">
        <v>34581.01</v>
      </c>
      <c r="C585" s="2801">
        <v>363.86</v>
      </c>
      <c r="D585" s="2801">
        <v>12731.91</v>
      </c>
      <c r="E585" s="2801">
        <v>2422.6799999999998</v>
      </c>
      <c r="F585" s="2808"/>
      <c r="G585" s="2808"/>
      <c r="H585" s="2808"/>
      <c r="I585" s="2808"/>
      <c r="J585" s="2808"/>
      <c r="K585" s="2808"/>
    </row>
    <row r="586" spans="1:11">
      <c r="A586" s="2800">
        <v>45076</v>
      </c>
      <c r="B586" s="2801">
        <v>34671.86</v>
      </c>
      <c r="C586" s="2801">
        <v>362.41</v>
      </c>
      <c r="D586" s="2801">
        <v>12843.8</v>
      </c>
      <c r="E586" s="2801">
        <v>2452.3000000000002</v>
      </c>
      <c r="F586" s="2808"/>
      <c r="G586" s="2808"/>
      <c r="H586" s="2808"/>
      <c r="I586" s="2808"/>
      <c r="J586" s="2808"/>
      <c r="K586" s="2808"/>
    </row>
    <row r="587" spans="1:11">
      <c r="A587" s="2800">
        <v>45075</v>
      </c>
      <c r="B587" s="2801">
        <v>34696.019999999997</v>
      </c>
      <c r="C587" s="2801">
        <v>363.87</v>
      </c>
      <c r="D587" s="2801">
        <v>12862.89</v>
      </c>
      <c r="E587" s="2801">
        <v>2455.08</v>
      </c>
      <c r="F587" s="2808"/>
      <c r="G587" s="2808"/>
      <c r="H587" s="2808"/>
      <c r="I587" s="2808"/>
      <c r="J587" s="2808"/>
      <c r="K587" s="2808"/>
    </row>
    <row r="588" spans="1:11">
      <c r="A588" s="2800">
        <v>45074</v>
      </c>
      <c r="B588" s="2801" t="s">
        <v>0</v>
      </c>
      <c r="C588" s="2801" t="s">
        <v>0</v>
      </c>
      <c r="D588" s="2801" t="s">
        <v>0</v>
      </c>
      <c r="E588" s="2801" t="s">
        <v>0</v>
      </c>
      <c r="F588" s="2808"/>
      <c r="G588" s="2808"/>
      <c r="H588" s="2808"/>
      <c r="I588" s="2808"/>
      <c r="J588" s="2808"/>
      <c r="K588" s="2808"/>
    </row>
    <row r="589" spans="1:11">
      <c r="A589" s="2800">
        <v>45073</v>
      </c>
      <c r="B589" s="2801" t="s">
        <v>0</v>
      </c>
      <c r="C589" s="2801" t="s">
        <v>0</v>
      </c>
      <c r="D589" s="2801" t="s">
        <v>0</v>
      </c>
      <c r="E589" s="2801" t="s">
        <v>0</v>
      </c>
      <c r="F589" s="2808"/>
      <c r="G589" s="2808"/>
      <c r="H589" s="2808"/>
      <c r="I589" s="2808"/>
      <c r="J589" s="2808"/>
      <c r="K589" s="2808"/>
    </row>
    <row r="590" spans="1:11">
      <c r="A590" s="2800">
        <v>45072</v>
      </c>
      <c r="B590" s="2801">
        <v>34421.85</v>
      </c>
      <c r="C590" s="2801">
        <v>358.37</v>
      </c>
      <c r="D590" s="2801">
        <v>12851.35</v>
      </c>
      <c r="E590" s="2801">
        <v>2457.65</v>
      </c>
      <c r="F590" s="2808"/>
      <c r="G590" s="2808"/>
      <c r="H590" s="2808"/>
      <c r="I590" s="2808"/>
      <c r="J590" s="2808"/>
      <c r="K590" s="2808"/>
    </row>
    <row r="591" spans="1:11">
      <c r="A591" s="2800">
        <v>45071</v>
      </c>
      <c r="B591" s="2801">
        <v>33977.47</v>
      </c>
      <c r="C591" s="2801">
        <v>357.62</v>
      </c>
      <c r="D591" s="2801">
        <v>12709.35</v>
      </c>
      <c r="E591" s="2801">
        <v>2435.15</v>
      </c>
      <c r="F591" s="2808"/>
      <c r="G591" s="2808"/>
      <c r="H591" s="2808"/>
      <c r="I591" s="2808"/>
      <c r="J591" s="2808"/>
      <c r="K591" s="2808"/>
    </row>
    <row r="592" spans="1:11">
      <c r="A592" s="2800">
        <v>45070</v>
      </c>
      <c r="B592" s="2801">
        <v>33699.370000000003</v>
      </c>
      <c r="C592" s="2801">
        <v>358.15</v>
      </c>
      <c r="D592" s="2801">
        <v>12672.24</v>
      </c>
      <c r="E592" s="2801">
        <v>2452.35</v>
      </c>
      <c r="F592" s="2808"/>
      <c r="G592" s="2808"/>
      <c r="H592" s="2808"/>
      <c r="I592" s="2808"/>
      <c r="J592" s="2808"/>
      <c r="K592" s="2808"/>
    </row>
    <row r="593" spans="1:11">
      <c r="A593" s="2800">
        <v>45069</v>
      </c>
      <c r="B593" s="2801">
        <v>33759.26</v>
      </c>
      <c r="C593" s="2801">
        <v>359.16</v>
      </c>
      <c r="D593" s="2801">
        <v>12799.38</v>
      </c>
      <c r="E593" s="2801">
        <v>2471.63</v>
      </c>
      <c r="F593" s="2808"/>
      <c r="G593" s="2808"/>
      <c r="H593" s="2808"/>
      <c r="I593" s="2808"/>
      <c r="J593" s="2808"/>
      <c r="K593" s="2808"/>
    </row>
    <row r="594" spans="1:11">
      <c r="A594" s="2800">
        <v>45068</v>
      </c>
      <c r="B594" s="2801">
        <v>33744.36</v>
      </c>
      <c r="C594" s="2801">
        <v>355.88</v>
      </c>
      <c r="D594" s="2801">
        <v>12929.33</v>
      </c>
      <c r="E594" s="2801">
        <v>2483.31</v>
      </c>
      <c r="F594" s="2808"/>
      <c r="G594" s="2808"/>
      <c r="H594" s="2808"/>
      <c r="I594" s="2808"/>
      <c r="J594" s="2808"/>
      <c r="K594" s="2808"/>
    </row>
    <row r="595" spans="1:11">
      <c r="A595" s="2800">
        <v>45067</v>
      </c>
      <c r="B595" s="2801" t="s">
        <v>0</v>
      </c>
      <c r="C595" s="2801" t="s">
        <v>0</v>
      </c>
      <c r="D595" s="2801" t="s">
        <v>0</v>
      </c>
      <c r="E595" s="2801" t="s">
        <v>0</v>
      </c>
      <c r="F595" s="2808"/>
      <c r="G595" s="2808"/>
      <c r="H595" s="2808"/>
      <c r="I595" s="2808"/>
      <c r="J595" s="2808"/>
      <c r="K595" s="2808"/>
    </row>
    <row r="596" spans="1:11">
      <c r="A596" s="2800">
        <v>45066</v>
      </c>
      <c r="B596" s="2801" t="s">
        <v>0</v>
      </c>
      <c r="C596" s="2801" t="s">
        <v>0</v>
      </c>
      <c r="D596" s="2801" t="s">
        <v>0</v>
      </c>
      <c r="E596" s="2801" t="s">
        <v>0</v>
      </c>
      <c r="F596" s="2808"/>
      <c r="G596" s="2808"/>
      <c r="H596" s="2808"/>
      <c r="I596" s="2808"/>
      <c r="J596" s="2808"/>
      <c r="K596" s="2808"/>
    </row>
    <row r="597" spans="1:11">
      <c r="A597" s="2800">
        <v>45065</v>
      </c>
      <c r="B597" s="2801">
        <v>33731.9</v>
      </c>
      <c r="C597" s="2801">
        <v>352.85</v>
      </c>
      <c r="D597" s="2801">
        <v>12912.34</v>
      </c>
      <c r="E597" s="2801">
        <v>2467.77</v>
      </c>
      <c r="F597" s="2808"/>
      <c r="G597" s="2808"/>
      <c r="H597" s="2808"/>
      <c r="I597" s="2808"/>
      <c r="J597" s="2808"/>
      <c r="K597" s="2808"/>
    </row>
    <row r="598" spans="1:11">
      <c r="A598" s="2800">
        <v>45064</v>
      </c>
      <c r="B598" s="2801">
        <v>33579.589999999997</v>
      </c>
      <c r="C598" s="2801">
        <v>353.79</v>
      </c>
      <c r="D598" s="2801">
        <v>12899.64</v>
      </c>
      <c r="E598" s="2801">
        <v>2469.25</v>
      </c>
      <c r="F598" s="2808"/>
      <c r="G598" s="2808"/>
      <c r="H598" s="2808"/>
      <c r="I598" s="2808"/>
      <c r="J598" s="2808"/>
      <c r="K598" s="2808"/>
    </row>
    <row r="599" spans="1:11">
      <c r="A599" s="2800">
        <v>45063</v>
      </c>
      <c r="B599" s="2801">
        <v>33211.32</v>
      </c>
      <c r="C599" s="2801">
        <v>352.65</v>
      </c>
      <c r="D599" s="2801">
        <v>12809.12</v>
      </c>
      <c r="E599" s="2801">
        <v>2463.02</v>
      </c>
      <c r="F599" s="2808"/>
      <c r="G599" s="2808"/>
      <c r="H599" s="2808"/>
      <c r="I599" s="2808"/>
      <c r="J599" s="2808"/>
      <c r="K599" s="2808"/>
    </row>
    <row r="600" spans="1:11">
      <c r="A600" s="2800">
        <v>45062</v>
      </c>
      <c r="B600" s="2801">
        <v>32687.07</v>
      </c>
      <c r="C600" s="2801">
        <v>348.52</v>
      </c>
      <c r="D600" s="2801">
        <v>12722.77</v>
      </c>
      <c r="E600" s="2801">
        <v>2471.5700000000002</v>
      </c>
      <c r="F600" s="2808"/>
      <c r="G600" s="2808"/>
      <c r="H600" s="2808"/>
      <c r="I600" s="2808"/>
      <c r="J600" s="2808"/>
      <c r="K600" s="2808"/>
    </row>
    <row r="601" spans="1:11">
      <c r="A601" s="2800">
        <v>45061</v>
      </c>
      <c r="B601" s="2801">
        <v>32272.37</v>
      </c>
      <c r="C601" s="2801">
        <v>345.01</v>
      </c>
      <c r="D601" s="2801">
        <v>12799.51</v>
      </c>
      <c r="E601" s="2801">
        <v>2466.5700000000002</v>
      </c>
      <c r="F601" s="2808"/>
      <c r="G601" s="2808"/>
      <c r="H601" s="2808"/>
      <c r="I601" s="2808"/>
      <c r="J601" s="2808"/>
      <c r="K601" s="2808"/>
    </row>
    <row r="602" spans="1:11">
      <c r="A602" s="2800">
        <v>45060</v>
      </c>
      <c r="B602" s="2801" t="s">
        <v>0</v>
      </c>
      <c r="C602" s="2801" t="s">
        <v>0</v>
      </c>
      <c r="D602" s="2801" t="s">
        <v>0</v>
      </c>
      <c r="E602" s="2801" t="s">
        <v>0</v>
      </c>
      <c r="F602" s="2808"/>
      <c r="G602" s="2808"/>
      <c r="H602" s="2808"/>
      <c r="I602" s="2808"/>
      <c r="J602" s="2808"/>
      <c r="K602" s="2808"/>
    </row>
    <row r="603" spans="1:11">
      <c r="A603" s="2800">
        <v>45059</v>
      </c>
      <c r="B603" s="2801" t="s">
        <v>0</v>
      </c>
      <c r="C603" s="2801" t="s">
        <v>0</v>
      </c>
      <c r="D603" s="2801" t="s">
        <v>0</v>
      </c>
      <c r="E603" s="2801" t="s">
        <v>0</v>
      </c>
      <c r="F603" s="2808"/>
      <c r="G603" s="2808"/>
      <c r="H603" s="2808"/>
      <c r="I603" s="2808"/>
      <c r="J603" s="2808"/>
      <c r="K603" s="2808"/>
    </row>
    <row r="604" spans="1:11">
      <c r="A604" s="2800">
        <v>45058</v>
      </c>
      <c r="B604" s="2801">
        <v>32329.33</v>
      </c>
      <c r="C604" s="2801">
        <v>348.42</v>
      </c>
      <c r="D604" s="2801">
        <v>12750.92</v>
      </c>
      <c r="E604" s="2801">
        <v>2454.9899999999998</v>
      </c>
      <c r="F604" s="2808"/>
      <c r="G604" s="2808"/>
      <c r="H604" s="2808"/>
      <c r="I604" s="2808"/>
      <c r="J604" s="2808"/>
      <c r="K604" s="2808"/>
    </row>
    <row r="605" spans="1:11">
      <c r="A605" s="2800">
        <v>45057</v>
      </c>
      <c r="B605" s="2801">
        <v>32354.94</v>
      </c>
      <c r="C605" s="2801">
        <v>346.4</v>
      </c>
      <c r="D605" s="2801">
        <v>12771.9</v>
      </c>
      <c r="E605" s="2801">
        <v>2467.14</v>
      </c>
      <c r="F605" s="2808"/>
      <c r="G605" s="2808"/>
      <c r="H605" s="2808"/>
      <c r="I605" s="2808"/>
      <c r="J605" s="2808"/>
      <c r="K605" s="2808"/>
    </row>
    <row r="606" spans="1:11">
      <c r="A606" s="2800">
        <v>45056</v>
      </c>
      <c r="B606" s="2801">
        <v>32620.03</v>
      </c>
      <c r="C606" s="2801">
        <v>353.88</v>
      </c>
      <c r="D606" s="2801">
        <v>12802.53</v>
      </c>
      <c r="E606" s="2801">
        <v>2471.6999999999998</v>
      </c>
      <c r="F606" s="2808"/>
      <c r="G606" s="2808"/>
      <c r="H606" s="2808"/>
      <c r="I606" s="2808"/>
      <c r="J606" s="2808"/>
      <c r="K606" s="2808"/>
    </row>
    <row r="607" spans="1:11">
      <c r="A607" s="2800">
        <v>45055</v>
      </c>
      <c r="B607" s="2801">
        <v>32799.25</v>
      </c>
      <c r="C607" s="2801">
        <v>353.79</v>
      </c>
      <c r="D607" s="2801">
        <v>12768.53</v>
      </c>
      <c r="E607" s="2801">
        <v>2478.13</v>
      </c>
      <c r="F607" s="2808"/>
      <c r="G607" s="2808"/>
      <c r="H607" s="2808"/>
      <c r="I607" s="2808"/>
      <c r="J607" s="2808"/>
      <c r="K607" s="2808"/>
    </row>
    <row r="608" spans="1:11">
      <c r="A608" s="2800">
        <v>45054</v>
      </c>
      <c r="B608" s="2801">
        <v>32740.59</v>
      </c>
      <c r="C608" s="2801">
        <v>358.81</v>
      </c>
      <c r="D608" s="2801">
        <v>12820.92</v>
      </c>
      <c r="E608" s="2801">
        <v>2496.2399999999998</v>
      </c>
      <c r="F608" s="2808"/>
      <c r="G608" s="2808"/>
      <c r="H608" s="2808"/>
      <c r="I608" s="2808"/>
      <c r="J608" s="2808"/>
      <c r="K608" s="2808"/>
    </row>
    <row r="609" spans="1:11">
      <c r="A609" s="2800">
        <v>45053</v>
      </c>
      <c r="B609" s="2801" t="s">
        <v>0</v>
      </c>
      <c r="C609" s="2801" t="s">
        <v>0</v>
      </c>
      <c r="D609" s="2801" t="s">
        <v>0</v>
      </c>
      <c r="E609" s="2801" t="s">
        <v>0</v>
      </c>
      <c r="F609" s="2808"/>
      <c r="G609" s="2808"/>
      <c r="H609" s="2808"/>
      <c r="I609" s="2808"/>
      <c r="J609" s="2808"/>
      <c r="K609" s="2808"/>
    </row>
    <row r="610" spans="1:11">
      <c r="A610" s="2800">
        <v>45052</v>
      </c>
      <c r="B610" s="2801" t="s">
        <v>0</v>
      </c>
      <c r="C610" s="2801" t="s">
        <v>0</v>
      </c>
      <c r="D610" s="2801" t="s">
        <v>0</v>
      </c>
      <c r="E610" s="2801" t="s">
        <v>0</v>
      </c>
      <c r="F610" s="2808"/>
      <c r="G610" s="2808"/>
      <c r="H610" s="2808"/>
      <c r="I610" s="2808"/>
      <c r="J610" s="2808"/>
      <c r="K610" s="2808"/>
    </row>
    <row r="611" spans="1:11">
      <c r="A611" s="2800">
        <v>45051</v>
      </c>
      <c r="B611" s="2801">
        <v>32587.31</v>
      </c>
      <c r="C611" s="2801">
        <v>358.78</v>
      </c>
      <c r="D611" s="2801">
        <v>12794.75</v>
      </c>
      <c r="E611" s="2801">
        <v>2476.15</v>
      </c>
      <c r="F611" s="2808"/>
      <c r="G611" s="2808"/>
      <c r="H611" s="2808"/>
      <c r="I611" s="2808"/>
      <c r="J611" s="2808"/>
      <c r="K611" s="2808"/>
    </row>
    <row r="612" spans="1:11">
      <c r="A612" s="2800">
        <v>45050</v>
      </c>
      <c r="B612" s="2801">
        <v>32551.79</v>
      </c>
      <c r="C612" s="2801">
        <v>357.73</v>
      </c>
      <c r="D612" s="2801">
        <v>12598.61</v>
      </c>
      <c r="E612" s="2801">
        <v>2462.35</v>
      </c>
      <c r="F612" s="2808"/>
      <c r="G612" s="2808"/>
      <c r="H612" s="2808"/>
      <c r="I612" s="2808"/>
      <c r="J612" s="2808"/>
      <c r="K612" s="2808"/>
    </row>
    <row r="613" spans="1:11">
      <c r="A613" s="2800">
        <v>45049</v>
      </c>
      <c r="B613" s="2801">
        <v>32435.79</v>
      </c>
      <c r="C613" s="2801">
        <v>355.84</v>
      </c>
      <c r="D613" s="2801">
        <v>12672.94</v>
      </c>
      <c r="E613" s="2801">
        <v>2445.1799999999998</v>
      </c>
      <c r="F613" s="2808"/>
      <c r="G613" s="2808"/>
      <c r="H613" s="2808"/>
      <c r="I613" s="2808"/>
      <c r="J613" s="2808"/>
      <c r="K613" s="2808"/>
    </row>
    <row r="614" spans="1:11">
      <c r="A614" s="2800">
        <v>45048</v>
      </c>
      <c r="B614" s="2801">
        <v>32609.040000000001</v>
      </c>
      <c r="C614" s="2801">
        <v>357.66</v>
      </c>
      <c r="D614" s="2801">
        <v>12702.69</v>
      </c>
      <c r="E614" s="2801">
        <v>2455.8000000000002</v>
      </c>
      <c r="F614" s="2808"/>
      <c r="G614" s="2808"/>
      <c r="H614" s="2808"/>
      <c r="I614" s="2808"/>
      <c r="J614" s="2808"/>
      <c r="K614" s="2808"/>
    </row>
    <row r="615" spans="1:11">
      <c r="A615" s="2800">
        <v>45047</v>
      </c>
      <c r="B615" s="2801" t="s">
        <v>0</v>
      </c>
      <c r="C615" s="2801" t="s">
        <v>0</v>
      </c>
      <c r="D615" s="2801">
        <v>12839.84</v>
      </c>
      <c r="E615" s="2801">
        <v>2462.62</v>
      </c>
      <c r="F615" s="2808"/>
      <c r="G615" s="2808"/>
      <c r="H615" s="2808"/>
      <c r="I615" s="2808"/>
      <c r="J615" s="2808"/>
      <c r="K615" s="2808"/>
    </row>
    <row r="616" spans="1:11">
      <c r="A616" s="2800">
        <v>45046</v>
      </c>
      <c r="B616" s="2801" t="s">
        <v>0</v>
      </c>
      <c r="C616" s="2801" t="s">
        <v>0</v>
      </c>
      <c r="D616" s="2801" t="s">
        <v>0</v>
      </c>
      <c r="E616" s="2801" t="s">
        <v>0</v>
      </c>
      <c r="F616" s="2808"/>
      <c r="G616" s="2808"/>
      <c r="H616" s="2808"/>
      <c r="I616" s="2808"/>
      <c r="J616" s="2808"/>
      <c r="K616" s="2808"/>
    </row>
    <row r="617" spans="1:11">
      <c r="A617" s="2800">
        <v>45045</v>
      </c>
      <c r="B617" s="2801" t="s">
        <v>0</v>
      </c>
      <c r="C617" s="2801" t="s">
        <v>0</v>
      </c>
      <c r="D617" s="2801" t="s">
        <v>0</v>
      </c>
      <c r="E617" s="2801" t="s">
        <v>0</v>
      </c>
      <c r="F617" s="2808"/>
      <c r="G617" s="2808"/>
      <c r="H617" s="2808"/>
      <c r="I617" s="2808"/>
      <c r="J617" s="2808"/>
      <c r="K617" s="2808"/>
    </row>
    <row r="618" spans="1:11">
      <c r="A618" s="2800">
        <v>45044</v>
      </c>
      <c r="B618" s="2801">
        <v>32489.54</v>
      </c>
      <c r="C618" s="2801">
        <v>352.52</v>
      </c>
      <c r="D618" s="2801">
        <v>12850.38</v>
      </c>
      <c r="E618" s="2801">
        <v>2463.34</v>
      </c>
      <c r="F618" s="2808"/>
      <c r="G618" s="2808"/>
      <c r="H618" s="2808"/>
      <c r="I618" s="2808"/>
      <c r="J618" s="2808"/>
      <c r="K618" s="2808"/>
    </row>
    <row r="619" spans="1:11">
      <c r="A619" s="2800">
        <v>45043</v>
      </c>
      <c r="B619" s="2801">
        <v>32139.82</v>
      </c>
      <c r="C619" s="2801">
        <v>346.82</v>
      </c>
      <c r="D619" s="2801">
        <v>12755.57</v>
      </c>
      <c r="E619" s="2801">
        <v>2448.67</v>
      </c>
      <c r="F619" s="2808"/>
      <c r="G619" s="2808"/>
      <c r="H619" s="2808"/>
      <c r="I619" s="2808"/>
      <c r="J619" s="2808"/>
      <c r="K619" s="2808"/>
    </row>
    <row r="620" spans="1:11">
      <c r="A620" s="2800">
        <v>45042</v>
      </c>
      <c r="B620" s="2801">
        <v>32061.93</v>
      </c>
      <c r="C620" s="2801">
        <v>345.07</v>
      </c>
      <c r="D620" s="2801">
        <v>12590.73</v>
      </c>
      <c r="E620" s="2801">
        <v>2437.7199999999998</v>
      </c>
      <c r="F620" s="2808"/>
      <c r="G620" s="2808"/>
      <c r="H620" s="2808"/>
      <c r="I620" s="2808"/>
      <c r="J620" s="2808"/>
      <c r="K620" s="2808"/>
    </row>
    <row r="621" spans="1:11">
      <c r="A621" s="2800">
        <v>45041</v>
      </c>
      <c r="B621" s="2801">
        <v>32053.74</v>
      </c>
      <c r="C621" s="2801">
        <v>344.77</v>
      </c>
      <c r="D621" s="2801">
        <v>12633.99</v>
      </c>
      <c r="E621" s="2801">
        <v>2431.85</v>
      </c>
      <c r="F621" s="2808"/>
      <c r="G621" s="2808"/>
      <c r="H621" s="2808"/>
      <c r="I621" s="2808"/>
      <c r="J621" s="2808"/>
      <c r="K621" s="2808"/>
    </row>
    <row r="622" spans="1:11">
      <c r="A622" s="2800">
        <v>45040</v>
      </c>
      <c r="B622" s="2801">
        <v>32587.89</v>
      </c>
      <c r="C622" s="2801">
        <v>353.47</v>
      </c>
      <c r="D622" s="2801">
        <v>12801.02</v>
      </c>
      <c r="E622" s="2801">
        <v>2461.5</v>
      </c>
      <c r="F622" s="2808"/>
      <c r="G622" s="2808"/>
      <c r="H622" s="2808"/>
      <c r="I622" s="2808"/>
      <c r="J622" s="2808"/>
      <c r="K622" s="2808"/>
    </row>
    <row r="623" spans="1:11">
      <c r="A623" s="2800">
        <v>45039</v>
      </c>
      <c r="B623" s="2801" t="s">
        <v>0</v>
      </c>
      <c r="C623" s="2801" t="s">
        <v>0</v>
      </c>
      <c r="D623" s="2801" t="s">
        <v>0</v>
      </c>
      <c r="E623" s="2801" t="s">
        <v>0</v>
      </c>
      <c r="F623" s="2808"/>
      <c r="G623" s="2808"/>
      <c r="H623" s="2808"/>
      <c r="I623" s="2808"/>
      <c r="J623" s="2808"/>
      <c r="K623" s="2808"/>
    </row>
    <row r="624" spans="1:11">
      <c r="A624" s="2800">
        <v>45038</v>
      </c>
      <c r="B624" s="2801" t="s">
        <v>0</v>
      </c>
      <c r="C624" s="2801" t="s">
        <v>0</v>
      </c>
      <c r="D624" s="2801" t="s">
        <v>0</v>
      </c>
      <c r="E624" s="2801" t="s">
        <v>0</v>
      </c>
      <c r="F624" s="2808"/>
      <c r="G624" s="2808"/>
      <c r="H624" s="2808"/>
      <c r="I624" s="2808"/>
      <c r="J624" s="2808"/>
      <c r="K624" s="2808"/>
    </row>
    <row r="625" spans="1:11">
      <c r="A625" s="2800">
        <v>45037</v>
      </c>
      <c r="B625" s="2801">
        <v>32538.080000000002</v>
      </c>
      <c r="C625" s="2801">
        <v>350.7</v>
      </c>
      <c r="D625" s="2801">
        <v>12779.62</v>
      </c>
      <c r="E625" s="2801">
        <v>2469.96</v>
      </c>
      <c r="F625" s="2808"/>
      <c r="G625" s="2808"/>
      <c r="H625" s="2808"/>
      <c r="I625" s="2808"/>
      <c r="J625" s="2808"/>
      <c r="K625" s="2808"/>
    </row>
    <row r="626" spans="1:11">
      <c r="A626" s="2800">
        <v>45036</v>
      </c>
      <c r="B626" s="2801">
        <v>32756.06</v>
      </c>
      <c r="C626" s="2801">
        <v>358.59</v>
      </c>
      <c r="D626" s="2801">
        <v>12776.76</v>
      </c>
      <c r="E626" s="2801">
        <v>2492.61</v>
      </c>
      <c r="F626" s="2808"/>
      <c r="G626" s="2808"/>
      <c r="H626" s="2808"/>
      <c r="I626" s="2808"/>
      <c r="J626" s="2808"/>
      <c r="K626" s="2808"/>
    </row>
    <row r="627" spans="1:11">
      <c r="A627" s="2800">
        <v>45035</v>
      </c>
      <c r="B627" s="2801">
        <v>32883.14</v>
      </c>
      <c r="C627" s="2801">
        <v>365.55</v>
      </c>
      <c r="D627" s="2801">
        <v>12824.6</v>
      </c>
      <c r="E627" s="2801">
        <v>2494.0100000000002</v>
      </c>
      <c r="F627" s="2808"/>
      <c r="G627" s="2808"/>
      <c r="H627" s="2808"/>
      <c r="I627" s="2808"/>
      <c r="J627" s="2808"/>
      <c r="K627" s="2808"/>
    </row>
    <row r="628" spans="1:11">
      <c r="A628" s="2800">
        <v>45034</v>
      </c>
      <c r="B628" s="2801">
        <v>33089.5</v>
      </c>
      <c r="C628" s="2801">
        <v>365.23</v>
      </c>
      <c r="D628" s="2801">
        <v>12835.9</v>
      </c>
      <c r="E628" s="2801">
        <v>2519.34</v>
      </c>
      <c r="F628" s="2808"/>
      <c r="G628" s="2808"/>
      <c r="H628" s="2808"/>
      <c r="I628" s="2808"/>
      <c r="J628" s="2808"/>
      <c r="K628" s="2808"/>
    </row>
    <row r="629" spans="1:11">
      <c r="A629" s="2800">
        <v>45033</v>
      </c>
      <c r="B629" s="2801">
        <v>33285.730000000003</v>
      </c>
      <c r="C629" s="2801">
        <v>367.06</v>
      </c>
      <c r="D629" s="2801">
        <v>12796.58</v>
      </c>
      <c r="E629" s="2801">
        <v>2527.4299999999998</v>
      </c>
      <c r="F629" s="2808"/>
      <c r="G629" s="2808"/>
      <c r="H629" s="2808"/>
      <c r="I629" s="2808"/>
      <c r="J629" s="2808"/>
      <c r="K629" s="2808"/>
    </row>
    <row r="630" spans="1:11">
      <c r="A630" s="2800">
        <v>45032</v>
      </c>
      <c r="B630" s="2801" t="s">
        <v>0</v>
      </c>
      <c r="C630" s="2801" t="s">
        <v>0</v>
      </c>
      <c r="D630" s="2801" t="s">
        <v>0</v>
      </c>
      <c r="E630" s="2801" t="s">
        <v>0</v>
      </c>
      <c r="F630" s="2808"/>
      <c r="G630" s="2808"/>
      <c r="H630" s="2808"/>
      <c r="I630" s="2808"/>
      <c r="J630" s="2808"/>
      <c r="K630" s="2808"/>
    </row>
    <row r="631" spans="1:11">
      <c r="A631" s="2800">
        <v>45031</v>
      </c>
      <c r="B631" s="2801" t="s">
        <v>0</v>
      </c>
      <c r="C631" s="2801" t="s">
        <v>0</v>
      </c>
      <c r="D631" s="2801" t="s">
        <v>0</v>
      </c>
      <c r="E631" s="2801" t="s">
        <v>0</v>
      </c>
      <c r="F631" s="2808"/>
      <c r="G631" s="2808"/>
      <c r="H631" s="2808"/>
      <c r="I631" s="2808"/>
      <c r="J631" s="2808"/>
      <c r="K631" s="2808"/>
    </row>
    <row r="632" spans="1:11">
      <c r="A632" s="2800">
        <v>45030</v>
      </c>
      <c r="B632" s="2801">
        <v>33214.589999999997</v>
      </c>
      <c r="C632" s="2801">
        <v>364.18</v>
      </c>
      <c r="D632" s="2801">
        <v>12789.56</v>
      </c>
      <c r="E632" s="2801">
        <v>2519.08</v>
      </c>
      <c r="F632" s="2808"/>
      <c r="G632" s="2808"/>
      <c r="H632" s="2808"/>
      <c r="I632" s="2808"/>
      <c r="J632" s="2808"/>
      <c r="K632" s="2808"/>
    </row>
    <row r="633" spans="1:11">
      <c r="A633" s="2800">
        <v>45029</v>
      </c>
      <c r="B633" s="2801">
        <v>32938.39</v>
      </c>
      <c r="C633" s="2801">
        <v>362.93</v>
      </c>
      <c r="D633" s="2801">
        <v>12804.29</v>
      </c>
      <c r="E633" s="2801">
        <v>2510.11</v>
      </c>
      <c r="F633" s="2808"/>
      <c r="G633" s="2808"/>
      <c r="H633" s="2808"/>
      <c r="I633" s="2808"/>
      <c r="J633" s="2808"/>
      <c r="K633" s="2808"/>
    </row>
    <row r="634" spans="1:11">
      <c r="A634" s="2800">
        <v>45028</v>
      </c>
      <c r="B634" s="2801">
        <v>33200.86</v>
      </c>
      <c r="C634" s="2801">
        <v>364.41</v>
      </c>
      <c r="D634" s="2801">
        <v>12649.8</v>
      </c>
      <c r="E634" s="2801">
        <v>2501.3000000000002</v>
      </c>
      <c r="F634" s="2808"/>
      <c r="G634" s="2808"/>
      <c r="H634" s="2808"/>
      <c r="I634" s="2808"/>
      <c r="J634" s="2808"/>
      <c r="K634" s="2808"/>
    </row>
    <row r="635" spans="1:11">
      <c r="A635" s="2800">
        <v>45027</v>
      </c>
      <c r="B635" s="2801">
        <v>33161.089999999997</v>
      </c>
      <c r="C635" s="2801">
        <v>362.89</v>
      </c>
      <c r="D635" s="2801">
        <v>12655.4</v>
      </c>
      <c r="E635" s="2801">
        <v>2507.8000000000002</v>
      </c>
      <c r="F635" s="2808"/>
      <c r="G635" s="2808"/>
      <c r="H635" s="2808"/>
      <c r="I635" s="2808"/>
      <c r="J635" s="2808"/>
      <c r="K635" s="2808"/>
    </row>
    <row r="636" spans="1:11">
      <c r="A636" s="2800">
        <v>45026</v>
      </c>
      <c r="B636" s="2801">
        <v>33082.51</v>
      </c>
      <c r="C636" s="2801">
        <v>360.5</v>
      </c>
      <c r="D636" s="2801">
        <v>12606.19</v>
      </c>
      <c r="E636" s="2801">
        <v>2488.67</v>
      </c>
      <c r="F636" s="2808"/>
      <c r="G636" s="2808"/>
      <c r="H636" s="2808"/>
      <c r="I636" s="2808"/>
      <c r="J636" s="2808"/>
      <c r="K636" s="2808"/>
    </row>
    <row r="637" spans="1:11">
      <c r="A637" s="2800">
        <v>45025</v>
      </c>
      <c r="B637" s="2801" t="s">
        <v>0</v>
      </c>
      <c r="C637" s="2801" t="s">
        <v>0</v>
      </c>
      <c r="D637" s="2801" t="s">
        <v>0</v>
      </c>
      <c r="E637" s="2801" t="s">
        <v>0</v>
      </c>
      <c r="F637" s="2808"/>
      <c r="G637" s="2808"/>
      <c r="H637" s="2808"/>
      <c r="I637" s="2808"/>
      <c r="J637" s="2808"/>
      <c r="K637" s="2808"/>
    </row>
    <row r="638" spans="1:11">
      <c r="A638" s="2800">
        <v>45024</v>
      </c>
      <c r="B638" s="2801" t="s">
        <v>0</v>
      </c>
      <c r="C638" s="2801" t="s">
        <v>0</v>
      </c>
      <c r="D638" s="2801" t="s">
        <v>0</v>
      </c>
      <c r="E638" s="2801" t="s">
        <v>0</v>
      </c>
      <c r="F638" s="2808"/>
      <c r="G638" s="2808"/>
      <c r="H638" s="2808"/>
      <c r="I638" s="2808"/>
      <c r="J638" s="2808"/>
      <c r="K638" s="2808"/>
    </row>
    <row r="639" spans="1:11">
      <c r="A639" s="2800">
        <v>45023</v>
      </c>
      <c r="B639" s="2801">
        <v>32999.839999999997</v>
      </c>
      <c r="C639" s="2801">
        <v>358.36</v>
      </c>
      <c r="D639" s="2801">
        <v>12624.62</v>
      </c>
      <c r="E639" s="2801">
        <v>2484.54</v>
      </c>
      <c r="F639" s="2808"/>
      <c r="G639" s="2808"/>
      <c r="H639" s="2808"/>
      <c r="I639" s="2808"/>
      <c r="J639" s="2808"/>
      <c r="K639" s="2808"/>
    </row>
    <row r="640" spans="1:11">
      <c r="A640" s="2800">
        <v>45022</v>
      </c>
      <c r="B640" s="2801">
        <v>32945.9</v>
      </c>
      <c r="C640" s="2801">
        <v>356.89</v>
      </c>
      <c r="D640" s="2801">
        <v>12623.35</v>
      </c>
      <c r="E640" s="2801">
        <v>2477.9</v>
      </c>
      <c r="F640" s="2808"/>
      <c r="G640" s="2808"/>
      <c r="H640" s="2808"/>
      <c r="I640" s="2808"/>
      <c r="J640" s="2808"/>
      <c r="K640" s="2808"/>
    </row>
    <row r="641" spans="1:11">
      <c r="A641" s="2800">
        <v>45021</v>
      </c>
      <c r="B641" s="2801" t="s">
        <v>0</v>
      </c>
      <c r="C641" s="2801" t="s">
        <v>0</v>
      </c>
      <c r="D641" s="2801">
        <v>12593.01</v>
      </c>
      <c r="E641" s="2801">
        <v>2486.4299999999998</v>
      </c>
      <c r="F641" s="2808"/>
      <c r="G641" s="2808"/>
      <c r="H641" s="2808"/>
      <c r="I641" s="2808"/>
      <c r="J641" s="2808"/>
      <c r="K641" s="2808"/>
    </row>
    <row r="642" spans="1:11">
      <c r="A642" s="2800">
        <v>45020</v>
      </c>
      <c r="B642" s="2801" t="s">
        <v>0</v>
      </c>
      <c r="C642" s="2801" t="s">
        <v>0</v>
      </c>
      <c r="D642" s="2801">
        <v>12648.33</v>
      </c>
      <c r="E642" s="2801">
        <v>2485.67</v>
      </c>
      <c r="F642" s="2808"/>
      <c r="G642" s="2808"/>
      <c r="H642" s="2808"/>
      <c r="I642" s="2808"/>
      <c r="J642" s="2808"/>
      <c r="K642" s="2808"/>
    </row>
    <row r="643" spans="1:11">
      <c r="A643" s="2800">
        <v>45019</v>
      </c>
      <c r="B643" s="2801" t="s">
        <v>0</v>
      </c>
      <c r="C643" s="2801" t="s">
        <v>0</v>
      </c>
      <c r="D643" s="2801">
        <v>12678.5</v>
      </c>
      <c r="E643" s="2801">
        <v>2488.6999999999998</v>
      </c>
      <c r="F643" s="2808"/>
      <c r="G643" s="2808"/>
      <c r="H643" s="2808"/>
      <c r="I643" s="2808"/>
      <c r="J643" s="2808"/>
      <c r="K643" s="2808"/>
    </row>
    <row r="644" spans="1:11">
      <c r="A644" s="2800">
        <v>45018</v>
      </c>
      <c r="B644" s="2801" t="s">
        <v>0</v>
      </c>
      <c r="C644" s="2801" t="s">
        <v>0</v>
      </c>
      <c r="D644" s="2801" t="s">
        <v>0</v>
      </c>
      <c r="E644" s="2801" t="s">
        <v>0</v>
      </c>
      <c r="F644" s="2808"/>
      <c r="G644" s="2808"/>
      <c r="H644" s="2808"/>
      <c r="I644" s="2808"/>
      <c r="J644" s="2808"/>
      <c r="K644" s="2808"/>
    </row>
    <row r="645" spans="1:11">
      <c r="A645" s="2800">
        <v>45017</v>
      </c>
      <c r="B645" s="2801" t="s">
        <v>0</v>
      </c>
      <c r="C645" s="2801" t="s">
        <v>0</v>
      </c>
      <c r="D645" s="2801" t="s">
        <v>0</v>
      </c>
      <c r="E645" s="2801" t="s">
        <v>0</v>
      </c>
      <c r="F645" s="2808"/>
      <c r="G645" s="2808"/>
      <c r="H645" s="2808"/>
      <c r="I645" s="2808"/>
      <c r="J645" s="2808"/>
      <c r="K645" s="2808"/>
    </row>
    <row r="646" spans="1:11">
      <c r="A646" s="2800">
        <v>45016</v>
      </c>
      <c r="B646" s="2801">
        <v>33065.279999999999</v>
      </c>
      <c r="C646" s="2801">
        <v>357.63</v>
      </c>
      <c r="D646" s="2801">
        <v>12622.66</v>
      </c>
      <c r="E646" s="2801">
        <v>2491.1</v>
      </c>
      <c r="F646" s="2808"/>
      <c r="G646" s="2808"/>
      <c r="H646" s="2808"/>
      <c r="I646" s="2808"/>
      <c r="J646" s="2808"/>
      <c r="K646" s="2808"/>
    </row>
    <row r="647" spans="1:11">
      <c r="A647" s="2800">
        <v>45015</v>
      </c>
      <c r="B647" s="2801">
        <v>33026.44</v>
      </c>
      <c r="C647" s="2801">
        <v>356.78</v>
      </c>
      <c r="D647" s="2801">
        <v>12478.59</v>
      </c>
      <c r="E647" s="2801">
        <v>2479.7600000000002</v>
      </c>
      <c r="F647" s="2808"/>
      <c r="G647" s="2808"/>
      <c r="H647" s="2808"/>
      <c r="I647" s="2808"/>
      <c r="J647" s="2808"/>
      <c r="K647" s="2808"/>
    </row>
    <row r="648" spans="1:11">
      <c r="A648" s="2800">
        <v>45014</v>
      </c>
      <c r="B648" s="2801">
        <v>32851.870000000003</v>
      </c>
      <c r="C648" s="2801">
        <v>353.51</v>
      </c>
      <c r="D648" s="2801">
        <v>12375.05</v>
      </c>
      <c r="E648" s="2801">
        <v>2464.5300000000002</v>
      </c>
      <c r="F648" s="2808"/>
      <c r="G648" s="2808"/>
      <c r="H648" s="2808"/>
      <c r="I648" s="2808"/>
      <c r="J648" s="2808"/>
      <c r="K648" s="2808"/>
    </row>
    <row r="649" spans="1:11">
      <c r="A649" s="2800">
        <v>45013</v>
      </c>
      <c r="B649" s="2801">
        <v>32704.51</v>
      </c>
      <c r="C649" s="2801">
        <v>354.46</v>
      </c>
      <c r="D649" s="2801">
        <v>12217.82</v>
      </c>
      <c r="E649" s="2801">
        <v>2440.1</v>
      </c>
      <c r="F649" s="2808"/>
      <c r="G649" s="2808"/>
      <c r="H649" s="2808"/>
      <c r="I649" s="2808"/>
      <c r="J649" s="2808"/>
      <c r="K649" s="2808"/>
    </row>
    <row r="650" spans="1:11">
      <c r="A650" s="2800">
        <v>45012</v>
      </c>
      <c r="B650" s="2801">
        <v>32972.26</v>
      </c>
      <c r="C650" s="2801">
        <v>359.46</v>
      </c>
      <c r="D650" s="2801">
        <v>12206.91</v>
      </c>
      <c r="E650" s="2801">
        <v>2423.16</v>
      </c>
      <c r="F650" s="2808"/>
      <c r="G650" s="2808"/>
      <c r="H650" s="2808"/>
      <c r="I650" s="2808"/>
      <c r="J650" s="2808"/>
      <c r="K650" s="2808"/>
    </row>
    <row r="651" spans="1:11">
      <c r="A651" s="2800">
        <v>45011</v>
      </c>
      <c r="B651" s="2801" t="s">
        <v>0</v>
      </c>
      <c r="C651" s="2801" t="s">
        <v>0</v>
      </c>
      <c r="D651" s="2801" t="s">
        <v>0</v>
      </c>
      <c r="E651" s="2801" t="s">
        <v>0</v>
      </c>
      <c r="F651" s="2808"/>
      <c r="G651" s="2808"/>
      <c r="H651" s="2808"/>
      <c r="I651" s="2808"/>
      <c r="J651" s="2808"/>
      <c r="K651" s="2808"/>
    </row>
    <row r="652" spans="1:11">
      <c r="A652" s="2800">
        <v>45010</v>
      </c>
      <c r="B652" s="2801" t="s">
        <v>0</v>
      </c>
      <c r="C652" s="2801" t="s">
        <v>0</v>
      </c>
      <c r="D652" s="2801" t="s">
        <v>0</v>
      </c>
      <c r="E652" s="2801" t="s">
        <v>0</v>
      </c>
      <c r="F652" s="2808"/>
      <c r="G652" s="2808"/>
      <c r="H652" s="2808"/>
      <c r="I652" s="2808"/>
      <c r="J652" s="2808"/>
      <c r="K652" s="2808"/>
    </row>
    <row r="653" spans="1:11">
      <c r="A653" s="2800">
        <v>45009</v>
      </c>
      <c r="B653" s="2801">
        <v>33148.03</v>
      </c>
      <c r="C653" s="2801">
        <v>358.95</v>
      </c>
      <c r="D653" s="2801">
        <v>12161.66</v>
      </c>
      <c r="E653" s="2801">
        <v>2443.13</v>
      </c>
      <c r="F653" s="2808"/>
      <c r="G653" s="2808"/>
      <c r="H653" s="2808"/>
      <c r="I653" s="2808"/>
      <c r="J653" s="2808"/>
      <c r="K653" s="2808"/>
    </row>
    <row r="654" spans="1:11">
      <c r="A654" s="2800">
        <v>45008</v>
      </c>
      <c r="B654" s="2801">
        <v>33039.480000000003</v>
      </c>
      <c r="C654" s="2801">
        <v>357.15</v>
      </c>
      <c r="D654" s="2801">
        <v>12179.75</v>
      </c>
      <c r="E654" s="2801">
        <v>2456.4499999999998</v>
      </c>
      <c r="F654" s="2808"/>
      <c r="G654" s="2808"/>
      <c r="H654" s="2808"/>
      <c r="I654" s="2808"/>
      <c r="J654" s="2808"/>
      <c r="K654" s="2808"/>
    </row>
    <row r="655" spans="1:11">
      <c r="A655" s="2800">
        <v>45007</v>
      </c>
      <c r="B655" s="2801">
        <v>32823.67</v>
      </c>
      <c r="C655" s="2801">
        <v>355.1</v>
      </c>
      <c r="D655" s="2801">
        <v>12129.81</v>
      </c>
      <c r="E655" s="2801">
        <v>2415.52</v>
      </c>
      <c r="F655" s="2808"/>
      <c r="G655" s="2808"/>
      <c r="H655" s="2808"/>
      <c r="I655" s="2808"/>
      <c r="J655" s="2808"/>
      <c r="K655" s="2808"/>
    </row>
    <row r="656" spans="1:11">
      <c r="A656" s="2800">
        <v>45006</v>
      </c>
      <c r="B656" s="2801">
        <v>32309.24</v>
      </c>
      <c r="C656" s="2801">
        <v>349.83</v>
      </c>
      <c r="D656" s="2801">
        <v>12244.79</v>
      </c>
      <c r="E656" s="2801">
        <v>2392.39</v>
      </c>
      <c r="F656" s="2808"/>
      <c r="G656" s="2808"/>
      <c r="H656" s="2808"/>
      <c r="I656" s="2808"/>
      <c r="J656" s="2808"/>
      <c r="K656" s="2808"/>
    </row>
    <row r="657" spans="1:11">
      <c r="A657" s="2800">
        <v>45005</v>
      </c>
      <c r="B657" s="2801">
        <v>32114.54</v>
      </c>
      <c r="C657" s="2801">
        <v>348.93</v>
      </c>
      <c r="D657" s="2801">
        <v>12092.6</v>
      </c>
      <c r="E657" s="2801">
        <v>2368.39</v>
      </c>
      <c r="F657" s="2808"/>
      <c r="G657" s="2808"/>
      <c r="H657" s="2808"/>
      <c r="I657" s="2808"/>
      <c r="J657" s="2808"/>
      <c r="K657" s="2808"/>
    </row>
    <row r="658" spans="1:11">
      <c r="A658" s="2800">
        <v>45004</v>
      </c>
      <c r="B658" s="2801" t="s">
        <v>0</v>
      </c>
      <c r="C658" s="2801" t="s">
        <v>0</v>
      </c>
      <c r="D658" s="2801" t="s">
        <v>0</v>
      </c>
      <c r="E658" s="2801" t="s">
        <v>0</v>
      </c>
      <c r="F658" s="2808"/>
      <c r="G658" s="2808"/>
      <c r="H658" s="2808"/>
      <c r="I658" s="2808"/>
      <c r="J658" s="2808"/>
      <c r="K658" s="2808"/>
    </row>
    <row r="659" spans="1:11">
      <c r="A659" s="2800">
        <v>45003</v>
      </c>
      <c r="B659" s="2801" t="s">
        <v>0</v>
      </c>
      <c r="C659" s="2801" t="s">
        <v>0</v>
      </c>
      <c r="D659" s="2801" t="s">
        <v>0</v>
      </c>
      <c r="E659" s="2801" t="s">
        <v>0</v>
      </c>
      <c r="F659" s="2808"/>
      <c r="G659" s="2808"/>
      <c r="H659" s="2808"/>
      <c r="I659" s="2808"/>
      <c r="J659" s="2808"/>
      <c r="K659" s="2808"/>
    </row>
    <row r="660" spans="1:11">
      <c r="A660" s="2800">
        <v>45002</v>
      </c>
      <c r="B660" s="2801">
        <v>32183.27</v>
      </c>
      <c r="C660" s="2801">
        <v>346.91</v>
      </c>
      <c r="D660" s="2801">
        <v>11992.59</v>
      </c>
      <c r="E660" s="2801">
        <v>2389.66</v>
      </c>
      <c r="F660" s="2808"/>
      <c r="G660" s="2808"/>
      <c r="H660" s="2808"/>
      <c r="I660" s="2808"/>
      <c r="J660" s="2808"/>
      <c r="K660" s="2808"/>
    </row>
    <row r="661" spans="1:11">
      <c r="A661" s="2800">
        <v>45001</v>
      </c>
      <c r="B661" s="2801">
        <v>31700.05</v>
      </c>
      <c r="C661" s="2801">
        <v>341.18</v>
      </c>
      <c r="D661" s="2801">
        <v>12090.57</v>
      </c>
      <c r="E661" s="2801">
        <v>2363.9899999999998</v>
      </c>
      <c r="F661" s="2808"/>
      <c r="G661" s="2808"/>
      <c r="H661" s="2808"/>
      <c r="I661" s="2808"/>
      <c r="J661" s="2808"/>
      <c r="K661" s="2808"/>
    </row>
    <row r="662" spans="1:11">
      <c r="A662" s="2800">
        <v>45000</v>
      </c>
      <c r="B662" s="2801">
        <v>31988.75</v>
      </c>
      <c r="C662" s="2801">
        <v>344.59</v>
      </c>
      <c r="D662" s="2801">
        <v>11908.05</v>
      </c>
      <c r="E662" s="2801">
        <v>2376.54</v>
      </c>
      <c r="F662" s="2808"/>
      <c r="G662" s="2808"/>
      <c r="H662" s="2808"/>
      <c r="I662" s="2808"/>
      <c r="J662" s="2808"/>
      <c r="K662" s="2808"/>
    </row>
    <row r="663" spans="1:11">
      <c r="A663" s="2800">
        <v>44999</v>
      </c>
      <c r="B663" s="2801">
        <v>31932.080000000002</v>
      </c>
      <c r="C663" s="2801">
        <v>342.1</v>
      </c>
      <c r="D663" s="2801">
        <v>12069.69</v>
      </c>
      <c r="E663" s="2801">
        <v>2371.64</v>
      </c>
      <c r="F663" s="2808"/>
      <c r="G663" s="2808"/>
      <c r="H663" s="2808"/>
      <c r="I663" s="2808"/>
      <c r="J663" s="2808"/>
      <c r="K663" s="2808"/>
    </row>
    <row r="664" spans="1:11">
      <c r="A664" s="2800">
        <v>44998</v>
      </c>
      <c r="B664" s="2801">
        <v>32348</v>
      </c>
      <c r="C664" s="2801">
        <v>345.08</v>
      </c>
      <c r="D664" s="2801">
        <v>11928.87</v>
      </c>
      <c r="E664" s="2801">
        <v>2411.94</v>
      </c>
      <c r="F664" s="2808"/>
      <c r="G664" s="2808"/>
      <c r="H664" s="2808"/>
      <c r="I664" s="2808"/>
      <c r="J664" s="2808"/>
      <c r="K664" s="2808"/>
    </row>
    <row r="665" spans="1:11">
      <c r="A665" s="2800">
        <v>44997</v>
      </c>
      <c r="B665" s="2801" t="s">
        <v>0</v>
      </c>
      <c r="C665" s="2801" t="s">
        <v>0</v>
      </c>
      <c r="D665" s="2801" t="s">
        <v>0</v>
      </c>
      <c r="E665" s="2801" t="s">
        <v>0</v>
      </c>
      <c r="F665" s="2808"/>
      <c r="G665" s="2808"/>
      <c r="H665" s="2808"/>
      <c r="I665" s="2808"/>
      <c r="J665" s="2808"/>
      <c r="K665" s="2808"/>
    </row>
    <row r="666" spans="1:11">
      <c r="A666" s="2800">
        <v>44996</v>
      </c>
      <c r="B666" s="2801" t="s">
        <v>0</v>
      </c>
      <c r="C666" s="2801" t="s">
        <v>0</v>
      </c>
      <c r="D666" s="2801" t="s">
        <v>0</v>
      </c>
      <c r="E666" s="2801" t="s">
        <v>0</v>
      </c>
      <c r="F666" s="2808"/>
      <c r="G666" s="2808"/>
      <c r="H666" s="2808"/>
      <c r="I666" s="2808"/>
      <c r="J666" s="2808"/>
      <c r="K666" s="2808"/>
    </row>
    <row r="667" spans="1:11">
      <c r="A667" s="2800">
        <v>44995</v>
      </c>
      <c r="B667" s="2801">
        <v>32275.79</v>
      </c>
      <c r="C667" s="2801">
        <v>347.33</v>
      </c>
      <c r="D667" s="2801">
        <v>11990.78</v>
      </c>
      <c r="E667" s="2801">
        <v>2395.98</v>
      </c>
      <c r="F667" s="2808"/>
      <c r="G667" s="2808"/>
      <c r="H667" s="2808"/>
      <c r="I667" s="2808"/>
      <c r="J667" s="2808"/>
      <c r="K667" s="2808"/>
    </row>
    <row r="668" spans="1:11">
      <c r="A668" s="2800">
        <v>44994</v>
      </c>
      <c r="B668" s="2801">
        <v>32783.980000000003</v>
      </c>
      <c r="C668" s="2801">
        <v>355.91</v>
      </c>
      <c r="D668" s="2801">
        <v>12142.45</v>
      </c>
      <c r="E668" s="2801">
        <v>2428.6999999999998</v>
      </c>
      <c r="F668" s="2808"/>
      <c r="G668" s="2808"/>
      <c r="H668" s="2808"/>
      <c r="I668" s="2808"/>
      <c r="J668" s="2808"/>
      <c r="K668" s="2808"/>
    </row>
    <row r="669" spans="1:11">
      <c r="A669" s="2800">
        <v>44993</v>
      </c>
      <c r="B669" s="2801">
        <v>32882.800000000003</v>
      </c>
      <c r="C669" s="2801">
        <v>355.79</v>
      </c>
      <c r="D669" s="2801">
        <v>12290.74</v>
      </c>
      <c r="E669" s="2801">
        <v>2452.6999999999998</v>
      </c>
      <c r="F669" s="2808"/>
      <c r="G669" s="2808"/>
      <c r="H669" s="2808"/>
      <c r="I669" s="2808"/>
      <c r="J669" s="2808"/>
      <c r="K669" s="2808"/>
    </row>
    <row r="670" spans="1:11">
      <c r="A670" s="2800">
        <v>44992</v>
      </c>
      <c r="B670" s="2801">
        <v>32965.31</v>
      </c>
      <c r="C670" s="2801">
        <v>354.65</v>
      </c>
      <c r="D670" s="2801">
        <v>12287.15</v>
      </c>
      <c r="E670" s="2801">
        <v>2478.27</v>
      </c>
      <c r="F670" s="2808"/>
      <c r="G670" s="2808"/>
      <c r="H670" s="2808"/>
      <c r="I670" s="2808"/>
      <c r="J670" s="2808"/>
      <c r="K670" s="2808"/>
    </row>
    <row r="671" spans="1:11">
      <c r="A671" s="2800">
        <v>44991</v>
      </c>
      <c r="B671" s="2801">
        <v>32769.120000000003</v>
      </c>
      <c r="C671" s="2801">
        <v>354.04</v>
      </c>
      <c r="D671" s="2801">
        <v>12466.5</v>
      </c>
      <c r="E671" s="2801">
        <v>2491.6999999999998</v>
      </c>
      <c r="F671" s="2808"/>
      <c r="G671" s="2808"/>
      <c r="H671" s="2808"/>
      <c r="I671" s="2808"/>
      <c r="J671" s="2808"/>
      <c r="K671" s="2808"/>
    </row>
    <row r="672" spans="1:11">
      <c r="A672" s="2800">
        <v>44990</v>
      </c>
      <c r="B672" s="2801" t="s">
        <v>0</v>
      </c>
      <c r="C672" s="2801" t="s">
        <v>0</v>
      </c>
      <c r="D672" s="2801" t="s">
        <v>0</v>
      </c>
      <c r="E672" s="2801" t="s">
        <v>0</v>
      </c>
      <c r="F672" s="2808"/>
      <c r="G672" s="2808"/>
      <c r="H672" s="2808"/>
      <c r="I672" s="2808"/>
      <c r="J672" s="2808"/>
      <c r="K672" s="2808"/>
    </row>
    <row r="673" spans="1:11">
      <c r="A673" s="2800">
        <v>44989</v>
      </c>
      <c r="B673" s="2801" t="s">
        <v>0</v>
      </c>
      <c r="C673" s="2801" t="s">
        <v>0</v>
      </c>
      <c r="D673" s="2801" t="s">
        <v>0</v>
      </c>
      <c r="E673" s="2801" t="s">
        <v>0</v>
      </c>
      <c r="F673" s="2808"/>
      <c r="G673" s="2808"/>
      <c r="H673" s="2808"/>
      <c r="I673" s="2808"/>
      <c r="J673" s="2808"/>
      <c r="K673" s="2808"/>
    </row>
    <row r="674" spans="1:11">
      <c r="A674" s="2800">
        <v>44988</v>
      </c>
      <c r="B674" s="2801">
        <v>32446.71</v>
      </c>
      <c r="C674" s="2801">
        <v>349.4</v>
      </c>
      <c r="D674" s="2801">
        <v>12435.85</v>
      </c>
      <c r="E674" s="2801">
        <v>2477.36</v>
      </c>
      <c r="F674" s="2808"/>
      <c r="G674" s="2808"/>
      <c r="H674" s="2808"/>
      <c r="I674" s="2808"/>
      <c r="J674" s="2808"/>
      <c r="K674" s="2808"/>
    </row>
    <row r="675" spans="1:11">
      <c r="A675" s="2800">
        <v>44987</v>
      </c>
      <c r="B675" s="2801">
        <v>32426.54</v>
      </c>
      <c r="C675" s="2801">
        <v>348.42</v>
      </c>
      <c r="D675" s="2801">
        <v>12262.44</v>
      </c>
      <c r="E675" s="2801">
        <v>2457.23</v>
      </c>
      <c r="F675" s="2808"/>
      <c r="G675" s="2808"/>
      <c r="H675" s="2808"/>
      <c r="I675" s="2808"/>
      <c r="J675" s="2808"/>
      <c r="K675" s="2808"/>
    </row>
    <row r="676" spans="1:11">
      <c r="A676" s="2800">
        <v>44986</v>
      </c>
      <c r="B676" s="2801">
        <v>32426.080000000002</v>
      </c>
      <c r="C676" s="2801">
        <v>347.66</v>
      </c>
      <c r="D676" s="2801">
        <v>12201.33</v>
      </c>
      <c r="E676" s="2801">
        <v>2467.5</v>
      </c>
      <c r="F676" s="2808"/>
      <c r="G676" s="2808"/>
      <c r="H676" s="2808"/>
      <c r="I676" s="2808"/>
      <c r="J676" s="2808"/>
      <c r="K676" s="2808"/>
    </row>
    <row r="677" spans="1:11">
      <c r="A677" s="2800">
        <v>44985</v>
      </c>
      <c r="B677" s="2801" t="s">
        <v>0</v>
      </c>
      <c r="C677" s="2801" t="s">
        <v>0</v>
      </c>
      <c r="D677" s="2801">
        <v>12235.69</v>
      </c>
      <c r="E677" s="2801">
        <v>2416.86</v>
      </c>
      <c r="F677" s="2808"/>
      <c r="G677" s="2808"/>
      <c r="H677" s="2808"/>
      <c r="I677" s="2808"/>
      <c r="J677" s="2808"/>
      <c r="K677" s="2808"/>
    </row>
    <row r="678" spans="1:11">
      <c r="A678" s="2800">
        <v>44984</v>
      </c>
      <c r="B678" s="2801" t="s">
        <v>0</v>
      </c>
      <c r="C678" s="2801" t="s">
        <v>0</v>
      </c>
      <c r="D678" s="2801">
        <v>12266.52</v>
      </c>
      <c r="E678" s="2801">
        <v>2424.88</v>
      </c>
      <c r="F678" s="2808"/>
      <c r="G678" s="2808"/>
      <c r="H678" s="2808"/>
      <c r="I678" s="2808"/>
      <c r="J678" s="2808"/>
      <c r="K678" s="2808"/>
    </row>
    <row r="679" spans="1:11">
      <c r="A679" s="2800">
        <v>44983</v>
      </c>
      <c r="B679" s="2801" t="s">
        <v>0</v>
      </c>
      <c r="C679" s="2801" t="s">
        <v>0</v>
      </c>
      <c r="D679" s="2801" t="s">
        <v>0</v>
      </c>
      <c r="E679" s="2801" t="s">
        <v>0</v>
      </c>
      <c r="F679" s="2808"/>
      <c r="G679" s="2808"/>
      <c r="H679" s="2808"/>
      <c r="I679" s="2808"/>
      <c r="J679" s="2808"/>
      <c r="K679" s="2808"/>
    </row>
    <row r="680" spans="1:11">
      <c r="A680" s="2800">
        <v>44982</v>
      </c>
      <c r="B680" s="2801" t="s">
        <v>0</v>
      </c>
      <c r="C680" s="2801" t="s">
        <v>0</v>
      </c>
      <c r="D680" s="2801" t="s">
        <v>0</v>
      </c>
      <c r="E680" s="2801" t="s">
        <v>0</v>
      </c>
      <c r="F680" s="2808"/>
      <c r="G680" s="2808"/>
      <c r="H680" s="2808"/>
      <c r="I680" s="2808"/>
      <c r="J680" s="2808"/>
      <c r="K680" s="2808"/>
    </row>
    <row r="681" spans="1:11">
      <c r="A681" s="2800">
        <v>44981</v>
      </c>
      <c r="B681" s="2801">
        <v>32229.200000000001</v>
      </c>
      <c r="C681" s="2801">
        <v>345.79</v>
      </c>
      <c r="D681" s="2801">
        <v>12198.36</v>
      </c>
      <c r="E681" s="2801">
        <v>2436.38</v>
      </c>
      <c r="F681" s="2808"/>
      <c r="G681" s="2808"/>
      <c r="H681" s="2808"/>
      <c r="I681" s="2808"/>
      <c r="J681" s="2808"/>
      <c r="K681" s="2808"/>
    </row>
    <row r="682" spans="1:11">
      <c r="A682" s="2800">
        <v>44980</v>
      </c>
      <c r="B682" s="2801">
        <v>32461.25</v>
      </c>
      <c r="C682" s="2801">
        <v>347.34</v>
      </c>
      <c r="D682" s="2801">
        <v>12335.38</v>
      </c>
      <c r="E682" s="2801">
        <v>2476.04</v>
      </c>
      <c r="F682" s="2808"/>
      <c r="G682" s="2808"/>
      <c r="H682" s="2808"/>
      <c r="I682" s="2808"/>
      <c r="J682" s="2808"/>
      <c r="K682" s="2808"/>
    </row>
    <row r="683" spans="1:11">
      <c r="A683" s="2800">
        <v>44979</v>
      </c>
      <c r="B683" s="2801">
        <v>32052.47</v>
      </c>
      <c r="C683" s="2801">
        <v>341.34</v>
      </c>
      <c r="D683" s="2801">
        <v>12303.76</v>
      </c>
      <c r="E683" s="2801">
        <v>2461.62</v>
      </c>
      <c r="F683" s="2808"/>
      <c r="G683" s="2808"/>
      <c r="H683" s="2808"/>
      <c r="I683" s="2808"/>
      <c r="J683" s="2808"/>
      <c r="K683" s="2808"/>
    </row>
    <row r="684" spans="1:11">
      <c r="A684" s="2800">
        <v>44978</v>
      </c>
      <c r="B684" s="2801">
        <v>32352.28</v>
      </c>
      <c r="C684" s="2801">
        <v>345.27</v>
      </c>
      <c r="D684" s="2801">
        <v>12345.81</v>
      </c>
      <c r="E684" s="2801">
        <v>2494.44</v>
      </c>
      <c r="F684" s="2808"/>
      <c r="G684" s="2808"/>
      <c r="H684" s="2808"/>
      <c r="I684" s="2808"/>
      <c r="J684" s="2808"/>
      <c r="K684" s="2808"/>
    </row>
    <row r="685" spans="1:11">
      <c r="A685" s="2800">
        <v>44977</v>
      </c>
      <c r="B685" s="2801">
        <v>32327.83</v>
      </c>
      <c r="C685" s="2801">
        <v>342.52</v>
      </c>
      <c r="D685" s="2801">
        <v>12538.78</v>
      </c>
      <c r="E685" s="2801">
        <v>2519.5500000000002</v>
      </c>
      <c r="F685" s="2808"/>
      <c r="G685" s="2808"/>
      <c r="H685" s="2808"/>
      <c r="I685" s="2808"/>
      <c r="J685" s="2808"/>
      <c r="K685" s="2808"/>
    </row>
    <row r="686" spans="1:11">
      <c r="A686" s="2800">
        <v>44976</v>
      </c>
      <c r="B686" s="2801" t="s">
        <v>0</v>
      </c>
      <c r="C686" s="2801" t="s">
        <v>0</v>
      </c>
      <c r="D686" s="2801" t="s">
        <v>0</v>
      </c>
      <c r="E686" s="2801" t="s">
        <v>0</v>
      </c>
      <c r="F686" s="2808"/>
      <c r="G686" s="2808"/>
      <c r="H686" s="2808"/>
      <c r="I686" s="2808"/>
      <c r="J686" s="2808"/>
      <c r="K686" s="2808"/>
    </row>
    <row r="687" spans="1:11">
      <c r="A687" s="2800">
        <v>44975</v>
      </c>
      <c r="B687" s="2801" t="s">
        <v>0</v>
      </c>
      <c r="C687" s="2801" t="s">
        <v>0</v>
      </c>
      <c r="D687" s="2801" t="s">
        <v>0</v>
      </c>
      <c r="E687" s="2801" t="s">
        <v>0</v>
      </c>
      <c r="F687" s="2808"/>
      <c r="G687" s="2808"/>
      <c r="H687" s="2808"/>
      <c r="I687" s="2808"/>
      <c r="J687" s="2808"/>
      <c r="K687" s="2808"/>
    </row>
    <row r="688" spans="1:11">
      <c r="A688" s="2800">
        <v>44974</v>
      </c>
      <c r="B688" s="2801">
        <v>32179.119999999999</v>
      </c>
      <c r="C688" s="2801">
        <v>340.28</v>
      </c>
      <c r="D688" s="2801">
        <v>12523.32</v>
      </c>
      <c r="E688" s="2801">
        <v>2505.0500000000002</v>
      </c>
      <c r="F688" s="2808"/>
      <c r="G688" s="2808"/>
      <c r="H688" s="2808"/>
      <c r="I688" s="2808"/>
      <c r="J688" s="2808"/>
      <c r="K688" s="2808"/>
    </row>
    <row r="689" spans="1:11">
      <c r="A689" s="2800">
        <v>44973</v>
      </c>
      <c r="B689" s="2801">
        <v>32326.3</v>
      </c>
      <c r="C689" s="2801">
        <v>339.46</v>
      </c>
      <c r="D689" s="2801">
        <v>12570.1</v>
      </c>
      <c r="E689" s="2801">
        <v>2534.39</v>
      </c>
      <c r="F689" s="2808"/>
      <c r="G689" s="2808"/>
      <c r="H689" s="2808"/>
      <c r="I689" s="2808"/>
      <c r="J689" s="2808"/>
      <c r="K689" s="2808"/>
    </row>
    <row r="690" spans="1:11">
      <c r="A690" s="2800">
        <v>44972</v>
      </c>
      <c r="B690" s="2801">
        <v>32081.82</v>
      </c>
      <c r="C690" s="2801">
        <v>334.25</v>
      </c>
      <c r="D690" s="2801">
        <v>12680.04</v>
      </c>
      <c r="E690" s="2801">
        <v>2518.62</v>
      </c>
      <c r="F690" s="2808"/>
      <c r="G690" s="2808"/>
      <c r="H690" s="2808"/>
      <c r="I690" s="2808"/>
      <c r="J690" s="2808"/>
      <c r="K690" s="2808"/>
    </row>
    <row r="691" spans="1:11">
      <c r="A691" s="2800">
        <v>44971</v>
      </c>
      <c r="B691" s="2801">
        <v>32542.47</v>
      </c>
      <c r="C691" s="2801">
        <v>335.9</v>
      </c>
      <c r="D691" s="2801">
        <v>12664.79</v>
      </c>
      <c r="E691" s="2801">
        <v>2542.23</v>
      </c>
      <c r="F691" s="2808"/>
      <c r="G691" s="2808"/>
      <c r="H691" s="2808"/>
      <c r="I691" s="2808"/>
      <c r="J691" s="2808"/>
      <c r="K691" s="2808"/>
    </row>
    <row r="692" spans="1:11">
      <c r="A692" s="2800">
        <v>44970</v>
      </c>
      <c r="B692" s="2801">
        <v>32313.37</v>
      </c>
      <c r="C692" s="2801">
        <v>335.01</v>
      </c>
      <c r="D692" s="2801">
        <v>12652.11</v>
      </c>
      <c r="E692" s="2801">
        <v>2539.7199999999998</v>
      </c>
      <c r="F692" s="2808"/>
      <c r="G692" s="2808"/>
      <c r="H692" s="2808"/>
      <c r="I692" s="2808"/>
      <c r="J692" s="2808"/>
      <c r="K692" s="2808"/>
    </row>
    <row r="693" spans="1:11">
      <c r="A693" s="2800">
        <v>44969</v>
      </c>
      <c r="B693" s="2801" t="s">
        <v>0</v>
      </c>
      <c r="C693" s="2801" t="s">
        <v>0</v>
      </c>
      <c r="D693" s="2801" t="s">
        <v>0</v>
      </c>
      <c r="E693" s="2801" t="s">
        <v>0</v>
      </c>
      <c r="F693" s="2808"/>
      <c r="G693" s="2808"/>
      <c r="H693" s="2808"/>
      <c r="I693" s="2808"/>
      <c r="J693" s="2808"/>
      <c r="K693" s="2808"/>
    </row>
    <row r="694" spans="1:11">
      <c r="A694" s="2800">
        <v>44968</v>
      </c>
      <c r="B694" s="2801" t="s">
        <v>0</v>
      </c>
      <c r="C694" s="2801" t="s">
        <v>0</v>
      </c>
      <c r="D694" s="2801" t="s">
        <v>0</v>
      </c>
      <c r="E694" s="2801" t="s">
        <v>0</v>
      </c>
      <c r="F694" s="2808"/>
      <c r="G694" s="2808"/>
      <c r="H694" s="2808"/>
      <c r="I694" s="2808"/>
      <c r="J694" s="2808"/>
      <c r="K694" s="2808"/>
    </row>
    <row r="695" spans="1:11">
      <c r="A695" s="2800">
        <v>44967</v>
      </c>
      <c r="B695" s="2801">
        <v>32401.45</v>
      </c>
      <c r="C695" s="2801">
        <v>336.62</v>
      </c>
      <c r="D695" s="2801">
        <v>12533.23</v>
      </c>
      <c r="E695" s="2801">
        <v>2539.9499999999998</v>
      </c>
      <c r="F695" s="2808"/>
      <c r="G695" s="2808"/>
      <c r="H695" s="2808"/>
      <c r="I695" s="2808"/>
      <c r="J695" s="2808"/>
      <c r="K695" s="2808"/>
    </row>
    <row r="696" spans="1:11">
      <c r="A696" s="2800">
        <v>44966</v>
      </c>
      <c r="B696" s="2801">
        <v>32426.53</v>
      </c>
      <c r="C696" s="2801">
        <v>339.83</v>
      </c>
      <c r="D696" s="2801">
        <v>12560.5</v>
      </c>
      <c r="E696" s="2801">
        <v>2567.11</v>
      </c>
      <c r="F696" s="2808"/>
      <c r="G696" s="2808"/>
      <c r="H696" s="2808"/>
      <c r="I696" s="2808"/>
      <c r="J696" s="2808"/>
      <c r="K696" s="2808"/>
    </row>
    <row r="697" spans="1:11">
      <c r="A697" s="2800">
        <v>44965</v>
      </c>
      <c r="B697" s="2801">
        <v>32466.98</v>
      </c>
      <c r="C697" s="2801">
        <v>340.42</v>
      </c>
      <c r="D697" s="2801">
        <v>12610.63</v>
      </c>
      <c r="E697" s="2801">
        <v>2557.15</v>
      </c>
      <c r="F697" s="2808"/>
      <c r="G697" s="2808"/>
      <c r="H697" s="2808"/>
      <c r="I697" s="2808"/>
      <c r="J697" s="2808"/>
      <c r="K697" s="2808"/>
    </row>
    <row r="698" spans="1:11">
      <c r="A698" s="2800">
        <v>44964</v>
      </c>
      <c r="B698" s="2801">
        <v>32015.35</v>
      </c>
      <c r="C698" s="2801">
        <v>337.26</v>
      </c>
      <c r="D698" s="2801">
        <v>12693.72</v>
      </c>
      <c r="E698" s="2801">
        <v>2544.2600000000002</v>
      </c>
      <c r="F698" s="2808"/>
      <c r="G698" s="2808"/>
      <c r="H698" s="2808"/>
      <c r="I698" s="2808"/>
      <c r="J698" s="2808"/>
      <c r="K698" s="2808"/>
    </row>
    <row r="699" spans="1:11">
      <c r="A699" s="2800">
        <v>44963</v>
      </c>
      <c r="B699" s="2801">
        <v>31998.52</v>
      </c>
      <c r="C699" s="2801">
        <v>334.06</v>
      </c>
      <c r="D699" s="2801">
        <v>12572.48</v>
      </c>
      <c r="E699" s="2801">
        <v>2541.6799999999998</v>
      </c>
      <c r="F699" s="2808"/>
      <c r="G699" s="2808"/>
      <c r="H699" s="2808"/>
      <c r="I699" s="2808"/>
      <c r="J699" s="2808"/>
      <c r="K699" s="2808"/>
    </row>
    <row r="700" spans="1:11">
      <c r="A700" s="2800">
        <v>44962</v>
      </c>
      <c r="B700" s="2801" t="s">
        <v>0</v>
      </c>
      <c r="C700" s="2801" t="s">
        <v>0</v>
      </c>
      <c r="D700" s="2801" t="s">
        <v>0</v>
      </c>
      <c r="E700" s="2801" t="s">
        <v>0</v>
      </c>
      <c r="F700" s="2808"/>
      <c r="G700" s="2808"/>
      <c r="H700" s="2808"/>
      <c r="I700" s="2808"/>
      <c r="J700" s="2808"/>
      <c r="K700" s="2808"/>
    </row>
    <row r="701" spans="1:11">
      <c r="A701" s="2800">
        <v>44961</v>
      </c>
      <c r="B701" s="2801" t="s">
        <v>0</v>
      </c>
      <c r="C701" s="2801" t="s">
        <v>0</v>
      </c>
      <c r="D701" s="2801" t="s">
        <v>0</v>
      </c>
      <c r="E701" s="2801" t="s">
        <v>0</v>
      </c>
      <c r="F701" s="2808"/>
      <c r="G701" s="2808"/>
      <c r="H701" s="2808"/>
      <c r="I701" s="2808"/>
      <c r="J701" s="2808"/>
      <c r="K701" s="2808"/>
    </row>
    <row r="702" spans="1:11">
      <c r="A702" s="2800">
        <v>44960</v>
      </c>
      <c r="B702" s="2801">
        <v>32434.73</v>
      </c>
      <c r="C702" s="2801">
        <v>336.15</v>
      </c>
      <c r="D702" s="2801">
        <v>12693.94</v>
      </c>
      <c r="E702" s="2801">
        <v>2602.4299999999998</v>
      </c>
      <c r="F702" s="2808"/>
      <c r="G702" s="2808"/>
      <c r="H702" s="2808"/>
      <c r="I702" s="2808"/>
      <c r="J702" s="2808"/>
      <c r="K702" s="2808"/>
    </row>
    <row r="703" spans="1:11">
      <c r="A703" s="2800">
        <v>44959</v>
      </c>
      <c r="B703" s="2801">
        <v>32419.15</v>
      </c>
      <c r="C703" s="2801">
        <v>335.59</v>
      </c>
      <c r="D703" s="2801">
        <v>12815.31</v>
      </c>
      <c r="E703" s="2801">
        <v>2619.4899999999998</v>
      </c>
      <c r="F703" s="2808"/>
      <c r="G703" s="2808"/>
      <c r="H703" s="2808"/>
      <c r="I703" s="2808"/>
      <c r="J703" s="2808"/>
      <c r="K703" s="2808"/>
    </row>
    <row r="704" spans="1:11">
      <c r="A704" s="2800">
        <v>44958</v>
      </c>
      <c r="B704" s="2801">
        <v>32055.19</v>
      </c>
      <c r="C704" s="2801">
        <v>330.07</v>
      </c>
      <c r="D704" s="2801">
        <v>12644.37</v>
      </c>
      <c r="E704" s="2801">
        <v>2612.54</v>
      </c>
      <c r="F704" s="2808"/>
      <c r="G704" s="2808"/>
      <c r="H704" s="2808"/>
      <c r="I704" s="2808"/>
      <c r="J704" s="2808"/>
      <c r="K704" s="2808"/>
    </row>
    <row r="705" spans="1:11">
      <c r="A705" s="2800">
        <v>44957</v>
      </c>
      <c r="B705" s="2801">
        <v>31733.119999999999</v>
      </c>
      <c r="C705" s="2801">
        <v>327.13</v>
      </c>
      <c r="D705" s="2801">
        <v>12532.09</v>
      </c>
      <c r="E705" s="2801">
        <v>2584.23</v>
      </c>
      <c r="F705" s="2808"/>
      <c r="G705" s="2808"/>
      <c r="H705" s="2808"/>
      <c r="I705" s="2808"/>
      <c r="J705" s="2808"/>
      <c r="K705" s="2808"/>
    </row>
    <row r="706" spans="1:11">
      <c r="A706" s="2800">
        <v>44956</v>
      </c>
      <c r="B706" s="2801">
        <v>32208.37</v>
      </c>
      <c r="C706" s="2801">
        <v>324.51</v>
      </c>
      <c r="D706" s="2801">
        <v>12416.34</v>
      </c>
      <c r="E706" s="2801">
        <v>2615.63</v>
      </c>
      <c r="F706" s="2808"/>
      <c r="G706" s="2808"/>
      <c r="H706" s="2808"/>
      <c r="I706" s="2808"/>
      <c r="J706" s="2808"/>
      <c r="K706" s="2808"/>
    </row>
    <row r="707" spans="1:11">
      <c r="A707" s="2800">
        <v>44955</v>
      </c>
      <c r="B707" s="2801" t="s">
        <v>0</v>
      </c>
      <c r="C707" s="2801" t="s">
        <v>0</v>
      </c>
      <c r="D707" s="2801" t="s">
        <v>0</v>
      </c>
      <c r="E707" s="2801" t="s">
        <v>0</v>
      </c>
      <c r="F707" s="2808"/>
      <c r="G707" s="2808"/>
      <c r="H707" s="2808"/>
      <c r="I707" s="2808"/>
      <c r="J707" s="2808"/>
      <c r="K707" s="2808"/>
    </row>
    <row r="708" spans="1:11">
      <c r="A708" s="2800">
        <v>44954</v>
      </c>
      <c r="B708" s="2801" t="s">
        <v>0</v>
      </c>
      <c r="C708" s="2801" t="s">
        <v>0</v>
      </c>
      <c r="D708" s="2801" t="s">
        <v>0</v>
      </c>
      <c r="E708" s="2801" t="s">
        <v>0</v>
      </c>
      <c r="F708" s="2808"/>
      <c r="G708" s="2808"/>
      <c r="H708" s="2808"/>
      <c r="I708" s="2808"/>
      <c r="J708" s="2808"/>
      <c r="K708" s="2808"/>
    </row>
    <row r="709" spans="1:11">
      <c r="A709" s="2800">
        <v>44953</v>
      </c>
      <c r="B709" s="2801" t="s">
        <v>0</v>
      </c>
      <c r="C709" s="2801" t="s">
        <v>0</v>
      </c>
      <c r="D709" s="2801">
        <v>12534.83</v>
      </c>
      <c r="E709" s="2801">
        <v>2633.49</v>
      </c>
      <c r="F709" s="2808"/>
      <c r="G709" s="2808"/>
      <c r="H709" s="2808"/>
      <c r="I709" s="2808"/>
      <c r="J709" s="2808"/>
      <c r="K709" s="2808"/>
    </row>
    <row r="710" spans="1:11">
      <c r="A710" s="2800">
        <v>44952</v>
      </c>
      <c r="B710" s="2801" t="s">
        <v>0</v>
      </c>
      <c r="C710" s="2801" t="s">
        <v>0</v>
      </c>
      <c r="D710" s="2801">
        <v>12497.51</v>
      </c>
      <c r="E710" s="2801">
        <v>2636.66</v>
      </c>
      <c r="F710" s="2808"/>
      <c r="G710" s="2808"/>
      <c r="H710" s="2808"/>
      <c r="I710" s="2808"/>
      <c r="J710" s="2808"/>
      <c r="K710" s="2808"/>
    </row>
    <row r="711" spans="1:11">
      <c r="A711" s="2800">
        <v>44951</v>
      </c>
      <c r="B711" s="2801" t="s">
        <v>0</v>
      </c>
      <c r="C711" s="2801" t="s">
        <v>0</v>
      </c>
      <c r="D711" s="2801">
        <v>12402.97</v>
      </c>
      <c r="E711" s="2801">
        <v>2608.58</v>
      </c>
      <c r="F711" s="2808"/>
      <c r="G711" s="2808"/>
      <c r="H711" s="2808"/>
      <c r="I711" s="2808"/>
      <c r="J711" s="2808"/>
      <c r="K711" s="2808"/>
    </row>
    <row r="712" spans="1:11">
      <c r="A712" s="2800">
        <v>44950</v>
      </c>
      <c r="B712" s="2801" t="s">
        <v>0</v>
      </c>
      <c r="C712" s="2801" t="s">
        <v>0</v>
      </c>
      <c r="D712" s="2801">
        <v>12399.1</v>
      </c>
      <c r="E712" s="2801">
        <v>2603.4</v>
      </c>
      <c r="F712" s="2808"/>
      <c r="G712" s="2808"/>
      <c r="H712" s="2808"/>
      <c r="I712" s="2808"/>
      <c r="J712" s="2808"/>
      <c r="K712" s="2808"/>
    </row>
    <row r="713" spans="1:11">
      <c r="A713" s="2800">
        <v>44949</v>
      </c>
      <c r="B713" s="2801" t="s">
        <v>0</v>
      </c>
      <c r="C713" s="2801" t="s">
        <v>0</v>
      </c>
      <c r="D713" s="2801">
        <v>12394.39</v>
      </c>
      <c r="E713" s="2801">
        <v>2602.09</v>
      </c>
      <c r="F713" s="2808"/>
      <c r="G713" s="2808"/>
      <c r="H713" s="2808"/>
      <c r="I713" s="2808"/>
      <c r="J713" s="2808"/>
      <c r="K713" s="2808"/>
    </row>
    <row r="714" spans="1:11">
      <c r="A714" s="2800">
        <v>44948</v>
      </c>
      <c r="B714" s="2801" t="s">
        <v>0</v>
      </c>
      <c r="C714" s="2801" t="s">
        <v>0</v>
      </c>
      <c r="D714" s="2801" t="s">
        <v>0</v>
      </c>
      <c r="E714" s="2801" t="s">
        <v>0</v>
      </c>
      <c r="F714" s="2808"/>
      <c r="G714" s="2808"/>
      <c r="H714" s="2808"/>
      <c r="I714" s="2808"/>
      <c r="J714" s="2808"/>
      <c r="K714" s="2808"/>
    </row>
    <row r="715" spans="1:11">
      <c r="A715" s="2800">
        <v>44947</v>
      </c>
      <c r="B715" s="2801" t="s">
        <v>0</v>
      </c>
      <c r="C715" s="2801" t="s">
        <v>0</v>
      </c>
      <c r="D715" s="2801" t="s">
        <v>0</v>
      </c>
      <c r="E715" s="2801" t="s">
        <v>0</v>
      </c>
      <c r="F715" s="2808"/>
      <c r="G715" s="2808"/>
      <c r="H715" s="2808"/>
      <c r="I715" s="2808"/>
      <c r="J715" s="2808"/>
      <c r="K715" s="2808"/>
    </row>
    <row r="716" spans="1:11">
      <c r="A716" s="2800">
        <v>44946</v>
      </c>
      <c r="B716" s="2801" t="s">
        <v>0</v>
      </c>
      <c r="C716" s="2801" t="s">
        <v>0</v>
      </c>
      <c r="D716" s="2801">
        <v>12260.79</v>
      </c>
      <c r="E716" s="2801">
        <v>2595.9899999999998</v>
      </c>
      <c r="F716" s="2808"/>
      <c r="G716" s="2808"/>
      <c r="H716" s="2808"/>
      <c r="I716" s="2808"/>
      <c r="J716" s="2808"/>
      <c r="K716" s="2808"/>
    </row>
    <row r="717" spans="1:11">
      <c r="A717" s="2800">
        <v>44945</v>
      </c>
      <c r="B717" s="2801" t="s">
        <v>0</v>
      </c>
      <c r="C717" s="2801" t="s">
        <v>0</v>
      </c>
      <c r="D717" s="2801">
        <v>12080.31</v>
      </c>
      <c r="E717" s="2801">
        <v>2575.11</v>
      </c>
      <c r="F717" s="2808"/>
      <c r="G717" s="2808"/>
      <c r="H717" s="2808"/>
      <c r="I717" s="2808"/>
      <c r="J717" s="2808"/>
      <c r="K717" s="2808"/>
    </row>
    <row r="718" spans="1:11">
      <c r="A718" s="2800">
        <v>44944</v>
      </c>
      <c r="B718" s="2801" t="s">
        <v>0</v>
      </c>
      <c r="C718" s="2801" t="s">
        <v>0</v>
      </c>
      <c r="D718" s="2801">
        <v>12206.16</v>
      </c>
      <c r="E718" s="2801">
        <v>2580.44</v>
      </c>
      <c r="F718" s="2808"/>
      <c r="G718" s="2808"/>
      <c r="H718" s="2808"/>
      <c r="I718" s="2808"/>
      <c r="J718" s="2808"/>
      <c r="K718" s="2808"/>
    </row>
    <row r="719" spans="1:11">
      <c r="A719" s="2800">
        <v>44943</v>
      </c>
      <c r="B719" s="2801">
        <v>31042.400000000001</v>
      </c>
      <c r="C719" s="2801">
        <v>316.56</v>
      </c>
      <c r="D719" s="2801">
        <v>12309.18</v>
      </c>
      <c r="E719" s="2801">
        <v>2573.7199999999998</v>
      </c>
      <c r="F719" s="2808"/>
      <c r="G719" s="2808"/>
      <c r="H719" s="2808"/>
      <c r="I719" s="2808"/>
      <c r="J719" s="2808"/>
      <c r="K719" s="2808"/>
    </row>
    <row r="720" spans="1:11">
      <c r="A720" s="2800">
        <v>44942</v>
      </c>
      <c r="B720" s="2801">
        <v>31030.1</v>
      </c>
      <c r="C720" s="2801">
        <v>315.42</v>
      </c>
      <c r="D720" s="2801">
        <v>12306.6</v>
      </c>
      <c r="E720" s="2801">
        <v>2582.54</v>
      </c>
      <c r="F720" s="2808"/>
      <c r="G720" s="2808"/>
      <c r="H720" s="2808"/>
      <c r="I720" s="2808"/>
      <c r="J720" s="2808"/>
      <c r="K720" s="2808"/>
    </row>
    <row r="721" spans="1:11">
      <c r="A721" s="2800">
        <v>44941</v>
      </c>
      <c r="B721" s="2801" t="s">
        <v>0</v>
      </c>
      <c r="C721" s="2801" t="s">
        <v>0</v>
      </c>
      <c r="D721" s="2801" t="s">
        <v>0</v>
      </c>
      <c r="E721" s="2801" t="s">
        <v>0</v>
      </c>
      <c r="F721" s="2808"/>
      <c r="G721" s="2808"/>
      <c r="H721" s="2808"/>
      <c r="I721" s="2808"/>
      <c r="J721" s="2808"/>
      <c r="K721" s="2808"/>
    </row>
    <row r="722" spans="1:11">
      <c r="A722" s="2800">
        <v>44940</v>
      </c>
      <c r="B722" s="2801" t="s">
        <v>0</v>
      </c>
      <c r="C722" s="2801" t="s">
        <v>0</v>
      </c>
      <c r="D722" s="2801" t="s">
        <v>0</v>
      </c>
      <c r="E722" s="2801" t="s">
        <v>0</v>
      </c>
      <c r="F722" s="2808"/>
      <c r="G722" s="2808"/>
      <c r="H722" s="2808"/>
      <c r="I722" s="2808"/>
      <c r="J722" s="2808"/>
      <c r="K722" s="2808"/>
    </row>
    <row r="723" spans="1:11">
      <c r="A723" s="2800">
        <v>44939</v>
      </c>
      <c r="B723" s="2801">
        <v>30816.23</v>
      </c>
      <c r="C723" s="2801">
        <v>312.74</v>
      </c>
      <c r="D723" s="2801">
        <v>12305.77</v>
      </c>
      <c r="E723" s="2801">
        <v>2579.5700000000002</v>
      </c>
      <c r="F723" s="2808"/>
      <c r="G723" s="2808"/>
      <c r="H723" s="2808"/>
      <c r="I723" s="2808"/>
      <c r="J723" s="2808"/>
      <c r="K723" s="2808"/>
    </row>
    <row r="724" spans="1:11">
      <c r="A724" s="2800">
        <v>44938</v>
      </c>
      <c r="B724" s="2801">
        <v>30623.96</v>
      </c>
      <c r="C724" s="2801">
        <v>313.77999999999997</v>
      </c>
      <c r="D724" s="2801">
        <v>12235.19</v>
      </c>
      <c r="E724" s="2801">
        <v>2550.6799999999998</v>
      </c>
      <c r="F724" s="2808"/>
      <c r="G724" s="2808"/>
      <c r="H724" s="2808"/>
      <c r="I724" s="2808"/>
      <c r="J724" s="2808"/>
      <c r="K724" s="2808"/>
    </row>
    <row r="725" spans="1:11">
      <c r="A725" s="2800">
        <v>44937</v>
      </c>
      <c r="B725" s="2801">
        <v>30665.119999999999</v>
      </c>
      <c r="C725" s="2801">
        <v>316.45999999999998</v>
      </c>
      <c r="D725" s="2801">
        <v>12147.1</v>
      </c>
      <c r="E725" s="2801">
        <v>2547.0300000000002</v>
      </c>
      <c r="F725" s="2808"/>
      <c r="G725" s="2808"/>
      <c r="H725" s="2808"/>
      <c r="I725" s="2808"/>
      <c r="J725" s="2808"/>
      <c r="K725" s="2808"/>
    </row>
    <row r="726" spans="1:11">
      <c r="A726" s="2800">
        <v>44936</v>
      </c>
      <c r="B726" s="2801">
        <v>30772.22</v>
      </c>
      <c r="C726" s="2801">
        <v>315.67</v>
      </c>
      <c r="D726" s="2801">
        <v>12014.02</v>
      </c>
      <c r="E726" s="2801">
        <v>2539.9299999999998</v>
      </c>
      <c r="F726" s="2808"/>
      <c r="G726" s="2808"/>
      <c r="H726" s="2808"/>
      <c r="I726" s="2808"/>
      <c r="J726" s="2808"/>
      <c r="K726" s="2808"/>
    </row>
    <row r="727" spans="1:11">
      <c r="A727" s="2800">
        <v>44935</v>
      </c>
      <c r="B727" s="2801">
        <v>30666.73</v>
      </c>
      <c r="C727" s="2801">
        <v>316.02999999999997</v>
      </c>
      <c r="D727" s="2801">
        <v>11977.9</v>
      </c>
      <c r="E727" s="2801">
        <v>2538.52</v>
      </c>
      <c r="F727" s="2808"/>
      <c r="G727" s="2808"/>
      <c r="H727" s="2808"/>
      <c r="I727" s="2808"/>
      <c r="J727" s="2808"/>
      <c r="K727" s="2808"/>
    </row>
    <row r="728" spans="1:11">
      <c r="A728" s="2800">
        <v>44934</v>
      </c>
      <c r="B728" s="2801" t="s">
        <v>0</v>
      </c>
      <c r="C728" s="2801" t="s">
        <v>0</v>
      </c>
      <c r="D728" s="2801" t="s">
        <v>0</v>
      </c>
      <c r="E728" s="2801" t="s">
        <v>0</v>
      </c>
      <c r="F728" s="2808"/>
      <c r="G728" s="2808"/>
      <c r="H728" s="2808"/>
      <c r="I728" s="2808"/>
      <c r="J728" s="2808"/>
      <c r="K728" s="2808"/>
    </row>
    <row r="729" spans="1:11">
      <c r="A729" s="2800">
        <v>44933</v>
      </c>
      <c r="B729" s="2801" t="s">
        <v>0</v>
      </c>
      <c r="C729" s="2801" t="s">
        <v>0</v>
      </c>
      <c r="D729" s="2801" t="s">
        <v>0</v>
      </c>
      <c r="E729" s="2801" t="s">
        <v>0</v>
      </c>
      <c r="F729" s="2808"/>
      <c r="G729" s="2808"/>
      <c r="H729" s="2808"/>
      <c r="I729" s="2808"/>
      <c r="J729" s="2808"/>
      <c r="K729" s="2808"/>
    </row>
    <row r="730" spans="1:11">
      <c r="A730" s="2800">
        <v>44932</v>
      </c>
      <c r="B730" s="2801">
        <v>29879.13</v>
      </c>
      <c r="C730" s="2801">
        <v>311.79000000000002</v>
      </c>
      <c r="D730" s="2801">
        <v>11915.75</v>
      </c>
      <c r="E730" s="2801">
        <v>2476.06</v>
      </c>
      <c r="F730" s="2808"/>
      <c r="G730" s="2808"/>
      <c r="H730" s="2808"/>
      <c r="I730" s="2808"/>
      <c r="J730" s="2808"/>
      <c r="K730" s="2808"/>
    </row>
    <row r="731" spans="1:11">
      <c r="A731" s="2800">
        <v>44931</v>
      </c>
      <c r="B731" s="2801">
        <v>29728.86</v>
      </c>
      <c r="C731" s="2801">
        <v>308.47000000000003</v>
      </c>
      <c r="D731" s="2801">
        <v>11667.92</v>
      </c>
      <c r="E731" s="2801">
        <v>2464.36</v>
      </c>
      <c r="F731" s="2808"/>
      <c r="G731" s="2808"/>
      <c r="H731" s="2808"/>
      <c r="I731" s="2808"/>
      <c r="J731" s="2808"/>
      <c r="K731" s="2808"/>
    </row>
    <row r="732" spans="1:11">
      <c r="A732" s="2800">
        <v>44930</v>
      </c>
      <c r="B732" s="2801">
        <v>29516.99</v>
      </c>
      <c r="C732" s="2801">
        <v>307.77999999999997</v>
      </c>
      <c r="D732" s="2801">
        <v>11799.73</v>
      </c>
      <c r="E732" s="2801">
        <v>2439.79</v>
      </c>
      <c r="F732" s="2808"/>
      <c r="G732" s="2808"/>
      <c r="H732" s="2808"/>
      <c r="I732" s="2808"/>
      <c r="J732" s="2808"/>
      <c r="K732" s="2808"/>
    </row>
    <row r="733" spans="1:11">
      <c r="A733" s="2800">
        <v>44929</v>
      </c>
      <c r="B733" s="2801">
        <v>29568.47</v>
      </c>
      <c r="C733" s="2801">
        <v>306.20999999999998</v>
      </c>
      <c r="D733" s="2801">
        <v>11693.93</v>
      </c>
      <c r="E733" s="2801">
        <v>2410.52</v>
      </c>
      <c r="F733" s="2808"/>
      <c r="G733" s="2808"/>
      <c r="H733" s="2808"/>
      <c r="I733" s="2808"/>
      <c r="J733" s="2808"/>
      <c r="K733" s="2808"/>
    </row>
    <row r="734" spans="1:11">
      <c r="A734" s="2800">
        <v>44928</v>
      </c>
      <c r="B734" s="2801" t="s">
        <v>0</v>
      </c>
      <c r="C734" s="2801" t="s">
        <v>0</v>
      </c>
      <c r="D734" s="2801">
        <v>11721.94</v>
      </c>
      <c r="E734" s="2801">
        <v>2394.34</v>
      </c>
      <c r="F734" s="2808"/>
      <c r="G734" s="2808"/>
      <c r="H734" s="2808"/>
      <c r="I734" s="2808"/>
      <c r="J734" s="2808"/>
      <c r="K734" s="2808"/>
    </row>
    <row r="735" spans="1:11">
      <c r="A735" s="2800">
        <v>44927</v>
      </c>
      <c r="B735" s="2801" t="s">
        <v>0</v>
      </c>
      <c r="C735" s="2801" t="s">
        <v>0</v>
      </c>
      <c r="D735" s="2801" t="s">
        <v>0</v>
      </c>
      <c r="E735" s="2801" t="s">
        <v>0</v>
      </c>
      <c r="F735" s="2808"/>
      <c r="G735" s="2808"/>
      <c r="H735" s="2808"/>
      <c r="I735" s="2808"/>
      <c r="J735" s="2808"/>
      <c r="K735" s="2808"/>
    </row>
    <row r="736" spans="1:11">
      <c r="A736" s="2800">
        <v>44926</v>
      </c>
      <c r="B736" s="2801"/>
      <c r="C736" s="2801"/>
      <c r="D736" s="2801"/>
      <c r="E736" s="2801"/>
      <c r="F736" s="2808"/>
      <c r="G736" s="2808"/>
      <c r="H736" s="2808"/>
      <c r="I736" s="2808"/>
      <c r="J736" s="2808"/>
      <c r="K736" s="2808"/>
    </row>
    <row r="737" spans="1:11">
      <c r="A737" s="2800">
        <v>44925</v>
      </c>
      <c r="B737" s="2801">
        <v>29388.799999999999</v>
      </c>
      <c r="C737" s="2801">
        <v>302.54000000000002</v>
      </c>
      <c r="D737" s="2801">
        <v>11700.99</v>
      </c>
      <c r="E737" s="2801">
        <v>2394.9</v>
      </c>
      <c r="F737" s="2808"/>
      <c r="G737" s="2808"/>
      <c r="H737" s="2808"/>
      <c r="I737" s="2808"/>
      <c r="J737" s="2808"/>
      <c r="K737" s="2808"/>
    </row>
    <row r="738" spans="1:11">
      <c r="A738" s="2800">
        <v>44924</v>
      </c>
      <c r="B738" s="2801">
        <v>29279.32</v>
      </c>
      <c r="C738" s="2801">
        <v>302.83</v>
      </c>
      <c r="D738" s="2801">
        <v>11742.32</v>
      </c>
      <c r="E738" s="2801">
        <v>2397.58</v>
      </c>
      <c r="F738" s="2808"/>
      <c r="G738" s="2808"/>
      <c r="H738" s="2808"/>
      <c r="I738" s="2808"/>
      <c r="J738" s="2808"/>
      <c r="K738" s="2808"/>
    </row>
    <row r="739" spans="1:11">
      <c r="A739" s="2800">
        <v>44923</v>
      </c>
      <c r="B739" s="2801">
        <v>29462.400000000001</v>
      </c>
      <c r="C739" s="2801">
        <v>302.19</v>
      </c>
      <c r="D739" s="2801">
        <v>11573.61</v>
      </c>
      <c r="E739" s="2801">
        <v>2404.38</v>
      </c>
      <c r="F739" s="2808"/>
      <c r="G739" s="2808"/>
      <c r="H739" s="2808"/>
      <c r="I739" s="2808"/>
      <c r="J739" s="2808"/>
      <c r="K739" s="2808"/>
    </row>
    <row r="740" spans="1:11">
      <c r="A740" s="2800">
        <v>44922</v>
      </c>
      <c r="B740" s="2801">
        <v>29785.27</v>
      </c>
      <c r="C740" s="2801">
        <v>307.74</v>
      </c>
      <c r="D740" s="2801">
        <v>11689.45</v>
      </c>
      <c r="E740" s="2801">
        <v>2398.4699999999998</v>
      </c>
      <c r="F740" s="2808"/>
      <c r="G740" s="2808"/>
      <c r="H740" s="2808"/>
      <c r="I740" s="2808"/>
      <c r="J740" s="2808"/>
      <c r="K740" s="2808"/>
    </row>
    <row r="741" spans="1:11">
      <c r="A741" s="2800">
        <v>44921</v>
      </c>
      <c r="B741" s="2801">
        <v>29695.27</v>
      </c>
      <c r="C741" s="2801">
        <v>306.24</v>
      </c>
      <c r="D741" s="2801">
        <v>11709.23</v>
      </c>
      <c r="E741" s="2801">
        <v>2391.15</v>
      </c>
      <c r="F741" s="2808"/>
      <c r="G741" s="2808"/>
      <c r="H741" s="2808"/>
      <c r="I741" s="2808"/>
      <c r="J741" s="2808"/>
      <c r="K741" s="2808"/>
    </row>
    <row r="742" spans="1:11">
      <c r="A742" s="2800">
        <v>44920</v>
      </c>
      <c r="B742" s="2801" t="s">
        <v>0</v>
      </c>
      <c r="C742" s="2801" t="s">
        <v>0</v>
      </c>
      <c r="D742" s="2801" t="s">
        <v>0</v>
      </c>
      <c r="E742" s="2801" t="s">
        <v>0</v>
      </c>
      <c r="F742" s="2808"/>
      <c r="G742" s="2808"/>
      <c r="H742" s="2808"/>
      <c r="I742" s="2808"/>
      <c r="J742" s="2808"/>
      <c r="K742" s="2808"/>
    </row>
    <row r="743" spans="1:11">
      <c r="A743" s="2800">
        <v>44919</v>
      </c>
      <c r="B743" s="2801" t="s">
        <v>0</v>
      </c>
      <c r="C743" s="2801" t="s">
        <v>0</v>
      </c>
      <c r="D743" s="2801" t="s">
        <v>0</v>
      </c>
      <c r="E743" s="2801" t="s">
        <v>0</v>
      </c>
      <c r="F743" s="2808"/>
      <c r="G743" s="2808"/>
      <c r="H743" s="2808"/>
      <c r="I743" s="2808"/>
      <c r="J743" s="2808"/>
      <c r="K743" s="2808"/>
    </row>
    <row r="744" spans="1:11">
      <c r="A744" s="2800">
        <v>44918</v>
      </c>
      <c r="B744" s="2801">
        <v>29667.01</v>
      </c>
      <c r="C744" s="2801">
        <v>306.73</v>
      </c>
      <c r="D744" s="2801">
        <v>11707.92</v>
      </c>
      <c r="E744" s="2801">
        <v>2386.87</v>
      </c>
      <c r="F744" s="2808"/>
      <c r="G744" s="2808"/>
      <c r="H744" s="2808"/>
      <c r="I744" s="2808"/>
      <c r="J744" s="2808"/>
      <c r="K744" s="2808"/>
    </row>
    <row r="745" spans="1:11">
      <c r="A745" s="2800">
        <v>44917</v>
      </c>
      <c r="B745" s="2801">
        <v>30023.13</v>
      </c>
      <c r="C745" s="2801">
        <v>307.91000000000003</v>
      </c>
      <c r="D745" s="2801">
        <v>11662.83</v>
      </c>
      <c r="E745" s="2801">
        <v>2409.9499999999998</v>
      </c>
      <c r="F745" s="2808"/>
      <c r="G745" s="2808"/>
      <c r="H745" s="2808"/>
      <c r="I745" s="2808"/>
      <c r="J745" s="2808"/>
      <c r="K745" s="2808"/>
    </row>
    <row r="746" spans="1:11">
      <c r="A746" s="2800">
        <v>44916</v>
      </c>
      <c r="B746" s="2801">
        <v>29589.52</v>
      </c>
      <c r="C746" s="2801">
        <v>304.49</v>
      </c>
      <c r="D746" s="2801">
        <v>11804.72</v>
      </c>
      <c r="E746" s="2801">
        <v>2382.16</v>
      </c>
      <c r="F746" s="2808"/>
      <c r="G746" s="2808"/>
      <c r="H746" s="2808"/>
      <c r="I746" s="2808"/>
      <c r="J746" s="2808"/>
      <c r="K746" s="2808"/>
    </row>
    <row r="747" spans="1:11">
      <c r="A747" s="2800">
        <v>44915</v>
      </c>
      <c r="B747" s="2801">
        <v>29455.72</v>
      </c>
      <c r="C747" s="2801">
        <v>303.35000000000002</v>
      </c>
      <c r="D747" s="2801">
        <v>11650.61</v>
      </c>
      <c r="E747" s="2801">
        <v>2377.41</v>
      </c>
      <c r="F747" s="2808"/>
      <c r="G747" s="2808"/>
      <c r="H747" s="2808"/>
      <c r="I747" s="2808"/>
      <c r="J747" s="2808"/>
      <c r="K747" s="2808"/>
    </row>
    <row r="748" spans="1:11">
      <c r="A748" s="2800">
        <v>44914</v>
      </c>
      <c r="B748" s="2801">
        <v>30003.02</v>
      </c>
      <c r="C748" s="2801">
        <v>312.76</v>
      </c>
      <c r="D748" s="2801">
        <v>11618.98</v>
      </c>
      <c r="E748" s="2801">
        <v>2393.5100000000002</v>
      </c>
      <c r="F748" s="2808"/>
      <c r="G748" s="2808"/>
      <c r="H748" s="2808"/>
      <c r="I748" s="2808"/>
      <c r="J748" s="2808"/>
      <c r="K748" s="2808"/>
    </row>
    <row r="749" spans="1:11">
      <c r="A749" s="2800">
        <v>44913</v>
      </c>
      <c r="B749" s="2801" t="s">
        <v>0</v>
      </c>
      <c r="C749" s="2801" t="s">
        <v>0</v>
      </c>
      <c r="D749" s="2801" t="s">
        <v>0</v>
      </c>
      <c r="E749" s="2801" t="s">
        <v>0</v>
      </c>
      <c r="F749" s="2808"/>
      <c r="G749" s="2808"/>
      <c r="H749" s="2808"/>
      <c r="I749" s="2808"/>
      <c r="J749" s="2808"/>
      <c r="K749" s="2808"/>
    </row>
    <row r="750" spans="1:11">
      <c r="A750" s="2800">
        <v>44912</v>
      </c>
      <c r="B750" s="2801" t="s">
        <v>0</v>
      </c>
      <c r="C750" s="2801" t="s">
        <v>0</v>
      </c>
      <c r="D750" s="2801" t="s">
        <v>0</v>
      </c>
      <c r="E750" s="2801" t="s">
        <v>0</v>
      </c>
      <c r="F750" s="2808"/>
      <c r="G750" s="2808"/>
      <c r="H750" s="2808"/>
      <c r="I750" s="2808"/>
      <c r="J750" s="2808"/>
      <c r="K750" s="2808"/>
    </row>
    <row r="751" spans="1:11">
      <c r="A751" s="2800">
        <v>44911</v>
      </c>
      <c r="B751" s="2801">
        <v>30200.61</v>
      </c>
      <c r="C751" s="2801">
        <v>312.77999999999997</v>
      </c>
      <c r="D751" s="2801">
        <v>11708.81</v>
      </c>
      <c r="E751" s="2801">
        <v>2392.56</v>
      </c>
      <c r="F751" s="2808"/>
      <c r="G751" s="2808"/>
      <c r="H751" s="2808"/>
      <c r="I751" s="2808"/>
      <c r="J751" s="2808"/>
      <c r="K751" s="2808"/>
    </row>
    <row r="752" spans="1:11">
      <c r="A752" s="2800">
        <v>44910</v>
      </c>
      <c r="B752" s="2801">
        <v>30627.96</v>
      </c>
      <c r="C752" s="2801">
        <v>317.38</v>
      </c>
      <c r="D752" s="2801">
        <v>11847.05</v>
      </c>
      <c r="E752" s="2801">
        <v>2399.85</v>
      </c>
      <c r="F752" s="2808"/>
      <c r="G752" s="2808"/>
      <c r="H752" s="2808"/>
      <c r="I752" s="2808"/>
      <c r="J752" s="2808"/>
      <c r="K752" s="2808"/>
    </row>
    <row r="753" spans="1:11">
      <c r="A753" s="2800">
        <v>44909</v>
      </c>
      <c r="B753" s="2801">
        <v>30590.6</v>
      </c>
      <c r="C753" s="2801">
        <v>317.52</v>
      </c>
      <c r="D753" s="2801">
        <v>12153.45</v>
      </c>
      <c r="E753" s="2801">
        <v>2432.69</v>
      </c>
      <c r="F753" s="2808"/>
      <c r="G753" s="2808"/>
      <c r="H753" s="2808"/>
      <c r="I753" s="2808"/>
      <c r="J753" s="2808"/>
      <c r="K753" s="2808"/>
    </row>
    <row r="754" spans="1:11">
      <c r="A754" s="2800">
        <v>44908</v>
      </c>
      <c r="B754" s="2801">
        <v>30141.47</v>
      </c>
      <c r="C754" s="2801">
        <v>312.27999999999997</v>
      </c>
      <c r="D754" s="2801">
        <v>12197.45</v>
      </c>
      <c r="E754" s="2801">
        <v>2411.41</v>
      </c>
      <c r="F754" s="2808"/>
      <c r="G754" s="2808"/>
      <c r="H754" s="2808"/>
      <c r="I754" s="2808"/>
      <c r="J754" s="2808"/>
      <c r="K754" s="2808"/>
    </row>
    <row r="755" spans="1:11">
      <c r="A755" s="2800">
        <v>44907</v>
      </c>
      <c r="B755" s="2801">
        <v>30327.49</v>
      </c>
      <c r="C755" s="2801">
        <v>314.05</v>
      </c>
      <c r="D755" s="2801">
        <v>12053.5</v>
      </c>
      <c r="E755" s="2801">
        <v>2407.1</v>
      </c>
      <c r="F755" s="2808"/>
      <c r="G755" s="2808"/>
      <c r="H755" s="2808"/>
      <c r="I755" s="2808"/>
      <c r="J755" s="2808"/>
      <c r="K755" s="2808"/>
    </row>
    <row r="756" spans="1:11">
      <c r="A756" s="2800">
        <v>44906</v>
      </c>
      <c r="B756" s="2801" t="s">
        <v>0</v>
      </c>
      <c r="C756" s="2801" t="s">
        <v>0</v>
      </c>
      <c r="D756" s="2801" t="s">
        <v>0</v>
      </c>
      <c r="E756" s="2801" t="s">
        <v>0</v>
      </c>
      <c r="F756" s="2808"/>
      <c r="G756" s="2808"/>
      <c r="H756" s="2808"/>
      <c r="I756" s="2808"/>
      <c r="J756" s="2808"/>
      <c r="K756" s="2808"/>
    </row>
    <row r="757" spans="1:11">
      <c r="A757" s="2800">
        <v>44905</v>
      </c>
      <c r="B757" s="2801" t="s">
        <v>0</v>
      </c>
      <c r="C757" s="2801" t="s">
        <v>0</v>
      </c>
      <c r="D757" s="2801" t="s">
        <v>0</v>
      </c>
      <c r="E757" s="2801" t="s">
        <v>0</v>
      </c>
      <c r="F757" s="2808"/>
      <c r="G757" s="2808"/>
      <c r="H757" s="2808"/>
      <c r="I757" s="2808"/>
      <c r="J757" s="2808"/>
      <c r="K757" s="2808"/>
    </row>
    <row r="758" spans="1:11">
      <c r="A758" s="2800">
        <v>44904</v>
      </c>
      <c r="B758" s="2801">
        <v>30520.19</v>
      </c>
      <c r="C758" s="2801">
        <v>315.22000000000003</v>
      </c>
      <c r="D758" s="2801">
        <v>11960.43</v>
      </c>
      <c r="E758" s="2801">
        <v>2443.54</v>
      </c>
      <c r="F758" s="2808"/>
      <c r="G758" s="2808"/>
      <c r="H758" s="2808"/>
      <c r="I758" s="2808"/>
      <c r="J758" s="2808"/>
      <c r="K758" s="2808"/>
    </row>
    <row r="759" spans="1:11">
      <c r="A759" s="2800">
        <v>44903</v>
      </c>
      <c r="B759" s="2801">
        <v>30203.919999999998</v>
      </c>
      <c r="C759" s="2801">
        <v>314.74</v>
      </c>
      <c r="D759" s="2801">
        <v>11993.38</v>
      </c>
      <c r="E759" s="2801">
        <v>2420.63</v>
      </c>
      <c r="F759" s="2808"/>
      <c r="G759" s="2808"/>
      <c r="H759" s="2808"/>
      <c r="I759" s="2808"/>
      <c r="J759" s="2808"/>
      <c r="K759" s="2808"/>
    </row>
    <row r="760" spans="1:11">
      <c r="A760" s="2800">
        <v>44902</v>
      </c>
      <c r="B760" s="2801">
        <v>30363.66</v>
      </c>
      <c r="C760" s="2801">
        <v>313.77</v>
      </c>
      <c r="D760" s="2801">
        <v>11920.61</v>
      </c>
      <c r="E760" s="2801">
        <v>2394.52</v>
      </c>
      <c r="F760" s="2808"/>
      <c r="G760" s="2808"/>
      <c r="H760" s="2808"/>
      <c r="I760" s="2808"/>
      <c r="J760" s="2808"/>
      <c r="K760" s="2808"/>
    </row>
    <row r="761" spans="1:11">
      <c r="A761" s="2800">
        <v>44901</v>
      </c>
      <c r="B761" s="2801">
        <v>30568.76</v>
      </c>
      <c r="C761" s="2801">
        <v>318.41000000000003</v>
      </c>
      <c r="D761" s="2801">
        <v>11954.96</v>
      </c>
      <c r="E761" s="2801">
        <v>2429.84</v>
      </c>
      <c r="F761" s="2808"/>
      <c r="G761" s="2808"/>
      <c r="H761" s="2808"/>
      <c r="I761" s="2808"/>
      <c r="J761" s="2808"/>
      <c r="K761" s="2808"/>
    </row>
    <row r="762" spans="1:11">
      <c r="A762" s="2800">
        <v>44900</v>
      </c>
      <c r="B762" s="2801">
        <v>31091.43</v>
      </c>
      <c r="C762" s="2801">
        <v>323.33999999999997</v>
      </c>
      <c r="D762" s="2801">
        <v>12107.69</v>
      </c>
      <c r="E762" s="2801">
        <v>2457.75</v>
      </c>
      <c r="F762" s="2808"/>
      <c r="G762" s="2808"/>
      <c r="H762" s="2808"/>
      <c r="I762" s="2808"/>
      <c r="J762" s="2808"/>
      <c r="K762" s="2808"/>
    </row>
    <row r="763" spans="1:11">
      <c r="A763" s="2800">
        <v>44899</v>
      </c>
      <c r="B763" s="2801" t="s">
        <v>0</v>
      </c>
      <c r="C763" s="2801" t="s">
        <v>0</v>
      </c>
      <c r="D763" s="2801" t="s">
        <v>0</v>
      </c>
      <c r="E763" s="2801" t="s">
        <v>0</v>
      </c>
      <c r="F763" s="2808"/>
      <c r="G763" s="2808"/>
      <c r="H763" s="2808"/>
      <c r="I763" s="2808"/>
      <c r="J763" s="2808"/>
      <c r="K763" s="2808"/>
    </row>
    <row r="764" spans="1:11">
      <c r="A764" s="2800">
        <v>44898</v>
      </c>
      <c r="B764" s="2801" t="s">
        <v>0</v>
      </c>
      <c r="C764" s="2801" t="s">
        <v>0</v>
      </c>
      <c r="D764" s="2801" t="s">
        <v>0</v>
      </c>
      <c r="E764" s="2801" t="s">
        <v>0</v>
      </c>
      <c r="F764" s="2808"/>
      <c r="G764" s="2808"/>
      <c r="H764" s="2808"/>
      <c r="I764" s="2808"/>
      <c r="J764" s="2808"/>
      <c r="K764" s="2808"/>
    </row>
    <row r="765" spans="1:11">
      <c r="A765" s="2800">
        <v>44897</v>
      </c>
      <c r="B765" s="2801">
        <v>31070.560000000001</v>
      </c>
      <c r="C765" s="2801">
        <v>321.49</v>
      </c>
      <c r="D765" s="2801">
        <v>12272.37</v>
      </c>
      <c r="E765" s="2801">
        <v>2431.75</v>
      </c>
      <c r="F765" s="2808"/>
      <c r="G765" s="2808"/>
      <c r="H765" s="2808"/>
      <c r="I765" s="2808"/>
      <c r="J765" s="2808"/>
      <c r="K765" s="2808"/>
    </row>
    <row r="766" spans="1:11">
      <c r="A766" s="2800">
        <v>44896</v>
      </c>
      <c r="B766" s="2801">
        <v>31157.86</v>
      </c>
      <c r="C766" s="2801">
        <v>318.89999999999998</v>
      </c>
      <c r="D766" s="2801">
        <v>12307.77</v>
      </c>
      <c r="E766" s="2801">
        <v>2442.83</v>
      </c>
      <c r="F766" s="2808"/>
      <c r="G766" s="2808"/>
      <c r="H766" s="2808"/>
      <c r="I766" s="2808"/>
      <c r="J766" s="2808"/>
      <c r="K766" s="2808"/>
    </row>
    <row r="767" spans="1:11">
      <c r="A767" s="2800">
        <v>44895</v>
      </c>
      <c r="B767" s="2801">
        <v>30881.32</v>
      </c>
      <c r="C767" s="2801">
        <v>313.91000000000003</v>
      </c>
      <c r="D767" s="2801">
        <v>12215.11</v>
      </c>
      <c r="E767" s="2801">
        <v>2427.71</v>
      </c>
      <c r="F767" s="2808"/>
      <c r="G767" s="2808"/>
      <c r="H767" s="2808"/>
      <c r="I767" s="2808"/>
      <c r="J767" s="2808"/>
      <c r="K767" s="2808"/>
    </row>
    <row r="768" spans="1:11">
      <c r="A768" s="2800">
        <v>44894</v>
      </c>
      <c r="B768" s="2801">
        <v>30528.67</v>
      </c>
      <c r="C768" s="2801">
        <v>309.82</v>
      </c>
      <c r="D768" s="2801">
        <v>11954.06</v>
      </c>
      <c r="E768" s="2801">
        <v>2379.3200000000002</v>
      </c>
      <c r="F768" s="2808"/>
      <c r="G768" s="2808"/>
      <c r="H768" s="2808"/>
      <c r="I768" s="2808"/>
      <c r="J768" s="2808"/>
      <c r="K768" s="2808"/>
    </row>
    <row r="769" spans="1:11">
      <c r="A769" s="2800">
        <v>44893</v>
      </c>
      <c r="B769" s="2801">
        <v>30211.62</v>
      </c>
      <c r="C769" s="2801">
        <v>310.58999999999997</v>
      </c>
      <c r="D769" s="2801">
        <v>11976.51</v>
      </c>
      <c r="E769" s="2801">
        <v>2323.8000000000002</v>
      </c>
      <c r="F769" s="2808"/>
      <c r="G769" s="2808"/>
      <c r="H769" s="2808"/>
      <c r="I769" s="2808"/>
      <c r="J769" s="2808"/>
      <c r="K769" s="2808"/>
    </row>
    <row r="770" spans="1:11">
      <c r="A770" s="2800">
        <v>44892</v>
      </c>
      <c r="B770" s="2801" t="s">
        <v>0</v>
      </c>
      <c r="C770" s="2801" t="s">
        <v>0</v>
      </c>
      <c r="D770" s="2801" t="s">
        <v>0</v>
      </c>
      <c r="E770" s="2801" t="s">
        <v>0</v>
      </c>
      <c r="F770" s="2808"/>
      <c r="G770" s="2808"/>
      <c r="H770" s="2808"/>
      <c r="I770" s="2808"/>
      <c r="J770" s="2808"/>
      <c r="K770" s="2808"/>
    </row>
    <row r="771" spans="1:11">
      <c r="A771" s="2800">
        <v>44891</v>
      </c>
      <c r="B771" s="2801" t="s">
        <v>0</v>
      </c>
      <c r="C771" s="2801" t="s">
        <v>0</v>
      </c>
      <c r="D771" s="2801" t="s">
        <v>0</v>
      </c>
      <c r="E771" s="2801" t="s">
        <v>0</v>
      </c>
      <c r="F771" s="2808"/>
      <c r="G771" s="2808"/>
      <c r="H771" s="2808"/>
      <c r="I771" s="2808"/>
      <c r="J771" s="2808"/>
      <c r="K771" s="2808"/>
    </row>
    <row r="772" spans="1:11">
      <c r="A772" s="2800">
        <v>44890</v>
      </c>
      <c r="B772" s="2801">
        <v>30671.45</v>
      </c>
      <c r="C772" s="2801">
        <v>308.83</v>
      </c>
      <c r="D772" s="2801">
        <v>12134.53</v>
      </c>
      <c r="E772" s="2801">
        <v>2349.2800000000002</v>
      </c>
      <c r="F772" s="2808"/>
      <c r="G772" s="2808"/>
      <c r="H772" s="2808"/>
      <c r="I772" s="2808"/>
      <c r="J772" s="2808"/>
      <c r="K772" s="2808"/>
    </row>
    <row r="773" spans="1:11">
      <c r="A773" s="2800">
        <v>44889</v>
      </c>
      <c r="B773" s="2801">
        <v>30682.84</v>
      </c>
      <c r="C773" s="2801">
        <v>312.52</v>
      </c>
      <c r="D773" s="2801">
        <v>12144.65</v>
      </c>
      <c r="E773" s="2801">
        <v>2360.2600000000002</v>
      </c>
      <c r="F773" s="2808"/>
      <c r="G773" s="2808"/>
      <c r="H773" s="2808"/>
      <c r="I773" s="2808"/>
      <c r="J773" s="2808"/>
      <c r="K773" s="2808"/>
    </row>
    <row r="774" spans="1:11">
      <c r="A774" s="2800">
        <v>44888</v>
      </c>
      <c r="B774" s="2801">
        <v>30318.69</v>
      </c>
      <c r="C774" s="2801">
        <v>308.83999999999997</v>
      </c>
      <c r="D774" s="2801">
        <v>12105.21</v>
      </c>
      <c r="E774" s="2801">
        <v>2327.08</v>
      </c>
      <c r="F774" s="2808"/>
      <c r="G774" s="2808"/>
      <c r="H774" s="2808"/>
      <c r="I774" s="2808"/>
      <c r="J774" s="2808"/>
      <c r="K774" s="2808"/>
    </row>
    <row r="775" spans="1:11">
      <c r="A775" s="2800">
        <v>44887</v>
      </c>
      <c r="B775" s="2801">
        <v>30181.01</v>
      </c>
      <c r="C775" s="2801">
        <v>306.3</v>
      </c>
      <c r="D775" s="2801">
        <v>12006.39</v>
      </c>
      <c r="E775" s="2801">
        <v>2314.83</v>
      </c>
      <c r="F775" s="2808"/>
      <c r="G775" s="2808"/>
      <c r="H775" s="2808"/>
      <c r="I775" s="2808"/>
      <c r="J775" s="2808"/>
      <c r="K775" s="2808"/>
    </row>
    <row r="776" spans="1:11">
      <c r="A776" s="2800">
        <v>44886</v>
      </c>
      <c r="B776" s="2801">
        <v>29988.31</v>
      </c>
      <c r="C776" s="2801">
        <v>307.20999999999998</v>
      </c>
      <c r="D776" s="2801">
        <v>11848.94</v>
      </c>
      <c r="E776" s="2801">
        <v>2321.64</v>
      </c>
      <c r="F776" s="2808"/>
      <c r="G776" s="2808"/>
      <c r="H776" s="2808"/>
      <c r="I776" s="2808"/>
      <c r="J776" s="2808"/>
      <c r="K776" s="2808"/>
    </row>
    <row r="777" spans="1:11">
      <c r="A777" s="2800">
        <v>44885</v>
      </c>
      <c r="B777" s="2801" t="s">
        <v>0</v>
      </c>
      <c r="C777" s="2801" t="s">
        <v>0</v>
      </c>
      <c r="D777" s="2801" t="s">
        <v>0</v>
      </c>
      <c r="E777" s="2801" t="s">
        <v>0</v>
      </c>
      <c r="F777" s="2808"/>
      <c r="G777" s="2808"/>
      <c r="H777" s="2808"/>
      <c r="I777" s="2808"/>
      <c r="J777" s="2808"/>
      <c r="K777" s="2808"/>
    </row>
    <row r="778" spans="1:11">
      <c r="A778" s="2800">
        <v>44884</v>
      </c>
      <c r="B778" s="2801" t="s">
        <v>0</v>
      </c>
      <c r="C778" s="2801" t="s">
        <v>0</v>
      </c>
      <c r="D778" s="2801" t="s">
        <v>0</v>
      </c>
      <c r="E778" s="2801" t="s">
        <v>0</v>
      </c>
      <c r="F778" s="2808"/>
      <c r="G778" s="2808"/>
      <c r="H778" s="2808"/>
      <c r="I778" s="2808"/>
      <c r="J778" s="2808"/>
      <c r="K778" s="2808"/>
    </row>
    <row r="779" spans="1:11">
      <c r="A779" s="2800">
        <v>44883</v>
      </c>
      <c r="B779" s="2801">
        <v>30103.62</v>
      </c>
      <c r="C779" s="2801">
        <v>308</v>
      </c>
      <c r="D779" s="2801">
        <v>11929.98</v>
      </c>
      <c r="E779" s="2801">
        <v>2351.29</v>
      </c>
      <c r="F779" s="2808"/>
      <c r="G779" s="2808"/>
      <c r="H779" s="2808"/>
      <c r="I779" s="2808"/>
      <c r="J779" s="2808"/>
      <c r="K779" s="2808"/>
    </row>
    <row r="780" spans="1:11">
      <c r="A780" s="2800">
        <v>44882</v>
      </c>
      <c r="B780" s="2801">
        <v>30166.400000000001</v>
      </c>
      <c r="C780" s="2801">
        <v>310.12</v>
      </c>
      <c r="D780" s="2801">
        <v>11855.26</v>
      </c>
      <c r="E780" s="2801">
        <v>2349.66</v>
      </c>
      <c r="F780" s="2808"/>
      <c r="G780" s="2808"/>
      <c r="H780" s="2808"/>
      <c r="I780" s="2808"/>
      <c r="J780" s="2808"/>
      <c r="K780" s="2808"/>
    </row>
    <row r="781" spans="1:11">
      <c r="A781" s="2800">
        <v>44881</v>
      </c>
      <c r="B781" s="2801">
        <v>30170.51</v>
      </c>
      <c r="C781" s="2801">
        <v>307.10000000000002</v>
      </c>
      <c r="D781" s="2801">
        <v>11921.01</v>
      </c>
      <c r="E781" s="2801">
        <v>2379.3200000000002</v>
      </c>
      <c r="F781" s="2808"/>
      <c r="G781" s="2808"/>
      <c r="H781" s="2808"/>
      <c r="I781" s="2808"/>
      <c r="J781" s="2808"/>
      <c r="K781" s="2808"/>
    </row>
    <row r="782" spans="1:11">
      <c r="A782" s="2800">
        <v>44880</v>
      </c>
      <c r="B782" s="2801">
        <v>30189.11</v>
      </c>
      <c r="C782" s="2801">
        <v>304.33</v>
      </c>
      <c r="D782" s="2801">
        <v>12011.72</v>
      </c>
      <c r="E782" s="2801">
        <v>2395.09</v>
      </c>
      <c r="F782" s="2808"/>
      <c r="G782" s="2808"/>
      <c r="H782" s="2808"/>
      <c r="I782" s="2808"/>
      <c r="J782" s="2808"/>
      <c r="K782" s="2808"/>
    </row>
    <row r="783" spans="1:11">
      <c r="A783" s="2800">
        <v>44879</v>
      </c>
      <c r="B783" s="2801">
        <v>29418.21</v>
      </c>
      <c r="C783" s="2801">
        <v>302.31</v>
      </c>
      <c r="D783" s="2801">
        <v>11901.68</v>
      </c>
      <c r="E783" s="2801">
        <v>2342.92</v>
      </c>
      <c r="F783" s="2808"/>
      <c r="G783" s="2808"/>
      <c r="H783" s="2808"/>
      <c r="I783" s="2808"/>
      <c r="J783" s="2808"/>
      <c r="K783" s="2808"/>
    </row>
    <row r="784" spans="1:11">
      <c r="A784" s="2800">
        <v>44878</v>
      </c>
      <c r="B784" s="2801" t="s">
        <v>0</v>
      </c>
      <c r="C784" s="2801" t="s">
        <v>0</v>
      </c>
      <c r="D784" s="2801" t="s">
        <v>0</v>
      </c>
      <c r="E784" s="2801" t="s">
        <v>0</v>
      </c>
      <c r="F784" s="2808"/>
      <c r="G784" s="2808"/>
      <c r="H784" s="2808"/>
      <c r="I784" s="2808"/>
      <c r="J784" s="2808"/>
      <c r="K784" s="2808"/>
    </row>
    <row r="785" spans="1:11">
      <c r="A785" s="2800">
        <v>44877</v>
      </c>
      <c r="B785" s="2801" t="s">
        <v>0</v>
      </c>
      <c r="C785" s="2801" t="s">
        <v>0</v>
      </c>
      <c r="D785" s="2801" t="s">
        <v>0</v>
      </c>
      <c r="E785" s="2801" t="s">
        <v>0</v>
      </c>
      <c r="F785" s="2808"/>
      <c r="G785" s="2808"/>
      <c r="H785" s="2808"/>
      <c r="I785" s="2808"/>
      <c r="J785" s="2808"/>
      <c r="K785" s="2808"/>
    </row>
    <row r="786" spans="1:11">
      <c r="A786" s="2800">
        <v>44876</v>
      </c>
      <c r="B786" s="2801">
        <v>29070.92</v>
      </c>
      <c r="C786" s="2801">
        <v>299.95</v>
      </c>
      <c r="D786" s="2801">
        <v>11989.7</v>
      </c>
      <c r="E786" s="2801">
        <v>2332.7399999999998</v>
      </c>
      <c r="F786" s="2808"/>
      <c r="G786" s="2808"/>
      <c r="H786" s="2808"/>
      <c r="I786" s="2808"/>
      <c r="J786" s="2808"/>
      <c r="K786" s="2808"/>
    </row>
    <row r="787" spans="1:11">
      <c r="A787" s="2800">
        <v>44875</v>
      </c>
      <c r="B787" s="2801">
        <v>28025.33</v>
      </c>
      <c r="C787" s="2801">
        <v>293.33</v>
      </c>
      <c r="D787" s="2801">
        <v>11821.13</v>
      </c>
      <c r="E787" s="2801">
        <v>2217.7600000000002</v>
      </c>
      <c r="F787" s="2808"/>
      <c r="G787" s="2808"/>
      <c r="H787" s="2808"/>
      <c r="I787" s="2808"/>
      <c r="J787" s="2808"/>
      <c r="K787" s="2808"/>
    </row>
    <row r="788" spans="1:11">
      <c r="A788" s="2800">
        <v>44874</v>
      </c>
      <c r="B788" s="2801">
        <v>28305.61</v>
      </c>
      <c r="C788" s="2801">
        <v>293.68</v>
      </c>
      <c r="D788" s="2801">
        <v>11251.38</v>
      </c>
      <c r="E788" s="2801">
        <v>2244.4</v>
      </c>
      <c r="F788" s="2808"/>
      <c r="G788" s="2808"/>
      <c r="H788" s="2808"/>
      <c r="I788" s="2808"/>
      <c r="J788" s="2808"/>
      <c r="K788" s="2808"/>
    </row>
    <row r="789" spans="1:11">
      <c r="A789" s="2800">
        <v>44873</v>
      </c>
      <c r="B789" s="2801">
        <v>27701.59</v>
      </c>
      <c r="C789" s="2801">
        <v>289.39999999999998</v>
      </c>
      <c r="D789" s="2801">
        <v>11451.98</v>
      </c>
      <c r="E789" s="2801">
        <v>2243.5100000000002</v>
      </c>
      <c r="F789" s="2808"/>
      <c r="G789" s="2808"/>
      <c r="H789" s="2808"/>
      <c r="I789" s="2808"/>
      <c r="J789" s="2808"/>
      <c r="K789" s="2808"/>
    </row>
    <row r="790" spans="1:11">
      <c r="A790" s="2800">
        <v>44872</v>
      </c>
      <c r="B790" s="2801">
        <v>27443.89</v>
      </c>
      <c r="C790" s="2801">
        <v>289.75</v>
      </c>
      <c r="D790" s="2801">
        <v>11356.51</v>
      </c>
      <c r="E790" s="2801">
        <v>2236.9299999999998</v>
      </c>
      <c r="F790" s="2808"/>
      <c r="G790" s="2808"/>
      <c r="H790" s="2808"/>
      <c r="I790" s="2808"/>
      <c r="J790" s="2808"/>
      <c r="K790" s="2808"/>
    </row>
    <row r="791" spans="1:11">
      <c r="A791" s="2800">
        <v>44871</v>
      </c>
      <c r="B791" s="2801" t="s">
        <v>0</v>
      </c>
      <c r="C791" s="2801" t="s">
        <v>0</v>
      </c>
      <c r="D791" s="2801" t="s">
        <v>0</v>
      </c>
      <c r="E791" s="2801" t="s">
        <v>0</v>
      </c>
      <c r="F791" s="2808"/>
      <c r="G791" s="2808"/>
      <c r="H791" s="2808"/>
      <c r="I791" s="2808"/>
      <c r="J791" s="2808"/>
      <c r="K791" s="2808"/>
    </row>
    <row r="792" spans="1:11">
      <c r="A792" s="2800">
        <v>44870</v>
      </c>
      <c r="B792" s="2801" t="s">
        <v>0</v>
      </c>
      <c r="C792" s="2801" t="s">
        <v>0</v>
      </c>
      <c r="D792" s="2801" t="s">
        <v>0</v>
      </c>
      <c r="E792" s="2801" t="s">
        <v>0</v>
      </c>
      <c r="F792" s="2808"/>
      <c r="G792" s="2808"/>
      <c r="H792" s="2808"/>
      <c r="I792" s="2808"/>
      <c r="J792" s="2808"/>
      <c r="K792" s="2808"/>
    </row>
    <row r="793" spans="1:11">
      <c r="A793" s="2800">
        <v>44869</v>
      </c>
      <c r="B793" s="2801">
        <v>27035.01</v>
      </c>
      <c r="C793" s="2801">
        <v>287.58</v>
      </c>
      <c r="D793" s="2801">
        <v>11237.3</v>
      </c>
      <c r="E793" s="2801">
        <v>2206.02</v>
      </c>
      <c r="F793" s="2808"/>
      <c r="G793" s="2808"/>
      <c r="H793" s="2808"/>
      <c r="I793" s="2808"/>
      <c r="J793" s="2808"/>
      <c r="K793" s="2808"/>
    </row>
    <row r="794" spans="1:11">
      <c r="A794" s="2800">
        <v>44868</v>
      </c>
      <c r="B794" s="2801">
        <v>26951.77</v>
      </c>
      <c r="C794" s="2801">
        <v>285.31</v>
      </c>
      <c r="D794" s="2801">
        <v>11059.32</v>
      </c>
      <c r="E794" s="2801">
        <v>2145.94</v>
      </c>
      <c r="F794" s="2808"/>
      <c r="G794" s="2808"/>
      <c r="H794" s="2808"/>
      <c r="I794" s="2808"/>
      <c r="J794" s="2808"/>
      <c r="K794" s="2808"/>
    </row>
    <row r="795" spans="1:11">
      <c r="A795" s="2800">
        <v>44867</v>
      </c>
      <c r="B795" s="2801">
        <v>27187.46</v>
      </c>
      <c r="C795" s="2801">
        <v>282.99</v>
      </c>
      <c r="D795" s="2801">
        <v>11201.16</v>
      </c>
      <c r="E795" s="2801">
        <v>2175.94</v>
      </c>
      <c r="F795" s="2808"/>
      <c r="G795" s="2808"/>
      <c r="H795" s="2808"/>
      <c r="I795" s="2808"/>
      <c r="J795" s="2808"/>
      <c r="K795" s="2808"/>
    </row>
    <row r="796" spans="1:11">
      <c r="A796" s="2800">
        <v>44866</v>
      </c>
      <c r="B796" s="2801">
        <v>27056.79</v>
      </c>
      <c r="C796" s="2801">
        <v>279.45999999999998</v>
      </c>
      <c r="D796" s="2801">
        <v>11409.92</v>
      </c>
      <c r="E796" s="2801">
        <v>2162.37</v>
      </c>
      <c r="F796" s="2808"/>
      <c r="G796" s="2808"/>
      <c r="H796" s="2808"/>
      <c r="I796" s="2808"/>
      <c r="J796" s="2808"/>
      <c r="K796" s="2808"/>
    </row>
    <row r="797" spans="1:11">
      <c r="A797" s="2800">
        <v>44865</v>
      </c>
      <c r="B797" s="2801">
        <v>26875.279999999999</v>
      </c>
      <c r="C797" s="2801">
        <v>275.36</v>
      </c>
      <c r="D797" s="2801">
        <v>11415.73</v>
      </c>
      <c r="E797" s="2801">
        <v>2113.86</v>
      </c>
      <c r="F797" s="2808"/>
      <c r="G797" s="2808"/>
      <c r="H797" s="2808"/>
      <c r="I797" s="2808"/>
      <c r="J797" s="2808"/>
      <c r="K797" s="2808"/>
    </row>
    <row r="798" spans="1:11">
      <c r="A798" s="2800">
        <v>44864</v>
      </c>
      <c r="B798" s="2801" t="s">
        <v>0</v>
      </c>
      <c r="C798" s="2801" t="s">
        <v>0</v>
      </c>
      <c r="D798" s="2801" t="s">
        <v>0</v>
      </c>
      <c r="E798" s="2801" t="s">
        <v>0</v>
      </c>
      <c r="F798" s="2808"/>
      <c r="G798" s="2808"/>
      <c r="H798" s="2808"/>
      <c r="I798" s="2808"/>
      <c r="J798" s="2808"/>
      <c r="K798" s="2808"/>
    </row>
    <row r="799" spans="1:11">
      <c r="A799" s="2800">
        <v>44863</v>
      </c>
      <c r="B799" s="2801" t="s">
        <v>0</v>
      </c>
      <c r="C799" s="2801" t="s">
        <v>0</v>
      </c>
      <c r="D799" s="2801" t="s">
        <v>0</v>
      </c>
      <c r="E799" s="2801" t="s">
        <v>0</v>
      </c>
      <c r="F799" s="2808"/>
      <c r="G799" s="2808"/>
      <c r="H799" s="2808"/>
      <c r="I799" s="2808"/>
      <c r="J799" s="2808"/>
      <c r="K799" s="2808"/>
    </row>
    <row r="800" spans="1:11">
      <c r="A800" s="2800">
        <v>44862</v>
      </c>
      <c r="B800" s="2801">
        <v>26540.47</v>
      </c>
      <c r="C800" s="2801">
        <v>271.77</v>
      </c>
      <c r="D800" s="2801">
        <v>11474.56</v>
      </c>
      <c r="E800" s="2801">
        <v>2107.35</v>
      </c>
      <c r="F800" s="2808"/>
      <c r="G800" s="2808"/>
      <c r="H800" s="2808"/>
      <c r="I800" s="2808"/>
      <c r="J800" s="2808"/>
      <c r="K800" s="2808"/>
    </row>
    <row r="801" spans="1:11">
      <c r="A801" s="2800">
        <v>44861</v>
      </c>
      <c r="B801" s="2801">
        <v>26826.77</v>
      </c>
      <c r="C801" s="2801">
        <v>274.69</v>
      </c>
      <c r="D801" s="2801">
        <v>11305.8</v>
      </c>
      <c r="E801" s="2801">
        <v>2141.96</v>
      </c>
      <c r="F801" s="2808"/>
      <c r="G801" s="2808"/>
      <c r="H801" s="2808"/>
      <c r="I801" s="2808"/>
      <c r="J801" s="2808"/>
      <c r="K801" s="2808"/>
    </row>
    <row r="802" spans="1:11">
      <c r="A802" s="2800">
        <v>44860</v>
      </c>
      <c r="B802" s="2801">
        <v>26417.25</v>
      </c>
      <c r="C802" s="2801">
        <v>266.82</v>
      </c>
      <c r="D802" s="2801">
        <v>11359.73</v>
      </c>
      <c r="E802" s="2801">
        <v>2122.66</v>
      </c>
      <c r="F802" s="2808"/>
      <c r="G802" s="2808"/>
      <c r="H802" s="2808"/>
      <c r="I802" s="2808"/>
      <c r="J802" s="2808"/>
      <c r="K802" s="2808"/>
    </row>
    <row r="803" spans="1:11">
      <c r="A803" s="2800">
        <v>44859</v>
      </c>
      <c r="B803" s="2801">
        <v>26286.65</v>
      </c>
      <c r="C803" s="2801">
        <v>266.77999999999997</v>
      </c>
      <c r="D803" s="2801">
        <v>11367.75</v>
      </c>
      <c r="E803" s="2801">
        <v>2104.4</v>
      </c>
      <c r="F803" s="2808"/>
      <c r="G803" s="2808"/>
      <c r="H803" s="2808"/>
      <c r="I803" s="2808"/>
      <c r="J803" s="2808"/>
      <c r="K803" s="2808"/>
    </row>
    <row r="804" spans="1:11">
      <c r="A804" s="2800">
        <v>44858</v>
      </c>
      <c r="B804" s="2801">
        <v>26682.76</v>
      </c>
      <c r="C804" s="2801">
        <v>271.95999999999998</v>
      </c>
      <c r="D804" s="2801">
        <v>11168.17</v>
      </c>
      <c r="E804" s="2801">
        <v>2100.04</v>
      </c>
      <c r="F804" s="2808"/>
      <c r="G804" s="2808"/>
      <c r="H804" s="2808"/>
      <c r="I804" s="2808"/>
      <c r="J804" s="2808"/>
      <c r="K804" s="2808"/>
    </row>
    <row r="805" spans="1:11">
      <c r="A805" s="2800">
        <v>44857</v>
      </c>
      <c r="B805" s="2801" t="s">
        <v>0</v>
      </c>
      <c r="C805" s="2801" t="s">
        <v>0</v>
      </c>
      <c r="D805" s="2801" t="s">
        <v>0</v>
      </c>
      <c r="E805" s="2801" t="s">
        <v>0</v>
      </c>
      <c r="F805" s="2808"/>
      <c r="G805" s="2808"/>
      <c r="H805" s="2808"/>
      <c r="I805" s="2808"/>
      <c r="J805" s="2808"/>
      <c r="K805" s="2808"/>
    </row>
    <row r="806" spans="1:11">
      <c r="A806" s="2800">
        <v>44856</v>
      </c>
      <c r="B806" s="2801" t="s">
        <v>0</v>
      </c>
      <c r="C806" s="2801" t="s">
        <v>0</v>
      </c>
      <c r="D806" s="2801" t="s">
        <v>0</v>
      </c>
      <c r="E806" s="2801" t="s">
        <v>0</v>
      </c>
      <c r="F806" s="2808"/>
      <c r="G806" s="2808"/>
      <c r="H806" s="2808"/>
      <c r="I806" s="2808"/>
      <c r="J806" s="2808"/>
      <c r="K806" s="2808"/>
    </row>
    <row r="807" spans="1:11">
      <c r="A807" s="2800">
        <v>44855</v>
      </c>
      <c r="B807" s="2801">
        <v>26604.35</v>
      </c>
      <c r="C807" s="2801">
        <v>270.7</v>
      </c>
      <c r="D807" s="2801">
        <v>11030.85</v>
      </c>
      <c r="E807" s="2801">
        <v>2155.5500000000002</v>
      </c>
      <c r="F807" s="2808"/>
      <c r="G807" s="2808"/>
      <c r="H807" s="2808"/>
      <c r="I807" s="2808"/>
      <c r="J807" s="2808"/>
      <c r="K807" s="2808"/>
    </row>
    <row r="808" spans="1:11">
      <c r="A808" s="2800">
        <v>44854</v>
      </c>
      <c r="B808" s="2801">
        <v>26867.69</v>
      </c>
      <c r="C808" s="2801">
        <v>275.57</v>
      </c>
      <c r="D808" s="2801">
        <v>10882.1</v>
      </c>
      <c r="E808" s="2801">
        <v>2154.86</v>
      </c>
      <c r="F808" s="2808"/>
      <c r="G808" s="2808"/>
      <c r="H808" s="2808"/>
      <c r="I808" s="2808"/>
      <c r="J808" s="2808"/>
      <c r="K808" s="2808"/>
    </row>
    <row r="809" spans="1:11">
      <c r="A809" s="2800">
        <v>44853</v>
      </c>
      <c r="B809" s="2801">
        <v>26931.3</v>
      </c>
      <c r="C809" s="2801">
        <v>277.79000000000002</v>
      </c>
      <c r="D809" s="2801">
        <v>10926.09</v>
      </c>
      <c r="E809" s="2801">
        <v>2157.69</v>
      </c>
      <c r="F809" s="2808"/>
      <c r="G809" s="2808"/>
      <c r="H809" s="2808"/>
      <c r="I809" s="2808"/>
      <c r="J809" s="2808"/>
      <c r="K809" s="2808"/>
    </row>
    <row r="810" spans="1:11">
      <c r="A810" s="2800">
        <v>44852</v>
      </c>
      <c r="B810" s="2801">
        <v>27238.3</v>
      </c>
      <c r="C810" s="2801">
        <v>280.25</v>
      </c>
      <c r="D810" s="2801">
        <v>11009.2</v>
      </c>
      <c r="E810" s="2801">
        <v>2190.39</v>
      </c>
      <c r="F810" s="2808"/>
      <c r="G810" s="2808"/>
      <c r="H810" s="2808"/>
      <c r="I810" s="2808"/>
      <c r="J810" s="2808"/>
      <c r="K810" s="2808"/>
    </row>
    <row r="811" spans="1:11">
      <c r="A811" s="2800">
        <v>44851</v>
      </c>
      <c r="B811" s="2801">
        <v>26908.03</v>
      </c>
      <c r="C811" s="2801">
        <v>278.94</v>
      </c>
      <c r="D811" s="2801">
        <v>10892.46</v>
      </c>
      <c r="E811" s="2801">
        <v>2157.2399999999998</v>
      </c>
      <c r="F811" s="2808"/>
      <c r="G811" s="2808"/>
      <c r="H811" s="2808"/>
      <c r="I811" s="2808"/>
      <c r="J811" s="2808"/>
      <c r="K811" s="2808"/>
    </row>
    <row r="812" spans="1:11">
      <c r="A812" s="2800">
        <v>44850</v>
      </c>
      <c r="B812" s="2801" t="s">
        <v>0</v>
      </c>
      <c r="C812" s="2801" t="s">
        <v>0</v>
      </c>
      <c r="D812" s="2801" t="s">
        <v>0</v>
      </c>
      <c r="E812" s="2801" t="s">
        <v>0</v>
      </c>
      <c r="F812" s="2808"/>
      <c r="G812" s="2808"/>
      <c r="H812" s="2808"/>
      <c r="I812" s="2808"/>
      <c r="J812" s="2808"/>
      <c r="K812" s="2808"/>
    </row>
    <row r="813" spans="1:11">
      <c r="A813" s="2800">
        <v>44849</v>
      </c>
      <c r="B813" s="2801" t="s">
        <v>0</v>
      </c>
      <c r="C813" s="2801" t="s">
        <v>0</v>
      </c>
      <c r="D813" s="2801" t="s">
        <v>0</v>
      </c>
      <c r="E813" s="2801" t="s">
        <v>0</v>
      </c>
      <c r="F813" s="2808"/>
      <c r="G813" s="2808"/>
      <c r="H813" s="2808"/>
      <c r="I813" s="2808"/>
      <c r="J813" s="2808"/>
      <c r="K813" s="2808"/>
    </row>
    <row r="814" spans="1:11">
      <c r="A814" s="2800">
        <v>44848</v>
      </c>
      <c r="B814" s="2801">
        <v>27244.35</v>
      </c>
      <c r="C814" s="2801">
        <v>280.47000000000003</v>
      </c>
      <c r="D814" s="2801">
        <v>10645.24</v>
      </c>
      <c r="E814" s="2801">
        <v>2151.1</v>
      </c>
      <c r="F814" s="2808"/>
      <c r="G814" s="2808"/>
      <c r="H814" s="2808"/>
      <c r="I814" s="2808"/>
      <c r="J814" s="2808"/>
      <c r="K814" s="2808"/>
    </row>
    <row r="815" spans="1:11">
      <c r="A815" s="2800">
        <v>44847</v>
      </c>
      <c r="B815" s="2801">
        <v>26585.61</v>
      </c>
      <c r="C815" s="2801">
        <v>272.39999999999998</v>
      </c>
      <c r="D815" s="2801">
        <v>10801.9</v>
      </c>
      <c r="E815" s="2801">
        <v>2129.13</v>
      </c>
      <c r="F815" s="2808"/>
      <c r="G815" s="2808"/>
      <c r="H815" s="2808"/>
      <c r="I815" s="2808"/>
      <c r="J815" s="2808"/>
      <c r="K815" s="2808"/>
    </row>
    <row r="816" spans="1:11">
      <c r="A816" s="2800">
        <v>44846</v>
      </c>
      <c r="B816" s="2801">
        <v>27146.98</v>
      </c>
      <c r="C816" s="2801">
        <v>283.06</v>
      </c>
      <c r="D816" s="2801">
        <v>10603.69</v>
      </c>
      <c r="E816" s="2801">
        <v>2156.06</v>
      </c>
      <c r="F816" s="2808"/>
      <c r="G816" s="2808"/>
      <c r="H816" s="2808"/>
      <c r="I816" s="2808"/>
      <c r="J816" s="2808"/>
      <c r="K816" s="2808"/>
    </row>
    <row r="817" spans="1:11">
      <c r="A817" s="2800">
        <v>44845</v>
      </c>
      <c r="B817" s="2801">
        <v>27198.43</v>
      </c>
      <c r="C817" s="2801">
        <v>282.12</v>
      </c>
      <c r="D817" s="2801">
        <v>10642.01</v>
      </c>
      <c r="E817" s="2801">
        <v>2153.91</v>
      </c>
      <c r="F817" s="2808"/>
      <c r="G817" s="2808"/>
      <c r="H817" s="2808"/>
      <c r="I817" s="2808"/>
      <c r="J817" s="2808"/>
      <c r="K817" s="2808"/>
    </row>
    <row r="818" spans="1:11">
      <c r="A818" s="2800">
        <v>44844</v>
      </c>
      <c r="B818" s="2801" t="s">
        <v>0</v>
      </c>
      <c r="C818" s="2801" t="s">
        <v>0</v>
      </c>
      <c r="D818" s="2801">
        <v>10728.43</v>
      </c>
      <c r="E818" s="2801">
        <v>2204.09</v>
      </c>
      <c r="F818" s="2808"/>
      <c r="G818" s="2808"/>
      <c r="H818" s="2808"/>
      <c r="I818" s="2808"/>
      <c r="J818" s="2808"/>
      <c r="K818" s="2808"/>
    </row>
    <row r="819" spans="1:11">
      <c r="A819" s="2800">
        <v>44843</v>
      </c>
      <c r="B819" s="2801" t="s">
        <v>0</v>
      </c>
      <c r="C819" s="2801" t="s">
        <v>0</v>
      </c>
      <c r="D819" s="2801" t="s">
        <v>0</v>
      </c>
      <c r="E819" s="2801" t="s">
        <v>0</v>
      </c>
      <c r="F819" s="2808"/>
      <c r="G819" s="2808"/>
      <c r="H819" s="2808"/>
      <c r="I819" s="2808"/>
      <c r="J819" s="2808"/>
      <c r="K819" s="2808"/>
    </row>
    <row r="820" spans="1:11">
      <c r="A820" s="2800">
        <v>44842</v>
      </c>
      <c r="B820" s="2801" t="s">
        <v>0</v>
      </c>
      <c r="C820" s="2801" t="s">
        <v>0</v>
      </c>
      <c r="D820" s="2801" t="s">
        <v>0</v>
      </c>
      <c r="E820" s="2801" t="s">
        <v>0</v>
      </c>
      <c r="F820" s="2808"/>
      <c r="G820" s="2808"/>
      <c r="H820" s="2808"/>
      <c r="I820" s="2808"/>
      <c r="J820" s="2808"/>
      <c r="K820" s="2808"/>
    </row>
    <row r="821" spans="1:11">
      <c r="A821" s="2800">
        <v>44841</v>
      </c>
      <c r="B821" s="2801">
        <v>28435.8</v>
      </c>
      <c r="C821" s="2801">
        <v>295.98</v>
      </c>
      <c r="D821" s="2801">
        <v>10827.39</v>
      </c>
      <c r="E821" s="2801">
        <v>2236.3200000000002</v>
      </c>
      <c r="F821" s="2808"/>
      <c r="G821" s="2808"/>
      <c r="H821" s="2808"/>
      <c r="I821" s="2808"/>
      <c r="J821" s="2808"/>
      <c r="K821" s="2808"/>
    </row>
    <row r="822" spans="1:11">
      <c r="A822" s="2800">
        <v>44840</v>
      </c>
      <c r="B822" s="2801">
        <v>28829.62</v>
      </c>
      <c r="C822" s="2801">
        <v>298.45</v>
      </c>
      <c r="D822" s="2801">
        <v>11098.79</v>
      </c>
      <c r="E822" s="2801">
        <v>2268.23</v>
      </c>
      <c r="F822" s="2808"/>
      <c r="G822" s="2808"/>
      <c r="H822" s="2808"/>
      <c r="I822" s="2808"/>
      <c r="J822" s="2808"/>
      <c r="K822" s="2808"/>
    </row>
    <row r="823" spans="1:11">
      <c r="A823" s="2800">
        <v>44839</v>
      </c>
      <c r="B823" s="2801">
        <v>28641.56</v>
      </c>
      <c r="C823" s="2801">
        <v>297.27</v>
      </c>
      <c r="D823" s="2801">
        <v>11193.48</v>
      </c>
      <c r="E823" s="2801">
        <v>2265.54</v>
      </c>
      <c r="F823" s="2808"/>
      <c r="G823" s="2808"/>
      <c r="H823" s="2808"/>
      <c r="I823" s="2808"/>
      <c r="J823" s="2808"/>
      <c r="K823" s="2808"/>
    </row>
    <row r="824" spans="1:11">
      <c r="A824" s="2800">
        <v>44838</v>
      </c>
      <c r="B824" s="2801">
        <v>28174.81</v>
      </c>
      <c r="C824" s="2801">
        <v>296.29000000000002</v>
      </c>
      <c r="D824" s="2801">
        <v>11244.86</v>
      </c>
      <c r="E824" s="2801">
        <v>2225.94</v>
      </c>
      <c r="F824" s="2808"/>
      <c r="G824" s="2808"/>
      <c r="H824" s="2808"/>
      <c r="I824" s="2808"/>
      <c r="J824" s="2808"/>
      <c r="K824" s="2808"/>
    </row>
    <row r="825" spans="1:11">
      <c r="A825" s="2800">
        <v>44837</v>
      </c>
      <c r="B825" s="2801">
        <v>27601.9</v>
      </c>
      <c r="C825" s="2801">
        <v>288.75</v>
      </c>
      <c r="D825" s="2801">
        <v>10877.94</v>
      </c>
      <c r="E825" s="2801">
        <v>2182.3200000000002</v>
      </c>
      <c r="F825" s="2808"/>
      <c r="G825" s="2808"/>
      <c r="H825" s="2808"/>
      <c r="I825" s="2808"/>
      <c r="J825" s="2808"/>
      <c r="K825" s="2808"/>
    </row>
    <row r="826" spans="1:11">
      <c r="A826" s="2800">
        <v>44836</v>
      </c>
      <c r="B826" s="2801" t="s">
        <v>0</v>
      </c>
      <c r="C826" s="2801" t="s">
        <v>0</v>
      </c>
      <c r="D826" s="2801" t="s">
        <v>0</v>
      </c>
      <c r="E826" s="2801" t="s">
        <v>0</v>
      </c>
      <c r="F826" s="2808"/>
      <c r="G826" s="2808"/>
      <c r="H826" s="2808"/>
      <c r="I826" s="2808"/>
      <c r="J826" s="2808"/>
      <c r="K826" s="2808"/>
    </row>
    <row r="827" spans="1:11">
      <c r="A827" s="2800">
        <v>44835</v>
      </c>
      <c r="B827" s="2801" t="s">
        <v>0</v>
      </c>
      <c r="C827" s="2801" t="s">
        <v>0</v>
      </c>
      <c r="D827" s="2801" t="s">
        <v>0</v>
      </c>
      <c r="E827" s="2801" t="s">
        <v>0</v>
      </c>
      <c r="F827" s="2808"/>
      <c r="G827" s="2808"/>
      <c r="H827" s="2808"/>
      <c r="I827" s="2808"/>
      <c r="J827" s="2808"/>
      <c r="K827" s="2808"/>
    </row>
    <row r="828" spans="1:11">
      <c r="A828" s="2800">
        <v>44834</v>
      </c>
      <c r="B828" s="2801">
        <v>27859.42</v>
      </c>
      <c r="C828" s="2801">
        <v>290.45999999999998</v>
      </c>
      <c r="D828" s="2801">
        <v>10648.16</v>
      </c>
      <c r="E828" s="2801">
        <v>2181.3000000000002</v>
      </c>
      <c r="F828" s="2808"/>
      <c r="G828" s="2808"/>
      <c r="H828" s="2808"/>
      <c r="I828" s="2808"/>
      <c r="J828" s="2808"/>
      <c r="K828" s="2808"/>
    </row>
    <row r="829" spans="1:11">
      <c r="A829" s="2800">
        <v>44833</v>
      </c>
      <c r="B829" s="2801">
        <v>28087.05</v>
      </c>
      <c r="C829" s="2801">
        <v>288</v>
      </c>
      <c r="D829" s="2801">
        <v>10749.33</v>
      </c>
      <c r="E829" s="2801">
        <v>2175.0700000000002</v>
      </c>
      <c r="F829" s="2808"/>
      <c r="G829" s="2808"/>
      <c r="H829" s="2808"/>
      <c r="I829" s="2808"/>
      <c r="J829" s="2808"/>
      <c r="K829" s="2808"/>
    </row>
    <row r="830" spans="1:11">
      <c r="A830" s="2800">
        <v>44832</v>
      </c>
      <c r="B830" s="2801">
        <v>27945.29</v>
      </c>
      <c r="C830" s="2801">
        <v>284.06</v>
      </c>
      <c r="D830" s="2801">
        <v>10908.18</v>
      </c>
      <c r="E830" s="2801">
        <v>2180.5500000000002</v>
      </c>
      <c r="F830" s="2808"/>
      <c r="G830" s="2808"/>
      <c r="H830" s="2808"/>
      <c r="I830" s="2808"/>
      <c r="J830" s="2808"/>
      <c r="K830" s="2808"/>
    </row>
    <row r="831" spans="1:11">
      <c r="A831" s="2800">
        <v>44831</v>
      </c>
      <c r="B831" s="2801">
        <v>28693.45</v>
      </c>
      <c r="C831" s="2801">
        <v>298.04000000000002</v>
      </c>
      <c r="D831" s="2801">
        <v>10751.3</v>
      </c>
      <c r="E831" s="2801">
        <v>2219.9299999999998</v>
      </c>
      <c r="F831" s="2808"/>
      <c r="G831" s="2808"/>
      <c r="H831" s="2808"/>
      <c r="I831" s="2808"/>
      <c r="J831" s="2808"/>
      <c r="K831" s="2808"/>
    </row>
    <row r="832" spans="1:11">
      <c r="A832" s="2800">
        <v>44830</v>
      </c>
      <c r="B832" s="2801">
        <v>28592.98</v>
      </c>
      <c r="C832" s="2801">
        <v>296.20999999999998</v>
      </c>
      <c r="D832" s="2801">
        <v>10771.12</v>
      </c>
      <c r="E832" s="2801">
        <v>2211.65</v>
      </c>
      <c r="F832" s="2808"/>
      <c r="G832" s="2808"/>
      <c r="H832" s="2808"/>
      <c r="I832" s="2808"/>
      <c r="J832" s="2808"/>
      <c r="K832" s="2808"/>
    </row>
    <row r="833" spans="1:11">
      <c r="A833" s="2800">
        <v>44829</v>
      </c>
      <c r="B833" s="2801" t="s">
        <v>0</v>
      </c>
      <c r="C833" s="2801" t="s">
        <v>0</v>
      </c>
      <c r="D833" s="2801" t="s">
        <v>0</v>
      </c>
      <c r="E833" s="2801" t="s">
        <v>0</v>
      </c>
      <c r="F833" s="2808"/>
      <c r="G833" s="2808"/>
      <c r="H833" s="2808"/>
      <c r="I833" s="2808"/>
      <c r="J833" s="2808"/>
      <c r="K833" s="2808"/>
    </row>
    <row r="834" spans="1:11">
      <c r="A834" s="2800">
        <v>44828</v>
      </c>
      <c r="B834" s="2801" t="s">
        <v>0</v>
      </c>
      <c r="C834" s="2801" t="s">
        <v>0</v>
      </c>
      <c r="D834" s="2801" t="s">
        <v>0</v>
      </c>
      <c r="E834" s="2801" t="s">
        <v>0</v>
      </c>
      <c r="F834" s="2808"/>
      <c r="G834" s="2808"/>
      <c r="H834" s="2808"/>
      <c r="I834" s="2808"/>
      <c r="J834" s="2808"/>
      <c r="K834" s="2808"/>
    </row>
    <row r="835" spans="1:11">
      <c r="A835" s="2800">
        <v>44827</v>
      </c>
      <c r="B835" s="2801">
        <v>29294.27</v>
      </c>
      <c r="C835" s="2801">
        <v>309.38</v>
      </c>
      <c r="D835" s="2801">
        <v>10905.51</v>
      </c>
      <c r="E835" s="2801">
        <v>2254.5500000000002</v>
      </c>
      <c r="F835" s="2808"/>
      <c r="G835" s="2808"/>
      <c r="H835" s="2808"/>
      <c r="I835" s="2808"/>
      <c r="J835" s="2808"/>
      <c r="K835" s="2808"/>
    </row>
    <row r="836" spans="1:11">
      <c r="A836" s="2800">
        <v>44826</v>
      </c>
      <c r="B836" s="2801">
        <v>29639.23</v>
      </c>
      <c r="C836" s="2801">
        <v>316.12</v>
      </c>
      <c r="D836" s="2801">
        <v>11132.73</v>
      </c>
      <c r="E836" s="2801">
        <v>2296.25</v>
      </c>
      <c r="F836" s="2808"/>
      <c r="G836" s="2808"/>
      <c r="H836" s="2808"/>
      <c r="I836" s="2808"/>
      <c r="J836" s="2808"/>
      <c r="K836" s="2808"/>
    </row>
    <row r="837" spans="1:11">
      <c r="A837" s="2800">
        <v>44825</v>
      </c>
      <c r="B837" s="2801">
        <v>29928.95</v>
      </c>
      <c r="C837" s="2801">
        <v>315.35000000000002</v>
      </c>
      <c r="D837" s="2801">
        <v>11254.12</v>
      </c>
      <c r="E837" s="2801">
        <v>2319.75</v>
      </c>
      <c r="F837" s="2808"/>
      <c r="G837" s="2808"/>
      <c r="H837" s="2808"/>
      <c r="I837" s="2808"/>
      <c r="J837" s="2808"/>
      <c r="K837" s="2808"/>
    </row>
    <row r="838" spans="1:11">
      <c r="A838" s="2800">
        <v>44824</v>
      </c>
      <c r="B838" s="2801">
        <v>30187.51</v>
      </c>
      <c r="C838" s="2801">
        <v>318.25</v>
      </c>
      <c r="D838" s="2801">
        <v>11420.12</v>
      </c>
      <c r="E838" s="2801">
        <v>2354.46</v>
      </c>
      <c r="F838" s="2808"/>
      <c r="G838" s="2808"/>
      <c r="H838" s="2808"/>
      <c r="I838" s="2808"/>
      <c r="J838" s="2808"/>
      <c r="K838" s="2808"/>
    </row>
    <row r="839" spans="1:11">
      <c r="A839" s="2800">
        <v>44823</v>
      </c>
      <c r="B839" s="2801">
        <v>29930.43</v>
      </c>
      <c r="C839" s="2801">
        <v>316.2</v>
      </c>
      <c r="D839" s="2801">
        <v>11538.61</v>
      </c>
      <c r="E839" s="2801">
        <v>2335.13</v>
      </c>
      <c r="F839" s="2808"/>
      <c r="G839" s="2808"/>
      <c r="H839" s="2808"/>
      <c r="I839" s="2808"/>
      <c r="J839" s="2808"/>
      <c r="K839" s="2808"/>
    </row>
    <row r="840" spans="1:11">
      <c r="A840" s="2800">
        <v>44822</v>
      </c>
      <c r="B840" s="2801" t="s">
        <v>0</v>
      </c>
      <c r="C840" s="2801" t="s">
        <v>0</v>
      </c>
      <c r="D840" s="2801" t="s">
        <v>0</v>
      </c>
      <c r="E840" s="2801" t="s">
        <v>0</v>
      </c>
      <c r="F840" s="2808"/>
      <c r="G840" s="2808"/>
      <c r="H840" s="2808"/>
      <c r="I840" s="2808"/>
      <c r="J840" s="2808"/>
      <c r="K840" s="2808"/>
    </row>
    <row r="841" spans="1:11">
      <c r="A841" s="2800">
        <v>44821</v>
      </c>
      <c r="B841" s="2801" t="s">
        <v>0</v>
      </c>
      <c r="C841" s="2801" t="s">
        <v>0</v>
      </c>
      <c r="D841" s="2801" t="s">
        <v>0</v>
      </c>
      <c r="E841" s="2801" t="s">
        <v>0</v>
      </c>
      <c r="F841" s="2808"/>
      <c r="G841" s="2808"/>
      <c r="H841" s="2808"/>
      <c r="I841" s="2808"/>
      <c r="J841" s="2808"/>
      <c r="K841" s="2808"/>
    </row>
    <row r="842" spans="1:11">
      <c r="A842" s="2800">
        <v>44820</v>
      </c>
      <c r="B842" s="2801">
        <v>30212.2</v>
      </c>
      <c r="C842" s="2801">
        <v>320.64</v>
      </c>
      <c r="D842" s="2801">
        <v>11488.04</v>
      </c>
      <c r="E842" s="2801">
        <v>2348.86</v>
      </c>
      <c r="F842" s="2808"/>
      <c r="G842" s="2808"/>
      <c r="H842" s="2808"/>
      <c r="I842" s="2808"/>
      <c r="J842" s="2808"/>
      <c r="K842" s="2808"/>
    </row>
    <row r="843" spans="1:11">
      <c r="A843" s="2800">
        <v>44819</v>
      </c>
      <c r="B843" s="2801">
        <v>30436.31</v>
      </c>
      <c r="C843" s="2801">
        <v>324.63</v>
      </c>
      <c r="D843" s="2801">
        <v>11589.36</v>
      </c>
      <c r="E843" s="2801">
        <v>2384.7600000000002</v>
      </c>
      <c r="F843" s="2808"/>
      <c r="G843" s="2808"/>
      <c r="H843" s="2808"/>
      <c r="I843" s="2808"/>
      <c r="J843" s="2808"/>
      <c r="K843" s="2808"/>
    </row>
    <row r="844" spans="1:11">
      <c r="A844" s="2800">
        <v>44818</v>
      </c>
      <c r="B844" s="2801">
        <v>30363.77</v>
      </c>
      <c r="C844" s="2801">
        <v>326.58</v>
      </c>
      <c r="D844" s="2801">
        <v>11703.56</v>
      </c>
      <c r="E844" s="2801">
        <v>2393.77</v>
      </c>
      <c r="F844" s="2808"/>
      <c r="G844" s="2808"/>
      <c r="H844" s="2808"/>
      <c r="I844" s="2808"/>
      <c r="J844" s="2808"/>
      <c r="K844" s="2808"/>
    </row>
    <row r="845" spans="1:11">
      <c r="A845" s="2800">
        <v>44817</v>
      </c>
      <c r="B845" s="2801">
        <v>30852.69</v>
      </c>
      <c r="C845" s="2801">
        <v>326.87</v>
      </c>
      <c r="D845" s="2801">
        <v>11708.65</v>
      </c>
      <c r="E845" s="2801">
        <v>2436.4</v>
      </c>
      <c r="F845" s="2808"/>
      <c r="G845" s="2808"/>
      <c r="H845" s="2808"/>
      <c r="I845" s="2808"/>
      <c r="J845" s="2808"/>
      <c r="K845" s="2808"/>
    </row>
    <row r="846" spans="1:11">
      <c r="A846" s="2800">
        <v>44816</v>
      </c>
      <c r="B846" s="2801">
        <v>30672.46</v>
      </c>
      <c r="C846" s="2801">
        <v>326.11</v>
      </c>
      <c r="D846" s="2801">
        <v>12153.2</v>
      </c>
      <c r="E846" s="2801">
        <v>2434.1</v>
      </c>
      <c r="F846" s="2808"/>
      <c r="G846" s="2808"/>
      <c r="H846" s="2808"/>
      <c r="I846" s="2808"/>
      <c r="J846" s="2808"/>
      <c r="K846" s="2808"/>
    </row>
    <row r="847" spans="1:11">
      <c r="A847" s="2800">
        <v>44815</v>
      </c>
      <c r="B847" s="2801" t="s">
        <v>0</v>
      </c>
      <c r="C847" s="2801" t="s">
        <v>0</v>
      </c>
      <c r="D847" s="2801" t="s">
        <v>0</v>
      </c>
      <c r="E847" s="2801" t="s">
        <v>0</v>
      </c>
      <c r="F847" s="2808"/>
      <c r="G847" s="2808"/>
      <c r="H847" s="2808"/>
      <c r="I847" s="2808"/>
      <c r="J847" s="2808"/>
      <c r="K847" s="2808"/>
    </row>
    <row r="848" spans="1:11">
      <c r="A848" s="2800">
        <v>44814</v>
      </c>
      <c r="B848" s="2801" t="s">
        <v>0</v>
      </c>
      <c r="C848" s="2801" t="s">
        <v>0</v>
      </c>
      <c r="D848" s="2801" t="s">
        <v>0</v>
      </c>
      <c r="E848" s="2801" t="s">
        <v>0</v>
      </c>
      <c r="F848" s="2808"/>
      <c r="G848" s="2808"/>
      <c r="H848" s="2808"/>
      <c r="I848" s="2808"/>
      <c r="J848" s="2808"/>
      <c r="K848" s="2808"/>
    </row>
    <row r="849" spans="1:11">
      <c r="A849" s="2800">
        <v>44813</v>
      </c>
      <c r="B849" s="2801" t="s">
        <v>0</v>
      </c>
      <c r="C849" s="2801" t="s">
        <v>0</v>
      </c>
      <c r="D849" s="2801">
        <v>11991.77</v>
      </c>
      <c r="E849" s="2801">
        <v>2411.91</v>
      </c>
      <c r="F849" s="2808"/>
      <c r="G849" s="2808"/>
      <c r="H849" s="2808"/>
      <c r="I849" s="2808"/>
      <c r="J849" s="2808"/>
      <c r="K849" s="2808"/>
    </row>
    <row r="850" spans="1:11">
      <c r="A850" s="2800">
        <v>44812</v>
      </c>
      <c r="B850" s="2801">
        <v>30197.78</v>
      </c>
      <c r="C850" s="2801">
        <v>322.99</v>
      </c>
      <c r="D850" s="2801">
        <v>11782.08</v>
      </c>
      <c r="E850" s="2801">
        <v>2379.12</v>
      </c>
      <c r="F850" s="2808"/>
      <c r="G850" s="2808"/>
      <c r="H850" s="2808"/>
      <c r="I850" s="2808"/>
      <c r="J850" s="2808"/>
      <c r="K850" s="2808"/>
    </row>
    <row r="851" spans="1:11">
      <c r="A851" s="2800">
        <v>44811</v>
      </c>
      <c r="B851" s="2801">
        <v>29838.1</v>
      </c>
      <c r="C851" s="2801">
        <v>316.14999999999998</v>
      </c>
      <c r="D851" s="2801">
        <v>11681.84</v>
      </c>
      <c r="E851" s="2801">
        <v>2377.0500000000002</v>
      </c>
      <c r="F851" s="2808"/>
      <c r="G851" s="2808"/>
      <c r="H851" s="2808"/>
      <c r="I851" s="2808"/>
      <c r="J851" s="2808"/>
      <c r="K851" s="2808"/>
    </row>
    <row r="852" spans="1:11">
      <c r="A852" s="2800">
        <v>44810</v>
      </c>
      <c r="B852" s="2801">
        <v>30389.34</v>
      </c>
      <c r="C852" s="2801">
        <v>319.2</v>
      </c>
      <c r="D852" s="2801">
        <v>11551.22</v>
      </c>
      <c r="E852" s="2801">
        <v>2398.36</v>
      </c>
      <c r="F852" s="2808"/>
      <c r="G852" s="2808"/>
      <c r="H852" s="2808"/>
      <c r="I852" s="2808"/>
      <c r="J852" s="2808"/>
      <c r="K852" s="2808"/>
    </row>
    <row r="853" spans="1:11">
      <c r="A853" s="2800">
        <v>44809</v>
      </c>
      <c r="B853" s="2801">
        <v>30353.919999999998</v>
      </c>
      <c r="C853" s="2801">
        <v>324.08</v>
      </c>
      <c r="D853" s="2801">
        <v>11602.98</v>
      </c>
      <c r="E853" s="2801">
        <v>2404.6799999999998</v>
      </c>
      <c r="F853" s="2808"/>
      <c r="G853" s="2808"/>
      <c r="H853" s="2808"/>
      <c r="I853" s="2808"/>
      <c r="J853" s="2808"/>
      <c r="K853" s="2808"/>
    </row>
    <row r="854" spans="1:11">
      <c r="A854" s="2800">
        <v>44808</v>
      </c>
      <c r="B854" s="2801" t="s">
        <v>0</v>
      </c>
      <c r="C854" s="2801" t="s">
        <v>0</v>
      </c>
      <c r="D854" s="2801" t="s">
        <v>0</v>
      </c>
      <c r="E854" s="2801" t="s">
        <v>0</v>
      </c>
      <c r="F854" s="2808"/>
      <c r="G854" s="2808"/>
      <c r="H854" s="2808"/>
      <c r="I854" s="2808"/>
      <c r="J854" s="2808"/>
      <c r="K854" s="2808"/>
    </row>
    <row r="855" spans="1:11">
      <c r="A855" s="2800">
        <v>44807</v>
      </c>
      <c r="B855" s="2801" t="s">
        <v>0</v>
      </c>
      <c r="C855" s="2801" t="s">
        <v>0</v>
      </c>
      <c r="D855" s="2801" t="s">
        <v>0</v>
      </c>
      <c r="E855" s="2801" t="s">
        <v>0</v>
      </c>
      <c r="F855" s="2808"/>
      <c r="G855" s="2808"/>
      <c r="H855" s="2808"/>
      <c r="I855" s="2808"/>
      <c r="J855" s="2808"/>
      <c r="K855" s="2808"/>
    </row>
    <row r="856" spans="1:11">
      <c r="A856" s="2800">
        <v>44806</v>
      </c>
      <c r="B856" s="2801">
        <v>30372.86</v>
      </c>
      <c r="C856" s="2801">
        <v>329</v>
      </c>
      <c r="D856" s="2801">
        <v>11640.54</v>
      </c>
      <c r="E856" s="2801">
        <v>2414.96</v>
      </c>
      <c r="F856" s="2808"/>
      <c r="G856" s="2808"/>
      <c r="H856" s="2808"/>
      <c r="I856" s="2808"/>
      <c r="J856" s="2808"/>
      <c r="K856" s="2808"/>
    </row>
    <row r="857" spans="1:11">
      <c r="A857" s="2800">
        <v>44805</v>
      </c>
      <c r="B857" s="2801">
        <v>30639.3</v>
      </c>
      <c r="C857" s="2801">
        <v>328.73</v>
      </c>
      <c r="D857" s="2801">
        <v>11662.26</v>
      </c>
      <c r="E857" s="2801">
        <v>2425.12</v>
      </c>
      <c r="F857" s="2808"/>
      <c r="G857" s="2808"/>
      <c r="H857" s="2808"/>
      <c r="I857" s="2808"/>
      <c r="J857" s="2808"/>
      <c r="K857" s="2808"/>
    </row>
    <row r="858" spans="1:11">
      <c r="A858" s="2800">
        <v>44804</v>
      </c>
      <c r="B858" s="2801">
        <v>31245.85</v>
      </c>
      <c r="C858" s="2801">
        <v>333.46</v>
      </c>
      <c r="D858" s="2801">
        <v>11734.16</v>
      </c>
      <c r="E858" s="2801">
        <v>2469.58</v>
      </c>
      <c r="F858" s="2808"/>
      <c r="G858" s="2808"/>
      <c r="H858" s="2808"/>
      <c r="I858" s="2808"/>
      <c r="J858" s="2808"/>
      <c r="K858" s="2808"/>
    </row>
    <row r="859" spans="1:11">
      <c r="A859" s="2800">
        <v>44803</v>
      </c>
      <c r="B859" s="2801">
        <v>30952.11</v>
      </c>
      <c r="C859" s="2801">
        <v>330.61</v>
      </c>
      <c r="D859" s="2801">
        <v>11812.74</v>
      </c>
      <c r="E859" s="2801">
        <v>2466.09</v>
      </c>
      <c r="F859" s="2808"/>
      <c r="G859" s="2808"/>
      <c r="H859" s="2808"/>
      <c r="I859" s="2808"/>
      <c r="J859" s="2808"/>
      <c r="K859" s="2808"/>
    </row>
    <row r="860" spans="1:11">
      <c r="A860" s="2800">
        <v>44802</v>
      </c>
      <c r="B860" s="2801">
        <v>30892.09</v>
      </c>
      <c r="C860" s="2801">
        <v>326.17</v>
      </c>
      <c r="D860" s="2801">
        <v>11916.03</v>
      </c>
      <c r="E860" s="2801">
        <v>2463.2800000000002</v>
      </c>
      <c r="F860" s="2808"/>
      <c r="G860" s="2808"/>
      <c r="H860" s="2808"/>
      <c r="I860" s="2808"/>
      <c r="J860" s="2808"/>
      <c r="K860" s="2808"/>
    </row>
    <row r="861" spans="1:11">
      <c r="A861" s="2800">
        <v>44801</v>
      </c>
      <c r="B861" s="2801" t="s">
        <v>0</v>
      </c>
      <c r="C861" s="2801" t="s">
        <v>0</v>
      </c>
      <c r="D861" s="2801" t="s">
        <v>0</v>
      </c>
      <c r="E861" s="2801" t="s">
        <v>0</v>
      </c>
      <c r="F861" s="2808"/>
      <c r="G861" s="2808"/>
      <c r="H861" s="2808"/>
      <c r="I861" s="2808"/>
      <c r="J861" s="2808"/>
      <c r="K861" s="2808"/>
    </row>
    <row r="862" spans="1:11">
      <c r="A862" s="2800">
        <v>44800</v>
      </c>
      <c r="B862" s="2801" t="s">
        <v>0</v>
      </c>
      <c r="C862" s="2801" t="s">
        <v>0</v>
      </c>
      <c r="D862" s="2801" t="s">
        <v>0</v>
      </c>
      <c r="E862" s="2801" t="s">
        <v>0</v>
      </c>
      <c r="F862" s="2808"/>
      <c r="G862" s="2808"/>
      <c r="H862" s="2808"/>
      <c r="I862" s="2808"/>
      <c r="J862" s="2808"/>
      <c r="K862" s="2808"/>
    </row>
    <row r="863" spans="1:11">
      <c r="A863" s="2800">
        <v>44799</v>
      </c>
      <c r="B863" s="2801">
        <v>31619.42</v>
      </c>
      <c r="C863" s="2801">
        <v>331.92</v>
      </c>
      <c r="D863" s="2801">
        <v>12030.84</v>
      </c>
      <c r="E863" s="2801">
        <v>2500.11</v>
      </c>
      <c r="F863" s="2808"/>
      <c r="G863" s="2808"/>
      <c r="H863" s="2808"/>
      <c r="I863" s="2808"/>
      <c r="J863" s="2808"/>
      <c r="K863" s="2808"/>
    </row>
    <row r="864" spans="1:11">
      <c r="A864" s="2800">
        <v>44798</v>
      </c>
      <c r="B864" s="2801">
        <v>31453.34</v>
      </c>
      <c r="C864" s="2801">
        <v>330.07</v>
      </c>
      <c r="D864" s="2801">
        <v>12360.22</v>
      </c>
      <c r="E864" s="2801">
        <v>2492.4499999999998</v>
      </c>
      <c r="F864" s="2808"/>
      <c r="G864" s="2808"/>
      <c r="H864" s="2808"/>
      <c r="I864" s="2808"/>
      <c r="J864" s="2808"/>
      <c r="K864" s="2808"/>
    </row>
    <row r="865" spans="1:11">
      <c r="A865" s="2800">
        <v>44797</v>
      </c>
      <c r="B865" s="2801">
        <v>31170.55</v>
      </c>
      <c r="C865" s="2801">
        <v>325.45</v>
      </c>
      <c r="D865" s="2801">
        <v>12214.52</v>
      </c>
      <c r="E865" s="2801">
        <v>2446.52</v>
      </c>
      <c r="F865" s="2808"/>
      <c r="G865" s="2808"/>
      <c r="H865" s="2808"/>
      <c r="I865" s="2808"/>
      <c r="J865" s="2808"/>
      <c r="K865" s="2808"/>
    </row>
    <row r="866" spans="1:11">
      <c r="A866" s="2800">
        <v>44796</v>
      </c>
      <c r="B866" s="2801">
        <v>31217.56</v>
      </c>
      <c r="C866" s="2801">
        <v>323.98</v>
      </c>
      <c r="D866" s="2801">
        <v>12188.99</v>
      </c>
      <c r="E866" s="2801">
        <v>2457.2399999999998</v>
      </c>
      <c r="F866" s="2808"/>
      <c r="G866" s="2808"/>
      <c r="H866" s="2808"/>
      <c r="I866" s="2808"/>
      <c r="J866" s="2808"/>
      <c r="K866" s="2808"/>
    </row>
    <row r="867" spans="1:11">
      <c r="A867" s="2800">
        <v>44795</v>
      </c>
      <c r="B867" s="2801">
        <v>31524.04</v>
      </c>
      <c r="C867" s="2801">
        <v>323.77999999999997</v>
      </c>
      <c r="D867" s="2801">
        <v>12214.35</v>
      </c>
      <c r="E867" s="2801">
        <v>2462.9</v>
      </c>
      <c r="F867" s="2808"/>
      <c r="G867" s="2808"/>
      <c r="H867" s="2808"/>
      <c r="I867" s="2808"/>
      <c r="J867" s="2808"/>
      <c r="K867" s="2808"/>
    </row>
    <row r="868" spans="1:11">
      <c r="A868" s="2800">
        <v>44794</v>
      </c>
      <c r="B868" s="2801" t="s">
        <v>0</v>
      </c>
      <c r="C868" s="2801" t="s">
        <v>0</v>
      </c>
      <c r="D868" s="2801" t="s">
        <v>0</v>
      </c>
      <c r="E868" s="2801" t="s">
        <v>0</v>
      </c>
      <c r="F868" s="2808"/>
      <c r="G868" s="2808"/>
      <c r="H868" s="2808"/>
      <c r="I868" s="2808"/>
      <c r="J868" s="2808"/>
      <c r="K868" s="2808"/>
    </row>
    <row r="869" spans="1:11">
      <c r="A869" s="2800">
        <v>44793</v>
      </c>
      <c r="B869" s="2801" t="s">
        <v>0</v>
      </c>
      <c r="C869" s="2801" t="s">
        <v>0</v>
      </c>
      <c r="D869" s="2801" t="s">
        <v>0</v>
      </c>
      <c r="E869" s="2801" t="s">
        <v>0</v>
      </c>
      <c r="F869" s="2808"/>
      <c r="G869" s="2808"/>
      <c r="H869" s="2808"/>
      <c r="I869" s="2808"/>
      <c r="J869" s="2808"/>
      <c r="K869" s="2808"/>
    </row>
    <row r="870" spans="1:11">
      <c r="A870" s="2800">
        <v>44792</v>
      </c>
      <c r="B870" s="2801">
        <v>31861.63</v>
      </c>
      <c r="C870" s="2801">
        <v>325.61</v>
      </c>
      <c r="D870" s="2801">
        <v>12443.27</v>
      </c>
      <c r="E870" s="2801">
        <v>2486.5100000000002</v>
      </c>
      <c r="F870" s="2808"/>
      <c r="G870" s="2808"/>
      <c r="H870" s="2808"/>
      <c r="I870" s="2808"/>
      <c r="J870" s="2808"/>
      <c r="K870" s="2808"/>
    </row>
    <row r="871" spans="1:11">
      <c r="A871" s="2800">
        <v>44791</v>
      </c>
      <c r="B871" s="2801">
        <v>31833.17</v>
      </c>
      <c r="C871" s="2801">
        <v>323.08999999999997</v>
      </c>
      <c r="D871" s="2801">
        <v>12615.76</v>
      </c>
      <c r="E871" s="2801">
        <v>2506.38</v>
      </c>
      <c r="F871" s="2808"/>
      <c r="G871" s="2808"/>
      <c r="H871" s="2808"/>
      <c r="I871" s="2808"/>
      <c r="J871" s="2808"/>
      <c r="K871" s="2808"/>
    </row>
    <row r="872" spans="1:11">
      <c r="A872" s="2800">
        <v>44790</v>
      </c>
      <c r="B872" s="2801">
        <v>31971.14</v>
      </c>
      <c r="C872" s="2801">
        <v>319.31</v>
      </c>
      <c r="D872" s="2801">
        <v>12596.87</v>
      </c>
      <c r="E872" s="2801">
        <v>2521</v>
      </c>
      <c r="F872" s="2808"/>
      <c r="G872" s="2808"/>
      <c r="H872" s="2808"/>
      <c r="I872" s="2808"/>
      <c r="J872" s="2808"/>
      <c r="K872" s="2808"/>
    </row>
    <row r="873" spans="1:11">
      <c r="A873" s="2800">
        <v>44789</v>
      </c>
      <c r="B873" s="2801">
        <v>31871.72</v>
      </c>
      <c r="C873" s="2801">
        <v>317.74</v>
      </c>
      <c r="D873" s="2801">
        <v>12690.87</v>
      </c>
      <c r="E873" s="2801">
        <v>2517.44</v>
      </c>
      <c r="F873" s="2808"/>
      <c r="G873" s="2808"/>
      <c r="H873" s="2808"/>
      <c r="I873" s="2808"/>
      <c r="J873" s="2808"/>
      <c r="K873" s="2808"/>
    </row>
    <row r="874" spans="1:11">
      <c r="A874" s="2800">
        <v>44788</v>
      </c>
      <c r="B874" s="2801">
        <v>31862.57</v>
      </c>
      <c r="C874" s="2801">
        <v>316.89</v>
      </c>
      <c r="D874" s="2801">
        <v>12681.64</v>
      </c>
      <c r="E874" s="2801">
        <v>2519.19</v>
      </c>
      <c r="F874" s="2808"/>
      <c r="G874" s="2808"/>
      <c r="H874" s="2808"/>
      <c r="I874" s="2808"/>
      <c r="J874" s="2808"/>
      <c r="K874" s="2808"/>
    </row>
    <row r="875" spans="1:11">
      <c r="A875" s="2800">
        <v>44787</v>
      </c>
      <c r="B875" s="2801" t="s">
        <v>0</v>
      </c>
      <c r="C875" s="2801" t="s">
        <v>0</v>
      </c>
      <c r="D875" s="2801" t="s">
        <v>0</v>
      </c>
      <c r="E875" s="2801" t="s">
        <v>0</v>
      </c>
      <c r="F875" s="2808"/>
      <c r="G875" s="2808"/>
      <c r="H875" s="2808"/>
      <c r="I875" s="2808"/>
      <c r="J875" s="2808"/>
      <c r="K875" s="2808"/>
    </row>
    <row r="876" spans="1:11">
      <c r="A876" s="2800">
        <v>44786</v>
      </c>
      <c r="B876" s="2801" t="s">
        <v>0</v>
      </c>
      <c r="C876" s="2801" t="s">
        <v>0</v>
      </c>
      <c r="D876" s="2801" t="s">
        <v>0</v>
      </c>
      <c r="E876" s="2801" t="s">
        <v>0</v>
      </c>
      <c r="F876" s="2808"/>
      <c r="G876" s="2808"/>
      <c r="H876" s="2808"/>
      <c r="I876" s="2808"/>
      <c r="J876" s="2808"/>
      <c r="K876" s="2808"/>
    </row>
    <row r="877" spans="1:11">
      <c r="A877" s="2800">
        <v>44785</v>
      </c>
      <c r="B877" s="2801">
        <v>31597.15</v>
      </c>
      <c r="C877" s="2801">
        <v>311.19</v>
      </c>
      <c r="D877" s="2801">
        <v>12645.58</v>
      </c>
      <c r="E877" s="2801">
        <v>2523.58</v>
      </c>
      <c r="F877" s="2808"/>
      <c r="G877" s="2808"/>
      <c r="H877" s="2808"/>
      <c r="I877" s="2808"/>
      <c r="J877" s="2808"/>
      <c r="K877" s="2808"/>
    </row>
    <row r="878" spans="1:11">
      <c r="A878" s="2800">
        <v>44784</v>
      </c>
      <c r="B878" s="2801">
        <v>31406.04</v>
      </c>
      <c r="C878" s="2801">
        <v>307.73</v>
      </c>
      <c r="D878" s="2801">
        <v>12499.57</v>
      </c>
      <c r="E878" s="2801">
        <v>2511.91</v>
      </c>
      <c r="F878" s="2808"/>
      <c r="G878" s="2808"/>
      <c r="H878" s="2808"/>
      <c r="I878" s="2808"/>
      <c r="J878" s="2808"/>
      <c r="K878" s="2808"/>
    </row>
    <row r="879" spans="1:11">
      <c r="A879" s="2800">
        <v>44783</v>
      </c>
      <c r="B879" s="2801">
        <v>30845.08</v>
      </c>
      <c r="C879" s="2801">
        <v>303.7</v>
      </c>
      <c r="D879" s="2801">
        <v>12500.06</v>
      </c>
      <c r="E879" s="2801">
        <v>2469.15</v>
      </c>
      <c r="F879" s="2808"/>
      <c r="G879" s="2808"/>
      <c r="H879" s="2808"/>
      <c r="I879" s="2808"/>
      <c r="J879" s="2808"/>
      <c r="K879" s="2808"/>
    </row>
    <row r="880" spans="1:11">
      <c r="A880" s="2800">
        <v>44782</v>
      </c>
      <c r="B880" s="2801">
        <v>31058.17</v>
      </c>
      <c r="C880" s="2801">
        <v>306.02999999999997</v>
      </c>
      <c r="D880" s="2801">
        <v>12233.25</v>
      </c>
      <c r="E880" s="2801">
        <v>2479.64</v>
      </c>
      <c r="F880" s="2808"/>
      <c r="G880" s="2808"/>
      <c r="H880" s="2808"/>
      <c r="I880" s="2808"/>
      <c r="J880" s="2808"/>
      <c r="K880" s="2808"/>
    </row>
    <row r="881" spans="1:11">
      <c r="A881" s="2800">
        <v>44781</v>
      </c>
      <c r="B881" s="2801">
        <v>30990.22</v>
      </c>
      <c r="C881" s="2801">
        <v>304.98</v>
      </c>
      <c r="D881" s="2801">
        <v>12300.06</v>
      </c>
      <c r="E881" s="2801">
        <v>2479.88</v>
      </c>
      <c r="F881" s="2808"/>
      <c r="G881" s="2808"/>
      <c r="H881" s="2808"/>
      <c r="I881" s="2808"/>
      <c r="J881" s="2808"/>
      <c r="K881" s="2808"/>
    </row>
    <row r="882" spans="1:11">
      <c r="A882" s="2800">
        <v>44780</v>
      </c>
      <c r="B882" s="2801" t="s">
        <v>0</v>
      </c>
      <c r="C882" s="2801" t="s">
        <v>0</v>
      </c>
      <c r="D882" s="2801" t="s">
        <v>0</v>
      </c>
      <c r="E882" s="2801" t="s">
        <v>0</v>
      </c>
      <c r="F882" s="2808"/>
      <c r="G882" s="2808"/>
      <c r="H882" s="2808"/>
      <c r="I882" s="2808"/>
      <c r="J882" s="2808"/>
      <c r="K882" s="2808"/>
    </row>
    <row r="883" spans="1:11">
      <c r="A883" s="2800">
        <v>44779</v>
      </c>
      <c r="B883" s="2801" t="s">
        <v>0</v>
      </c>
      <c r="C883" s="2801" t="s">
        <v>0</v>
      </c>
      <c r="D883" s="2801" t="s">
        <v>0</v>
      </c>
      <c r="E883" s="2801" t="s">
        <v>0</v>
      </c>
      <c r="F883" s="2808"/>
      <c r="G883" s="2808"/>
      <c r="H883" s="2808"/>
      <c r="I883" s="2808"/>
      <c r="J883" s="2808"/>
      <c r="K883" s="2808"/>
    </row>
    <row r="884" spans="1:11">
      <c r="A884" s="2800">
        <v>44778</v>
      </c>
      <c r="B884" s="2801">
        <v>31021.45</v>
      </c>
      <c r="C884" s="2801">
        <v>303.99</v>
      </c>
      <c r="D884" s="2801">
        <v>12269.81</v>
      </c>
      <c r="E884" s="2801">
        <v>2482.3000000000002</v>
      </c>
      <c r="F884" s="2808"/>
      <c r="G884" s="2808"/>
      <c r="H884" s="2808"/>
      <c r="I884" s="2808"/>
      <c r="J884" s="2808"/>
      <c r="K884" s="2808"/>
    </row>
    <row r="885" spans="1:11">
      <c r="A885" s="2800">
        <v>44777</v>
      </c>
      <c r="B885" s="2801">
        <v>30332.58</v>
      </c>
      <c r="C885" s="2801">
        <v>296.98</v>
      </c>
      <c r="D885" s="2801">
        <v>12311.44</v>
      </c>
      <c r="E885" s="2801">
        <v>2461.6799999999998</v>
      </c>
      <c r="F885" s="2808"/>
      <c r="G885" s="2808"/>
      <c r="H885" s="2808"/>
      <c r="I885" s="2808"/>
      <c r="J885" s="2808"/>
      <c r="K885" s="2808"/>
    </row>
    <row r="886" spans="1:11">
      <c r="A886" s="2800">
        <v>44776</v>
      </c>
      <c r="B886" s="2801">
        <v>30453.48</v>
      </c>
      <c r="C886" s="2801">
        <v>296.74</v>
      </c>
      <c r="D886" s="2801">
        <v>12281.08</v>
      </c>
      <c r="E886" s="2801">
        <v>2439.5700000000002</v>
      </c>
      <c r="F886" s="2808"/>
      <c r="G886" s="2808"/>
      <c r="H886" s="2808"/>
      <c r="I886" s="2808"/>
      <c r="J886" s="2808"/>
      <c r="K886" s="2808"/>
    </row>
    <row r="887" spans="1:11">
      <c r="A887" s="2800">
        <v>44775</v>
      </c>
      <c r="B887" s="2801">
        <v>30382.48</v>
      </c>
      <c r="C887" s="2801">
        <v>298.52999999999997</v>
      </c>
      <c r="D887" s="2801">
        <v>12160.75</v>
      </c>
      <c r="E887" s="2801">
        <v>2435.63</v>
      </c>
      <c r="F887" s="2808"/>
      <c r="G887" s="2808"/>
      <c r="H887" s="2808"/>
      <c r="I887" s="2808"/>
      <c r="J887" s="2808"/>
      <c r="K887" s="2808"/>
    </row>
    <row r="888" spans="1:11">
      <c r="A888" s="2800">
        <v>44774</v>
      </c>
      <c r="B888" s="2801">
        <v>30862.41</v>
      </c>
      <c r="C888" s="2801">
        <v>304.20999999999998</v>
      </c>
      <c r="D888" s="2801">
        <v>12254.11</v>
      </c>
      <c r="E888" s="2801">
        <v>2462.0300000000002</v>
      </c>
      <c r="F888" s="2808"/>
      <c r="G888" s="2808"/>
      <c r="H888" s="2808"/>
      <c r="I888" s="2808"/>
      <c r="J888" s="2808"/>
      <c r="K888" s="2808"/>
    </row>
    <row r="889" spans="1:11">
      <c r="A889" s="2800">
        <v>44773</v>
      </c>
      <c r="B889" s="2801" t="s">
        <v>0</v>
      </c>
      <c r="C889" s="2801" t="s">
        <v>0</v>
      </c>
      <c r="D889" s="2801" t="s">
        <v>0</v>
      </c>
      <c r="E889" s="2801" t="s">
        <v>0</v>
      </c>
      <c r="F889" s="2808"/>
      <c r="G889" s="2808"/>
      <c r="H889" s="2808"/>
      <c r="I889" s="2808"/>
      <c r="J889" s="2808"/>
      <c r="K889" s="2808"/>
    </row>
    <row r="890" spans="1:11">
      <c r="A890" s="2800">
        <v>44772</v>
      </c>
      <c r="B890" s="2801" t="s">
        <v>0</v>
      </c>
      <c r="C890" s="2801" t="s">
        <v>0</v>
      </c>
      <c r="D890" s="2801" t="s">
        <v>0</v>
      </c>
      <c r="E890" s="2801" t="s">
        <v>0</v>
      </c>
      <c r="F890" s="2808"/>
      <c r="G890" s="2808"/>
      <c r="H890" s="2808"/>
      <c r="I890" s="2808"/>
      <c r="J890" s="2808"/>
      <c r="K890" s="2808"/>
    </row>
    <row r="891" spans="1:11">
      <c r="A891" s="2800">
        <v>44771</v>
      </c>
      <c r="B891" s="2801">
        <v>30879.57</v>
      </c>
      <c r="C891" s="2801">
        <v>305.55</v>
      </c>
      <c r="D891" s="2801">
        <v>12241.14</v>
      </c>
      <c r="E891" s="2801">
        <v>2458.4</v>
      </c>
      <c r="F891" s="2808"/>
      <c r="G891" s="2808"/>
      <c r="H891" s="2808"/>
      <c r="I891" s="2808"/>
      <c r="J891" s="2808"/>
      <c r="K891" s="2808"/>
    </row>
    <row r="892" spans="1:11">
      <c r="A892" s="2800">
        <v>44770</v>
      </c>
      <c r="B892" s="2801">
        <v>30630.82</v>
      </c>
      <c r="C892" s="2801">
        <v>302.27999999999997</v>
      </c>
      <c r="D892" s="2801">
        <v>12076.48</v>
      </c>
      <c r="E892" s="2801">
        <v>2467.4499999999998</v>
      </c>
      <c r="F892" s="2808"/>
      <c r="G892" s="2808"/>
      <c r="H892" s="2808"/>
      <c r="I892" s="2808"/>
      <c r="J892" s="2808"/>
      <c r="K892" s="2808"/>
    </row>
    <row r="893" spans="1:11">
      <c r="A893" s="2800">
        <v>44769</v>
      </c>
      <c r="B893" s="2801">
        <v>30656.81</v>
      </c>
      <c r="C893" s="2801">
        <v>302.55</v>
      </c>
      <c r="D893" s="2801">
        <v>11920.43</v>
      </c>
      <c r="E893" s="2801">
        <v>2448.0300000000002</v>
      </c>
      <c r="F893" s="2808"/>
      <c r="G893" s="2808"/>
      <c r="H893" s="2808"/>
      <c r="I893" s="2808"/>
      <c r="J893" s="2808"/>
      <c r="K893" s="2808"/>
    </row>
    <row r="894" spans="1:11">
      <c r="A894" s="2800">
        <v>44768</v>
      </c>
      <c r="B894" s="2801">
        <v>30390.400000000001</v>
      </c>
      <c r="C894" s="2801">
        <v>299.41000000000003</v>
      </c>
      <c r="D894" s="2801">
        <v>11694.89</v>
      </c>
      <c r="E894" s="2801">
        <v>2447.7600000000002</v>
      </c>
      <c r="F894" s="2808"/>
      <c r="G894" s="2808"/>
      <c r="H894" s="2808"/>
      <c r="I894" s="2808"/>
      <c r="J894" s="2808"/>
      <c r="K894" s="2808"/>
    </row>
    <row r="895" spans="1:11">
      <c r="A895" s="2800">
        <v>44767</v>
      </c>
      <c r="B895" s="2801">
        <v>30615.98</v>
      </c>
      <c r="C895" s="2801">
        <v>303.54000000000002</v>
      </c>
      <c r="D895" s="2801">
        <v>11813.93</v>
      </c>
      <c r="E895" s="2801">
        <v>2440.04</v>
      </c>
      <c r="F895" s="2808"/>
      <c r="G895" s="2808"/>
      <c r="H895" s="2808"/>
      <c r="I895" s="2808"/>
      <c r="J895" s="2808"/>
      <c r="K895" s="2808"/>
    </row>
    <row r="896" spans="1:11">
      <c r="A896" s="2800">
        <v>44766</v>
      </c>
      <c r="B896" s="2801" t="s">
        <v>0</v>
      </c>
      <c r="C896" s="2801" t="s">
        <v>0</v>
      </c>
      <c r="D896" s="2801" t="s">
        <v>0</v>
      </c>
      <c r="E896" s="2801" t="s">
        <v>0</v>
      </c>
      <c r="F896" s="2808"/>
      <c r="G896" s="2808"/>
      <c r="H896" s="2808"/>
      <c r="I896" s="2808"/>
      <c r="J896" s="2808"/>
      <c r="K896" s="2808"/>
    </row>
    <row r="897" spans="1:11">
      <c r="A897" s="2800">
        <v>44765</v>
      </c>
      <c r="B897" s="2801" t="s">
        <v>0</v>
      </c>
      <c r="C897" s="2801" t="s">
        <v>0</v>
      </c>
      <c r="D897" s="2801" t="s">
        <v>0</v>
      </c>
      <c r="E897" s="2801" t="s">
        <v>0</v>
      </c>
      <c r="F897" s="2808"/>
      <c r="G897" s="2808"/>
      <c r="H897" s="2808"/>
      <c r="I897" s="2808"/>
      <c r="J897" s="2808"/>
      <c r="K897" s="2808"/>
    </row>
    <row r="898" spans="1:11">
      <c r="A898" s="2800">
        <v>44764</v>
      </c>
      <c r="B898" s="2801">
        <v>30634.92</v>
      </c>
      <c r="C898" s="2801">
        <v>303.91000000000003</v>
      </c>
      <c r="D898" s="2801">
        <v>11811.78</v>
      </c>
      <c r="E898" s="2801">
        <v>2448.0500000000002</v>
      </c>
      <c r="F898" s="2808"/>
      <c r="G898" s="2808"/>
      <c r="H898" s="2808"/>
      <c r="I898" s="2808"/>
      <c r="J898" s="2808"/>
      <c r="K898" s="2808"/>
    </row>
    <row r="899" spans="1:11">
      <c r="A899" s="2800">
        <v>44763</v>
      </c>
      <c r="B899" s="2801">
        <v>30609.71</v>
      </c>
      <c r="C899" s="2801">
        <v>304.12</v>
      </c>
      <c r="D899" s="2801">
        <v>11869.68</v>
      </c>
      <c r="E899" s="2801">
        <v>2448.75</v>
      </c>
      <c r="F899" s="2808"/>
      <c r="G899" s="2808"/>
      <c r="H899" s="2808"/>
      <c r="I899" s="2808"/>
      <c r="J899" s="2808"/>
      <c r="K899" s="2808"/>
    </row>
    <row r="900" spans="1:11">
      <c r="A900" s="2800">
        <v>44762</v>
      </c>
      <c r="B900" s="2801">
        <v>30175.46</v>
      </c>
      <c r="C900" s="2801">
        <v>298.25</v>
      </c>
      <c r="D900" s="2801">
        <v>11780.3</v>
      </c>
      <c r="E900" s="2801">
        <v>2438.21</v>
      </c>
      <c r="F900" s="2808"/>
      <c r="G900" s="2808"/>
      <c r="H900" s="2808"/>
      <c r="I900" s="2808"/>
      <c r="J900" s="2808"/>
      <c r="K900" s="2808"/>
    </row>
    <row r="901" spans="1:11">
      <c r="A901" s="2800">
        <v>44761</v>
      </c>
      <c r="B901" s="2801">
        <v>30071.97</v>
      </c>
      <c r="C901" s="2801">
        <v>294.79000000000002</v>
      </c>
      <c r="D901" s="2801">
        <v>11710.67</v>
      </c>
      <c r="E901" s="2801">
        <v>2421.62</v>
      </c>
      <c r="F901" s="2808"/>
      <c r="G901" s="2808"/>
      <c r="H901" s="2808"/>
      <c r="I901" s="2808"/>
      <c r="J901" s="2808"/>
      <c r="K901" s="2808"/>
    </row>
    <row r="902" spans="1:11">
      <c r="A902" s="2800">
        <v>44760</v>
      </c>
      <c r="B902" s="2801">
        <v>30113.26</v>
      </c>
      <c r="C902" s="2801">
        <v>295</v>
      </c>
      <c r="D902" s="2801">
        <v>11440.08</v>
      </c>
      <c r="E902" s="2801">
        <v>2422.8200000000002</v>
      </c>
      <c r="F902" s="2808"/>
      <c r="G902" s="2808"/>
      <c r="H902" s="2808"/>
      <c r="I902" s="2808"/>
      <c r="J902" s="2808"/>
      <c r="K902" s="2808"/>
    </row>
    <row r="903" spans="1:11">
      <c r="A903" s="2800">
        <v>44759</v>
      </c>
      <c r="B903" s="2801" t="s">
        <v>0</v>
      </c>
      <c r="C903" s="2801" t="s">
        <v>0</v>
      </c>
      <c r="D903" s="2801" t="s">
        <v>0</v>
      </c>
      <c r="E903" s="2801" t="s">
        <v>0</v>
      </c>
      <c r="F903" s="2808"/>
      <c r="G903" s="2808"/>
      <c r="H903" s="2808"/>
      <c r="I903" s="2808"/>
      <c r="J903" s="2808"/>
      <c r="K903" s="2808"/>
    </row>
    <row r="904" spans="1:11">
      <c r="A904" s="2800">
        <v>44758</v>
      </c>
      <c r="B904" s="2801" t="s">
        <v>0</v>
      </c>
      <c r="C904" s="2801" t="s">
        <v>0</v>
      </c>
      <c r="D904" s="2801" t="s">
        <v>0</v>
      </c>
      <c r="E904" s="2801" t="s">
        <v>0</v>
      </c>
      <c r="F904" s="2808"/>
      <c r="G904" s="2808"/>
      <c r="H904" s="2808"/>
      <c r="I904" s="2808"/>
      <c r="J904" s="2808"/>
      <c r="K904" s="2808"/>
    </row>
    <row r="905" spans="1:11">
      <c r="A905" s="2800">
        <v>44757</v>
      </c>
      <c r="B905" s="2801">
        <v>29765.040000000001</v>
      </c>
      <c r="C905" s="2801">
        <v>289.82</v>
      </c>
      <c r="D905" s="2801">
        <v>11443.97</v>
      </c>
      <c r="E905" s="2801">
        <v>2376.67</v>
      </c>
      <c r="F905" s="2808"/>
      <c r="G905" s="2808"/>
      <c r="H905" s="2808"/>
      <c r="I905" s="2808"/>
      <c r="J905" s="2808"/>
      <c r="K905" s="2808"/>
    </row>
    <row r="906" spans="1:11">
      <c r="A906" s="2800">
        <v>44756</v>
      </c>
      <c r="B906" s="2801">
        <v>29527.24</v>
      </c>
      <c r="C906" s="2801">
        <v>286.97000000000003</v>
      </c>
      <c r="D906" s="2801">
        <v>11231.36</v>
      </c>
      <c r="E906" s="2801">
        <v>2385.15</v>
      </c>
      <c r="F906" s="2808"/>
      <c r="G906" s="2808"/>
      <c r="H906" s="2808"/>
      <c r="I906" s="2808"/>
      <c r="J906" s="2808"/>
      <c r="K906" s="2808"/>
    </row>
    <row r="907" spans="1:11">
      <c r="A907" s="2800">
        <v>44755</v>
      </c>
      <c r="B907" s="2801">
        <v>29243.18</v>
      </c>
      <c r="C907" s="2801">
        <v>281.81</v>
      </c>
      <c r="D907" s="2801">
        <v>11336.17</v>
      </c>
      <c r="E907" s="2801">
        <v>2396.59</v>
      </c>
      <c r="F907" s="2808"/>
      <c r="G907" s="2808"/>
      <c r="H907" s="2808"/>
      <c r="I907" s="2808"/>
      <c r="J907" s="2808"/>
      <c r="K907" s="2808"/>
    </row>
    <row r="908" spans="1:11">
      <c r="A908" s="2800">
        <v>44754</v>
      </c>
      <c r="B908" s="2801">
        <v>28472.79</v>
      </c>
      <c r="C908" s="2801">
        <v>278.19</v>
      </c>
      <c r="D908" s="2801">
        <v>11378.37</v>
      </c>
      <c r="E908" s="2801">
        <v>2388.63</v>
      </c>
      <c r="F908" s="2808"/>
      <c r="G908" s="2808"/>
      <c r="H908" s="2808"/>
      <c r="I908" s="2808"/>
      <c r="J908" s="2808"/>
      <c r="K908" s="2808"/>
    </row>
    <row r="909" spans="1:11">
      <c r="A909" s="2800">
        <v>44753</v>
      </c>
      <c r="B909" s="2801">
        <v>29239.1</v>
      </c>
      <c r="C909" s="2801">
        <v>285.89999999999998</v>
      </c>
      <c r="D909" s="2801">
        <v>11459.07</v>
      </c>
      <c r="E909" s="2801">
        <v>2422.19</v>
      </c>
      <c r="F909" s="2808"/>
      <c r="G909" s="2808"/>
      <c r="H909" s="2808"/>
      <c r="I909" s="2808"/>
      <c r="J909" s="2808"/>
      <c r="K909" s="2808"/>
    </row>
    <row r="910" spans="1:11">
      <c r="A910" s="2800">
        <v>44752</v>
      </c>
      <c r="B910" s="2801" t="s">
        <v>0</v>
      </c>
      <c r="C910" s="2801" t="s">
        <v>0</v>
      </c>
      <c r="D910" s="2801" t="s">
        <v>0</v>
      </c>
      <c r="E910" s="2801" t="s">
        <v>0</v>
      </c>
      <c r="F910" s="2808"/>
      <c r="G910" s="2808"/>
      <c r="H910" s="2808"/>
      <c r="I910" s="2808"/>
      <c r="J910" s="2808"/>
      <c r="K910" s="2808"/>
    </row>
    <row r="911" spans="1:11">
      <c r="A911" s="2800">
        <v>44751</v>
      </c>
      <c r="B911" s="2801" t="s">
        <v>0</v>
      </c>
      <c r="C911" s="2801" t="s">
        <v>0</v>
      </c>
      <c r="D911" s="2801" t="s">
        <v>0</v>
      </c>
      <c r="E911" s="2801" t="s">
        <v>0</v>
      </c>
      <c r="F911" s="2808"/>
      <c r="G911" s="2808"/>
      <c r="H911" s="2808"/>
      <c r="I911" s="2808"/>
      <c r="J911" s="2808"/>
      <c r="K911" s="2808"/>
    </row>
    <row r="912" spans="1:11">
      <c r="A912" s="2800">
        <v>44750</v>
      </c>
      <c r="B912" s="2801">
        <v>29479.35</v>
      </c>
      <c r="C912" s="2801">
        <v>286.67</v>
      </c>
      <c r="D912" s="2801">
        <v>11598.32</v>
      </c>
      <c r="E912" s="2801">
        <v>2467.37</v>
      </c>
      <c r="F912" s="2808"/>
      <c r="G912" s="2808"/>
      <c r="H912" s="2808"/>
      <c r="I912" s="2808"/>
      <c r="J912" s="2808"/>
      <c r="K912" s="2808"/>
    </row>
    <row r="913" spans="1:11">
      <c r="A913" s="2800">
        <v>44749</v>
      </c>
      <c r="B913" s="2801">
        <v>29198.38</v>
      </c>
      <c r="C913" s="2801">
        <v>281.98</v>
      </c>
      <c r="D913" s="2801">
        <v>11590.63</v>
      </c>
      <c r="E913" s="2801">
        <v>2454.09</v>
      </c>
      <c r="F913" s="2808"/>
      <c r="G913" s="2808"/>
      <c r="H913" s="2808"/>
      <c r="I913" s="2808"/>
      <c r="J913" s="2808"/>
      <c r="K913" s="2808"/>
    </row>
    <row r="914" spans="1:11">
      <c r="A914" s="2800">
        <v>44748</v>
      </c>
      <c r="B914" s="2801">
        <v>28467.18</v>
      </c>
      <c r="C914" s="2801">
        <v>274.88</v>
      </c>
      <c r="D914" s="2801">
        <v>11407.16</v>
      </c>
      <c r="E914" s="2801">
        <v>2419.0700000000002</v>
      </c>
      <c r="F914" s="2808"/>
      <c r="G914" s="2808"/>
      <c r="H914" s="2808"/>
      <c r="I914" s="2808"/>
      <c r="J914" s="2808"/>
      <c r="K914" s="2808"/>
    </row>
    <row r="915" spans="1:11">
      <c r="A915" s="2800">
        <v>44747</v>
      </c>
      <c r="B915" s="2801">
        <v>29142.05</v>
      </c>
      <c r="C915" s="2801">
        <v>283.47000000000003</v>
      </c>
      <c r="D915" s="2801">
        <v>11374.68</v>
      </c>
      <c r="E915" s="2801">
        <v>2443.8000000000002</v>
      </c>
      <c r="F915" s="2808"/>
      <c r="G915" s="2808"/>
      <c r="H915" s="2808"/>
      <c r="I915" s="2808"/>
      <c r="J915" s="2808"/>
      <c r="K915" s="2808"/>
    </row>
    <row r="916" spans="1:11">
      <c r="A916" s="2800">
        <v>44746</v>
      </c>
      <c r="B916" s="2801">
        <v>28828.92</v>
      </c>
      <c r="C916" s="2801">
        <v>279.62</v>
      </c>
      <c r="D916" s="2801">
        <v>11434.85</v>
      </c>
      <c r="E916" s="2801">
        <v>2446.1999999999998</v>
      </c>
      <c r="F916" s="2808"/>
      <c r="G916" s="2808"/>
      <c r="H916" s="2808"/>
      <c r="I916" s="2808"/>
      <c r="J916" s="2808"/>
      <c r="K916" s="2808"/>
    </row>
    <row r="917" spans="1:11">
      <c r="A917" s="2800">
        <v>44745</v>
      </c>
      <c r="B917" s="2801" t="s">
        <v>0</v>
      </c>
      <c r="C917" s="2801" t="s">
        <v>0</v>
      </c>
      <c r="D917" s="2801" t="s">
        <v>0</v>
      </c>
      <c r="E917" s="2801" t="s">
        <v>0</v>
      </c>
      <c r="F917" s="2808"/>
      <c r="G917" s="2808"/>
      <c r="H917" s="2808"/>
      <c r="I917" s="2808"/>
      <c r="J917" s="2808"/>
      <c r="K917" s="2808"/>
    </row>
    <row r="918" spans="1:11">
      <c r="A918" s="2800">
        <v>44744</v>
      </c>
      <c r="B918" s="2801" t="s">
        <v>0</v>
      </c>
      <c r="C918" s="2801" t="s">
        <v>0</v>
      </c>
      <c r="D918" s="2801" t="s">
        <v>0</v>
      </c>
      <c r="E918" s="2801" t="s">
        <v>0</v>
      </c>
      <c r="F918" s="2808"/>
      <c r="G918" s="2808"/>
      <c r="H918" s="2808"/>
      <c r="I918" s="2808"/>
      <c r="J918" s="2808"/>
      <c r="K918" s="2808"/>
    </row>
    <row r="919" spans="1:11">
      <c r="A919" s="2800">
        <v>44743</v>
      </c>
      <c r="B919" s="2801">
        <v>28984.28</v>
      </c>
      <c r="C919" s="2801">
        <v>282.38</v>
      </c>
      <c r="D919" s="2801">
        <v>11399.15</v>
      </c>
      <c r="E919" s="2801">
        <v>2443.3000000000002</v>
      </c>
      <c r="F919" s="2808"/>
      <c r="G919" s="2808"/>
      <c r="H919" s="2808"/>
      <c r="I919" s="2808"/>
      <c r="J919" s="2808"/>
      <c r="K919" s="2808"/>
    </row>
    <row r="920" spans="1:11">
      <c r="A920" s="2800">
        <v>44742</v>
      </c>
      <c r="B920" s="2801">
        <v>29955.51</v>
      </c>
      <c r="C920" s="2801">
        <v>295.41000000000003</v>
      </c>
      <c r="D920" s="2801">
        <v>11337.72</v>
      </c>
      <c r="E920" s="2801">
        <v>2462.39</v>
      </c>
      <c r="F920" s="2808"/>
      <c r="G920" s="2808"/>
      <c r="H920" s="2808"/>
      <c r="I920" s="2808"/>
      <c r="J920" s="2808"/>
      <c r="K920" s="2808"/>
    </row>
    <row r="921" spans="1:11">
      <c r="A921" s="2800">
        <v>44741</v>
      </c>
      <c r="B921" s="2801">
        <v>30742.89</v>
      </c>
      <c r="C921" s="2801">
        <v>305.79000000000002</v>
      </c>
      <c r="D921" s="2801">
        <v>11462.24</v>
      </c>
      <c r="E921" s="2801">
        <v>2492.48</v>
      </c>
      <c r="F921" s="2808"/>
      <c r="G921" s="2808"/>
      <c r="H921" s="2808"/>
      <c r="I921" s="2808"/>
      <c r="J921" s="2808"/>
      <c r="K921" s="2808"/>
    </row>
    <row r="922" spans="1:11">
      <c r="A922" s="2800">
        <v>44740</v>
      </c>
      <c r="B922" s="2801">
        <v>31044.99</v>
      </c>
      <c r="C922" s="2801">
        <v>306.12</v>
      </c>
      <c r="D922" s="2801">
        <v>11503</v>
      </c>
      <c r="E922" s="2801">
        <v>2529.0700000000002</v>
      </c>
      <c r="F922" s="2808"/>
      <c r="G922" s="2808"/>
      <c r="H922" s="2808"/>
      <c r="I922" s="2808"/>
      <c r="J922" s="2808"/>
      <c r="K922" s="2808"/>
    </row>
    <row r="923" spans="1:11">
      <c r="A923" s="2800">
        <v>44739</v>
      </c>
      <c r="B923" s="2801">
        <v>31220.3</v>
      </c>
      <c r="C923" s="2801">
        <v>311.36</v>
      </c>
      <c r="D923" s="2801">
        <v>11676.34</v>
      </c>
      <c r="E923" s="2801">
        <v>2522.34</v>
      </c>
      <c r="F923" s="2808"/>
      <c r="G923" s="2808"/>
      <c r="H923" s="2808"/>
      <c r="I923" s="2808"/>
      <c r="J923" s="2808"/>
      <c r="K923" s="2808"/>
    </row>
    <row r="924" spans="1:11">
      <c r="A924" s="2800">
        <v>44738</v>
      </c>
      <c r="B924" s="2801"/>
      <c r="C924" s="2801"/>
      <c r="D924" s="2801"/>
      <c r="E924" s="2801"/>
      <c r="F924" s="2808"/>
      <c r="G924" s="2808"/>
      <c r="H924" s="2808"/>
      <c r="I924" s="2808"/>
      <c r="J924" s="2808"/>
      <c r="K924" s="2808"/>
    </row>
    <row r="925" spans="1:11">
      <c r="A925" s="2800">
        <v>44737</v>
      </c>
      <c r="B925" s="2801"/>
      <c r="C925" s="2801"/>
      <c r="D925" s="2801"/>
      <c r="E925" s="2801"/>
      <c r="F925" s="2808"/>
      <c r="G925" s="2808"/>
      <c r="H925" s="2808"/>
      <c r="I925" s="2808"/>
      <c r="J925" s="2808"/>
      <c r="K925" s="2808"/>
    </row>
    <row r="926" spans="1:11">
      <c r="A926" s="2800">
        <v>44736</v>
      </c>
      <c r="B926" s="2801">
        <v>30677.22</v>
      </c>
      <c r="C926" s="2801">
        <v>304.17</v>
      </c>
      <c r="D926" s="2801">
        <v>11659.41</v>
      </c>
      <c r="E926" s="2801">
        <v>2481.38</v>
      </c>
      <c r="F926" s="2808"/>
      <c r="G926" s="2808"/>
      <c r="H926" s="2808"/>
      <c r="I926" s="2808"/>
      <c r="J926" s="2808"/>
      <c r="K926" s="2808"/>
    </row>
    <row r="927" spans="1:11">
      <c r="A927" s="2800">
        <v>44735</v>
      </c>
      <c r="B927" s="2801">
        <v>30418.720000000001</v>
      </c>
      <c r="C927" s="2801">
        <v>301.75</v>
      </c>
      <c r="D927" s="2801">
        <v>11345.72</v>
      </c>
      <c r="E927" s="2801">
        <v>2442.37</v>
      </c>
      <c r="F927" s="2808"/>
      <c r="G927" s="2808"/>
      <c r="H927" s="2808"/>
      <c r="I927" s="2808"/>
      <c r="J927" s="2808"/>
      <c r="K927" s="2808"/>
    </row>
    <row r="928" spans="1:11">
      <c r="A928" s="2800">
        <v>44734</v>
      </c>
      <c r="B928" s="2801">
        <v>30677.99</v>
      </c>
      <c r="C928" s="2801">
        <v>301.61</v>
      </c>
      <c r="D928" s="2801">
        <v>11292.65</v>
      </c>
      <c r="E928" s="2801">
        <v>2436.15</v>
      </c>
      <c r="F928" s="2808"/>
      <c r="G928" s="2808"/>
      <c r="H928" s="2808"/>
      <c r="I928" s="2808"/>
      <c r="J928" s="2808"/>
      <c r="K928" s="2808"/>
    </row>
    <row r="929" spans="1:11">
      <c r="A929" s="2800">
        <v>44733</v>
      </c>
      <c r="B929" s="2801">
        <v>31405.9</v>
      </c>
      <c r="C929" s="2801">
        <v>310.57</v>
      </c>
      <c r="D929" s="2801">
        <v>11319.67</v>
      </c>
      <c r="E929" s="2801">
        <v>2492.7399999999998</v>
      </c>
      <c r="F929" s="2808"/>
      <c r="G929" s="2808"/>
      <c r="H929" s="2808"/>
      <c r="I929" s="2808"/>
      <c r="J929" s="2808"/>
      <c r="K929" s="2808"/>
    </row>
    <row r="930" spans="1:11">
      <c r="A930" s="2800">
        <v>44732</v>
      </c>
      <c r="B930" s="2801">
        <v>30656.95</v>
      </c>
      <c r="C930" s="2801">
        <v>302.86</v>
      </c>
      <c r="D930" s="2801">
        <v>11103.57</v>
      </c>
      <c r="E930" s="2801">
        <v>2451.6</v>
      </c>
      <c r="F930" s="2808"/>
      <c r="G930" s="2808"/>
      <c r="H930" s="2808"/>
      <c r="I930" s="2808"/>
      <c r="J930" s="2808"/>
      <c r="K930" s="2808"/>
    </row>
    <row r="931" spans="1:11">
      <c r="A931" s="2800">
        <v>44731</v>
      </c>
      <c r="B931" s="2801"/>
      <c r="C931" s="2801"/>
      <c r="D931" s="2801"/>
      <c r="E931" s="2801"/>
      <c r="F931" s="2808"/>
      <c r="G931" s="2808"/>
      <c r="H931" s="2808"/>
      <c r="I931" s="2808"/>
      <c r="J931" s="2808"/>
      <c r="K931" s="2808"/>
    </row>
    <row r="932" spans="1:11">
      <c r="A932" s="2800">
        <v>44730</v>
      </c>
      <c r="B932" s="2801"/>
      <c r="C932" s="2801"/>
      <c r="D932" s="2801"/>
      <c r="E932" s="2801"/>
      <c r="F932" s="2808"/>
      <c r="G932" s="2808"/>
      <c r="H932" s="2808"/>
      <c r="I932" s="2808"/>
      <c r="J932" s="2808"/>
      <c r="K932" s="2808"/>
    </row>
    <row r="933" spans="1:11">
      <c r="A933" s="2800">
        <v>44729</v>
      </c>
      <c r="B933" s="2801">
        <v>31194.99</v>
      </c>
      <c r="C933" s="2801">
        <v>313.43</v>
      </c>
      <c r="D933" s="2801">
        <v>11062.29</v>
      </c>
      <c r="E933" s="2801">
        <v>2461.39</v>
      </c>
      <c r="F933" s="2808"/>
      <c r="G933" s="2808"/>
      <c r="H933" s="2808"/>
      <c r="I933" s="2808"/>
      <c r="J933" s="2808"/>
      <c r="K933" s="2808"/>
    </row>
    <row r="934" spans="1:11">
      <c r="A934" s="2800">
        <v>44728</v>
      </c>
      <c r="B934" s="2801">
        <v>31584.23</v>
      </c>
      <c r="C934" s="2801">
        <v>317.05</v>
      </c>
      <c r="D934" s="2801">
        <v>11083.19</v>
      </c>
      <c r="E934" s="2801">
        <v>2469.73</v>
      </c>
      <c r="F934" s="2808"/>
      <c r="G934" s="2808"/>
      <c r="H934" s="2808"/>
      <c r="I934" s="2808"/>
      <c r="J934" s="2808"/>
      <c r="K934" s="2808"/>
    </row>
    <row r="935" spans="1:11">
      <c r="A935" s="2800">
        <v>44727</v>
      </c>
      <c r="B935" s="2801">
        <v>31844.32</v>
      </c>
      <c r="C935" s="2801">
        <v>322.3</v>
      </c>
      <c r="D935" s="2801">
        <v>11376.25</v>
      </c>
      <c r="E935" s="2801">
        <v>2497.84</v>
      </c>
      <c r="F935" s="2808"/>
      <c r="G935" s="2808"/>
      <c r="H935" s="2808"/>
      <c r="I935" s="2808"/>
      <c r="J935" s="2808"/>
      <c r="K935" s="2808"/>
    </row>
    <row r="936" spans="1:11">
      <c r="A936" s="2800">
        <v>44726</v>
      </c>
      <c r="B936" s="2801">
        <v>31936.87</v>
      </c>
      <c r="C936" s="2801">
        <v>323.24</v>
      </c>
      <c r="D936" s="2801">
        <v>11238.87</v>
      </c>
      <c r="E936" s="2801">
        <v>2491.75</v>
      </c>
      <c r="F936" s="2808"/>
      <c r="G936" s="2808"/>
      <c r="H936" s="2808"/>
      <c r="I936" s="2808"/>
      <c r="J936" s="2808"/>
      <c r="K936" s="2808"/>
    </row>
    <row r="937" spans="1:11">
      <c r="A937" s="2800">
        <v>44725</v>
      </c>
      <c r="B937" s="2801">
        <v>31982.73</v>
      </c>
      <c r="C937" s="2801">
        <v>324.02</v>
      </c>
      <c r="D937" s="2801">
        <v>11321.37</v>
      </c>
      <c r="E937" s="2801">
        <v>2488.21</v>
      </c>
      <c r="F937" s="2808"/>
      <c r="G937" s="2808"/>
      <c r="H937" s="2808"/>
      <c r="I937" s="2808"/>
      <c r="J937" s="2808"/>
      <c r="K937" s="2808"/>
    </row>
    <row r="938" spans="1:11">
      <c r="A938" s="2800">
        <v>44724</v>
      </c>
      <c r="B938" s="2801"/>
      <c r="C938" s="2801"/>
      <c r="D938" s="2801"/>
      <c r="E938" s="2801"/>
      <c r="F938" s="2808"/>
      <c r="G938" s="2808"/>
      <c r="H938" s="2808"/>
      <c r="I938" s="2808"/>
      <c r="J938" s="2808"/>
      <c r="K938" s="2808"/>
    </row>
    <row r="939" spans="1:11">
      <c r="A939" s="2800">
        <v>44723</v>
      </c>
      <c r="B939" s="2801"/>
      <c r="C939" s="2801"/>
      <c r="D939" s="2801"/>
      <c r="E939" s="2801"/>
      <c r="F939" s="2808"/>
      <c r="G939" s="2808"/>
      <c r="H939" s="2808"/>
      <c r="I939" s="2808"/>
      <c r="J939" s="2808"/>
      <c r="K939" s="2808"/>
    </row>
    <row r="940" spans="1:11">
      <c r="A940" s="2800">
        <v>44722</v>
      </c>
      <c r="B940" s="2801">
        <v>32757.15</v>
      </c>
      <c r="C940" s="2801">
        <v>332.88</v>
      </c>
      <c r="D940" s="2801">
        <v>11751.25</v>
      </c>
      <c r="E940" s="2801">
        <v>2581.52</v>
      </c>
      <c r="F940" s="2808"/>
      <c r="G940" s="2808"/>
      <c r="H940" s="2808"/>
      <c r="I940" s="2808"/>
      <c r="J940" s="2808"/>
      <c r="K940" s="2808"/>
    </row>
    <row r="941" spans="1:11">
      <c r="A941" s="2800">
        <v>44721</v>
      </c>
      <c r="B941" s="2801">
        <v>33076.129999999997</v>
      </c>
      <c r="C941" s="2801">
        <v>332.2</v>
      </c>
      <c r="D941" s="2801">
        <v>12107.42</v>
      </c>
      <c r="E941" s="2801">
        <v>2611.87</v>
      </c>
      <c r="F941" s="2808"/>
      <c r="G941" s="2808"/>
      <c r="H941" s="2808"/>
      <c r="I941" s="2808"/>
      <c r="J941" s="2808"/>
      <c r="K941" s="2808"/>
    </row>
    <row r="942" spans="1:11">
      <c r="A942" s="2800">
        <v>44720</v>
      </c>
      <c r="B942" s="2801">
        <v>33166.379999999997</v>
      </c>
      <c r="C942" s="2801">
        <v>329.42</v>
      </c>
      <c r="D942" s="2801">
        <v>12379.57</v>
      </c>
      <c r="E942" s="2801">
        <v>2627.78</v>
      </c>
      <c r="F942" s="2808"/>
      <c r="G942" s="2808"/>
      <c r="H942" s="2808"/>
      <c r="I942" s="2808"/>
      <c r="J942" s="2808"/>
      <c r="K942" s="2808"/>
    </row>
    <row r="943" spans="1:11">
      <c r="A943" s="2800">
        <v>44719</v>
      </c>
      <c r="B943" s="2801">
        <v>32848.69</v>
      </c>
      <c r="C943" s="2801">
        <v>328.4</v>
      </c>
      <c r="D943" s="2801">
        <v>12477.11</v>
      </c>
      <c r="E943" s="2801">
        <v>2596.34</v>
      </c>
      <c r="F943" s="2808"/>
      <c r="G943" s="2808"/>
      <c r="H943" s="2808"/>
      <c r="I943" s="2808"/>
      <c r="J943" s="2808"/>
      <c r="K943" s="2808"/>
    </row>
    <row r="944" spans="1:11">
      <c r="A944" s="2800">
        <v>44718</v>
      </c>
      <c r="B944" s="2801">
        <v>33033.839999999997</v>
      </c>
      <c r="C944" s="2801">
        <v>328.67</v>
      </c>
      <c r="D944" s="2801">
        <v>12407.51</v>
      </c>
      <c r="E944" s="2801">
        <v>2621.27</v>
      </c>
      <c r="F944" s="2808"/>
      <c r="G944" s="2808"/>
      <c r="H944" s="2808"/>
      <c r="I944" s="2808"/>
      <c r="J944" s="2808"/>
      <c r="K944" s="2808"/>
    </row>
    <row r="945" spans="1:11">
      <c r="A945" s="2800">
        <v>44717</v>
      </c>
      <c r="B945" s="2801"/>
      <c r="C945" s="2801"/>
      <c r="D945" s="2801"/>
      <c r="E945" s="2801"/>
      <c r="F945" s="2808"/>
      <c r="G945" s="2808"/>
      <c r="H945" s="2808"/>
      <c r="I945" s="2808"/>
      <c r="J945" s="2808"/>
      <c r="K945" s="2808"/>
    </row>
    <row r="946" spans="1:11">
      <c r="A946" s="2800">
        <v>44716</v>
      </c>
      <c r="B946" s="2801"/>
      <c r="C946" s="2801"/>
      <c r="D946" s="2801"/>
      <c r="E946" s="2801"/>
      <c r="F946" s="2808"/>
      <c r="G946" s="2808"/>
      <c r="H946" s="2808"/>
      <c r="I946" s="2808"/>
      <c r="J946" s="2808"/>
      <c r="K946" s="2808"/>
    </row>
    <row r="947" spans="1:11">
      <c r="A947" s="2800">
        <v>44715</v>
      </c>
      <c r="B947" s="2801"/>
      <c r="C947" s="2801"/>
      <c r="D947" s="2801">
        <v>12359.28</v>
      </c>
      <c r="E947" s="2801">
        <v>2595.11</v>
      </c>
      <c r="F947" s="2808"/>
      <c r="G947" s="2808"/>
      <c r="H947" s="2808"/>
      <c r="I947" s="2808"/>
      <c r="J947" s="2808"/>
      <c r="K947" s="2808"/>
    </row>
    <row r="948" spans="1:11">
      <c r="A948" s="2800">
        <v>44714</v>
      </c>
      <c r="B948" s="2801">
        <v>32926.800000000003</v>
      </c>
      <c r="C948" s="2801">
        <v>328.93</v>
      </c>
      <c r="D948" s="2801">
        <v>12513.83</v>
      </c>
      <c r="E948" s="2801">
        <v>2596.77</v>
      </c>
      <c r="F948" s="2808"/>
      <c r="G948" s="2808"/>
      <c r="H948" s="2808"/>
      <c r="I948" s="2808"/>
      <c r="J948" s="2808"/>
      <c r="K948" s="2808"/>
    </row>
    <row r="949" spans="1:11">
      <c r="A949" s="2800">
        <v>44713</v>
      </c>
      <c r="B949" s="2801">
        <v>33169.15</v>
      </c>
      <c r="C949" s="2801">
        <v>330.08</v>
      </c>
      <c r="D949" s="2801">
        <v>12318.41</v>
      </c>
      <c r="E949" s="2801">
        <v>2612.16</v>
      </c>
      <c r="F949" s="2808"/>
      <c r="G949" s="2808"/>
      <c r="H949" s="2808"/>
      <c r="I949" s="2808"/>
      <c r="J949" s="2808"/>
      <c r="K949" s="2808"/>
    </row>
    <row r="950" spans="1:11">
      <c r="A950" s="2800">
        <v>44712</v>
      </c>
      <c r="B950" s="2801">
        <v>33432.03</v>
      </c>
      <c r="C950" s="2801">
        <v>328.3</v>
      </c>
      <c r="D950" s="2801">
        <v>12408.09</v>
      </c>
      <c r="E950" s="2801">
        <v>2635.33</v>
      </c>
      <c r="F950" s="2808"/>
      <c r="G950" s="2808"/>
      <c r="H950" s="2808"/>
      <c r="I950" s="2808"/>
      <c r="J950" s="2808"/>
      <c r="K950" s="2808"/>
    </row>
    <row r="951" spans="1:11">
      <c r="A951" s="2800">
        <v>44711</v>
      </c>
      <c r="B951" s="2801">
        <v>33038.79</v>
      </c>
      <c r="C951" s="2801">
        <v>326.11</v>
      </c>
      <c r="D951" s="2801">
        <v>12512.65</v>
      </c>
      <c r="E951" s="2801">
        <v>2603.37</v>
      </c>
      <c r="F951" s="2808"/>
      <c r="G951" s="2808"/>
      <c r="H951" s="2808"/>
      <c r="I951" s="2808"/>
      <c r="J951" s="2808"/>
      <c r="K951" s="2808"/>
    </row>
    <row r="952" spans="1:11">
      <c r="A952" s="2800">
        <v>44710</v>
      </c>
      <c r="B952" s="2801"/>
      <c r="C952" s="2801"/>
      <c r="D952" s="2801"/>
      <c r="E952" s="2801"/>
      <c r="F952" s="2808"/>
      <c r="G952" s="2808"/>
      <c r="H952" s="2808"/>
      <c r="I952" s="2808"/>
      <c r="J952" s="2808"/>
      <c r="K952" s="2808"/>
    </row>
    <row r="953" spans="1:11">
      <c r="A953" s="2800">
        <v>44709</v>
      </c>
      <c r="B953" s="2801"/>
      <c r="C953" s="2801"/>
      <c r="D953" s="2801"/>
      <c r="E953" s="2801"/>
      <c r="F953" s="2808"/>
      <c r="G953" s="2808"/>
      <c r="H953" s="2808"/>
      <c r="I953" s="2808"/>
      <c r="J953" s="2808"/>
      <c r="K953" s="2808"/>
    </row>
    <row r="954" spans="1:11">
      <c r="A954" s="2800">
        <v>44708</v>
      </c>
      <c r="B954" s="2801">
        <v>32353.78</v>
      </c>
      <c r="C954" s="2801">
        <v>319.27</v>
      </c>
      <c r="D954" s="2801">
        <v>12457.68</v>
      </c>
      <c r="E954" s="2801">
        <v>2549.61</v>
      </c>
      <c r="F954" s="2808"/>
      <c r="G954" s="2808"/>
      <c r="H954" s="2808"/>
      <c r="I954" s="2808"/>
      <c r="J954" s="2808"/>
      <c r="K954" s="2808"/>
    </row>
    <row r="955" spans="1:11">
      <c r="A955" s="2800">
        <v>44707</v>
      </c>
      <c r="B955" s="2801">
        <v>31762</v>
      </c>
      <c r="C955" s="2801">
        <v>313.45</v>
      </c>
      <c r="D955" s="2801">
        <v>12195.57</v>
      </c>
      <c r="E955" s="2801">
        <v>2499.7600000000002</v>
      </c>
      <c r="F955" s="2808"/>
      <c r="G955" s="2808"/>
      <c r="H955" s="2808"/>
      <c r="I955" s="2808"/>
      <c r="J955" s="2808"/>
      <c r="K955" s="2808"/>
    </row>
    <row r="956" spans="1:11">
      <c r="A956" s="2800">
        <v>44706</v>
      </c>
      <c r="B956" s="2801">
        <v>32030.51</v>
      </c>
      <c r="C956" s="2801">
        <v>315.63</v>
      </c>
      <c r="D956" s="2801">
        <v>11999.86</v>
      </c>
      <c r="E956" s="2801">
        <v>2491.41</v>
      </c>
      <c r="F956" s="2808"/>
      <c r="G956" s="2808"/>
      <c r="H956" s="2808"/>
      <c r="I956" s="2808"/>
      <c r="J956" s="2808"/>
      <c r="K956" s="2808"/>
    </row>
    <row r="957" spans="1:11">
      <c r="A957" s="2800">
        <v>44705</v>
      </c>
      <c r="B957" s="2801">
        <v>31751.26</v>
      </c>
      <c r="C957" s="2801">
        <v>312.22000000000003</v>
      </c>
      <c r="D957" s="2801">
        <v>11912.13</v>
      </c>
      <c r="E957" s="2801">
        <v>2484.86</v>
      </c>
      <c r="F957" s="2808"/>
      <c r="G957" s="2808"/>
      <c r="H957" s="2808"/>
      <c r="I957" s="2808"/>
      <c r="J957" s="2808"/>
      <c r="K957" s="2808"/>
    </row>
    <row r="958" spans="1:11">
      <c r="A958" s="2800">
        <v>44704</v>
      </c>
      <c r="B958" s="2801">
        <v>32133.18</v>
      </c>
      <c r="C958" s="2801">
        <v>319.45</v>
      </c>
      <c r="D958" s="2801">
        <v>12008.04</v>
      </c>
      <c r="E958" s="2801">
        <v>2524.77</v>
      </c>
      <c r="F958" s="2808"/>
      <c r="G958" s="2808"/>
      <c r="H958" s="2808"/>
      <c r="I958" s="2808"/>
      <c r="J958" s="2808"/>
      <c r="K958" s="2808"/>
    </row>
    <row r="959" spans="1:11">
      <c r="A959" s="2800">
        <v>44703</v>
      </c>
      <c r="B959" s="2801"/>
      <c r="C959" s="2801"/>
      <c r="D959" s="2801"/>
      <c r="E959" s="2801"/>
      <c r="F959" s="2808"/>
      <c r="G959" s="2808"/>
      <c r="H959" s="2808"/>
      <c r="I959" s="2808"/>
      <c r="J959" s="2808"/>
      <c r="K959" s="2808"/>
    </row>
    <row r="960" spans="1:11">
      <c r="A960" s="2800">
        <v>44702</v>
      </c>
      <c r="B960" s="2801"/>
      <c r="C960" s="2801"/>
      <c r="D960" s="2801"/>
      <c r="E960" s="2801"/>
      <c r="F960" s="2808"/>
      <c r="G960" s="2808"/>
      <c r="H960" s="2808"/>
      <c r="I960" s="2808"/>
      <c r="J960" s="2808"/>
      <c r="K960" s="2808"/>
    </row>
    <row r="961" spans="1:11">
      <c r="A961" s="2800">
        <v>44701</v>
      </c>
      <c r="B961" s="2801">
        <v>32110.18</v>
      </c>
      <c r="C961" s="2801">
        <v>320.45999999999998</v>
      </c>
      <c r="D961" s="2801">
        <v>11798.6</v>
      </c>
      <c r="E961" s="2801">
        <v>2526.48</v>
      </c>
      <c r="F961" s="2808"/>
      <c r="G961" s="2808"/>
      <c r="H961" s="2808"/>
      <c r="I961" s="2808"/>
      <c r="J961" s="2808"/>
      <c r="K961" s="2808"/>
    </row>
    <row r="962" spans="1:11">
      <c r="A962" s="2800">
        <v>44700</v>
      </c>
      <c r="B962" s="2801">
        <v>31862.52</v>
      </c>
      <c r="C962" s="2801">
        <v>319.56</v>
      </c>
      <c r="D962" s="2801">
        <v>11778.82</v>
      </c>
      <c r="E962" s="2801">
        <v>2476.0500000000002</v>
      </c>
      <c r="F962" s="2808"/>
      <c r="G962" s="2808"/>
      <c r="H962" s="2808"/>
      <c r="I962" s="2808"/>
      <c r="J962" s="2808"/>
      <c r="K962" s="2808"/>
    </row>
    <row r="963" spans="1:11">
      <c r="A963" s="2800">
        <v>44699</v>
      </c>
      <c r="B963" s="2801">
        <v>32412.52</v>
      </c>
      <c r="C963" s="2801">
        <v>320.56</v>
      </c>
      <c r="D963" s="2801">
        <v>11835.33</v>
      </c>
      <c r="E963" s="2801">
        <v>2520</v>
      </c>
      <c r="F963" s="2808"/>
      <c r="G963" s="2808"/>
      <c r="H963" s="2808"/>
      <c r="I963" s="2808"/>
      <c r="J963" s="2808"/>
      <c r="K963" s="2808"/>
    </row>
    <row r="964" spans="1:11">
      <c r="A964" s="2800">
        <v>44698</v>
      </c>
      <c r="B964" s="2801">
        <v>31933.66</v>
      </c>
      <c r="C964" s="2801">
        <v>317.72000000000003</v>
      </c>
      <c r="D964" s="2801">
        <v>12196.44</v>
      </c>
      <c r="E964" s="2801">
        <v>2514.17</v>
      </c>
      <c r="F964" s="2808"/>
      <c r="G964" s="2808"/>
      <c r="H964" s="2808"/>
      <c r="I964" s="2808"/>
      <c r="J964" s="2808"/>
      <c r="K964" s="2808"/>
    </row>
    <row r="965" spans="1:11">
      <c r="A965" s="2800">
        <v>44697</v>
      </c>
      <c r="B965" s="2801">
        <v>31625.29</v>
      </c>
      <c r="C965" s="2801">
        <v>312.57</v>
      </c>
      <c r="D965" s="2801">
        <v>11960.51</v>
      </c>
      <c r="E965" s="2801">
        <v>2457.1</v>
      </c>
      <c r="F965" s="2808"/>
      <c r="G965" s="2808"/>
      <c r="H965" s="2808"/>
      <c r="I965" s="2808"/>
      <c r="J965" s="2808"/>
      <c r="K965" s="2808"/>
    </row>
    <row r="966" spans="1:11">
      <c r="A966" s="2800">
        <v>44696</v>
      </c>
      <c r="B966" s="2801"/>
      <c r="C966" s="2801"/>
      <c r="D966" s="2801"/>
      <c r="E966" s="2801"/>
      <c r="F966" s="2808"/>
      <c r="G966" s="2808"/>
      <c r="H966" s="2808"/>
      <c r="I966" s="2808"/>
      <c r="J966" s="2808"/>
      <c r="K966" s="2808"/>
    </row>
    <row r="967" spans="1:11">
      <c r="A967" s="2800">
        <v>44695</v>
      </c>
      <c r="B967" s="2801"/>
      <c r="C967" s="2801"/>
      <c r="D967" s="2801"/>
      <c r="E967" s="2801"/>
      <c r="F967" s="2808"/>
      <c r="G967" s="2808"/>
      <c r="H967" s="2808"/>
      <c r="I967" s="2808"/>
      <c r="J967" s="2808"/>
      <c r="K967" s="2808"/>
    </row>
    <row r="968" spans="1:11">
      <c r="A968" s="2800">
        <v>44694</v>
      </c>
      <c r="B968" s="2801">
        <v>31489.040000000001</v>
      </c>
      <c r="C968" s="2801">
        <v>311.7</v>
      </c>
      <c r="D968" s="2801">
        <v>11991.77</v>
      </c>
      <c r="E968" s="2801">
        <v>2449.69</v>
      </c>
      <c r="F968" s="2808"/>
      <c r="G968" s="2808"/>
      <c r="H968" s="2808"/>
      <c r="I968" s="2808"/>
      <c r="J968" s="2808"/>
      <c r="K968" s="2808"/>
    </row>
    <row r="969" spans="1:11">
      <c r="A969" s="2800">
        <v>44693</v>
      </c>
      <c r="B969" s="2801">
        <v>31059.72</v>
      </c>
      <c r="C969" s="2801">
        <v>304.83999999999997</v>
      </c>
      <c r="D969" s="2801">
        <v>11716.37</v>
      </c>
      <c r="E969" s="2801">
        <v>2408.87</v>
      </c>
      <c r="F969" s="2808"/>
      <c r="G969" s="2808"/>
      <c r="H969" s="2808"/>
      <c r="I969" s="2808"/>
      <c r="J969" s="2808"/>
      <c r="K969" s="2808"/>
    </row>
    <row r="970" spans="1:11">
      <c r="A970" s="2800">
        <v>44692</v>
      </c>
      <c r="B970" s="2801">
        <v>31834.54</v>
      </c>
      <c r="C970" s="2801">
        <v>311.14</v>
      </c>
      <c r="D970" s="2801">
        <v>11768.76</v>
      </c>
      <c r="E970" s="2801">
        <v>2465.8000000000002</v>
      </c>
      <c r="F970" s="2808"/>
      <c r="G970" s="2808"/>
      <c r="H970" s="2808"/>
      <c r="I970" s="2808"/>
      <c r="J970" s="2808"/>
      <c r="K970" s="2808"/>
    </row>
    <row r="971" spans="1:11">
      <c r="A971" s="2800">
        <v>44691</v>
      </c>
      <c r="B971" s="2801">
        <v>31944.81</v>
      </c>
      <c r="C971" s="2801">
        <v>311.81</v>
      </c>
      <c r="D971" s="2801">
        <v>11876.64</v>
      </c>
      <c r="E971" s="2801">
        <v>2456.04</v>
      </c>
      <c r="F971" s="2808"/>
      <c r="G971" s="2808"/>
      <c r="H971" s="2808"/>
      <c r="I971" s="2808"/>
      <c r="J971" s="2808"/>
      <c r="K971" s="2808"/>
    </row>
    <row r="972" spans="1:11">
      <c r="A972" s="2800">
        <v>44690</v>
      </c>
      <c r="B972" s="2801">
        <v>31919.41</v>
      </c>
      <c r="C972" s="2801">
        <v>309.62</v>
      </c>
      <c r="D972" s="2801">
        <v>11851.87</v>
      </c>
      <c r="E972" s="2801">
        <v>2474.1799999999998</v>
      </c>
      <c r="F972" s="2808"/>
      <c r="G972" s="2808"/>
      <c r="H972" s="2808"/>
      <c r="I972" s="2808"/>
      <c r="J972" s="2808"/>
      <c r="K972" s="2808"/>
    </row>
    <row r="973" spans="1:11">
      <c r="A973" s="2800">
        <v>44689</v>
      </c>
      <c r="B973" s="2801"/>
      <c r="C973" s="2801"/>
      <c r="D973" s="2801"/>
      <c r="E973" s="2801"/>
      <c r="F973" s="2808"/>
      <c r="G973" s="2808"/>
      <c r="H973" s="2808"/>
      <c r="I973" s="2808"/>
      <c r="J973" s="2808"/>
      <c r="K973" s="2808"/>
    </row>
    <row r="974" spans="1:11">
      <c r="A974" s="2800">
        <v>44688</v>
      </c>
      <c r="B974" s="2801"/>
      <c r="C974" s="2801"/>
      <c r="D974" s="2801"/>
      <c r="E974" s="2801"/>
      <c r="F974" s="2808"/>
      <c r="G974" s="2808"/>
      <c r="H974" s="2808"/>
      <c r="I974" s="2808"/>
      <c r="J974" s="2808"/>
      <c r="K974" s="2808"/>
    </row>
    <row r="975" spans="1:11">
      <c r="A975" s="2800">
        <v>44687</v>
      </c>
      <c r="B975" s="2801">
        <v>32633.97</v>
      </c>
      <c r="C975" s="2801">
        <v>318.01</v>
      </c>
      <c r="D975" s="2801">
        <v>12250.9</v>
      </c>
      <c r="E975" s="2801">
        <v>2515.12</v>
      </c>
      <c r="F975" s="2808"/>
      <c r="G975" s="2808"/>
      <c r="H975" s="2808"/>
      <c r="I975" s="2808"/>
      <c r="J975" s="2808"/>
      <c r="K975" s="2808"/>
    </row>
    <row r="976" spans="1:11">
      <c r="A976" s="2800">
        <v>44686</v>
      </c>
      <c r="B976" s="2801">
        <v>33206.589999999997</v>
      </c>
      <c r="C976" s="2801">
        <v>321.87</v>
      </c>
      <c r="D976" s="2801">
        <v>12344.85</v>
      </c>
      <c r="E976" s="2801">
        <v>2581.1999999999998</v>
      </c>
      <c r="F976" s="2808"/>
      <c r="G976" s="2808"/>
      <c r="H976" s="2808"/>
      <c r="I976" s="2808"/>
      <c r="J976" s="2808"/>
      <c r="K976" s="2808"/>
    </row>
    <row r="977" spans="1:11">
      <c r="A977" s="2800">
        <v>44685</v>
      </c>
      <c r="B977" s="2801">
        <v>32947.47</v>
      </c>
      <c r="C977" s="2801">
        <v>316.39</v>
      </c>
      <c r="D977" s="2801">
        <v>12698.47</v>
      </c>
      <c r="E977" s="2801">
        <v>2593.54</v>
      </c>
      <c r="F977" s="2808"/>
      <c r="G977" s="2808"/>
      <c r="H977" s="2808"/>
      <c r="I977" s="2808"/>
      <c r="J977" s="2808"/>
      <c r="K977" s="2808"/>
    </row>
    <row r="978" spans="1:11">
      <c r="A978" s="2800">
        <v>44684</v>
      </c>
      <c r="B978" s="2801">
        <v>32814.36</v>
      </c>
      <c r="C978" s="2801">
        <v>316.39</v>
      </c>
      <c r="D978" s="2801">
        <v>12456.03</v>
      </c>
      <c r="E978" s="2801">
        <v>2606.48</v>
      </c>
      <c r="F978" s="2808"/>
      <c r="G978" s="2808"/>
      <c r="H978" s="2808"/>
      <c r="I978" s="2808"/>
      <c r="J978" s="2808"/>
      <c r="K978" s="2808"/>
    </row>
    <row r="979" spans="1:11">
      <c r="A979" s="2800">
        <v>44683</v>
      </c>
      <c r="B979" s="2801"/>
      <c r="C979" s="2801"/>
      <c r="D979" s="2801">
        <v>12395.33</v>
      </c>
      <c r="E979" s="2801">
        <v>2614.5100000000002</v>
      </c>
      <c r="F979" s="2808"/>
      <c r="G979" s="2808"/>
      <c r="H979" s="2808"/>
      <c r="I979" s="2808"/>
      <c r="J979" s="2808"/>
      <c r="K979" s="2808"/>
    </row>
    <row r="980" spans="1:11">
      <c r="A980" s="2800">
        <v>44682</v>
      </c>
      <c r="B980" s="2801"/>
      <c r="C980" s="2801"/>
      <c r="D980" s="2801"/>
      <c r="E980" s="2801"/>
      <c r="F980" s="2808"/>
      <c r="G980" s="2808"/>
      <c r="H980" s="2808"/>
      <c r="I980" s="2808"/>
      <c r="J980" s="2808"/>
      <c r="K980" s="2808"/>
    </row>
    <row r="981" spans="1:11">
      <c r="A981" s="2800">
        <v>44681</v>
      </c>
      <c r="B981" s="2801"/>
      <c r="C981" s="2801"/>
      <c r="D981" s="2801"/>
      <c r="E981" s="2801"/>
      <c r="F981" s="2808"/>
      <c r="G981" s="2808"/>
      <c r="H981" s="2808"/>
      <c r="I981" s="2808"/>
      <c r="J981" s="2808"/>
      <c r="K981" s="2808"/>
    </row>
    <row r="982" spans="1:11">
      <c r="A982" s="2800">
        <v>44680</v>
      </c>
      <c r="B982" s="2801">
        <v>32999.879999999997</v>
      </c>
      <c r="C982" s="2801">
        <v>315.82</v>
      </c>
      <c r="D982" s="2801">
        <v>12389.19</v>
      </c>
      <c r="E982" s="2801">
        <v>2623.13</v>
      </c>
      <c r="F982" s="2808"/>
      <c r="G982" s="2808"/>
      <c r="H982" s="2808"/>
      <c r="I982" s="2808"/>
      <c r="J982" s="2808"/>
      <c r="K982" s="2808"/>
    </row>
    <row r="983" spans="1:11">
      <c r="A983" s="2800">
        <v>44679</v>
      </c>
      <c r="B983" s="2801">
        <v>32656.2</v>
      </c>
      <c r="C983" s="2801">
        <v>313.60000000000002</v>
      </c>
      <c r="D983" s="2801">
        <v>12679.58</v>
      </c>
      <c r="E983" s="2801">
        <v>2568.37</v>
      </c>
      <c r="F983" s="2808"/>
      <c r="G983" s="2808"/>
      <c r="H983" s="2808"/>
      <c r="I983" s="2808"/>
      <c r="J983" s="2808"/>
      <c r="K983" s="2808"/>
    </row>
    <row r="984" spans="1:11">
      <c r="A984" s="2800">
        <v>44678</v>
      </c>
      <c r="B984" s="2801">
        <v>32425.21</v>
      </c>
      <c r="C984" s="2801">
        <v>311.36</v>
      </c>
      <c r="D984" s="2801">
        <v>12438.42</v>
      </c>
      <c r="E984" s="2801">
        <v>2543.54</v>
      </c>
      <c r="F984" s="2808"/>
      <c r="G984" s="2808"/>
      <c r="H984" s="2808"/>
      <c r="I984" s="2808"/>
      <c r="J984" s="2808"/>
      <c r="K984" s="2808"/>
    </row>
    <row r="985" spans="1:11">
      <c r="A985" s="2800">
        <v>44677</v>
      </c>
      <c r="B985" s="2801">
        <v>33104.28</v>
      </c>
      <c r="C985" s="2801">
        <v>315.56</v>
      </c>
      <c r="D985" s="2801">
        <v>12452.6</v>
      </c>
      <c r="E985" s="2801">
        <v>2557.16</v>
      </c>
      <c r="F985" s="2808"/>
      <c r="G985" s="2808"/>
      <c r="H985" s="2808"/>
      <c r="I985" s="2808"/>
      <c r="J985" s="2808"/>
      <c r="K985" s="2808"/>
    </row>
    <row r="986" spans="1:11">
      <c r="A986" s="2800">
        <v>44676</v>
      </c>
      <c r="B986" s="2801">
        <v>33056.78</v>
      </c>
      <c r="C986" s="2801">
        <v>317.83</v>
      </c>
      <c r="D986" s="2801">
        <v>12746.6</v>
      </c>
      <c r="E986" s="2801">
        <v>2548.96</v>
      </c>
      <c r="F986" s="2808"/>
      <c r="G986" s="2808"/>
      <c r="H986" s="2808"/>
      <c r="I986" s="2808"/>
      <c r="J986" s="2808"/>
      <c r="K986" s="2808"/>
    </row>
    <row r="987" spans="1:11">
      <c r="A987" s="2800">
        <v>44675</v>
      </c>
      <c r="B987" s="2801"/>
      <c r="C987" s="2801"/>
      <c r="D987" s="2801"/>
      <c r="E987" s="2801"/>
      <c r="F987" s="2808"/>
      <c r="G987" s="2808"/>
      <c r="H987" s="2808"/>
      <c r="I987" s="2808"/>
      <c r="J987" s="2808"/>
      <c r="K987" s="2808"/>
    </row>
    <row r="988" spans="1:11">
      <c r="A988" s="2800">
        <v>44674</v>
      </c>
      <c r="B988" s="2801"/>
      <c r="C988" s="2801"/>
      <c r="D988" s="2801"/>
      <c r="E988" s="2801"/>
      <c r="F988" s="2808"/>
      <c r="G988" s="2808"/>
      <c r="H988" s="2808"/>
      <c r="I988" s="2808"/>
      <c r="J988" s="2808"/>
      <c r="K988" s="2808"/>
    </row>
    <row r="989" spans="1:11">
      <c r="A989" s="2800">
        <v>44673</v>
      </c>
      <c r="B989" s="2801">
        <v>33860.660000000003</v>
      </c>
      <c r="C989" s="2801">
        <v>329.91</v>
      </c>
      <c r="D989" s="2801">
        <v>12766.81</v>
      </c>
      <c r="E989" s="2801">
        <v>2620.8000000000002</v>
      </c>
      <c r="F989" s="2808"/>
      <c r="G989" s="2808"/>
      <c r="H989" s="2808"/>
      <c r="I989" s="2808"/>
      <c r="J989" s="2808"/>
      <c r="K989" s="2808"/>
    </row>
    <row r="990" spans="1:11">
      <c r="A990" s="2800">
        <v>44672</v>
      </c>
      <c r="B990" s="2801">
        <v>34059.54</v>
      </c>
      <c r="C990" s="2801">
        <v>335.35</v>
      </c>
      <c r="D990" s="2801">
        <v>13109.14</v>
      </c>
      <c r="E990" s="2801">
        <v>2648.26</v>
      </c>
      <c r="F990" s="2808"/>
      <c r="G990" s="2808"/>
      <c r="H990" s="2808"/>
      <c r="I990" s="2808"/>
      <c r="J990" s="2808"/>
      <c r="K990" s="2808"/>
    </row>
    <row r="991" spans="1:11">
      <c r="A991" s="2800">
        <v>44671</v>
      </c>
      <c r="B991" s="2801">
        <v>34097.96</v>
      </c>
      <c r="C991" s="2801">
        <v>332.94</v>
      </c>
      <c r="D991" s="2801">
        <v>13261.36</v>
      </c>
      <c r="E991" s="2801">
        <v>2669.45</v>
      </c>
      <c r="F991" s="2808"/>
      <c r="G991" s="2808"/>
      <c r="H991" s="2808"/>
      <c r="I991" s="2808"/>
      <c r="J991" s="2808"/>
      <c r="K991" s="2808"/>
    </row>
    <row r="992" spans="1:11">
      <c r="A992" s="2800">
        <v>44670</v>
      </c>
      <c r="B992" s="2801">
        <v>33788.800000000003</v>
      </c>
      <c r="C992" s="2801">
        <v>331.73</v>
      </c>
      <c r="D992" s="2801">
        <v>13217.21</v>
      </c>
      <c r="E992" s="2801">
        <v>2670.06</v>
      </c>
      <c r="F992" s="2808"/>
      <c r="G992" s="2808"/>
      <c r="H992" s="2808"/>
      <c r="I992" s="2808"/>
      <c r="J992" s="2808"/>
      <c r="K992" s="2808"/>
    </row>
    <row r="993" spans="1:11">
      <c r="A993" s="2800">
        <v>44669</v>
      </c>
      <c r="B993" s="2801">
        <v>33600.85</v>
      </c>
      <c r="C993" s="2801">
        <v>330.7</v>
      </c>
      <c r="D993" s="2801">
        <v>13079.76</v>
      </c>
      <c r="E993" s="2801">
        <v>2696.03</v>
      </c>
      <c r="F993" s="2808"/>
      <c r="G993" s="2808"/>
      <c r="H993" s="2808"/>
      <c r="I993" s="2808"/>
      <c r="J993" s="2808"/>
      <c r="K993" s="2808"/>
    </row>
    <row r="994" spans="1:11">
      <c r="A994" s="2800">
        <v>44668</v>
      </c>
      <c r="B994" s="2801"/>
      <c r="C994" s="2801"/>
      <c r="D994" s="2801"/>
      <c r="E994" s="2801"/>
      <c r="F994" s="2808"/>
      <c r="G994" s="2808"/>
      <c r="H994" s="2808"/>
      <c r="I994" s="2808"/>
      <c r="J994" s="2808"/>
      <c r="K994" s="2808"/>
    </row>
    <row r="995" spans="1:11">
      <c r="A995" s="2800">
        <v>44667</v>
      </c>
      <c r="B995" s="2801"/>
      <c r="C995" s="2801"/>
      <c r="D995" s="2801"/>
      <c r="E995" s="2801"/>
      <c r="F995" s="2808"/>
      <c r="G995" s="2808"/>
      <c r="H995" s="2808"/>
      <c r="I995" s="2808"/>
      <c r="J995" s="2808"/>
      <c r="K995" s="2808"/>
    </row>
    <row r="996" spans="1:11">
      <c r="A996" s="2800">
        <v>44666</v>
      </c>
      <c r="B996" s="2801">
        <v>33810.230000000003</v>
      </c>
      <c r="C996" s="2801">
        <v>331.02</v>
      </c>
      <c r="D996" s="2801">
        <v>13104.2</v>
      </c>
      <c r="E996" s="2801">
        <v>2710.89</v>
      </c>
      <c r="F996" s="2808"/>
      <c r="G996" s="2808"/>
      <c r="H996" s="2808"/>
      <c r="I996" s="2808"/>
      <c r="J996" s="2808"/>
      <c r="K996" s="2808"/>
    </row>
    <row r="997" spans="1:11">
      <c r="A997" s="2800">
        <v>44665</v>
      </c>
      <c r="B997" s="2801">
        <v>34289.39</v>
      </c>
      <c r="C997" s="2801">
        <v>336.87</v>
      </c>
      <c r="D997" s="2801">
        <v>13108.48</v>
      </c>
      <c r="E997" s="2801">
        <v>2721.77</v>
      </c>
      <c r="F997" s="2808"/>
      <c r="G997" s="2808"/>
      <c r="H997" s="2808"/>
      <c r="I997" s="2808"/>
      <c r="J997" s="2808"/>
      <c r="K997" s="2808"/>
    </row>
    <row r="998" spans="1:11">
      <c r="A998" s="2800">
        <v>44664</v>
      </c>
      <c r="B998" s="2801">
        <v>34398.910000000003</v>
      </c>
      <c r="C998" s="2801">
        <v>336.38</v>
      </c>
      <c r="D998" s="2801">
        <v>13216.23</v>
      </c>
      <c r="E998" s="2801">
        <v>2724.26</v>
      </c>
      <c r="F998" s="2808"/>
      <c r="G998" s="2808"/>
      <c r="H998" s="2808"/>
      <c r="I998" s="2808"/>
      <c r="J998" s="2808"/>
      <c r="K998" s="2808"/>
    </row>
    <row r="999" spans="1:11">
      <c r="A999" s="2800">
        <v>44663</v>
      </c>
      <c r="B999" s="2801">
        <v>33780.76</v>
      </c>
      <c r="C999" s="2801">
        <v>332.34</v>
      </c>
      <c r="D999" s="2801">
        <v>13102.62</v>
      </c>
      <c r="E999" s="2801">
        <v>2702.18</v>
      </c>
      <c r="F999" s="2808"/>
      <c r="G999" s="2808"/>
      <c r="H999" s="2808"/>
      <c r="I999" s="2808"/>
      <c r="J999" s="2808"/>
      <c r="K999" s="2808"/>
    </row>
    <row r="1000" spans="1:11">
      <c r="A1000" s="2800">
        <v>44662</v>
      </c>
      <c r="B1000" s="2801">
        <v>33895</v>
      </c>
      <c r="C1000" s="2801">
        <v>334.98</v>
      </c>
      <c r="D1000" s="2801">
        <v>13157.8</v>
      </c>
      <c r="E1000" s="2801">
        <v>2705.5</v>
      </c>
      <c r="F1000" s="2808"/>
      <c r="G1000" s="2808"/>
      <c r="H1000" s="2808"/>
      <c r="I1000" s="2808"/>
      <c r="J1000" s="2808"/>
      <c r="K1000" s="2808"/>
    </row>
    <row r="1001" spans="1:11">
      <c r="A1001" s="2800">
        <v>44661</v>
      </c>
      <c r="B1001" s="2801"/>
      <c r="C1001" s="2801"/>
      <c r="D1001" s="2801"/>
      <c r="E1001" s="2801"/>
      <c r="F1001" s="2808"/>
      <c r="G1001" s="2808"/>
      <c r="H1001" s="2808"/>
      <c r="I1001" s="2808"/>
      <c r="J1001" s="2808"/>
      <c r="K1001" s="2808"/>
    </row>
    <row r="1002" spans="1:11">
      <c r="A1002" s="2800">
        <v>44660</v>
      </c>
      <c r="B1002" s="2801"/>
      <c r="C1002" s="2801"/>
      <c r="D1002" s="2801"/>
      <c r="E1002" s="2801"/>
      <c r="F1002" s="2808"/>
      <c r="G1002" s="2808"/>
      <c r="H1002" s="2808"/>
      <c r="I1002" s="2808"/>
      <c r="J1002" s="2808"/>
      <c r="K1002" s="2808"/>
    </row>
    <row r="1003" spans="1:11">
      <c r="A1003" s="2800">
        <v>44659</v>
      </c>
      <c r="B1003" s="2801">
        <v>34364.54</v>
      </c>
      <c r="C1003" s="2801">
        <v>342.02</v>
      </c>
      <c r="D1003" s="2801">
        <v>13331.84</v>
      </c>
      <c r="E1003" s="2801">
        <v>2744.61</v>
      </c>
      <c r="F1003" s="2808"/>
      <c r="G1003" s="2808"/>
      <c r="H1003" s="2808"/>
      <c r="I1003" s="2808"/>
      <c r="J1003" s="2808"/>
      <c r="K1003" s="2808"/>
    </row>
    <row r="1004" spans="1:11">
      <c r="A1004" s="2800">
        <v>44658</v>
      </c>
      <c r="B1004" s="2801">
        <v>34153.06</v>
      </c>
      <c r="C1004" s="2801">
        <v>340.37</v>
      </c>
      <c r="D1004" s="2801">
        <v>13338.55</v>
      </c>
      <c r="E1004" s="2801">
        <v>2740.06</v>
      </c>
      <c r="F1004" s="2808"/>
      <c r="G1004" s="2808"/>
      <c r="H1004" s="2808"/>
      <c r="I1004" s="2808"/>
      <c r="J1004" s="2808"/>
      <c r="K1004" s="2808"/>
    </row>
    <row r="1005" spans="1:11">
      <c r="A1005" s="2800">
        <v>44657</v>
      </c>
      <c r="B1005" s="2801">
        <v>34830.44</v>
      </c>
      <c r="C1005" s="2801">
        <v>348.1</v>
      </c>
      <c r="D1005" s="2801">
        <v>13327.59</v>
      </c>
      <c r="E1005" s="2801">
        <v>2779.82</v>
      </c>
      <c r="F1005" s="2808"/>
      <c r="G1005" s="2808"/>
      <c r="H1005" s="2808"/>
      <c r="I1005" s="2808"/>
      <c r="J1005" s="2808"/>
      <c r="K1005" s="2808"/>
    </row>
    <row r="1006" spans="1:11">
      <c r="A1006" s="2800">
        <v>44656</v>
      </c>
      <c r="B1006" s="2801"/>
      <c r="C1006" s="2801"/>
      <c r="D1006" s="2801">
        <v>13491.54</v>
      </c>
      <c r="E1006" s="2801">
        <v>2813.96</v>
      </c>
      <c r="F1006" s="2808"/>
      <c r="G1006" s="2808"/>
      <c r="H1006" s="2808"/>
      <c r="I1006" s="2808"/>
      <c r="J1006" s="2808"/>
      <c r="K1006" s="2808"/>
    </row>
    <row r="1007" spans="1:11">
      <c r="A1007" s="2800">
        <v>44655</v>
      </c>
      <c r="B1007" s="2801"/>
      <c r="C1007" s="2801"/>
      <c r="D1007" s="2801">
        <v>13631.52</v>
      </c>
      <c r="E1007" s="2801">
        <v>2825.68</v>
      </c>
      <c r="F1007" s="2808"/>
      <c r="G1007" s="2808"/>
      <c r="H1007" s="2808"/>
      <c r="I1007" s="2808"/>
      <c r="J1007" s="2808"/>
      <c r="K1007" s="2808"/>
    </row>
    <row r="1008" spans="1:11">
      <c r="A1008" s="2800">
        <v>44654</v>
      </c>
      <c r="B1008" s="2801"/>
      <c r="C1008" s="2801"/>
      <c r="D1008" s="2801"/>
      <c r="E1008" s="2801"/>
      <c r="F1008" s="2808"/>
      <c r="G1008" s="2808"/>
      <c r="H1008" s="2808"/>
      <c r="I1008" s="2808"/>
      <c r="J1008" s="2808"/>
      <c r="K1008" s="2808"/>
    </row>
    <row r="1009" spans="1:11">
      <c r="A1009" s="2800">
        <v>44653</v>
      </c>
      <c r="B1009" s="2801"/>
      <c r="C1009" s="2801"/>
      <c r="D1009" s="2801"/>
      <c r="E1009" s="2801"/>
      <c r="F1009" s="2808"/>
      <c r="G1009" s="2808"/>
      <c r="H1009" s="2808"/>
      <c r="I1009" s="2808"/>
      <c r="J1009" s="2808"/>
      <c r="K1009" s="2808"/>
    </row>
    <row r="1010" spans="1:11">
      <c r="A1010" s="2800">
        <v>44652</v>
      </c>
      <c r="B1010" s="2801">
        <v>35035.360000000001</v>
      </c>
      <c r="C1010" s="2801">
        <v>350.39</v>
      </c>
      <c r="D1010" s="2801">
        <v>13523.65</v>
      </c>
      <c r="E1010" s="2801">
        <v>2787.11</v>
      </c>
      <c r="F1010" s="2808"/>
      <c r="G1010" s="2808"/>
      <c r="H1010" s="2808"/>
      <c r="I1010" s="2808"/>
      <c r="J1010" s="2808"/>
      <c r="K1010" s="2808"/>
    </row>
    <row r="1011" spans="1:11">
      <c r="A1011" s="2800">
        <v>44651</v>
      </c>
      <c r="B1011" s="2801">
        <v>35170.14</v>
      </c>
      <c r="C1011" s="2801">
        <v>351.2</v>
      </c>
      <c r="D1011" s="2801">
        <v>13505.74</v>
      </c>
      <c r="E1011" s="2801">
        <v>2777.19</v>
      </c>
      <c r="F1011" s="2808"/>
      <c r="G1011" s="2808"/>
      <c r="H1011" s="2808"/>
      <c r="I1011" s="2808"/>
      <c r="J1011" s="2808"/>
      <c r="K1011" s="2808"/>
    </row>
    <row r="1012" spans="1:11">
      <c r="A1012" s="2800">
        <v>44650</v>
      </c>
      <c r="B1012" s="2801">
        <v>35261.35</v>
      </c>
      <c r="C1012" s="2801">
        <v>353.26</v>
      </c>
      <c r="D1012" s="2801">
        <v>13697.22</v>
      </c>
      <c r="E1012" s="2801">
        <v>2795.47</v>
      </c>
      <c r="F1012" s="2808"/>
      <c r="G1012" s="2808"/>
      <c r="H1012" s="2808"/>
      <c r="I1012" s="2808"/>
      <c r="J1012" s="2808"/>
      <c r="K1012" s="2808"/>
    </row>
    <row r="1013" spans="1:11">
      <c r="A1013" s="2800">
        <v>44649</v>
      </c>
      <c r="B1013" s="2801">
        <v>34879.65</v>
      </c>
      <c r="C1013" s="2801">
        <v>351</v>
      </c>
      <c r="D1013" s="2801">
        <v>13748.97</v>
      </c>
      <c r="E1013" s="2801">
        <v>2763.01</v>
      </c>
      <c r="F1013" s="2808"/>
      <c r="G1013" s="2808"/>
      <c r="H1013" s="2808"/>
      <c r="I1013" s="2808"/>
      <c r="J1013" s="2808"/>
      <c r="K1013" s="2808"/>
    </row>
    <row r="1014" spans="1:11">
      <c r="A1014" s="2800">
        <v>44648</v>
      </c>
      <c r="B1014" s="2801">
        <v>34822.699999999997</v>
      </c>
      <c r="C1014" s="2801">
        <v>348.52</v>
      </c>
      <c r="D1014" s="2801">
        <v>13531.42</v>
      </c>
      <c r="E1014" s="2801">
        <v>2734.52</v>
      </c>
      <c r="F1014" s="2808"/>
      <c r="G1014" s="2808"/>
      <c r="H1014" s="2808"/>
      <c r="I1014" s="2808"/>
      <c r="J1014" s="2808"/>
      <c r="K1014" s="2808"/>
    </row>
    <row r="1015" spans="1:11">
      <c r="A1015" s="2800">
        <v>44647</v>
      </c>
      <c r="B1015" s="2801"/>
      <c r="C1015" s="2801"/>
      <c r="D1015" s="2801"/>
      <c r="E1015" s="2801"/>
      <c r="F1015" s="2808"/>
      <c r="G1015" s="2808"/>
      <c r="H1015" s="2808"/>
      <c r="I1015" s="2808"/>
      <c r="J1015" s="2808"/>
      <c r="K1015" s="2808"/>
    </row>
    <row r="1016" spans="1:11">
      <c r="A1016" s="2800">
        <v>44646</v>
      </c>
      <c r="B1016" s="2801"/>
      <c r="C1016" s="2801"/>
      <c r="D1016" s="2801"/>
      <c r="E1016" s="2801"/>
      <c r="F1016" s="2808"/>
      <c r="G1016" s="2808"/>
      <c r="H1016" s="2808"/>
      <c r="I1016" s="2808"/>
      <c r="J1016" s="2808"/>
      <c r="K1016" s="2808"/>
    </row>
    <row r="1017" spans="1:11">
      <c r="A1017" s="2800">
        <v>44645</v>
      </c>
      <c r="B1017" s="2801">
        <v>35134.44</v>
      </c>
      <c r="C1017" s="2801">
        <v>349.99</v>
      </c>
      <c r="D1017" s="2801">
        <v>13475.54</v>
      </c>
      <c r="E1017" s="2801">
        <v>2734.64</v>
      </c>
      <c r="F1017" s="2808"/>
      <c r="G1017" s="2808"/>
      <c r="H1017" s="2808"/>
      <c r="I1017" s="2808"/>
      <c r="J1017" s="2808"/>
      <c r="K1017" s="2808"/>
    </row>
    <row r="1018" spans="1:11">
      <c r="A1018" s="2800">
        <v>44644</v>
      </c>
      <c r="B1018" s="2801">
        <v>35172.9</v>
      </c>
      <c r="C1018" s="2801">
        <v>352.07</v>
      </c>
      <c r="D1018" s="2801">
        <v>13440.36</v>
      </c>
      <c r="E1018" s="2801">
        <v>2763.37</v>
      </c>
      <c r="F1018" s="2808"/>
      <c r="G1018" s="2808"/>
      <c r="H1018" s="2808"/>
      <c r="I1018" s="2808"/>
      <c r="J1018" s="2808"/>
      <c r="K1018" s="2808"/>
    </row>
    <row r="1019" spans="1:11">
      <c r="A1019" s="2800">
        <v>44643</v>
      </c>
      <c r="B1019" s="2801">
        <v>35233.75</v>
      </c>
      <c r="C1019" s="2801">
        <v>350.68</v>
      </c>
      <c r="D1019" s="2801">
        <v>13311.91</v>
      </c>
      <c r="E1019" s="2801">
        <v>2772.44</v>
      </c>
      <c r="F1019" s="2808"/>
      <c r="G1019" s="2808"/>
      <c r="H1019" s="2808"/>
      <c r="I1019" s="2808"/>
      <c r="J1019" s="2808"/>
      <c r="K1019" s="2808"/>
    </row>
    <row r="1020" spans="1:11">
      <c r="A1020" s="2800">
        <v>44642</v>
      </c>
      <c r="B1020" s="2801">
        <v>34892.65</v>
      </c>
      <c r="C1020" s="2801">
        <v>347.45</v>
      </c>
      <c r="D1020" s="2801">
        <v>13432.92</v>
      </c>
      <c r="E1020" s="2801">
        <v>2749.4</v>
      </c>
      <c r="F1020" s="2808"/>
      <c r="G1020" s="2808"/>
      <c r="H1020" s="2808"/>
      <c r="I1020" s="2808"/>
      <c r="J1020" s="2808"/>
      <c r="K1020" s="2808"/>
    </row>
    <row r="1021" spans="1:11">
      <c r="A1021" s="2800">
        <v>44641</v>
      </c>
      <c r="B1021" s="2801">
        <v>34893.919999999998</v>
      </c>
      <c r="C1021" s="2801">
        <v>345.62</v>
      </c>
      <c r="D1021" s="2801">
        <v>13298.66</v>
      </c>
      <c r="E1021" s="2801">
        <v>2710</v>
      </c>
      <c r="F1021" s="2808"/>
      <c r="G1021" s="2808"/>
      <c r="H1021" s="2808"/>
      <c r="I1021" s="2808"/>
      <c r="J1021" s="2808"/>
      <c r="K1021" s="2808"/>
    </row>
    <row r="1022" spans="1:11">
      <c r="A1022" s="2800">
        <v>44640</v>
      </c>
      <c r="B1022" s="2801"/>
      <c r="C1022" s="2801"/>
      <c r="D1022" s="2801"/>
      <c r="E1022" s="2801"/>
      <c r="F1022" s="2808"/>
      <c r="G1022" s="2808"/>
      <c r="H1022" s="2808"/>
      <c r="I1022" s="2808"/>
      <c r="J1022" s="2808"/>
      <c r="K1022" s="2808"/>
    </row>
    <row r="1023" spans="1:11">
      <c r="A1023" s="2800">
        <v>44639</v>
      </c>
      <c r="B1023" s="2801"/>
      <c r="C1023" s="2801"/>
      <c r="D1023" s="2801"/>
      <c r="E1023" s="2801"/>
      <c r="F1023" s="2808"/>
      <c r="G1023" s="2808"/>
      <c r="H1023" s="2808"/>
      <c r="I1023" s="2808"/>
      <c r="J1023" s="2808"/>
      <c r="K1023" s="2808"/>
    </row>
    <row r="1024" spans="1:11">
      <c r="A1024" s="2800">
        <v>44638</v>
      </c>
      <c r="B1024" s="2801">
        <v>34687.58</v>
      </c>
      <c r="C1024" s="2801">
        <v>344.93</v>
      </c>
      <c r="D1024" s="2801">
        <v>13300.4</v>
      </c>
      <c r="E1024" s="2801">
        <v>2728.48</v>
      </c>
      <c r="F1024" s="2808"/>
      <c r="G1024" s="2808"/>
      <c r="H1024" s="2808"/>
      <c r="I1024" s="2808"/>
      <c r="J1024" s="2808"/>
      <c r="K1024" s="2808"/>
    </row>
    <row r="1025" spans="1:11">
      <c r="A1025" s="2800">
        <v>44637</v>
      </c>
      <c r="B1025" s="2801">
        <v>34667.35</v>
      </c>
      <c r="C1025" s="2801">
        <v>342.08</v>
      </c>
      <c r="D1025" s="2801">
        <v>13170.86</v>
      </c>
      <c r="E1025" s="2801">
        <v>2723.42</v>
      </c>
      <c r="F1025" s="2808"/>
      <c r="G1025" s="2808"/>
      <c r="H1025" s="2808"/>
      <c r="I1025" s="2808"/>
      <c r="J1025" s="2808"/>
      <c r="K1025" s="2808"/>
    </row>
    <row r="1026" spans="1:11">
      <c r="A1026" s="2800">
        <v>44636</v>
      </c>
      <c r="B1026" s="2801">
        <v>33658.870000000003</v>
      </c>
      <c r="C1026" s="2801">
        <v>330.27</v>
      </c>
      <c r="D1026" s="2801">
        <v>12968.81</v>
      </c>
      <c r="E1026" s="2801">
        <v>2626.34</v>
      </c>
      <c r="F1026" s="2808"/>
      <c r="G1026" s="2808"/>
      <c r="H1026" s="2808"/>
      <c r="I1026" s="2808"/>
      <c r="J1026" s="2808"/>
      <c r="K1026" s="2808"/>
    </row>
    <row r="1027" spans="1:11">
      <c r="A1027" s="2800">
        <v>44635</v>
      </c>
      <c r="B1027" s="2801">
        <v>33582.800000000003</v>
      </c>
      <c r="C1027" s="2801">
        <v>328.61</v>
      </c>
      <c r="D1027" s="2801">
        <v>12656.56</v>
      </c>
      <c r="E1027" s="2801">
        <v>2493.34</v>
      </c>
      <c r="F1027" s="2808"/>
      <c r="G1027" s="2808"/>
      <c r="H1027" s="2808"/>
      <c r="I1027" s="2808"/>
      <c r="J1027" s="2808"/>
      <c r="K1027" s="2808"/>
    </row>
    <row r="1028" spans="1:11">
      <c r="A1028" s="2800">
        <v>44634</v>
      </c>
      <c r="B1028" s="2801">
        <v>34247.9</v>
      </c>
      <c r="C1028" s="2801">
        <v>339.37</v>
      </c>
      <c r="D1028" s="2801">
        <v>12482.26</v>
      </c>
      <c r="E1028" s="2801">
        <v>2561.73</v>
      </c>
      <c r="F1028" s="2808"/>
      <c r="G1028" s="2808"/>
      <c r="H1028" s="2808"/>
      <c r="I1028" s="2808"/>
      <c r="J1028" s="2808"/>
      <c r="K1028" s="2808"/>
    </row>
    <row r="1029" spans="1:11">
      <c r="A1029" s="2800">
        <v>44633</v>
      </c>
      <c r="B1029" s="2801"/>
      <c r="C1029" s="2801"/>
      <c r="D1029" s="2801"/>
      <c r="E1029" s="2801"/>
      <c r="F1029" s="2808"/>
      <c r="G1029" s="2808"/>
      <c r="H1029" s="2808"/>
      <c r="I1029" s="2808"/>
      <c r="J1029" s="2808"/>
      <c r="K1029" s="2808"/>
    </row>
    <row r="1030" spans="1:11">
      <c r="A1030" s="2800">
        <v>44632</v>
      </c>
      <c r="B1030" s="2801"/>
      <c r="C1030" s="2801"/>
      <c r="D1030" s="2801"/>
      <c r="E1030" s="2801"/>
      <c r="F1030" s="2808"/>
      <c r="G1030" s="2808"/>
      <c r="H1030" s="2808"/>
      <c r="I1030" s="2808"/>
      <c r="J1030" s="2808"/>
      <c r="K1030" s="2808"/>
    </row>
    <row r="1031" spans="1:11">
      <c r="A1031" s="2800">
        <v>44631</v>
      </c>
      <c r="B1031" s="2801">
        <v>34251.26</v>
      </c>
      <c r="C1031" s="2801">
        <v>339.3</v>
      </c>
      <c r="D1031" s="2801">
        <v>12540.02</v>
      </c>
      <c r="E1031" s="2801">
        <v>2635.94</v>
      </c>
      <c r="F1031" s="2808"/>
      <c r="G1031" s="2808"/>
      <c r="H1031" s="2808"/>
      <c r="I1031" s="2808"/>
      <c r="J1031" s="2808"/>
      <c r="K1031" s="2808"/>
    </row>
    <row r="1032" spans="1:11">
      <c r="A1032" s="2800">
        <v>44630</v>
      </c>
      <c r="B1032" s="2801">
        <v>34585.32</v>
      </c>
      <c r="C1032" s="2801">
        <v>341.34</v>
      </c>
      <c r="D1032" s="2801">
        <v>12678.4</v>
      </c>
      <c r="E1032" s="2801">
        <v>2676.85</v>
      </c>
      <c r="F1032" s="2808"/>
      <c r="G1032" s="2808"/>
      <c r="H1032" s="2808"/>
      <c r="I1032" s="2808"/>
      <c r="J1032" s="2808"/>
      <c r="K1032" s="2808"/>
    </row>
    <row r="1033" spans="1:11">
      <c r="A1033" s="2800">
        <v>44629</v>
      </c>
      <c r="B1033" s="2801">
        <v>33756.370000000003</v>
      </c>
      <c r="C1033" s="2801">
        <v>334.82</v>
      </c>
      <c r="D1033" s="2801">
        <v>12720.01</v>
      </c>
      <c r="E1033" s="2801">
        <v>2647.42</v>
      </c>
      <c r="F1033" s="2808"/>
      <c r="G1033" s="2808"/>
      <c r="H1033" s="2808"/>
      <c r="I1033" s="2808"/>
      <c r="J1033" s="2808"/>
      <c r="K1033" s="2808"/>
    </row>
    <row r="1034" spans="1:11">
      <c r="A1034" s="2800">
        <v>44628</v>
      </c>
      <c r="B1034" s="2801">
        <v>33379.22</v>
      </c>
      <c r="C1034" s="2801">
        <v>328.9</v>
      </c>
      <c r="D1034" s="2801">
        <v>12347.3</v>
      </c>
      <c r="E1034" s="2801">
        <v>2658.65</v>
      </c>
      <c r="F1034" s="2808"/>
      <c r="G1034" s="2808"/>
      <c r="H1034" s="2808"/>
      <c r="I1034" s="2808"/>
      <c r="J1034" s="2808"/>
      <c r="K1034" s="2808"/>
    </row>
    <row r="1035" spans="1:11">
      <c r="A1035" s="2800">
        <v>44627</v>
      </c>
      <c r="B1035" s="2801">
        <v>34080.400000000001</v>
      </c>
      <c r="C1035" s="2801">
        <v>337.31</v>
      </c>
      <c r="D1035" s="2801">
        <v>12441.75</v>
      </c>
      <c r="E1035" s="2801">
        <v>2685.88</v>
      </c>
      <c r="F1035" s="2808"/>
      <c r="G1035" s="2808"/>
      <c r="H1035" s="2808"/>
      <c r="I1035" s="2808"/>
      <c r="J1035" s="2808"/>
      <c r="K1035" s="2808"/>
    </row>
    <row r="1036" spans="1:11">
      <c r="A1036" s="2800">
        <v>44626</v>
      </c>
      <c r="B1036" s="2801"/>
      <c r="C1036" s="2801"/>
      <c r="D1036" s="2801"/>
      <c r="E1036" s="2801"/>
      <c r="F1036" s="2808"/>
      <c r="G1036" s="2808"/>
      <c r="H1036" s="2808"/>
      <c r="I1036" s="2808"/>
      <c r="J1036" s="2808"/>
      <c r="K1036" s="2808"/>
    </row>
    <row r="1037" spans="1:11">
      <c r="A1037" s="2800">
        <v>44625</v>
      </c>
      <c r="B1037" s="2801"/>
      <c r="C1037" s="2801"/>
      <c r="D1037" s="2801"/>
      <c r="E1037" s="2801"/>
      <c r="F1037" s="2808"/>
      <c r="G1037" s="2808"/>
      <c r="H1037" s="2808"/>
      <c r="I1037" s="2808"/>
      <c r="J1037" s="2808"/>
      <c r="K1037" s="2808"/>
    </row>
    <row r="1038" spans="1:11">
      <c r="A1038" s="2800">
        <v>44624</v>
      </c>
      <c r="B1038" s="2801">
        <v>35187.07</v>
      </c>
      <c r="C1038" s="2801">
        <v>351.1</v>
      </c>
      <c r="D1038" s="2801">
        <v>12781.08</v>
      </c>
      <c r="E1038" s="2801">
        <v>2776.86</v>
      </c>
      <c r="F1038" s="2808"/>
      <c r="G1038" s="2808"/>
      <c r="H1038" s="2808"/>
      <c r="I1038" s="2808"/>
      <c r="J1038" s="2808"/>
      <c r="K1038" s="2808"/>
    </row>
    <row r="1039" spans="1:11">
      <c r="A1039" s="2800">
        <v>44623</v>
      </c>
      <c r="B1039" s="2801">
        <v>35579.629999999997</v>
      </c>
      <c r="C1039" s="2801">
        <v>355.07</v>
      </c>
      <c r="D1039" s="2801">
        <v>12983.02</v>
      </c>
      <c r="E1039" s="2801">
        <v>2843.75</v>
      </c>
      <c r="F1039" s="2808"/>
      <c r="G1039" s="2808"/>
      <c r="H1039" s="2808"/>
      <c r="I1039" s="2808"/>
      <c r="J1039" s="2808"/>
      <c r="K1039" s="2808"/>
    </row>
    <row r="1040" spans="1:11">
      <c r="A1040" s="2800">
        <v>44622</v>
      </c>
      <c r="B1040" s="2801">
        <v>35447.120000000003</v>
      </c>
      <c r="C1040" s="2801">
        <v>354.13</v>
      </c>
      <c r="D1040" s="2801">
        <v>13077.55</v>
      </c>
      <c r="E1040" s="2801">
        <v>2833.47</v>
      </c>
      <c r="F1040" s="2808"/>
      <c r="G1040" s="2808"/>
      <c r="H1040" s="2808"/>
      <c r="I1040" s="2808"/>
      <c r="J1040" s="2808"/>
      <c r="K1040" s="2808"/>
    </row>
    <row r="1041" spans="1:11">
      <c r="A1041" s="2800">
        <v>44621</v>
      </c>
      <c r="B1041" s="2801">
        <v>35507.910000000003</v>
      </c>
      <c r="C1041" s="2801">
        <v>353.14</v>
      </c>
      <c r="D1041" s="2801">
        <v>12929.27</v>
      </c>
      <c r="E1041" s="2801">
        <v>2852.81</v>
      </c>
      <c r="F1041" s="2808"/>
      <c r="G1041" s="2808"/>
      <c r="H1041" s="2808"/>
      <c r="I1041" s="2808"/>
      <c r="J1041" s="2808"/>
      <c r="K1041" s="2808"/>
    </row>
    <row r="1042" spans="1:11">
      <c r="A1042" s="2800">
        <v>44620</v>
      </c>
      <c r="B1042" s="2801"/>
      <c r="C1042" s="2801"/>
      <c r="D1042" s="2801">
        <v>13137.03</v>
      </c>
      <c r="E1042" s="2801">
        <v>2840.36</v>
      </c>
      <c r="F1042" s="2808"/>
      <c r="G1042" s="2808"/>
      <c r="H1042" s="2808"/>
      <c r="I1042" s="2808"/>
      <c r="J1042" s="2808"/>
      <c r="K1042" s="2808"/>
    </row>
    <row r="1043" spans="1:11">
      <c r="A1043" s="2800">
        <v>44619</v>
      </c>
      <c r="B1043" s="2801"/>
      <c r="C1043" s="2801"/>
      <c r="D1043" s="2801"/>
      <c r="E1043" s="2801"/>
      <c r="F1043" s="2808"/>
      <c r="G1043" s="2808"/>
      <c r="H1043" s="2808"/>
      <c r="I1043" s="2808"/>
      <c r="J1043" s="2808"/>
      <c r="K1043" s="2808"/>
    </row>
    <row r="1044" spans="1:11">
      <c r="A1044" s="2800">
        <v>44618</v>
      </c>
      <c r="B1044" s="2801"/>
      <c r="C1044" s="2801"/>
      <c r="D1044" s="2801"/>
      <c r="E1044" s="2801"/>
      <c r="F1044" s="2808"/>
      <c r="G1044" s="2808"/>
      <c r="H1044" s="2808"/>
      <c r="I1044" s="2808"/>
      <c r="J1044" s="2808"/>
      <c r="K1044" s="2808"/>
    </row>
    <row r="1045" spans="1:11">
      <c r="A1045" s="2800">
        <v>44617</v>
      </c>
      <c r="B1045" s="2801">
        <v>35019.74</v>
      </c>
      <c r="C1045" s="2801">
        <v>347.34</v>
      </c>
      <c r="D1045" s="2801">
        <v>13145.72</v>
      </c>
      <c r="E1045" s="2801">
        <v>2841.8</v>
      </c>
      <c r="F1045" s="2808"/>
      <c r="G1045" s="2808"/>
      <c r="H1045" s="2808"/>
      <c r="I1045" s="2808"/>
      <c r="J1045" s="2808"/>
      <c r="K1045" s="2808"/>
    </row>
    <row r="1046" spans="1:11">
      <c r="A1046" s="2800">
        <v>44616</v>
      </c>
      <c r="B1046" s="2801">
        <v>34905.410000000003</v>
      </c>
      <c r="C1046" s="2801">
        <v>342.74</v>
      </c>
      <c r="D1046" s="2801">
        <v>12816.78</v>
      </c>
      <c r="E1046" s="2801">
        <v>2800.26</v>
      </c>
      <c r="F1046" s="2808"/>
      <c r="G1046" s="2808"/>
      <c r="H1046" s="2808"/>
      <c r="I1046" s="2808"/>
      <c r="J1046" s="2808"/>
      <c r="K1046" s="2808"/>
    </row>
    <row r="1047" spans="1:11">
      <c r="A1047" s="2800">
        <v>44615</v>
      </c>
      <c r="B1047" s="2801">
        <v>35817.599999999999</v>
      </c>
      <c r="C1047" s="2801">
        <v>353.54</v>
      </c>
      <c r="D1047" s="2801">
        <v>12827.4</v>
      </c>
      <c r="E1047" s="2801">
        <v>2926.31</v>
      </c>
      <c r="F1047" s="2808"/>
      <c r="G1047" s="2808"/>
      <c r="H1047" s="2808"/>
      <c r="I1047" s="2808"/>
      <c r="J1047" s="2808"/>
      <c r="K1047" s="2808"/>
    </row>
    <row r="1048" spans="1:11">
      <c r="A1048" s="2800">
        <v>44614</v>
      </c>
      <c r="B1048" s="2801">
        <v>35646.120000000003</v>
      </c>
      <c r="C1048" s="2801">
        <v>350.52</v>
      </c>
      <c r="D1048" s="2801">
        <v>13005.04</v>
      </c>
      <c r="E1048" s="2801">
        <v>2925.66</v>
      </c>
      <c r="F1048" s="2808"/>
      <c r="G1048" s="2808"/>
      <c r="H1048" s="2808"/>
      <c r="I1048" s="2808"/>
      <c r="J1048" s="2808"/>
      <c r="K1048" s="2808"/>
    </row>
    <row r="1049" spans="1:11">
      <c r="A1049" s="2800">
        <v>44613</v>
      </c>
      <c r="B1049" s="2801">
        <v>36146.410000000003</v>
      </c>
      <c r="C1049" s="2801">
        <v>357.2</v>
      </c>
      <c r="D1049" s="2801">
        <v>13120.44</v>
      </c>
      <c r="E1049" s="2801">
        <v>2956.75</v>
      </c>
      <c r="F1049" s="2808"/>
      <c r="G1049" s="2808"/>
      <c r="H1049" s="2808"/>
      <c r="I1049" s="2808"/>
      <c r="J1049" s="2808"/>
      <c r="K1049" s="2808"/>
    </row>
    <row r="1050" spans="1:11">
      <c r="A1050" s="2800">
        <v>44612</v>
      </c>
      <c r="B1050" s="2801"/>
      <c r="C1050" s="2801"/>
      <c r="D1050" s="2801"/>
      <c r="E1050" s="2801"/>
      <c r="F1050" s="2808"/>
      <c r="G1050" s="2808"/>
      <c r="H1050" s="2808"/>
      <c r="I1050" s="2808"/>
      <c r="J1050" s="2808"/>
      <c r="K1050" s="2808"/>
    </row>
    <row r="1051" spans="1:11">
      <c r="A1051" s="2800">
        <v>44611</v>
      </c>
      <c r="B1051" s="2801"/>
      <c r="C1051" s="2801"/>
      <c r="D1051" s="2801"/>
      <c r="E1051" s="2801"/>
      <c r="F1051" s="2808"/>
      <c r="G1051" s="2808"/>
      <c r="H1051" s="2808"/>
      <c r="I1051" s="2808"/>
      <c r="J1051" s="2808"/>
      <c r="K1051" s="2808"/>
    </row>
    <row r="1052" spans="1:11">
      <c r="A1052" s="2800">
        <v>44610</v>
      </c>
      <c r="B1052" s="2801">
        <v>36167.96</v>
      </c>
      <c r="C1052" s="2801">
        <v>357.62</v>
      </c>
      <c r="D1052" s="2801">
        <v>13154.17</v>
      </c>
      <c r="E1052" s="2801">
        <v>2986.49</v>
      </c>
      <c r="F1052" s="2808"/>
      <c r="G1052" s="2808"/>
      <c r="H1052" s="2808"/>
      <c r="I1052" s="2808"/>
      <c r="J1052" s="2808"/>
      <c r="K1052" s="2808"/>
    </row>
    <row r="1053" spans="1:11">
      <c r="A1053" s="2800">
        <v>44609</v>
      </c>
      <c r="B1053" s="2801">
        <v>36239.81</v>
      </c>
      <c r="C1053" s="2801">
        <v>355.84</v>
      </c>
      <c r="D1053" s="2801">
        <v>13265.26</v>
      </c>
      <c r="E1053" s="2801">
        <v>3013.44</v>
      </c>
      <c r="F1053" s="2808"/>
      <c r="G1053" s="2808"/>
      <c r="H1053" s="2808"/>
      <c r="I1053" s="2808"/>
      <c r="J1053" s="2808"/>
      <c r="K1053" s="2808"/>
    </row>
    <row r="1054" spans="1:11">
      <c r="A1054" s="2800">
        <v>44608</v>
      </c>
      <c r="B1054" s="2801">
        <v>36166.21</v>
      </c>
      <c r="C1054" s="2801">
        <v>356.81</v>
      </c>
      <c r="D1054" s="2801">
        <v>13488.93</v>
      </c>
      <c r="E1054" s="2801">
        <v>3016.49</v>
      </c>
      <c r="F1054" s="2808"/>
      <c r="G1054" s="2808"/>
      <c r="H1054" s="2808"/>
      <c r="I1054" s="2808"/>
      <c r="J1054" s="2808"/>
      <c r="K1054" s="2808"/>
    </row>
    <row r="1055" spans="1:11">
      <c r="A1055" s="2800">
        <v>44607</v>
      </c>
      <c r="B1055" s="2801">
        <v>35611.449999999997</v>
      </c>
      <c r="C1055" s="2801">
        <v>351.93</v>
      </c>
      <c r="D1055" s="2801">
        <v>13460.66</v>
      </c>
      <c r="E1055" s="2801">
        <v>2979.69</v>
      </c>
      <c r="F1055" s="2808"/>
      <c r="G1055" s="2808"/>
      <c r="H1055" s="2808"/>
      <c r="I1055" s="2808"/>
      <c r="J1055" s="2808"/>
      <c r="K1055" s="2808"/>
    </row>
    <row r="1056" spans="1:11">
      <c r="A1056" s="2800">
        <v>44606</v>
      </c>
      <c r="B1056" s="2801">
        <v>35702.410000000003</v>
      </c>
      <c r="C1056" s="2801">
        <v>350.57</v>
      </c>
      <c r="D1056" s="2801">
        <v>13270.95</v>
      </c>
      <c r="E1056" s="2801">
        <v>2958.51</v>
      </c>
      <c r="F1056" s="2808"/>
      <c r="G1056" s="2808"/>
      <c r="H1056" s="2808"/>
      <c r="I1056" s="2808"/>
      <c r="J1056" s="2808"/>
      <c r="K1056" s="2808"/>
    </row>
    <row r="1057" spans="1:11">
      <c r="A1057" s="2800">
        <v>44605</v>
      </c>
      <c r="B1057" s="2801"/>
      <c r="C1057" s="2801"/>
      <c r="D1057" s="2801"/>
      <c r="E1057" s="2801"/>
      <c r="F1057" s="2808"/>
      <c r="G1057" s="2808"/>
      <c r="H1057" s="2808"/>
      <c r="I1057" s="2808"/>
      <c r="J1057" s="2808"/>
      <c r="K1057" s="2808"/>
    </row>
    <row r="1058" spans="1:11">
      <c r="A1058" s="2800">
        <v>44604</v>
      </c>
      <c r="B1058" s="2801"/>
      <c r="C1058" s="2801"/>
      <c r="D1058" s="2801"/>
      <c r="E1058" s="2801"/>
      <c r="F1058" s="2808"/>
      <c r="G1058" s="2808"/>
      <c r="H1058" s="2808"/>
      <c r="I1058" s="2808"/>
      <c r="J1058" s="2808"/>
      <c r="K1058" s="2808"/>
    </row>
    <row r="1059" spans="1:11">
      <c r="A1059" s="2800">
        <v>44603</v>
      </c>
      <c r="B1059" s="2801">
        <v>36323.85</v>
      </c>
      <c r="C1059" s="2801">
        <v>359.12</v>
      </c>
      <c r="D1059" s="2801">
        <v>13391.97</v>
      </c>
      <c r="E1059" s="2801">
        <v>3006.63</v>
      </c>
      <c r="F1059" s="2808"/>
      <c r="G1059" s="2808"/>
      <c r="H1059" s="2808"/>
      <c r="I1059" s="2808"/>
      <c r="J1059" s="2808"/>
      <c r="K1059" s="2808"/>
    </row>
    <row r="1060" spans="1:11">
      <c r="A1060" s="2800">
        <v>44602</v>
      </c>
      <c r="B1060" s="2801">
        <v>36377.64</v>
      </c>
      <c r="C1060" s="2801">
        <v>359.2</v>
      </c>
      <c r="D1060" s="2801">
        <v>13605.79</v>
      </c>
      <c r="E1060" s="2801">
        <v>3032.21</v>
      </c>
      <c r="F1060" s="2808"/>
      <c r="G1060" s="2808"/>
      <c r="H1060" s="2808"/>
      <c r="I1060" s="2808"/>
      <c r="J1060" s="2808"/>
      <c r="K1060" s="2808"/>
    </row>
    <row r="1061" spans="1:11">
      <c r="A1061" s="2800">
        <v>44601</v>
      </c>
      <c r="B1061" s="2801">
        <v>36008.1</v>
      </c>
      <c r="C1061" s="2801">
        <v>357.34</v>
      </c>
      <c r="D1061" s="2801">
        <v>13767.35</v>
      </c>
      <c r="E1061" s="2801">
        <v>3004.52</v>
      </c>
      <c r="F1061" s="2808"/>
      <c r="G1061" s="2808"/>
      <c r="H1061" s="2808"/>
      <c r="I1061" s="2808"/>
      <c r="J1061" s="2808"/>
      <c r="K1061" s="2808"/>
    </row>
    <row r="1062" spans="1:11">
      <c r="A1062" s="2800">
        <v>44600</v>
      </c>
      <c r="B1062" s="2801">
        <v>35640.699999999997</v>
      </c>
      <c r="C1062" s="2801">
        <v>353.54</v>
      </c>
      <c r="D1062" s="2801">
        <v>13555.69</v>
      </c>
      <c r="E1062" s="2801">
        <v>2956.01</v>
      </c>
      <c r="F1062" s="2808"/>
      <c r="G1062" s="2808"/>
      <c r="H1062" s="2808"/>
      <c r="I1062" s="2808"/>
      <c r="J1062" s="2808"/>
      <c r="K1062" s="2808"/>
    </row>
    <row r="1063" spans="1:11">
      <c r="A1063" s="2800">
        <v>44599</v>
      </c>
      <c r="B1063" s="2801">
        <v>35509.26</v>
      </c>
      <c r="C1063" s="2801">
        <v>350.86</v>
      </c>
      <c r="D1063" s="2801">
        <v>13477.65</v>
      </c>
      <c r="E1063" s="2801">
        <v>2954.85</v>
      </c>
      <c r="F1063" s="2808"/>
      <c r="G1063" s="2808"/>
      <c r="H1063" s="2808"/>
      <c r="I1063" s="2808"/>
      <c r="J1063" s="2808"/>
      <c r="K1063" s="2808"/>
    </row>
    <row r="1064" spans="1:11">
      <c r="A1064" s="2800">
        <v>44598</v>
      </c>
      <c r="B1064" s="2801"/>
      <c r="C1064" s="2801"/>
      <c r="D1064" s="2801"/>
      <c r="E1064" s="2801"/>
      <c r="F1064" s="2808"/>
      <c r="G1064" s="2808"/>
      <c r="H1064" s="2808"/>
      <c r="I1064" s="2808"/>
      <c r="J1064" s="2808"/>
      <c r="K1064" s="2808"/>
    </row>
    <row r="1065" spans="1:11">
      <c r="A1065" s="2800">
        <v>44597</v>
      </c>
      <c r="B1065" s="2801"/>
      <c r="C1065" s="2801"/>
      <c r="D1065" s="2801"/>
      <c r="E1065" s="2801"/>
      <c r="F1065" s="2808"/>
      <c r="G1065" s="2808"/>
      <c r="H1065" s="2808"/>
      <c r="I1065" s="2808"/>
      <c r="J1065" s="2808"/>
      <c r="K1065" s="2808"/>
    </row>
    <row r="1066" spans="1:11">
      <c r="A1066" s="2800">
        <v>44596</v>
      </c>
      <c r="B1066" s="2801"/>
      <c r="C1066" s="2801"/>
      <c r="D1066" s="2801">
        <v>13486.38</v>
      </c>
      <c r="E1066" s="2801">
        <v>2959.13</v>
      </c>
      <c r="F1066" s="2808"/>
      <c r="G1066" s="2808"/>
      <c r="H1066" s="2808"/>
      <c r="I1066" s="2808"/>
      <c r="J1066" s="2808"/>
      <c r="K1066" s="2808"/>
    </row>
    <row r="1067" spans="1:11">
      <c r="A1067" s="2800">
        <v>44595</v>
      </c>
      <c r="B1067" s="2801"/>
      <c r="C1067" s="2801"/>
      <c r="D1067" s="2801">
        <v>13445.13</v>
      </c>
      <c r="E1067" s="2801">
        <v>2932.83</v>
      </c>
      <c r="F1067" s="2808"/>
      <c r="G1067" s="2808"/>
      <c r="H1067" s="2808"/>
      <c r="I1067" s="2808"/>
      <c r="J1067" s="2808"/>
      <c r="K1067" s="2808"/>
    </row>
    <row r="1068" spans="1:11">
      <c r="A1068" s="2800">
        <v>44594</v>
      </c>
      <c r="B1068" s="2801"/>
      <c r="C1068" s="2801"/>
      <c r="D1068" s="2801">
        <v>13714.89</v>
      </c>
      <c r="E1068" s="2801">
        <v>2939.67</v>
      </c>
      <c r="F1068" s="2808"/>
      <c r="G1068" s="2808"/>
      <c r="H1068" s="2808"/>
      <c r="I1068" s="2808"/>
      <c r="J1068" s="2808"/>
      <c r="K1068" s="2808"/>
    </row>
    <row r="1069" spans="1:11">
      <c r="A1069" s="2800">
        <v>44593</v>
      </c>
      <c r="B1069" s="2801"/>
      <c r="C1069" s="2801"/>
      <c r="D1069" s="2801">
        <v>13594.9</v>
      </c>
      <c r="E1069" s="2801">
        <v>2941.54</v>
      </c>
      <c r="F1069" s="2808"/>
      <c r="G1069" s="2808"/>
      <c r="H1069" s="2808"/>
      <c r="I1069" s="2808"/>
      <c r="J1069" s="2808"/>
      <c r="K1069" s="2808"/>
    </row>
    <row r="1070" spans="1:11">
      <c r="A1070" s="2800">
        <v>44592</v>
      </c>
      <c r="B1070" s="2801"/>
      <c r="C1070" s="2801"/>
      <c r="D1070" s="2801">
        <v>13473.44</v>
      </c>
      <c r="E1070" s="2801">
        <v>2927.51</v>
      </c>
      <c r="F1070" s="2808"/>
      <c r="G1070" s="2808"/>
      <c r="H1070" s="2808"/>
      <c r="I1070" s="2808"/>
      <c r="J1070" s="2808"/>
      <c r="K1070" s="2808"/>
    </row>
    <row r="1071" spans="1:11">
      <c r="A1071" s="2800">
        <v>44591</v>
      </c>
      <c r="B1071" s="2801"/>
      <c r="C1071" s="2801"/>
      <c r="D1071" s="2801"/>
      <c r="E1071" s="2801"/>
      <c r="F1071" s="2808"/>
      <c r="G1071" s="2808"/>
      <c r="H1071" s="2808"/>
      <c r="I1071" s="2808"/>
      <c r="J1071" s="2808"/>
      <c r="K1071" s="2808"/>
    </row>
    <row r="1072" spans="1:11">
      <c r="A1072" s="2800">
        <v>44590</v>
      </c>
      <c r="B1072" s="2801"/>
      <c r="C1072" s="2801"/>
      <c r="D1072" s="2801"/>
      <c r="E1072" s="2801"/>
      <c r="F1072" s="2808"/>
      <c r="G1072" s="2808"/>
      <c r="H1072" s="2808"/>
      <c r="I1072" s="2808"/>
      <c r="J1072" s="2808"/>
      <c r="K1072" s="2808"/>
    </row>
    <row r="1073" spans="1:11">
      <c r="A1073" s="2800">
        <v>44589</v>
      </c>
      <c r="B1073" s="2801"/>
      <c r="C1073" s="2801"/>
      <c r="D1073" s="2801">
        <v>13237.84</v>
      </c>
      <c r="E1073" s="2801">
        <v>2886.09</v>
      </c>
      <c r="F1073" s="2808"/>
      <c r="G1073" s="2808"/>
      <c r="H1073" s="2808"/>
      <c r="I1073" s="2808"/>
      <c r="J1073" s="2808"/>
      <c r="K1073" s="2808"/>
    </row>
    <row r="1074" spans="1:11">
      <c r="A1074" s="2800">
        <v>44588</v>
      </c>
      <c r="B1074" s="2801"/>
      <c r="C1074" s="2801"/>
      <c r="D1074" s="2801">
        <v>13015.27</v>
      </c>
      <c r="E1074" s="2801">
        <v>2888.1</v>
      </c>
      <c r="F1074" s="2808"/>
      <c r="G1074" s="2808"/>
      <c r="H1074" s="2808"/>
      <c r="I1074" s="2808"/>
      <c r="J1074" s="2808"/>
      <c r="K1074" s="2808"/>
    </row>
    <row r="1075" spans="1:11">
      <c r="A1075" s="2800">
        <v>44587</v>
      </c>
      <c r="B1075" s="2801">
        <v>35061.14</v>
      </c>
      <c r="C1075" s="2801">
        <v>347.69</v>
      </c>
      <c r="D1075" s="2801">
        <v>13121.99</v>
      </c>
      <c r="E1075" s="2801">
        <v>2935.01</v>
      </c>
      <c r="F1075" s="2808"/>
      <c r="G1075" s="2808"/>
      <c r="H1075" s="2808"/>
      <c r="I1075" s="2808"/>
      <c r="J1075" s="2808"/>
      <c r="K1075" s="2808"/>
    </row>
    <row r="1076" spans="1:11">
      <c r="A1076" s="2800">
        <v>44586</v>
      </c>
      <c r="B1076" s="2801">
        <v>35114.14</v>
      </c>
      <c r="C1076" s="2801">
        <v>347.6</v>
      </c>
      <c r="D1076" s="2801">
        <v>13103.33</v>
      </c>
      <c r="E1076" s="2801">
        <v>2932.57</v>
      </c>
      <c r="F1076" s="2808"/>
      <c r="G1076" s="2808"/>
      <c r="H1076" s="2808"/>
      <c r="I1076" s="2808"/>
      <c r="J1076" s="2808"/>
      <c r="K1076" s="2808"/>
    </row>
    <row r="1077" spans="1:11">
      <c r="A1077" s="2800">
        <v>44585</v>
      </c>
      <c r="B1077" s="2801">
        <v>35685.29</v>
      </c>
      <c r="C1077" s="2801">
        <v>352.8</v>
      </c>
      <c r="D1077" s="2801">
        <v>13235.23</v>
      </c>
      <c r="E1077" s="2801">
        <v>2960.95</v>
      </c>
      <c r="F1077" s="2808"/>
      <c r="G1077" s="2808"/>
      <c r="H1077" s="2808"/>
      <c r="I1077" s="2808"/>
      <c r="J1077" s="2808"/>
      <c r="K1077" s="2808"/>
    </row>
    <row r="1078" spans="1:11">
      <c r="A1078" s="2800">
        <v>44584</v>
      </c>
      <c r="B1078" s="2801"/>
      <c r="C1078" s="2801"/>
      <c r="D1078" s="2801"/>
      <c r="E1078" s="2801"/>
      <c r="F1078" s="2808"/>
      <c r="G1078" s="2808"/>
      <c r="H1078" s="2808"/>
      <c r="I1078" s="2808"/>
      <c r="J1078" s="2808"/>
      <c r="K1078" s="2808"/>
    </row>
    <row r="1079" spans="1:11">
      <c r="A1079" s="2800">
        <v>44583</v>
      </c>
      <c r="B1079" s="2801"/>
      <c r="C1079" s="2801"/>
      <c r="D1079" s="2801"/>
      <c r="E1079" s="2801"/>
      <c r="F1079" s="2808"/>
      <c r="G1079" s="2808"/>
      <c r="H1079" s="2808"/>
      <c r="I1079" s="2808"/>
      <c r="J1079" s="2808"/>
      <c r="K1079" s="2808"/>
    </row>
    <row r="1080" spans="1:11">
      <c r="A1080" s="2800">
        <v>44582</v>
      </c>
      <c r="B1080" s="2801">
        <v>35507.269999999997</v>
      </c>
      <c r="C1080" s="2801">
        <v>351.93</v>
      </c>
      <c r="D1080" s="2801">
        <v>13320.91</v>
      </c>
      <c r="E1080" s="2801">
        <v>3014.57</v>
      </c>
      <c r="F1080" s="2808"/>
      <c r="G1080" s="2808"/>
      <c r="H1080" s="2808"/>
      <c r="I1080" s="2808"/>
      <c r="J1080" s="2808"/>
      <c r="K1080" s="2808"/>
    </row>
    <row r="1081" spans="1:11">
      <c r="A1081" s="2800">
        <v>44581</v>
      </c>
      <c r="B1081" s="2801">
        <v>36140.050000000003</v>
      </c>
      <c r="C1081" s="2801">
        <v>359.13</v>
      </c>
      <c r="D1081" s="2801">
        <v>13572.49</v>
      </c>
      <c r="E1081" s="2801">
        <v>3042.27</v>
      </c>
      <c r="F1081" s="2808"/>
      <c r="G1081" s="2808"/>
      <c r="H1081" s="2808"/>
      <c r="I1081" s="2808"/>
      <c r="J1081" s="2808"/>
      <c r="K1081" s="2808"/>
    </row>
    <row r="1082" spans="1:11">
      <c r="A1082" s="2800">
        <v>44580</v>
      </c>
      <c r="B1082" s="2801">
        <v>36158.25</v>
      </c>
      <c r="C1082" s="2801">
        <v>359.02</v>
      </c>
      <c r="D1082" s="2801">
        <v>13643.74</v>
      </c>
      <c r="E1082" s="2801">
        <v>3003.66</v>
      </c>
      <c r="F1082" s="2808"/>
      <c r="G1082" s="2808"/>
      <c r="H1082" s="2808"/>
      <c r="I1082" s="2808"/>
      <c r="J1082" s="2808"/>
      <c r="K1082" s="2808"/>
    </row>
    <row r="1083" spans="1:11">
      <c r="A1083" s="2800">
        <v>44579</v>
      </c>
      <c r="B1083" s="2801">
        <v>36458.15</v>
      </c>
      <c r="C1083" s="2801">
        <v>361.85</v>
      </c>
      <c r="D1083" s="2801">
        <v>13756.26</v>
      </c>
      <c r="E1083" s="2801">
        <v>3007.8</v>
      </c>
      <c r="F1083" s="2808"/>
      <c r="G1083" s="2808"/>
      <c r="H1083" s="2808"/>
      <c r="I1083" s="2808"/>
      <c r="J1083" s="2808"/>
      <c r="K1083" s="2808"/>
    </row>
    <row r="1084" spans="1:11">
      <c r="A1084" s="2800">
        <v>44578</v>
      </c>
      <c r="B1084" s="2801">
        <v>36749.360000000001</v>
      </c>
      <c r="C1084" s="2801">
        <v>362.49</v>
      </c>
      <c r="D1084" s="2801">
        <v>13985.01</v>
      </c>
      <c r="E1084" s="2801">
        <v>3038.86</v>
      </c>
      <c r="F1084" s="2808"/>
      <c r="G1084" s="2808"/>
      <c r="H1084" s="2808"/>
      <c r="I1084" s="2808"/>
      <c r="J1084" s="2808"/>
      <c r="K1084" s="2808"/>
    </row>
    <row r="1085" spans="1:11">
      <c r="A1085" s="2800">
        <v>44577</v>
      </c>
      <c r="B1085" s="2801"/>
      <c r="C1085" s="2801"/>
      <c r="D1085" s="2801"/>
      <c r="E1085" s="2801"/>
      <c r="F1085" s="2808"/>
      <c r="G1085" s="2808"/>
      <c r="H1085" s="2808"/>
      <c r="I1085" s="2808"/>
      <c r="J1085" s="2808"/>
      <c r="K1085" s="2808"/>
    </row>
    <row r="1086" spans="1:11">
      <c r="A1086" s="2800">
        <v>44576</v>
      </c>
      <c r="B1086" s="2801"/>
      <c r="C1086" s="2801"/>
      <c r="D1086" s="2801"/>
      <c r="E1086" s="2801"/>
      <c r="F1086" s="2808"/>
      <c r="G1086" s="2808"/>
      <c r="H1086" s="2808"/>
      <c r="I1086" s="2808"/>
      <c r="J1086" s="2808"/>
      <c r="K1086" s="2808"/>
    </row>
    <row r="1087" spans="1:11">
      <c r="A1087" s="2800">
        <v>44575</v>
      </c>
      <c r="B1087" s="2801">
        <v>36507.14</v>
      </c>
      <c r="C1087" s="2801">
        <v>359.02</v>
      </c>
      <c r="D1087" s="2801">
        <v>13971.49</v>
      </c>
      <c r="E1087" s="2801">
        <v>3046.24</v>
      </c>
      <c r="F1087" s="2808"/>
      <c r="G1087" s="2808"/>
      <c r="H1087" s="2808"/>
      <c r="I1087" s="2808"/>
      <c r="J1087" s="2808"/>
      <c r="K1087" s="2808"/>
    </row>
    <row r="1088" spans="1:11">
      <c r="A1088" s="2800">
        <v>44574</v>
      </c>
      <c r="B1088" s="2801">
        <v>36573.78</v>
      </c>
      <c r="C1088" s="2801">
        <v>362.23</v>
      </c>
      <c r="D1088" s="2801">
        <v>14010.98</v>
      </c>
      <c r="E1088" s="2801">
        <v>3060.38</v>
      </c>
      <c r="F1088" s="2808"/>
      <c r="G1088" s="2808"/>
      <c r="H1088" s="2808"/>
      <c r="I1088" s="2808"/>
      <c r="J1088" s="2808"/>
      <c r="K1088" s="2808"/>
    </row>
    <row r="1089" spans="1:11">
      <c r="A1089" s="2800">
        <v>44573</v>
      </c>
      <c r="B1089" s="2801">
        <v>36451.72</v>
      </c>
      <c r="C1089" s="2801">
        <v>362.84</v>
      </c>
      <c r="D1089" s="2801">
        <v>14151.07</v>
      </c>
      <c r="E1089" s="2801">
        <v>3069.68</v>
      </c>
      <c r="F1089" s="2808"/>
      <c r="G1089" s="2808"/>
      <c r="H1089" s="2808"/>
      <c r="I1089" s="2808"/>
      <c r="J1089" s="2808"/>
      <c r="K1089" s="2808"/>
    </row>
    <row r="1090" spans="1:11">
      <c r="A1090" s="2800">
        <v>44572</v>
      </c>
      <c r="B1090" s="2801">
        <v>36276.06</v>
      </c>
      <c r="C1090" s="2801">
        <v>362.05</v>
      </c>
      <c r="D1090" s="2801">
        <v>14059.12</v>
      </c>
      <c r="E1090" s="2801">
        <v>3010.75</v>
      </c>
      <c r="F1090" s="2808"/>
      <c r="G1090" s="2808"/>
      <c r="H1090" s="2808"/>
      <c r="I1090" s="2808"/>
      <c r="J1090" s="2808"/>
      <c r="K1090" s="2808"/>
    </row>
    <row r="1091" spans="1:11">
      <c r="A1091" s="2800">
        <v>44571</v>
      </c>
      <c r="B1091" s="2801">
        <v>36179.21</v>
      </c>
      <c r="C1091" s="2801">
        <v>367.93</v>
      </c>
      <c r="D1091" s="2801">
        <v>13939.14</v>
      </c>
      <c r="E1091" s="2801">
        <v>2984.66</v>
      </c>
      <c r="F1091" s="2808"/>
      <c r="G1091" s="2808"/>
      <c r="H1091" s="2808"/>
      <c r="I1091" s="2808"/>
      <c r="J1091" s="2808"/>
      <c r="K1091" s="2808"/>
    </row>
    <row r="1092" spans="1:11">
      <c r="A1092" s="2800">
        <v>44570</v>
      </c>
      <c r="B1092" s="2801"/>
      <c r="C1092" s="2801"/>
      <c r="D1092" s="2801"/>
      <c r="E1092" s="2801"/>
      <c r="F1092" s="2808"/>
      <c r="G1092" s="2808"/>
      <c r="H1092" s="2808"/>
      <c r="I1092" s="2808"/>
      <c r="J1092" s="2808"/>
      <c r="K1092" s="2808"/>
    </row>
    <row r="1093" spans="1:11">
      <c r="A1093" s="2800">
        <v>44569</v>
      </c>
      <c r="B1093" s="2801"/>
      <c r="C1093" s="2801"/>
      <c r="D1093" s="2801"/>
      <c r="E1093" s="2801"/>
      <c r="F1093" s="2808"/>
      <c r="G1093" s="2808"/>
      <c r="H1093" s="2808"/>
      <c r="I1093" s="2808"/>
      <c r="J1093" s="2808"/>
      <c r="K1093" s="2808"/>
    </row>
    <row r="1094" spans="1:11">
      <c r="A1094" s="2800">
        <v>44568</v>
      </c>
      <c r="B1094" s="2801">
        <v>36041.120000000003</v>
      </c>
      <c r="C1094" s="2801">
        <v>366.27</v>
      </c>
      <c r="D1094" s="2801">
        <v>13989.32</v>
      </c>
      <c r="E1094" s="2801">
        <v>2969.72</v>
      </c>
      <c r="F1094" s="2808"/>
      <c r="G1094" s="2808"/>
      <c r="H1094" s="2808"/>
      <c r="I1094" s="2808"/>
      <c r="J1094" s="2808"/>
      <c r="K1094" s="2808"/>
    </row>
    <row r="1095" spans="1:11">
      <c r="A1095" s="2800">
        <v>44567</v>
      </c>
      <c r="B1095" s="2801">
        <v>36434.19</v>
      </c>
      <c r="C1095" s="2801">
        <v>373.73</v>
      </c>
      <c r="D1095" s="2801">
        <v>14018.45</v>
      </c>
      <c r="E1095" s="2801">
        <v>2947.85</v>
      </c>
      <c r="F1095" s="2808"/>
      <c r="G1095" s="2808"/>
      <c r="H1095" s="2808"/>
      <c r="I1095" s="2808"/>
      <c r="J1095" s="2808"/>
      <c r="K1095" s="2808"/>
    </row>
    <row r="1096" spans="1:11">
      <c r="A1096" s="2800">
        <v>44566</v>
      </c>
      <c r="B1096" s="2801">
        <v>36696.089999999997</v>
      </c>
      <c r="C1096" s="2801">
        <v>376.72</v>
      </c>
      <c r="D1096" s="2801">
        <v>14098.73</v>
      </c>
      <c r="E1096" s="2801">
        <v>2961.39</v>
      </c>
      <c r="F1096" s="2808"/>
      <c r="G1096" s="2808"/>
      <c r="H1096" s="2808"/>
      <c r="I1096" s="2808"/>
      <c r="J1096" s="2808"/>
      <c r="K1096" s="2808"/>
    </row>
    <row r="1097" spans="1:11">
      <c r="A1097" s="2800">
        <v>44565</v>
      </c>
      <c r="B1097" s="2801">
        <v>36748.44</v>
      </c>
      <c r="C1097" s="2801">
        <v>380.45</v>
      </c>
      <c r="D1097" s="2801">
        <v>14296.44</v>
      </c>
      <c r="E1097" s="2801">
        <v>2990.95</v>
      </c>
      <c r="F1097" s="2808"/>
      <c r="G1097" s="2808"/>
      <c r="H1097" s="2808"/>
      <c r="I1097" s="2808"/>
      <c r="J1097" s="2808"/>
      <c r="K1097" s="2808"/>
    </row>
    <row r="1098" spans="1:11">
      <c r="A1098" s="2800">
        <v>44564</v>
      </c>
      <c r="B1098" s="2801">
        <v>36240.959999999999</v>
      </c>
      <c r="C1098" s="2801">
        <v>380.24</v>
      </c>
      <c r="D1098" s="2801">
        <v>14266.32</v>
      </c>
      <c r="E1098" s="2801">
        <v>2987.44</v>
      </c>
      <c r="F1098" s="2808"/>
      <c r="G1098" s="2808"/>
      <c r="H1098" s="2808"/>
      <c r="I1098" s="2808"/>
      <c r="J1098" s="2808"/>
      <c r="K1098" s="2808"/>
    </row>
    <row r="1099" spans="1:11">
      <c r="A1099" s="2800">
        <v>44563</v>
      </c>
      <c r="B1099" s="2801"/>
      <c r="C1099" s="2801"/>
      <c r="D1099" s="2801"/>
      <c r="E1099" s="2801"/>
    </row>
    <row r="1100" spans="1:11">
      <c r="A1100" s="2800">
        <v>44562</v>
      </c>
      <c r="B1100" s="2801"/>
      <c r="C1100" s="2801"/>
      <c r="D1100" s="2801"/>
      <c r="E1100" s="2801"/>
    </row>
  </sheetData>
  <phoneticPr fontId="9"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2">
    <pageSetUpPr fitToPage="1"/>
  </sheetPr>
  <dimension ref="A1:R47"/>
  <sheetViews>
    <sheetView zoomScaleNormal="100" workbookViewId="0">
      <pane xSplit="3" ySplit="5" topLeftCell="D24"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2047" customWidth="1"/>
    <col min="2" max="2" width="15.625" style="2047" customWidth="1"/>
    <col min="3" max="3" width="45.625" style="2047" customWidth="1"/>
    <col min="4" max="16384" width="15.625" style="2047"/>
  </cols>
  <sheetData>
    <row r="1" spans="1:17" ht="16.5">
      <c r="A1" s="1199" t="str">
        <f>+封面!A3&amp;" "&amp;封面!A2</f>
        <v xml:space="preserve">        保險股份有限公司(○○分公司) 年度(月、季、半年)報表</v>
      </c>
      <c r="B1" s="2046"/>
      <c r="C1" s="2046"/>
    </row>
    <row r="2" spans="1:17" ht="16.5">
      <c r="A2" s="2048" t="s">
        <v>5318</v>
      </c>
      <c r="B2" s="1203"/>
      <c r="C2" s="1203"/>
      <c r="M2" s="2049"/>
      <c r="N2" s="2049"/>
      <c r="O2" s="2049"/>
      <c r="P2" s="2049"/>
      <c r="Q2" s="2050" t="s">
        <v>4097</v>
      </c>
    </row>
    <row r="3" spans="1:17" ht="16.5">
      <c r="A3" s="3225" t="s">
        <v>4064</v>
      </c>
      <c r="B3" s="3226" t="s">
        <v>4066</v>
      </c>
      <c r="C3" s="3226"/>
      <c r="D3" s="2051" t="s">
        <v>4195</v>
      </c>
      <c r="E3" s="2051"/>
      <c r="F3" s="2051"/>
      <c r="G3" s="2051"/>
      <c r="H3" s="2051" t="s">
        <v>4196</v>
      </c>
      <c r="I3" s="2051"/>
      <c r="J3" s="2051"/>
      <c r="K3" s="2051"/>
      <c r="L3" s="2051" t="s">
        <v>5196</v>
      </c>
      <c r="M3" s="2051"/>
      <c r="N3" s="2051"/>
      <c r="O3" s="2051"/>
      <c r="P3" s="2051"/>
      <c r="Q3" s="3226" t="s">
        <v>5197</v>
      </c>
    </row>
    <row r="4" spans="1:17" ht="49.5">
      <c r="A4" s="3225"/>
      <c r="B4" s="3226"/>
      <c r="C4" s="3226"/>
      <c r="D4" s="1889" t="s">
        <v>3872</v>
      </c>
      <c r="E4" s="1886" t="s">
        <v>5198</v>
      </c>
      <c r="F4" s="1886" t="s">
        <v>4198</v>
      </c>
      <c r="G4" s="1886" t="s">
        <v>4199</v>
      </c>
      <c r="H4" s="1889" t="s">
        <v>3872</v>
      </c>
      <c r="I4" s="1886" t="s">
        <v>5198</v>
      </c>
      <c r="J4" s="1886" t="s">
        <v>4198</v>
      </c>
      <c r="K4" s="1886" t="s">
        <v>4199</v>
      </c>
      <c r="L4" s="1889" t="s">
        <v>3872</v>
      </c>
      <c r="M4" s="1886" t="s">
        <v>5198</v>
      </c>
      <c r="N4" s="1886" t="s">
        <v>4198</v>
      </c>
      <c r="O4" s="1886" t="s">
        <v>4199</v>
      </c>
      <c r="P4" s="1886" t="s">
        <v>5319</v>
      </c>
      <c r="Q4" s="3227"/>
    </row>
    <row r="5" spans="1:17">
      <c r="A5" s="3225"/>
      <c r="B5" s="3228" t="s">
        <v>422</v>
      </c>
      <c r="C5" s="3228"/>
      <c r="D5" s="2052" t="s">
        <v>423</v>
      </c>
      <c r="E5" s="2052" t="s">
        <v>171</v>
      </c>
      <c r="F5" s="2052" t="s">
        <v>172</v>
      </c>
      <c r="G5" s="1243" t="s">
        <v>173</v>
      </c>
      <c r="H5" s="1243" t="s">
        <v>174</v>
      </c>
      <c r="I5" s="1243" t="s">
        <v>175</v>
      </c>
      <c r="J5" s="1243" t="s">
        <v>176</v>
      </c>
      <c r="K5" s="1243" t="s">
        <v>177</v>
      </c>
      <c r="L5" s="1243" t="s">
        <v>178</v>
      </c>
      <c r="M5" s="1243" t="s">
        <v>179</v>
      </c>
      <c r="N5" s="1243" t="s">
        <v>180</v>
      </c>
      <c r="O5" s="1243" t="s">
        <v>416</v>
      </c>
      <c r="P5" s="1243" t="s">
        <v>417</v>
      </c>
      <c r="Q5" s="1243" t="s">
        <v>418</v>
      </c>
    </row>
    <row r="6" spans="1:17" ht="16.5">
      <c r="A6" s="2053">
        <v>1</v>
      </c>
      <c r="B6" s="3229" t="s">
        <v>4200</v>
      </c>
      <c r="C6" s="1371" t="s">
        <v>5320</v>
      </c>
      <c r="D6" s="2054"/>
      <c r="E6" s="2054"/>
      <c r="F6" s="2054"/>
      <c r="G6" s="2054"/>
      <c r="H6" s="2054"/>
      <c r="I6" s="2054"/>
      <c r="J6" s="2054"/>
      <c r="K6" s="2054"/>
      <c r="L6" s="2054"/>
      <c r="M6" s="2054"/>
      <c r="N6" s="2054"/>
      <c r="O6" s="2054"/>
      <c r="P6" s="2054"/>
      <c r="Q6" s="2055"/>
    </row>
    <row r="7" spans="1:17" ht="33">
      <c r="A7" s="2053">
        <f>A6+1</f>
        <v>2</v>
      </c>
      <c r="B7" s="3229"/>
      <c r="C7" s="1995" t="s">
        <v>5321</v>
      </c>
      <c r="D7" s="2054"/>
      <c r="E7" s="2054"/>
      <c r="F7" s="2054"/>
      <c r="G7" s="2054"/>
      <c r="H7" s="2054"/>
      <c r="I7" s="2054"/>
      <c r="J7" s="2054"/>
      <c r="K7" s="2054"/>
      <c r="L7" s="2054"/>
      <c r="M7" s="2054"/>
      <c r="N7" s="2054"/>
      <c r="O7" s="2054"/>
      <c r="P7" s="2054"/>
      <c r="Q7" s="2055"/>
    </row>
    <row r="8" spans="1:17" ht="33">
      <c r="A8" s="2053">
        <f>A7+1</f>
        <v>3</v>
      </c>
      <c r="B8" s="3229"/>
      <c r="C8" s="1995" t="s">
        <v>5322</v>
      </c>
      <c r="D8" s="2054"/>
      <c r="E8" s="2054"/>
      <c r="F8" s="2054"/>
      <c r="G8" s="2054"/>
      <c r="H8" s="2054"/>
      <c r="I8" s="2054"/>
      <c r="J8" s="2054"/>
      <c r="K8" s="2054"/>
      <c r="L8" s="2054"/>
      <c r="M8" s="2054"/>
      <c r="N8" s="2054"/>
      <c r="O8" s="2054"/>
      <c r="P8" s="2054"/>
      <c r="Q8" s="2055"/>
    </row>
    <row r="9" spans="1:17" ht="16.5">
      <c r="A9" s="2053">
        <f t="shared" ref="A9:A39" si="0">A8+1</f>
        <v>4</v>
      </c>
      <c r="B9" s="3229"/>
      <c r="C9" s="1995" t="s">
        <v>5323</v>
      </c>
      <c r="D9" s="2054"/>
      <c r="E9" s="2054"/>
      <c r="F9" s="2054"/>
      <c r="G9" s="2054"/>
      <c r="H9" s="2054"/>
      <c r="I9" s="2054"/>
      <c r="J9" s="2054"/>
      <c r="K9" s="2054"/>
      <c r="L9" s="2054"/>
      <c r="M9" s="2054"/>
      <c r="N9" s="2054"/>
      <c r="O9" s="2054"/>
      <c r="P9" s="2054"/>
      <c r="Q9" s="2055"/>
    </row>
    <row r="10" spans="1:17" ht="16.5">
      <c r="A10" s="2053">
        <f t="shared" si="0"/>
        <v>5</v>
      </c>
      <c r="B10" s="3229"/>
      <c r="C10" s="1995" t="s">
        <v>5324</v>
      </c>
      <c r="D10" s="2054"/>
      <c r="E10" s="2054"/>
      <c r="F10" s="2054"/>
      <c r="G10" s="2054"/>
      <c r="H10" s="2054"/>
      <c r="I10" s="2054"/>
      <c r="J10" s="2054"/>
      <c r="K10" s="2054"/>
      <c r="L10" s="2054"/>
      <c r="M10" s="2054"/>
      <c r="N10" s="2054"/>
      <c r="O10" s="2054"/>
      <c r="P10" s="2054"/>
      <c r="Q10" s="2055"/>
    </row>
    <row r="11" spans="1:17" ht="16.5">
      <c r="A11" s="2053">
        <f t="shared" si="0"/>
        <v>6</v>
      </c>
      <c r="B11" s="3229"/>
      <c r="C11" s="1995" t="s">
        <v>5325</v>
      </c>
      <c r="D11" s="2054"/>
      <c r="E11" s="2054"/>
      <c r="F11" s="2054"/>
      <c r="G11" s="2054"/>
      <c r="H11" s="2054"/>
      <c r="I11" s="2054"/>
      <c r="J11" s="2054"/>
      <c r="K11" s="2054"/>
      <c r="L11" s="2054"/>
      <c r="M11" s="2054"/>
      <c r="N11" s="2054"/>
      <c r="O11" s="2054"/>
      <c r="P11" s="2054"/>
      <c r="Q11" s="2055"/>
    </row>
    <row r="12" spans="1:17" ht="16.5">
      <c r="A12" s="2053">
        <f t="shared" si="0"/>
        <v>7</v>
      </c>
      <c r="B12" s="3229"/>
      <c r="C12" s="1995" t="s">
        <v>5326</v>
      </c>
      <c r="D12" s="2054"/>
      <c r="E12" s="2054"/>
      <c r="F12" s="2054"/>
      <c r="G12" s="2054"/>
      <c r="H12" s="2054"/>
      <c r="I12" s="2054"/>
      <c r="J12" s="2054"/>
      <c r="K12" s="2054"/>
      <c r="L12" s="2054"/>
      <c r="M12" s="2054"/>
      <c r="N12" s="2054"/>
      <c r="O12" s="2054"/>
      <c r="P12" s="2054"/>
      <c r="Q12" s="2055"/>
    </row>
    <row r="13" spans="1:17" ht="16.5">
      <c r="A13" s="2053">
        <f t="shared" si="0"/>
        <v>8</v>
      </c>
      <c r="B13" s="3229"/>
      <c r="C13" s="1371" t="s">
        <v>5327</v>
      </c>
      <c r="D13" s="2054"/>
      <c r="E13" s="2054"/>
      <c r="F13" s="2054"/>
      <c r="G13" s="2054"/>
      <c r="H13" s="2054"/>
      <c r="I13" s="2054"/>
      <c r="J13" s="2054"/>
      <c r="K13" s="2054"/>
      <c r="L13" s="2054"/>
      <c r="M13" s="2054"/>
      <c r="N13" s="2054"/>
      <c r="O13" s="2054"/>
      <c r="P13" s="2054"/>
      <c r="Q13" s="2055"/>
    </row>
    <row r="14" spans="1:17" ht="33">
      <c r="A14" s="2053">
        <f t="shared" si="0"/>
        <v>9</v>
      </c>
      <c r="B14" s="3229"/>
      <c r="C14" s="1995" t="s">
        <v>5321</v>
      </c>
      <c r="D14" s="2054"/>
      <c r="E14" s="2054"/>
      <c r="F14" s="2054"/>
      <c r="G14" s="2054"/>
      <c r="H14" s="2054"/>
      <c r="I14" s="2054"/>
      <c r="J14" s="2054"/>
      <c r="K14" s="2054"/>
      <c r="L14" s="2054"/>
      <c r="M14" s="2054"/>
      <c r="N14" s="2054"/>
      <c r="O14" s="2054"/>
      <c r="P14" s="2054"/>
      <c r="Q14" s="2055"/>
    </row>
    <row r="15" spans="1:17" ht="33">
      <c r="A15" s="2053">
        <f t="shared" si="0"/>
        <v>10</v>
      </c>
      <c r="B15" s="3229"/>
      <c r="C15" s="1995" t="s">
        <v>5322</v>
      </c>
      <c r="D15" s="2054"/>
      <c r="E15" s="2054"/>
      <c r="F15" s="2054"/>
      <c r="G15" s="2054"/>
      <c r="H15" s="2054"/>
      <c r="I15" s="2054"/>
      <c r="J15" s="2054"/>
      <c r="K15" s="2054"/>
      <c r="L15" s="2054"/>
      <c r="M15" s="2054"/>
      <c r="N15" s="2054"/>
      <c r="O15" s="2054"/>
      <c r="P15" s="2054"/>
      <c r="Q15" s="2055"/>
    </row>
    <row r="16" spans="1:17" ht="16.5">
      <c r="A16" s="2053">
        <f t="shared" si="0"/>
        <v>11</v>
      </c>
      <c r="B16" s="3229"/>
      <c r="C16" s="1995" t="s">
        <v>5323</v>
      </c>
      <c r="D16" s="2054"/>
      <c r="E16" s="2054"/>
      <c r="F16" s="2054"/>
      <c r="G16" s="2054"/>
      <c r="H16" s="2054"/>
      <c r="I16" s="2054"/>
      <c r="J16" s="2054"/>
      <c r="K16" s="2054"/>
      <c r="L16" s="2054"/>
      <c r="M16" s="2054"/>
      <c r="N16" s="2054"/>
      <c r="O16" s="2054"/>
      <c r="P16" s="2054"/>
      <c r="Q16" s="2055"/>
    </row>
    <row r="17" spans="1:17" ht="16.5">
      <c r="A17" s="2053">
        <f t="shared" si="0"/>
        <v>12</v>
      </c>
      <c r="B17" s="3229"/>
      <c r="C17" s="1995" t="s">
        <v>5324</v>
      </c>
      <c r="D17" s="2054"/>
      <c r="E17" s="2054"/>
      <c r="F17" s="2054"/>
      <c r="G17" s="2054"/>
      <c r="H17" s="2054"/>
      <c r="I17" s="2054"/>
      <c r="J17" s="2054"/>
      <c r="K17" s="2054"/>
      <c r="L17" s="2054"/>
      <c r="M17" s="2054"/>
      <c r="N17" s="2054"/>
      <c r="O17" s="2054"/>
      <c r="P17" s="2054"/>
      <c r="Q17" s="2055"/>
    </row>
    <row r="18" spans="1:17" ht="16.5">
      <c r="A18" s="2053">
        <f t="shared" si="0"/>
        <v>13</v>
      </c>
      <c r="B18" s="3229"/>
      <c r="C18" s="1995" t="s">
        <v>5325</v>
      </c>
      <c r="D18" s="2054"/>
      <c r="E18" s="2054"/>
      <c r="F18" s="2054"/>
      <c r="G18" s="2054"/>
      <c r="H18" s="2054"/>
      <c r="I18" s="2054"/>
      <c r="J18" s="2054"/>
      <c r="K18" s="2054"/>
      <c r="L18" s="2054"/>
      <c r="M18" s="2054"/>
      <c r="N18" s="2054"/>
      <c r="O18" s="2054"/>
      <c r="P18" s="2054"/>
      <c r="Q18" s="2055"/>
    </row>
    <row r="19" spans="1:17" ht="16.5">
      <c r="A19" s="2053">
        <f t="shared" si="0"/>
        <v>14</v>
      </c>
      <c r="B19" s="3229"/>
      <c r="C19" s="1995" t="s">
        <v>4032</v>
      </c>
      <c r="D19" s="2054"/>
      <c r="E19" s="2054"/>
      <c r="F19" s="2054"/>
      <c r="G19" s="2054"/>
      <c r="H19" s="2054"/>
      <c r="I19" s="2054"/>
      <c r="J19" s="2054"/>
      <c r="K19" s="2054"/>
      <c r="L19" s="2054"/>
      <c r="M19" s="2054"/>
      <c r="N19" s="2054"/>
      <c r="O19" s="2054"/>
      <c r="P19" s="2054"/>
      <c r="Q19" s="2055"/>
    </row>
    <row r="20" spans="1:17" ht="16.5">
      <c r="A20" s="2053">
        <f t="shared" si="0"/>
        <v>15</v>
      </c>
      <c r="B20" s="3229"/>
      <c r="C20" s="1992" t="s">
        <v>4121</v>
      </c>
      <c r="D20" s="2054"/>
      <c r="E20" s="2054"/>
      <c r="F20" s="2054"/>
      <c r="G20" s="2054"/>
      <c r="H20" s="2054"/>
      <c r="I20" s="2054"/>
      <c r="J20" s="2054"/>
      <c r="K20" s="2054"/>
      <c r="L20" s="2054"/>
      <c r="M20" s="2054"/>
      <c r="N20" s="2054"/>
      <c r="O20" s="2054"/>
      <c r="P20" s="2054"/>
      <c r="Q20" s="2055"/>
    </row>
    <row r="21" spans="1:17" ht="16.5">
      <c r="A21" s="2053">
        <f t="shared" si="0"/>
        <v>16</v>
      </c>
      <c r="B21" s="3229" t="s">
        <v>4207</v>
      </c>
      <c r="C21" s="1371" t="s">
        <v>5328</v>
      </c>
      <c r="D21" s="2054"/>
      <c r="E21" s="2054"/>
      <c r="F21" s="2054"/>
      <c r="G21" s="2054"/>
      <c r="H21" s="2054"/>
      <c r="I21" s="2054"/>
      <c r="J21" s="2054"/>
      <c r="K21" s="2054"/>
      <c r="L21" s="2054"/>
      <c r="M21" s="2054"/>
      <c r="N21" s="2054"/>
      <c r="O21" s="2054"/>
      <c r="P21" s="2054"/>
      <c r="Q21" s="2055"/>
    </row>
    <row r="22" spans="1:17" ht="16.5">
      <c r="A22" s="2053">
        <f t="shared" si="0"/>
        <v>17</v>
      </c>
      <c r="B22" s="3229"/>
      <c r="C22" s="1371" t="s">
        <v>5329</v>
      </c>
      <c r="D22" s="2054"/>
      <c r="E22" s="2054"/>
      <c r="F22" s="2054"/>
      <c r="G22" s="2054"/>
      <c r="H22" s="2054"/>
      <c r="I22" s="2054"/>
      <c r="J22" s="2054"/>
      <c r="K22" s="2054"/>
      <c r="L22" s="2054"/>
      <c r="M22" s="2054"/>
      <c r="N22" s="2054"/>
      <c r="O22" s="2054"/>
      <c r="P22" s="2054"/>
      <c r="Q22" s="2055"/>
    </row>
    <row r="23" spans="1:17" ht="16.5">
      <c r="A23" s="2053">
        <f t="shared" si="0"/>
        <v>18</v>
      </c>
      <c r="B23" s="3229"/>
      <c r="C23" s="1371" t="s">
        <v>5330</v>
      </c>
      <c r="D23" s="2054"/>
      <c r="E23" s="2054"/>
      <c r="F23" s="2054"/>
      <c r="G23" s="2054"/>
      <c r="H23" s="2054"/>
      <c r="I23" s="2054"/>
      <c r="J23" s="2054"/>
      <c r="K23" s="2054"/>
      <c r="L23" s="2054"/>
      <c r="M23" s="2054"/>
      <c r="N23" s="2054"/>
      <c r="O23" s="2054"/>
      <c r="P23" s="2054"/>
      <c r="Q23" s="2055"/>
    </row>
    <row r="24" spans="1:17" ht="16.5">
      <c r="A24" s="2053">
        <f t="shared" si="0"/>
        <v>19</v>
      </c>
      <c r="B24" s="3229"/>
      <c r="C24" s="1371" t="s">
        <v>5331</v>
      </c>
      <c r="D24" s="2054"/>
      <c r="E24" s="2054"/>
      <c r="F24" s="2054"/>
      <c r="G24" s="2054"/>
      <c r="H24" s="2054"/>
      <c r="I24" s="2054"/>
      <c r="J24" s="2054"/>
      <c r="K24" s="2054"/>
      <c r="L24" s="2054"/>
      <c r="M24" s="2054"/>
      <c r="N24" s="2054"/>
      <c r="O24" s="2054"/>
      <c r="P24" s="2054"/>
      <c r="Q24" s="2055"/>
    </row>
    <row r="25" spans="1:17" ht="16.5">
      <c r="A25" s="2053">
        <f t="shared" si="0"/>
        <v>20</v>
      </c>
      <c r="B25" s="3229"/>
      <c r="C25" s="1992" t="s">
        <v>4121</v>
      </c>
      <c r="D25" s="2054"/>
      <c r="E25" s="2054"/>
      <c r="F25" s="2054"/>
      <c r="G25" s="2054"/>
      <c r="H25" s="2054"/>
      <c r="I25" s="2054"/>
      <c r="J25" s="2054"/>
      <c r="K25" s="2054"/>
      <c r="L25" s="2054"/>
      <c r="M25" s="2054"/>
      <c r="N25" s="2054"/>
      <c r="O25" s="2054"/>
      <c r="P25" s="2054"/>
      <c r="Q25" s="2055"/>
    </row>
    <row r="26" spans="1:17" ht="15.75" customHeight="1">
      <c r="A26" s="2053">
        <f t="shared" si="0"/>
        <v>21</v>
      </c>
      <c r="B26" s="3222" t="s">
        <v>5332</v>
      </c>
      <c r="C26" s="3222"/>
      <c r="D26" s="2054"/>
      <c r="E26" s="2054"/>
      <c r="F26" s="2054"/>
      <c r="G26" s="2054"/>
      <c r="H26" s="2054"/>
      <c r="I26" s="2054"/>
      <c r="J26" s="2054"/>
      <c r="K26" s="2054"/>
      <c r="L26" s="2054"/>
      <c r="M26" s="2054"/>
      <c r="N26" s="2054"/>
      <c r="O26" s="2054"/>
      <c r="P26" s="2054"/>
      <c r="Q26" s="2055"/>
    </row>
    <row r="27" spans="1:17" ht="15.75" customHeight="1">
      <c r="A27" s="2053">
        <f t="shared" si="0"/>
        <v>22</v>
      </c>
      <c r="B27" s="3222" t="s">
        <v>5333</v>
      </c>
      <c r="C27" s="3222"/>
      <c r="D27" s="2054"/>
      <c r="E27" s="2054"/>
      <c r="F27" s="2054"/>
      <c r="G27" s="2054"/>
      <c r="H27" s="2054"/>
      <c r="I27" s="2054"/>
      <c r="J27" s="2054"/>
      <c r="K27" s="2054"/>
      <c r="L27" s="2054"/>
      <c r="M27" s="2054"/>
      <c r="N27" s="2054"/>
      <c r="O27" s="2054"/>
      <c r="P27" s="2054"/>
      <c r="Q27" s="2055"/>
    </row>
    <row r="28" spans="1:17" ht="15.75" customHeight="1">
      <c r="A28" s="2053">
        <f t="shared" si="0"/>
        <v>23</v>
      </c>
      <c r="B28" s="3222" t="s">
        <v>5334</v>
      </c>
      <c r="C28" s="3222"/>
      <c r="D28" s="2054"/>
      <c r="E28" s="2054"/>
      <c r="F28" s="2054"/>
      <c r="G28" s="2054"/>
      <c r="H28" s="2054"/>
      <c r="I28" s="2054"/>
      <c r="J28" s="2054"/>
      <c r="K28" s="2054"/>
      <c r="L28" s="2054"/>
      <c r="M28" s="2054"/>
      <c r="N28" s="2054"/>
      <c r="O28" s="2054"/>
      <c r="P28" s="2054"/>
      <c r="Q28" s="2055"/>
    </row>
    <row r="29" spans="1:17" ht="15.75" customHeight="1">
      <c r="A29" s="2053">
        <f t="shared" si="0"/>
        <v>24</v>
      </c>
      <c r="B29" s="3222" t="s">
        <v>5335</v>
      </c>
      <c r="C29" s="3222"/>
      <c r="D29" s="2054"/>
      <c r="E29" s="2054"/>
      <c r="F29" s="2054"/>
      <c r="G29" s="2054"/>
      <c r="H29" s="2054"/>
      <c r="I29" s="2054"/>
      <c r="J29" s="2054"/>
      <c r="K29" s="2054"/>
      <c r="L29" s="2054"/>
      <c r="M29" s="2054"/>
      <c r="N29" s="2054"/>
      <c r="O29" s="2054"/>
      <c r="P29" s="2054"/>
      <c r="Q29" s="2055"/>
    </row>
    <row r="30" spans="1:17" ht="15.75" customHeight="1">
      <c r="A30" s="2053">
        <f t="shared" si="0"/>
        <v>25</v>
      </c>
      <c r="B30" s="3222" t="s">
        <v>5336</v>
      </c>
      <c r="C30" s="3222"/>
      <c r="D30" s="2054"/>
      <c r="E30" s="2054"/>
      <c r="F30" s="2054"/>
      <c r="G30" s="2054"/>
      <c r="H30" s="2054"/>
      <c r="I30" s="2054"/>
      <c r="J30" s="2054"/>
      <c r="K30" s="2054"/>
      <c r="L30" s="2054"/>
      <c r="M30" s="2054"/>
      <c r="N30" s="2054"/>
      <c r="O30" s="2054"/>
      <c r="P30" s="2054"/>
      <c r="Q30" s="2055"/>
    </row>
    <row r="31" spans="1:17" ht="15.75" customHeight="1">
      <c r="A31" s="2053">
        <f t="shared" si="0"/>
        <v>26</v>
      </c>
      <c r="B31" s="3222" t="s">
        <v>5337</v>
      </c>
      <c r="C31" s="3222"/>
      <c r="D31" s="2054"/>
      <c r="E31" s="2054"/>
      <c r="F31" s="2054"/>
      <c r="G31" s="2054"/>
      <c r="H31" s="2054"/>
      <c r="I31" s="2054"/>
      <c r="J31" s="2054"/>
      <c r="K31" s="2054"/>
      <c r="L31" s="2054"/>
      <c r="M31" s="2054"/>
      <c r="N31" s="2054"/>
      <c r="O31" s="2054"/>
      <c r="P31" s="2054"/>
      <c r="Q31" s="2055"/>
    </row>
    <row r="32" spans="1:17" ht="15.75" customHeight="1">
      <c r="A32" s="2053">
        <f t="shared" si="0"/>
        <v>27</v>
      </c>
      <c r="B32" s="3222" t="s">
        <v>5338</v>
      </c>
      <c r="C32" s="3222"/>
      <c r="D32" s="2054"/>
      <c r="E32" s="2054"/>
      <c r="F32" s="2054"/>
      <c r="G32" s="2054"/>
      <c r="H32" s="2054"/>
      <c r="I32" s="2054"/>
      <c r="J32" s="2054"/>
      <c r="K32" s="2054"/>
      <c r="L32" s="2054"/>
      <c r="M32" s="2054"/>
      <c r="N32" s="2054"/>
      <c r="O32" s="2054"/>
      <c r="P32" s="2054"/>
      <c r="Q32" s="2055"/>
    </row>
    <row r="33" spans="1:18" ht="15.75" customHeight="1">
      <c r="A33" s="2053">
        <f t="shared" si="0"/>
        <v>28</v>
      </c>
      <c r="B33" s="3222" t="s">
        <v>5339</v>
      </c>
      <c r="C33" s="3222"/>
      <c r="D33" s="2054"/>
      <c r="E33" s="2054"/>
      <c r="F33" s="2054"/>
      <c r="G33" s="2054"/>
      <c r="H33" s="2054"/>
      <c r="I33" s="2054"/>
      <c r="J33" s="2054"/>
      <c r="K33" s="2054"/>
      <c r="L33" s="2054"/>
      <c r="M33" s="2054"/>
      <c r="N33" s="2054"/>
      <c r="O33" s="2054"/>
      <c r="P33" s="2054"/>
      <c r="Q33" s="2055"/>
    </row>
    <row r="34" spans="1:18" ht="16.5">
      <c r="A34" s="2053">
        <f t="shared" si="0"/>
        <v>29</v>
      </c>
      <c r="B34" s="3223" t="s">
        <v>5340</v>
      </c>
      <c r="C34" s="1371" t="s">
        <v>5341</v>
      </c>
      <c r="D34" s="2054"/>
      <c r="E34" s="2054"/>
      <c r="F34" s="2054"/>
      <c r="G34" s="2054"/>
      <c r="H34" s="2054"/>
      <c r="I34" s="2054"/>
      <c r="J34" s="2054"/>
      <c r="K34" s="2054"/>
      <c r="L34" s="2056"/>
      <c r="M34" s="2054"/>
      <c r="N34" s="2054"/>
      <c r="O34" s="2054"/>
      <c r="P34" s="2054"/>
      <c r="Q34" s="2055"/>
    </row>
    <row r="35" spans="1:18" ht="16.5">
      <c r="A35" s="2053">
        <f t="shared" si="0"/>
        <v>30</v>
      </c>
      <c r="B35" s="3223"/>
      <c r="C35" s="1371" t="s">
        <v>5342</v>
      </c>
      <c r="D35" s="2054"/>
      <c r="E35" s="2054"/>
      <c r="F35" s="2054"/>
      <c r="G35" s="2054"/>
      <c r="H35" s="2054"/>
      <c r="I35" s="2054"/>
      <c r="J35" s="2054"/>
      <c r="K35" s="2054"/>
      <c r="L35" s="2056"/>
      <c r="M35" s="2054"/>
      <c r="N35" s="2054"/>
      <c r="O35" s="2054"/>
      <c r="P35" s="2054"/>
      <c r="Q35" s="2055"/>
    </row>
    <row r="36" spans="1:18" ht="16.5">
      <c r="A36" s="2053">
        <f t="shared" si="0"/>
        <v>31</v>
      </c>
      <c r="B36" s="3223"/>
      <c r="C36" s="1995" t="s">
        <v>5343</v>
      </c>
      <c r="D36" s="2054"/>
      <c r="E36" s="2054"/>
      <c r="F36" s="2054"/>
      <c r="G36" s="2054"/>
      <c r="H36" s="2057"/>
      <c r="I36" s="2057"/>
      <c r="J36" s="2057"/>
      <c r="K36" s="2057"/>
      <c r="L36" s="2056"/>
      <c r="M36" s="2054"/>
      <c r="N36" s="2054"/>
      <c r="O36" s="2054"/>
      <c r="P36" s="2054"/>
      <c r="Q36" s="2055"/>
    </row>
    <row r="37" spans="1:18" ht="16.5">
      <c r="A37" s="2053">
        <f t="shared" si="0"/>
        <v>32</v>
      </c>
      <c r="B37" s="3223"/>
      <c r="C37" s="1995" t="s">
        <v>5344</v>
      </c>
      <c r="D37" s="2054"/>
      <c r="E37" s="2054"/>
      <c r="F37" s="2054"/>
      <c r="G37" s="2054"/>
      <c r="H37" s="2057"/>
      <c r="I37" s="2057"/>
      <c r="J37" s="2057"/>
      <c r="K37" s="2057"/>
      <c r="L37" s="2056"/>
      <c r="M37" s="2054"/>
      <c r="N37" s="2054"/>
      <c r="O37" s="2054"/>
      <c r="P37" s="2054"/>
      <c r="Q37" s="2055"/>
    </row>
    <row r="38" spans="1:18" ht="16.5">
      <c r="A38" s="2053">
        <f t="shared" si="0"/>
        <v>33</v>
      </c>
      <c r="B38" s="3223"/>
      <c r="C38" s="1371" t="s">
        <v>5345</v>
      </c>
      <c r="D38" s="2054"/>
      <c r="E38" s="2054"/>
      <c r="F38" s="2054"/>
      <c r="G38" s="2054"/>
      <c r="H38" s="2054"/>
      <c r="I38" s="2054"/>
      <c r="J38" s="2054"/>
      <c r="K38" s="2054"/>
      <c r="L38" s="2056"/>
      <c r="M38" s="2054"/>
      <c r="N38" s="2054"/>
      <c r="O38" s="2054"/>
      <c r="P38" s="2054"/>
      <c r="Q38" s="2055"/>
    </row>
    <row r="39" spans="1:18">
      <c r="A39" s="2053">
        <f t="shared" si="0"/>
        <v>34</v>
      </c>
      <c r="B39" s="3222" t="s">
        <v>5346</v>
      </c>
      <c r="C39" s="3222"/>
      <c r="D39" s="2054"/>
      <c r="E39" s="2054"/>
      <c r="F39" s="2054"/>
      <c r="G39" s="2054"/>
      <c r="H39" s="2054"/>
      <c r="I39" s="2054"/>
      <c r="J39" s="2054"/>
      <c r="K39" s="2054"/>
      <c r="L39" s="2054"/>
      <c r="M39" s="2054"/>
      <c r="N39" s="2054"/>
      <c r="O39" s="2054"/>
      <c r="P39" s="2054"/>
      <c r="Q39" s="2055"/>
    </row>
    <row r="40" spans="1:18">
      <c r="A40" s="2058"/>
      <c r="B40" s="1375"/>
      <c r="C40" s="1375"/>
      <c r="D40" s="2059"/>
      <c r="E40" s="2059"/>
      <c r="F40" s="2059"/>
      <c r="G40" s="2059"/>
      <c r="H40" s="2059"/>
      <c r="I40" s="2059"/>
      <c r="J40" s="2059"/>
      <c r="K40" s="2059"/>
      <c r="L40" s="2059"/>
      <c r="M40" s="2059"/>
      <c r="N40" s="2059"/>
      <c r="O40" s="2059"/>
      <c r="P40" s="2059"/>
      <c r="Q40" s="2060"/>
    </row>
    <row r="41" spans="1:18" ht="16.5">
      <c r="A41" s="2061" t="s">
        <v>4076</v>
      </c>
      <c r="B41" s="2062"/>
      <c r="C41" s="2046"/>
      <c r="D41" s="2046"/>
      <c r="E41" s="2046"/>
      <c r="F41" s="2046"/>
      <c r="G41" s="2046"/>
      <c r="H41" s="2046"/>
      <c r="I41" s="2046"/>
      <c r="J41" s="2046"/>
      <c r="K41" s="2046"/>
      <c r="L41" s="2046"/>
      <c r="M41" s="2046"/>
      <c r="N41" s="2046"/>
      <c r="O41" s="2046"/>
      <c r="P41" s="2046"/>
      <c r="Q41" s="2046"/>
    </row>
    <row r="42" spans="1:18" ht="16.5">
      <c r="A42" s="2063">
        <v>1</v>
      </c>
      <c r="B42" s="1254" t="s">
        <v>5347</v>
      </c>
      <c r="C42" s="2062"/>
      <c r="D42" s="2062"/>
      <c r="E42" s="2062"/>
      <c r="F42" s="2062"/>
      <c r="G42" s="2062"/>
      <c r="H42" s="2062"/>
      <c r="I42" s="2062"/>
      <c r="J42" s="2062"/>
      <c r="K42" s="2062"/>
      <c r="L42" s="2062"/>
      <c r="M42" s="2062"/>
      <c r="N42" s="2062"/>
      <c r="O42" s="2062"/>
      <c r="P42" s="2062"/>
      <c r="Q42" s="2062"/>
      <c r="R42" s="2064"/>
    </row>
    <row r="43" spans="1:18" ht="15.75" customHeight="1">
      <c r="A43" s="2063">
        <v>2</v>
      </c>
      <c r="B43" s="1231" t="s">
        <v>5348</v>
      </c>
      <c r="C43" s="1231"/>
      <c r="D43" s="2046"/>
      <c r="E43" s="2046"/>
      <c r="F43" s="2046"/>
      <c r="G43" s="2046"/>
      <c r="H43" s="2046"/>
      <c r="I43" s="2046"/>
      <c r="J43" s="2046"/>
      <c r="K43" s="2046"/>
      <c r="L43" s="2046"/>
      <c r="M43" s="2046"/>
      <c r="N43" s="2046"/>
      <c r="O43" s="2046"/>
      <c r="P43" s="2046"/>
      <c r="Q43" s="2046"/>
    </row>
    <row r="44" spans="1:18" ht="16.5">
      <c r="A44" s="2065">
        <v>3</v>
      </c>
      <c r="B44" s="1196" t="s">
        <v>5349</v>
      </c>
      <c r="C44" s="2062"/>
      <c r="D44" s="2062"/>
      <c r="E44" s="2062"/>
      <c r="F44" s="2062"/>
      <c r="G44" s="2062"/>
      <c r="H44" s="2062"/>
      <c r="I44" s="2062"/>
      <c r="J44" s="2062"/>
      <c r="K44" s="2062"/>
      <c r="L44" s="2062"/>
      <c r="M44" s="2062"/>
      <c r="N44" s="2062"/>
      <c r="O44" s="2062"/>
      <c r="P44" s="2062"/>
      <c r="Q44" s="2046"/>
    </row>
    <row r="45" spans="1:18" ht="16.5">
      <c r="A45" s="2065">
        <v>4</v>
      </c>
      <c r="B45" s="1231" t="s">
        <v>4058</v>
      </c>
      <c r="C45" s="2046"/>
      <c r="D45" s="2046"/>
      <c r="E45" s="2046"/>
      <c r="F45" s="2046"/>
      <c r="G45" s="2046"/>
      <c r="H45" s="2046"/>
      <c r="I45" s="2046"/>
      <c r="J45" s="2046"/>
      <c r="K45" s="2046"/>
      <c r="L45" s="2046"/>
      <c r="M45" s="2046"/>
      <c r="N45" s="2046"/>
      <c r="O45" s="2046"/>
      <c r="P45" s="2046"/>
      <c r="Q45" s="2046"/>
    </row>
    <row r="46" spans="1:18" ht="15.75" customHeight="1">
      <c r="A46" s="2065">
        <v>5</v>
      </c>
      <c r="B46" s="1231" t="s">
        <v>5350</v>
      </c>
      <c r="C46" s="1196"/>
      <c r="D46" s="1196"/>
      <c r="E46" s="1196"/>
      <c r="F46" s="1196"/>
      <c r="G46" s="1196"/>
      <c r="H46" s="1196"/>
      <c r="I46" s="1196"/>
      <c r="J46" s="1196"/>
      <c r="K46" s="1196"/>
      <c r="L46" s="1196"/>
      <c r="M46" s="1196"/>
      <c r="N46" s="1196"/>
      <c r="O46" s="1196"/>
      <c r="P46" s="1196"/>
      <c r="Q46" s="1196"/>
    </row>
    <row r="47" spans="1:18" ht="16.5">
      <c r="A47" s="2066">
        <v>6</v>
      </c>
      <c r="B47" s="2000" t="s">
        <v>5250</v>
      </c>
    </row>
  </sheetData>
  <mergeCells count="16">
    <mergeCell ref="B33:C33"/>
    <mergeCell ref="B31:C31"/>
    <mergeCell ref="B39:C39"/>
    <mergeCell ref="B6:B20"/>
    <mergeCell ref="B21:B25"/>
    <mergeCell ref="B26:C26"/>
    <mergeCell ref="B28:C28"/>
    <mergeCell ref="B30:C30"/>
    <mergeCell ref="B34:B38"/>
    <mergeCell ref="B29:C29"/>
    <mergeCell ref="A3:A5"/>
    <mergeCell ref="B3:C4"/>
    <mergeCell ref="Q3:Q4"/>
    <mergeCell ref="B32:C32"/>
    <mergeCell ref="B27:C27"/>
    <mergeCell ref="B5:C5"/>
  </mergeCells>
  <phoneticPr fontId="9"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ageMargins left="0.51181102362204722" right="0.35433070866141736" top="0.39370078740157483" bottom="0.27559055118110237" header="0.15748031496062992" footer="0.23622047244094491"/>
  <pageSetup paperSize="9" scale="48" fitToHeight="2" orientation="landscape"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88</vt:i4>
      </vt:variant>
      <vt:variant>
        <vt:lpstr>具名範圍</vt:lpstr>
      </vt:variant>
      <vt:variant>
        <vt:i4>47</vt:i4>
      </vt:variant>
    </vt:vector>
  </HeadingPairs>
  <TitlesOfParts>
    <vt:vector size="135"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vt:lpstr>
      <vt:lpstr>表19-4</vt:lpstr>
      <vt:lpstr>表19-5</vt:lpstr>
      <vt:lpstr>表19-6</vt:lpstr>
      <vt:lpstr>表21-1</vt:lpstr>
      <vt:lpstr>表21-2</vt:lpstr>
      <vt:lpstr>表21-3</vt:lpstr>
      <vt:lpstr>表21-4</vt:lpstr>
      <vt:lpstr>表21-7</vt:lpstr>
      <vt:lpstr>表25-1</vt:lpstr>
      <vt:lpstr>表25-2</vt:lpstr>
      <vt:lpstr>表25-8</vt:lpstr>
      <vt:lpstr>表26-1</vt:lpstr>
      <vt:lpstr>表30-1</vt:lpstr>
      <vt:lpstr>表30-2</vt:lpstr>
      <vt:lpstr>表30-3</vt:lpstr>
      <vt:lpstr>表30-3-1</vt:lpstr>
      <vt:lpstr>表30-3-2</vt:lpstr>
      <vt:lpstr>表30-3-3</vt:lpstr>
      <vt:lpstr>表30-3-4</vt:lpstr>
      <vt:lpstr>表30-4</vt:lpstr>
      <vt:lpstr>表30-4-1</vt:lpstr>
      <vt:lpstr>表30-5</vt:lpstr>
      <vt:lpstr>表30-5-1</vt:lpstr>
      <vt:lpstr>表30-5-2</vt:lpstr>
      <vt:lpstr>表30-5-2-1-1</vt:lpstr>
      <vt:lpstr>表30-5-2-1-2</vt:lpstr>
      <vt:lpstr>表30-5-2-2-1</vt:lpstr>
      <vt:lpstr>表30-5-2-2-2</vt:lpstr>
      <vt:lpstr>表30-5-2-2-3</vt:lpstr>
      <vt:lpstr>表30-5-2-3-1</vt:lpstr>
      <vt:lpstr>表30-5-2-3-2</vt:lpstr>
      <vt:lpstr>表30-5-2-4-1</vt:lpstr>
      <vt:lpstr>表30-5-2-4-2</vt:lpstr>
      <vt:lpstr>表30-5-2-4-3</vt:lpstr>
      <vt:lpstr>表30-5-2-5-1</vt:lpstr>
      <vt:lpstr>表30-5-2-5-2</vt:lpstr>
      <vt:lpstr>表30-5-2-5-3</vt:lpstr>
      <vt:lpstr>表30-5-2-5-4</vt:lpstr>
      <vt:lpstr>表30-5-2-6</vt:lpstr>
      <vt:lpstr>表30-6</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'表09-1'!Print_Area</vt:lpstr>
      <vt:lpstr>'表10-1'!Print_Area</vt:lpstr>
      <vt:lpstr>'表10-3'!Print_Area</vt:lpstr>
      <vt:lpstr>'表10-4'!Print_Area</vt:lpstr>
      <vt:lpstr>'表12-1'!Print_Area</vt:lpstr>
      <vt:lpstr>'表13-4'!Print_Area</vt:lpstr>
      <vt:lpstr>'表19-4'!Print_Area</vt:lpstr>
      <vt:lpstr>'表19-5'!Print_Area</vt:lpstr>
      <vt:lpstr>'表19-6'!Print_Area</vt:lpstr>
      <vt:lpstr>'表21-2'!Print_Area</vt:lpstr>
      <vt:lpstr>'表25-2'!Print_Area</vt:lpstr>
      <vt:lpstr>'表30-14-1'!Print_Area</vt:lpstr>
      <vt:lpstr>'表30-14-2'!Print_Area</vt:lpstr>
      <vt:lpstr>'表30-2'!Print_Area</vt:lpstr>
      <vt:lpstr>'表30-3-1'!Print_Area</vt:lpstr>
      <vt:lpstr>'表30-4-1'!Print_Area</vt:lpstr>
      <vt:lpstr>'表30-5'!Print_Area</vt:lpstr>
      <vt:lpstr>'表30-5-1'!Print_Area</vt:lpstr>
      <vt:lpstr>'表30-5-2'!Print_Area</vt:lpstr>
      <vt:lpstr>'表30-5-2-1-1'!Print_Area</vt:lpstr>
      <vt:lpstr>'表30-5-2-1-2'!Print_Area</vt:lpstr>
      <vt:lpstr>'表30-5-2-2-1'!Print_Area</vt:lpstr>
      <vt:lpstr>'表30-5-2-2-2'!Print_Area</vt:lpstr>
      <vt:lpstr>'表30-5-2-2-3'!Print_Area</vt:lpstr>
      <vt:lpstr>'表30-5-2-3-1'!Print_Area</vt:lpstr>
      <vt:lpstr>'表30-5-2-3-2'!Print_Area</vt:lpstr>
      <vt:lpstr>'表30-5-2-4-1'!Print_Area</vt:lpstr>
      <vt:lpstr>'表30-5-2-4-2'!Print_Area</vt:lpstr>
      <vt:lpstr>'表30-5-2-5-1'!Print_Area</vt:lpstr>
      <vt:lpstr>'表30-5-2-5-2'!Print_Area</vt:lpstr>
      <vt:lpstr>'表30-5-2-5-3'!Print_Area</vt:lpstr>
      <vt:lpstr>'表30-5-2-5-4'!Print_Area</vt:lpstr>
      <vt:lpstr>'表30-8'!Print_Area</vt:lpstr>
      <vt:lpstr>'表30-8-4'!Print_Area</vt:lpstr>
      <vt:lpstr>'表30-8-5'!Print_Area</vt:lpstr>
      <vt:lpstr>表03!Print_Titles</vt:lpstr>
      <vt:lpstr>'表05-1'!Print_Titles</vt:lpstr>
      <vt:lpstr>'表16-1-1'!Print_Titles</vt:lpstr>
      <vt:lpstr>'表16-1-2'!Print_Titles</vt:lpstr>
      <vt:lpstr>'表16-1-3'!Print_Titles</vt:lpstr>
      <vt:lpstr>'表16-1-4'!Print_Titles</vt:lpstr>
      <vt:lpstr>'表16-1-5'!Print_Titles</vt:lpstr>
      <vt:lpstr>'表30-13'!Print_Titles</vt:lpstr>
      <vt:lpstr>'表30-3'!Print_Titles</vt:lpstr>
      <vt:lpstr>'表30-3-2'!Print_Titles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2024-09-27T07:49:18Z</dcterms:created>
  <dcterms:modified xsi:type="dcterms:W3CDTF">2025-07-02T08:27:09Z</dcterms:modified>
</cp:coreProperties>
</file>